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codeName="{7A2D7E96-6E34-419A-AE5F-296B3A7E7977}"/>
  <workbookPr saveExternalLinkValues="0" codeName="ThisWorkbook" defaultThemeVersion="124226"/>
  <mc:AlternateContent xmlns:mc="http://schemas.openxmlformats.org/markup-compatibility/2006">
    <mc:Choice Requires="x15">
      <x15ac:absPath xmlns:x15ac="http://schemas.microsoft.com/office/spreadsheetml/2010/11/ac" url="T:\1 CINTRA\1 - VALORACIONES CINTRA\1 - MODELOS DE VALORACIÓN\2018\MODELOS WEB &amp; SUMMARIES\MODELOS DE LA WEB\"/>
    </mc:Choice>
  </mc:AlternateContent>
  <bookViews>
    <workbookView xWindow="0" yWindow="120" windowWidth="28800" windowHeight="12315" tabRatio="884" xr2:uid="{00000000-000D-0000-FFFF-FFFF00000000}"/>
  </bookViews>
  <sheets>
    <sheet name="Dis" sheetId="10" r:id="rId1"/>
    <sheet name="Summary" sheetId="1" r:id="rId2"/>
    <sheet name="Inputs" sheetId="2" r:id="rId3"/>
    <sheet name="Oper" sheetId="3" r:id="rId4"/>
    <sheet name="Fin" sheetId="4" r:id="rId5"/>
    <sheet name="CF" sheetId="5" r:id="rId6"/>
    <sheet name="Tax" sheetId="7" r:id="rId7"/>
    <sheet name="Acc" sheetId="6" r:id="rId8"/>
    <sheet name="Valuation &amp; IRR" sheetId="8" r:id="rId9"/>
    <sheet name="Mac"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F" localSheetId="1" hidden="1">[1]Revenues!#REF!</definedName>
    <definedName name="__123Graph_F" hidden="1">[1]Revenues!#REF!</definedName>
    <definedName name="__123Graph_X" localSheetId="1" hidden="1">[1]Revenues!#REF!</definedName>
    <definedName name="__123Graph_X" hidden="1">[1]Revenues!#REF!</definedName>
    <definedName name="__5__123Graph_AGRAFICO_1" localSheetId="1" hidden="1">[2]Revenues!#REF!</definedName>
    <definedName name="__5__123Graph_AGRAFICO_1" hidden="1">[2]Revenues!#REF!</definedName>
    <definedName name="_1__123Graph_AGRAFICO_1" localSheetId="1" hidden="1">[3]Revenues!#REF!</definedName>
    <definedName name="_1__123Graph_AGRAFICO_1" hidden="1">[3]Revenues!#REF!</definedName>
    <definedName name="_10__123Graph_BGRAFICO_4" localSheetId="1" hidden="1">[4]Bandas!#REF!</definedName>
    <definedName name="_10__123Graph_BGRAFICO_4" hidden="1">[4]Bandas!#REF!</definedName>
    <definedName name="_10__123Graph_BGRAFICO_5" localSheetId="1" hidden="1">[4]Bandas!#REF!</definedName>
    <definedName name="_10__123Graph_BGRAFICO_5" hidden="1">[4]Bandas!#REF!</definedName>
    <definedName name="_10__123Graph_CGRAFICO_2" localSheetId="1" hidden="1">[5]Bandas!#REF!</definedName>
    <definedName name="_10__123Graph_CGRAFICO_2" hidden="1">[5]Bandas!#REF!</definedName>
    <definedName name="_10__123Graph_XGRAFICO_1" localSheetId="1" hidden="1">[6]Ingresos!#REF!</definedName>
    <definedName name="_10__123Graph_XGRAFICO_1" hidden="1">[6]Ingresos!#REF!</definedName>
    <definedName name="_11__123Graph_AGRAFICO_4" localSheetId="1" hidden="1">[4]Bandas!#REF!</definedName>
    <definedName name="_11__123Graph_AGRAFICO_4" hidden="1">[4]Bandas!#REF!</definedName>
    <definedName name="_11__123Graph_BGRAFICO_5" localSheetId="1" hidden="1">[4]Bandas!#REF!</definedName>
    <definedName name="_11__123Graph_BGRAFICO_5" hidden="1">[4]Bandas!#REF!</definedName>
    <definedName name="_11__123Graph_CGRAFICO_2" localSheetId="1" hidden="1">[4]Bandas!#REF!</definedName>
    <definedName name="_11__123Graph_CGRAFICO_2" hidden="1">[4]Bandas!#REF!</definedName>
    <definedName name="_11__123Graph_CGRAFICO_3" localSheetId="1" hidden="1">[5]Bandas!#REF!</definedName>
    <definedName name="_11__123Graph_CGRAFICO_3" hidden="1">[5]Bandas!#REF!</definedName>
    <definedName name="_12__123Graph_AGRAFICO_2" localSheetId="1" hidden="1">[4]Bandas!#REF!</definedName>
    <definedName name="_12__123Graph_AGRAFICO_2" hidden="1">[4]Bandas!#REF!</definedName>
    <definedName name="_12__123Graph_AGRAFICO_3" localSheetId="1" hidden="1">[4]Bandas!#REF!</definedName>
    <definedName name="_12__123Graph_AGRAFICO_3" hidden="1">[4]Bandas!#REF!</definedName>
    <definedName name="_12__123Graph_CGRAFICO_2" localSheetId="1" hidden="1">[4]Bandas!#REF!</definedName>
    <definedName name="_12__123Graph_CGRAFICO_2" hidden="1">[4]Bandas!#REF!</definedName>
    <definedName name="_12__123Graph_CGRAFICO_3" localSheetId="1" hidden="1">[4]Bandas!#REF!</definedName>
    <definedName name="_12__123Graph_CGRAFICO_3" hidden="1">[4]Bandas!#REF!</definedName>
    <definedName name="_12__123Graph_CGRAFICO_4" localSheetId="1" hidden="1">[5]Bandas!#REF!</definedName>
    <definedName name="_12__123Graph_CGRAFICO_4" hidden="1">[5]Bandas!#REF!</definedName>
    <definedName name="_13__123Graph_AGRAFICO_5" localSheetId="1" hidden="1">[4]Bandas!#REF!</definedName>
    <definedName name="_13__123Graph_AGRAFICO_5" hidden="1">[4]Bandas!#REF!</definedName>
    <definedName name="_13__123Graph_CGRAFICO_3" localSheetId="1" hidden="1">[4]Bandas!#REF!</definedName>
    <definedName name="_13__123Graph_CGRAFICO_3" hidden="1">[4]Bandas!#REF!</definedName>
    <definedName name="_13__123Graph_CGRAFICO_4" localSheetId="1" hidden="1">[4]Bandas!#REF!</definedName>
    <definedName name="_13__123Graph_CGRAFICO_4" hidden="1">[4]Bandas!#REF!</definedName>
    <definedName name="_13__123Graph_CGRAFICO_5" localSheetId="1" hidden="1">[5]Bandas!#REF!</definedName>
    <definedName name="_13__123Graph_CGRAFICO_5" hidden="1">[5]Bandas!#REF!</definedName>
    <definedName name="_14__123Graph_CGRAFICO_4" localSheetId="1" hidden="1">[4]Bandas!#REF!</definedName>
    <definedName name="_14__123Graph_CGRAFICO_4" hidden="1">[4]Bandas!#REF!</definedName>
    <definedName name="_14__123Graph_CGRAFICO_5" localSheetId="1" hidden="1">[4]Bandas!#REF!</definedName>
    <definedName name="_14__123Graph_CGRAFICO_5" hidden="1">[4]Bandas!#REF!</definedName>
    <definedName name="_14__123Graph_DGRAFICO_2" localSheetId="1" hidden="1">[5]Bandas!#REF!</definedName>
    <definedName name="_14__123Graph_DGRAFICO_2" hidden="1">[5]Bandas!#REF!</definedName>
    <definedName name="_15__123Graph_AGRAFICO_3" localSheetId="1" hidden="1">[4]Bandas!#REF!</definedName>
    <definedName name="_15__123Graph_AGRAFICO_3" hidden="1">[4]Bandas!#REF!</definedName>
    <definedName name="_15__123Graph_AGRAFICO_4" localSheetId="1" hidden="1">[4]Bandas!#REF!</definedName>
    <definedName name="_15__123Graph_AGRAFICO_4" hidden="1">[4]Bandas!#REF!</definedName>
    <definedName name="_15__123Graph_BGRAFICO_2" localSheetId="1" hidden="1">[4]Bandas!#REF!</definedName>
    <definedName name="_15__123Graph_BGRAFICO_2" hidden="1">[4]Bandas!#REF!</definedName>
    <definedName name="_15__123Graph_CGRAFICO_5" localSheetId="1" hidden="1">[4]Bandas!#REF!</definedName>
    <definedName name="_15__123Graph_CGRAFICO_5" hidden="1">[4]Bandas!#REF!</definedName>
    <definedName name="_15__123Graph_DGRAFICO_2" localSheetId="1" hidden="1">[4]Bandas!#REF!</definedName>
    <definedName name="_15__123Graph_DGRAFICO_2" hidden="1">[4]Bandas!#REF!</definedName>
    <definedName name="_15__123Graph_DGRAFICO_4" localSheetId="1" hidden="1">[5]Bandas!#REF!</definedName>
    <definedName name="_15__123Graph_DGRAFICO_4" hidden="1">[5]Bandas!#REF!</definedName>
    <definedName name="_16__123Graph_DGRAFICO_2" localSheetId="1" hidden="1">[4]Bandas!#REF!</definedName>
    <definedName name="_16__123Graph_DGRAFICO_2" hidden="1">[4]Bandas!#REF!</definedName>
    <definedName name="_16__123Graph_DGRAFICO_4" localSheetId="1" hidden="1">[4]Bandas!#REF!</definedName>
    <definedName name="_16__123Graph_DGRAFICO_4" hidden="1">[4]Bandas!#REF!</definedName>
    <definedName name="_16__123Graph_EGRAFICO_4" localSheetId="1" hidden="1">[5]Bandas!#REF!</definedName>
    <definedName name="_16__123Graph_EGRAFICO_4" hidden="1">[5]Bandas!#REF!</definedName>
    <definedName name="_17__123Graph_BGRAFICO_3" localSheetId="1" hidden="1">[4]Bandas!#REF!</definedName>
    <definedName name="_17__123Graph_BGRAFICO_3" hidden="1">[4]Bandas!#REF!</definedName>
    <definedName name="_17__123Graph_DGRAFICO_4" localSheetId="1" hidden="1">[4]Bandas!#REF!</definedName>
    <definedName name="_17__123Graph_DGRAFICO_4" hidden="1">[4]Bandas!#REF!</definedName>
    <definedName name="_17__123Graph_EGRAFICO_4" localSheetId="1" hidden="1">[4]Bandas!#REF!</definedName>
    <definedName name="_17__123Graph_EGRAFICO_4" hidden="1">[4]Bandas!#REF!</definedName>
    <definedName name="_17__123Graph_FGRAFICO_4" localSheetId="1" hidden="1">[5]Bandas!#REF!</definedName>
    <definedName name="_17__123Graph_FGRAFICO_4" hidden="1">[5]Bandas!#REF!</definedName>
    <definedName name="_18__123Graph_AGRAFICO_4" localSheetId="1" hidden="1">[4]Bandas!#REF!</definedName>
    <definedName name="_18__123Graph_AGRAFICO_4" hidden="1">[4]Bandas!#REF!</definedName>
    <definedName name="_18__123Graph_AGRAFICO_5" localSheetId="1" hidden="1">[4]Bandas!#REF!</definedName>
    <definedName name="_18__123Graph_AGRAFICO_5" hidden="1">[4]Bandas!#REF!</definedName>
    <definedName name="_18__123Graph_EGRAFICO_4" localSheetId="1" hidden="1">[4]Bandas!#REF!</definedName>
    <definedName name="_18__123Graph_EGRAFICO_4" hidden="1">[4]Bandas!#REF!</definedName>
    <definedName name="_18__123Graph_FGRAFICO_4" localSheetId="1" hidden="1">[4]Bandas!#REF!</definedName>
    <definedName name="_18__123Graph_FGRAFICO_4" hidden="1">[4]Bandas!#REF!</definedName>
    <definedName name="_18__123Graph_XGRAFICO_1" localSheetId="1" hidden="1">[5]Receitas!#REF!</definedName>
    <definedName name="_18__123Graph_XGRAFICO_1" hidden="1">[5]Receitas!#REF!</definedName>
    <definedName name="_19__123Graph_BGRAFICO_4" localSheetId="1" hidden="1">[4]Bandas!#REF!</definedName>
    <definedName name="_19__123Graph_BGRAFICO_4" hidden="1">[4]Bandas!#REF!</definedName>
    <definedName name="_19__123Graph_FGRAFICO_4" localSheetId="1" hidden="1">[4]Bandas!#REF!</definedName>
    <definedName name="_19__123Graph_FGRAFICO_4" hidden="1">[4]Bandas!#REF!</definedName>
    <definedName name="_19__123Graph_XGRAFICO_1" localSheetId="1" hidden="1">[2]Revenues!#REF!</definedName>
    <definedName name="_19__123Graph_XGRAFICO_1" hidden="1">[2]Revenues!#REF!</definedName>
    <definedName name="_19__123Graph_XGRAFICO_4" localSheetId="1" hidden="1">[5]Bandas!#REF!</definedName>
    <definedName name="_19__123Graph_XGRAFICO_4" hidden="1">[5]Bandas!#REF!</definedName>
    <definedName name="_1F" localSheetId="1" hidden="1">'[7]Datos Infraestructura (r)'!#REF!</definedName>
    <definedName name="_1F" hidden="1">'[7]Datos Infraestructura (r)'!#REF!</definedName>
    <definedName name="_2__123Graph_AGRAFICO_1" localSheetId="1" hidden="1">[2]Revenues!#REF!</definedName>
    <definedName name="_2__123Graph_AGRAFICO_1" hidden="1">[2]Revenues!#REF!</definedName>
    <definedName name="_2__123Graph_AGRAFICO_2" localSheetId="1" hidden="1">[5]Bandas!#REF!</definedName>
    <definedName name="_2__123Graph_AGRAFICO_2" hidden="1">[5]Bandas!#REF!</definedName>
    <definedName name="_2__123Graph_XGRAFICO_1" localSheetId="1" hidden="1">[3]Revenues!#REF!</definedName>
    <definedName name="_2__123Graph_XGRAFICO_1" hidden="1">[3]Revenues!#REF!</definedName>
    <definedName name="_20__123Graph_XGRAFICO_4" localSheetId="1" hidden="1">[4]Bandas!#REF!</definedName>
    <definedName name="_20__123Graph_XGRAFICO_4" hidden="1">[4]Bandas!#REF!</definedName>
    <definedName name="_20__123Graph_XGRAFICO_5" localSheetId="1" hidden="1">[5]Bandas!#REF!</definedName>
    <definedName name="_20__123Graph_XGRAFICO_5" hidden="1">[5]Bandas!#REF!</definedName>
    <definedName name="_21__123Graph_AGRAFICO_5" localSheetId="1" hidden="1">[4]Bandas!#REF!</definedName>
    <definedName name="_21__123Graph_AGRAFICO_5" hidden="1">[4]Bandas!#REF!</definedName>
    <definedName name="_21__123Graph_BGRAFICO_2" localSheetId="1" hidden="1">[4]Bandas!#REF!</definedName>
    <definedName name="_21__123Graph_BGRAFICO_2" hidden="1">[4]Bandas!#REF!</definedName>
    <definedName name="_21__123Graph_BGRAFICO_5" localSheetId="1" hidden="1">[4]Bandas!#REF!</definedName>
    <definedName name="_21__123Graph_BGRAFICO_5" hidden="1">[4]Bandas!#REF!</definedName>
    <definedName name="_21__123Graph_XGRAFICO_1" localSheetId="1" hidden="1">'[8]Traffic Revenues'!#REF!</definedName>
    <definedName name="_21__123Graph_XGRAFICO_1" hidden="1">'[8]Traffic Revenues'!#REF!</definedName>
    <definedName name="_21__123Graph_XGRAFICO_5" localSheetId="1" hidden="1">[4]Bandas!#REF!</definedName>
    <definedName name="_21__123Graph_XGRAFICO_5" hidden="1">[4]Bandas!#REF!</definedName>
    <definedName name="_21_0_0_F" localSheetId="1" hidden="1">'[9]Datos infraestructura'!#REF!</definedName>
    <definedName name="_21_0_0_F" hidden="1">'[9]Datos infraestructura'!#REF!</definedName>
    <definedName name="_22__123Graph_XGRAFICO_4" localSheetId="1" hidden="1">[4]Bandas!#REF!</definedName>
    <definedName name="_22__123Graph_XGRAFICO_4" hidden="1">[4]Bandas!#REF!</definedName>
    <definedName name="_22_0_0_F" localSheetId="1" hidden="1">'[10]Datos infraestructura'!#REF!</definedName>
    <definedName name="_22_0_0_F" hidden="1">'[10]Datos infraestructura'!#REF!</definedName>
    <definedName name="_23__123Graph_CGRAFICO_2" localSheetId="1" hidden="1">[4]Bandas!#REF!</definedName>
    <definedName name="_23__123Graph_CGRAFICO_2" hidden="1">[4]Bandas!#REF!</definedName>
    <definedName name="_23__123Graph_XGRAFICO_5" localSheetId="1" hidden="1">[4]Bandas!#REF!</definedName>
    <definedName name="_23__123Graph_XGRAFICO_5" hidden="1">[4]Bandas!#REF!</definedName>
    <definedName name="_24__123Graph_BGRAFICO_2" localSheetId="1" hidden="1">[4]Bandas!#REF!</definedName>
    <definedName name="_24__123Graph_BGRAFICO_2" hidden="1">[4]Bandas!#REF!</definedName>
    <definedName name="_24__123Graph_BGRAFICO_3" localSheetId="1" hidden="1">[4]Bandas!#REF!</definedName>
    <definedName name="_24__123Graph_BGRAFICO_3" hidden="1">[4]Bandas!#REF!</definedName>
    <definedName name="_25__123Graph_CGRAFICO_3" localSheetId="1" hidden="1">[4]Bandas!#REF!</definedName>
    <definedName name="_25__123Graph_CGRAFICO_3" hidden="1">[4]Bandas!#REF!</definedName>
    <definedName name="_25_0_0_F" localSheetId="1" hidden="1">'[11]Datos infraestructura'!#REF!</definedName>
    <definedName name="_25_0_0_F" hidden="1">'[11]Datos infraestructura'!#REF!</definedName>
    <definedName name="_27__123Graph_BGRAFICO_3" localSheetId="1" hidden="1">[4]Bandas!#REF!</definedName>
    <definedName name="_27__123Graph_BGRAFICO_3" hidden="1">[4]Bandas!#REF!</definedName>
    <definedName name="_27__123Graph_BGRAFICO_4" localSheetId="1" hidden="1">[4]Bandas!#REF!</definedName>
    <definedName name="_27__123Graph_BGRAFICO_4" hidden="1">[4]Bandas!#REF!</definedName>
    <definedName name="_27__123Graph_CGRAFICO_4" localSheetId="1" hidden="1">[4]Bandas!#REF!</definedName>
    <definedName name="_27__123Graph_CGRAFICO_4" hidden="1">[4]Bandas!#REF!</definedName>
    <definedName name="_29__123Graph_CGRAFICO_5" localSheetId="1" hidden="1">[4]Bandas!#REF!</definedName>
    <definedName name="_29__123Graph_CGRAFICO_5" hidden="1">[4]Bandas!#REF!</definedName>
    <definedName name="_3__123Graph_AGRAFICO_1" localSheetId="1" hidden="1">'[8]Traffic Revenues'!#REF!</definedName>
    <definedName name="_3__123Graph_AGRAFICO_1" hidden="1">'[8]Traffic Revenues'!#REF!</definedName>
    <definedName name="_3__123Graph_AGRAFICO_2" localSheetId="1" hidden="1">[4]Bandas!#REF!</definedName>
    <definedName name="_3__123Graph_AGRAFICO_2" hidden="1">[4]Bandas!#REF!</definedName>
    <definedName name="_3__123Graph_AGRAFICO_3" localSheetId="1" hidden="1">[5]Bandas!#REF!</definedName>
    <definedName name="_3__123Graph_AGRAFICO_3" hidden="1">[5]Bandas!#REF!</definedName>
    <definedName name="_3_0_0_F" localSheetId="1" hidden="1">'[12]Datos infra- basicos'!#REF!</definedName>
    <definedName name="_3_0_0_F" hidden="1">'[12]Datos infra- basicos'!#REF!</definedName>
    <definedName name="_30__123Graph_BGRAFICO_4" localSheetId="1" hidden="1">[4]Bandas!#REF!</definedName>
    <definedName name="_30__123Graph_BGRAFICO_4" hidden="1">[4]Bandas!#REF!</definedName>
    <definedName name="_30__123Graph_BGRAFICO_5" localSheetId="1" hidden="1">[4]Bandas!#REF!</definedName>
    <definedName name="_30__123Graph_BGRAFICO_5" hidden="1">[4]Bandas!#REF!</definedName>
    <definedName name="_31__123Graph_DGRAFICO_2" localSheetId="1" hidden="1">[4]Bandas!#REF!</definedName>
    <definedName name="_31__123Graph_DGRAFICO_2" hidden="1">[4]Bandas!#REF!</definedName>
    <definedName name="_33__123Graph_BGRAFICO_5" localSheetId="1" hidden="1">[4]Bandas!#REF!</definedName>
    <definedName name="_33__123Graph_BGRAFICO_5" hidden="1">[4]Bandas!#REF!</definedName>
    <definedName name="_33__123Graph_CGRAFICO_2" localSheetId="1" hidden="1">[4]Bandas!#REF!</definedName>
    <definedName name="_33__123Graph_CGRAFICO_2" hidden="1">[4]Bandas!#REF!</definedName>
    <definedName name="_33__123Graph_DGRAFICO_4" localSheetId="1" hidden="1">[4]Bandas!#REF!</definedName>
    <definedName name="_33__123Graph_DGRAFICO_4" hidden="1">[4]Bandas!#REF!</definedName>
    <definedName name="_35__123Graph_EGRAFICO_4" localSheetId="1" hidden="1">[4]Bandas!#REF!</definedName>
    <definedName name="_35__123Graph_EGRAFICO_4" hidden="1">[4]Bandas!#REF!</definedName>
    <definedName name="_36__123Graph_CGRAFICO_2" localSheetId="1" hidden="1">[4]Bandas!#REF!</definedName>
    <definedName name="_36__123Graph_CGRAFICO_2" hidden="1">[4]Bandas!#REF!</definedName>
    <definedName name="_36__123Graph_CGRAFICO_3" localSheetId="1" hidden="1">[4]Bandas!#REF!</definedName>
    <definedName name="_36__123Graph_CGRAFICO_3" hidden="1">[4]Bandas!#REF!</definedName>
    <definedName name="_37__123Graph_FGRAFICO_4" localSheetId="1" hidden="1">[4]Bandas!#REF!</definedName>
    <definedName name="_37__123Graph_FGRAFICO_4" hidden="1">[4]Bandas!#REF!</definedName>
    <definedName name="_39__123Graph_CGRAFICO_3" localSheetId="1" hidden="1">[4]Bandas!#REF!</definedName>
    <definedName name="_39__123Graph_CGRAFICO_3" hidden="1">[4]Bandas!#REF!</definedName>
    <definedName name="_39__123Graph_CGRAFICO_4" localSheetId="1" hidden="1">[4]Bandas!#REF!</definedName>
    <definedName name="_39__123Graph_CGRAFICO_4" hidden="1">[4]Bandas!#REF!</definedName>
    <definedName name="_4__123Graph_AGRAFICO_2" localSheetId="1" hidden="1">[4]Bandas!#REF!</definedName>
    <definedName name="_4__123Graph_AGRAFICO_2" hidden="1">[4]Bandas!#REF!</definedName>
    <definedName name="_4__123Graph_AGRAFICO_3" localSheetId="1" hidden="1">[4]Bandas!#REF!</definedName>
    <definedName name="_4__123Graph_AGRAFICO_3" hidden="1">[4]Bandas!#REF!</definedName>
    <definedName name="_4__123Graph_AGRAFICO_4" localSheetId="1" hidden="1">[5]Bandas!#REF!</definedName>
    <definedName name="_4__123Graph_AGRAFICO_4" hidden="1">[5]Bandas!#REF!</definedName>
    <definedName name="_4_0_0_F" localSheetId="1" hidden="1">#REF!</definedName>
    <definedName name="_4_0_0_F" hidden="1">#REF!</definedName>
    <definedName name="_40__123Graph_XGRAFICO_1" localSheetId="1" hidden="1">[2]Revenues!#REF!</definedName>
    <definedName name="_40__123Graph_XGRAFICO_1" hidden="1">[2]Revenues!#REF!</definedName>
    <definedName name="_42__123Graph_CGRAFICO_4" localSheetId="1" hidden="1">[4]Bandas!#REF!</definedName>
    <definedName name="_42__123Graph_CGRAFICO_4" hidden="1">[4]Bandas!#REF!</definedName>
    <definedName name="_42__123Graph_CGRAFICO_5" localSheetId="1" hidden="1">[4]Bandas!#REF!</definedName>
    <definedName name="_42__123Graph_CGRAFICO_5" hidden="1">[4]Bandas!#REF!</definedName>
    <definedName name="_42__123Graph_XGRAFICO_4" localSheetId="1" hidden="1">[4]Bandas!#REF!</definedName>
    <definedName name="_42__123Graph_XGRAFICO_4" hidden="1">[4]Bandas!#REF!</definedName>
    <definedName name="_44__123Graph_XGRAFICO_5" localSheetId="1" hidden="1">[4]Bandas!#REF!</definedName>
    <definedName name="_44__123Graph_XGRAFICO_5" hidden="1">[4]Bandas!#REF!</definedName>
    <definedName name="_45__123Graph_CGRAFICO_5" localSheetId="1" hidden="1">[4]Bandas!#REF!</definedName>
    <definedName name="_45__123Graph_CGRAFICO_5" hidden="1">[4]Bandas!#REF!</definedName>
    <definedName name="_45__123Graph_DGRAFICO_2" localSheetId="1" hidden="1">[4]Bandas!#REF!</definedName>
    <definedName name="_45__123Graph_DGRAFICO_2" hidden="1">[4]Bandas!#REF!</definedName>
    <definedName name="_48__123Graph_DGRAFICO_2" localSheetId="1" hidden="1">[4]Bandas!#REF!</definedName>
    <definedName name="_48__123Graph_DGRAFICO_2" hidden="1">[4]Bandas!#REF!</definedName>
    <definedName name="_48__123Graph_DGRAFICO_4" localSheetId="1" hidden="1">[4]Bandas!#REF!</definedName>
    <definedName name="_48__123Graph_DGRAFICO_4" hidden="1">[4]Bandas!#REF!</definedName>
    <definedName name="_49_0_0_F" localSheetId="1" hidden="1">'[10]Datos infraestructura'!#REF!</definedName>
    <definedName name="_49_0_0_F" hidden="1">'[10]Datos infraestructura'!#REF!</definedName>
    <definedName name="_5__123Graph_AGRAFICO_1" localSheetId="1" hidden="1">[6]Ingresos!#REF!</definedName>
    <definedName name="_5__123Graph_AGRAFICO_1" hidden="1">[6]Ingresos!#REF!</definedName>
    <definedName name="_5__123Graph_AGRAFICO_3" localSheetId="1" hidden="1">[4]Bandas!#REF!</definedName>
    <definedName name="_5__123Graph_AGRAFICO_3" hidden="1">[4]Bandas!#REF!</definedName>
    <definedName name="_5__123Graph_AGRAFICO_4" localSheetId="1" hidden="1">[4]Bandas!#REF!</definedName>
    <definedName name="_5__123Graph_AGRAFICO_4" hidden="1">[4]Bandas!#REF!</definedName>
    <definedName name="_5__123Graph_AGRAFICO_5" localSheetId="1" hidden="1">[5]Bandas!#REF!</definedName>
    <definedName name="_5__123Graph_AGRAFICO_5" hidden="1">[5]Bandas!#REF!</definedName>
    <definedName name="_50_0_0_F" localSheetId="1" hidden="1">'[10]Datos infraestructura'!#REF!</definedName>
    <definedName name="_50_0_0_F" hidden="1">'[10]Datos infraestructura'!#REF!</definedName>
    <definedName name="_51__123Graph_DGRAFICO_4" localSheetId="1" hidden="1">[4]Bandas!#REF!</definedName>
    <definedName name="_51__123Graph_DGRAFICO_4" hidden="1">[4]Bandas!#REF!</definedName>
    <definedName name="_51__123Graph_EGRAFICO_4" localSheetId="1" hidden="1">[4]Bandas!#REF!</definedName>
    <definedName name="_51__123Graph_EGRAFICO_4" hidden="1">[4]Bandas!#REF!</definedName>
    <definedName name="_54__123Graph_EGRAFICO_4" localSheetId="1" hidden="1">[4]Bandas!#REF!</definedName>
    <definedName name="_54__123Graph_EGRAFICO_4" hidden="1">[4]Bandas!#REF!</definedName>
    <definedName name="_54__123Graph_FGRAFICO_4" localSheetId="1" hidden="1">[4]Bandas!#REF!</definedName>
    <definedName name="_54__123Graph_FGRAFICO_4" hidden="1">[4]Bandas!#REF!</definedName>
    <definedName name="_57__123Graph_FGRAFICO_4" localSheetId="1" hidden="1">[4]Bandas!#REF!</definedName>
    <definedName name="_57__123Graph_FGRAFICO_4" hidden="1">[4]Bandas!#REF!</definedName>
    <definedName name="_57__123Graph_XGRAFICO_1" localSheetId="1" hidden="1">[1]Revenues!#REF!</definedName>
    <definedName name="_57__123Graph_XGRAFICO_1" hidden="1">[1]Revenues!#REF!</definedName>
    <definedName name="_6__123Graph_AGRAFICO_1" localSheetId="1" hidden="1">[1]Revenues!#REF!</definedName>
    <definedName name="_6__123Graph_AGRAFICO_1" hidden="1">[1]Revenues!#REF!</definedName>
    <definedName name="_6__123Graph_AGRAFICO_4" localSheetId="1" hidden="1">[4]Bandas!#REF!</definedName>
    <definedName name="_6__123Graph_AGRAFICO_4" hidden="1">[4]Bandas!#REF!</definedName>
    <definedName name="_6__123Graph_AGRAFICO_5" localSheetId="1" hidden="1">[4]Bandas!#REF!</definedName>
    <definedName name="_6__123Graph_AGRAFICO_5" hidden="1">[4]Bandas!#REF!</definedName>
    <definedName name="_6__123Graph_BGRAFICO_2" localSheetId="1" hidden="1">[5]Bandas!#REF!</definedName>
    <definedName name="_6__123Graph_BGRAFICO_2" hidden="1">[5]Bandas!#REF!</definedName>
    <definedName name="_60__123Graph_XGRAFICO_4" localSheetId="1" hidden="1">[4]Bandas!#REF!</definedName>
    <definedName name="_60__123Graph_XGRAFICO_4" hidden="1">[4]Bandas!#REF!</definedName>
    <definedName name="_63__123Graph_XGRAFICO_5" localSheetId="1" hidden="1">[4]Bandas!#REF!</definedName>
    <definedName name="_63__123Graph_XGRAFICO_5" hidden="1">[4]Bandas!#REF!</definedName>
    <definedName name="_64__123Graph_XGRAFICO_1" localSheetId="1" hidden="1">'[13]Traffic Revenues'!#REF!</definedName>
    <definedName name="_64__123Graph_XGRAFICO_1" hidden="1">'[13]Traffic Revenues'!#REF!</definedName>
    <definedName name="_67__123Graph_XGRAFICO_4" localSheetId="1" hidden="1">[4]Bandas!#REF!</definedName>
    <definedName name="_67__123Graph_XGRAFICO_4" hidden="1">[4]Bandas!#REF!</definedName>
    <definedName name="_69_0_0_F" localSheetId="1" hidden="1">'[10]Datos infraestructura'!#REF!</definedName>
    <definedName name="_69_0_0_F" hidden="1">'[10]Datos infraestructura'!#REF!</definedName>
    <definedName name="_7__123Graph_AGRAFICO_2" localSheetId="1" hidden="1">[4]Bandas!#REF!</definedName>
    <definedName name="_7__123Graph_AGRAFICO_2" hidden="1">[4]Bandas!#REF!</definedName>
    <definedName name="_7__123Graph_AGRAFICO_5" localSheetId="1" hidden="1">[4]Bandas!#REF!</definedName>
    <definedName name="_7__123Graph_AGRAFICO_5" hidden="1">[4]Bandas!#REF!</definedName>
    <definedName name="_7__123Graph_BGRAFICO_2" localSheetId="1" hidden="1">[4]Bandas!#REF!</definedName>
    <definedName name="_7__123Graph_BGRAFICO_2" hidden="1">[4]Bandas!#REF!</definedName>
    <definedName name="_7__123Graph_BGRAFICO_3" localSheetId="1" hidden="1">[5]Bandas!#REF!</definedName>
    <definedName name="_7__123Graph_BGRAFICO_3" hidden="1">[5]Bandas!#REF!</definedName>
    <definedName name="_70__123Graph_XGRAFICO_5" localSheetId="1" hidden="1">[4]Bandas!#REF!</definedName>
    <definedName name="_70__123Graph_XGRAFICO_5" hidden="1">[4]Bandas!#REF!</definedName>
    <definedName name="_70_0_0_F" localSheetId="1" hidden="1">'[10]Datos infraestructura'!#REF!</definedName>
    <definedName name="_70_0_0_F" hidden="1">'[10]Datos infraestructura'!#REF!</definedName>
    <definedName name="_8__123Graph_BGRAFICO_2" localSheetId="1" hidden="1">[4]Bandas!#REF!</definedName>
    <definedName name="_8__123Graph_BGRAFICO_2" hidden="1">[4]Bandas!#REF!</definedName>
    <definedName name="_8__123Graph_BGRAFICO_3" localSheetId="1" hidden="1">[4]Bandas!#REF!</definedName>
    <definedName name="_8__123Graph_BGRAFICO_3" hidden="1">[4]Bandas!#REF!</definedName>
    <definedName name="_8__123Graph_BGRAFICO_4" localSheetId="1" hidden="1">[5]Bandas!#REF!</definedName>
    <definedName name="_8__123Graph_BGRAFICO_4" hidden="1">[5]Bandas!#REF!</definedName>
    <definedName name="_83_0_0_F" localSheetId="1" hidden="1">'[11]Datos infraestructura'!#REF!</definedName>
    <definedName name="_83_0_0_F" hidden="1">'[11]Datos infraestructura'!#REF!</definedName>
    <definedName name="_84_0_0_F" localSheetId="1" hidden="1">'[14]Datos infraestructura'!#REF!</definedName>
    <definedName name="_84_0_0_F" hidden="1">'[14]Datos infraestructura'!#REF!</definedName>
    <definedName name="_9__123Graph_AGRAFICO_1" localSheetId="1" hidden="1">'[13]Traffic Revenues'!#REF!</definedName>
    <definedName name="_9__123Graph_AGRAFICO_1" hidden="1">'[13]Traffic Revenues'!#REF!</definedName>
    <definedName name="_9__123Graph_AGRAFICO_2" localSheetId="1" hidden="1">[4]Bandas!#REF!</definedName>
    <definedName name="_9__123Graph_AGRAFICO_2" hidden="1">[4]Bandas!#REF!</definedName>
    <definedName name="_9__123Graph_AGRAFICO_3" localSheetId="1" hidden="1">[4]Bandas!#REF!</definedName>
    <definedName name="_9__123Graph_AGRAFICO_3" hidden="1">[4]Bandas!#REF!</definedName>
    <definedName name="_9__123Graph_BGRAFICO_3" localSheetId="1" hidden="1">[4]Bandas!#REF!</definedName>
    <definedName name="_9__123Graph_BGRAFICO_3" hidden="1">[4]Bandas!#REF!</definedName>
    <definedName name="_9__123Graph_BGRAFICO_4" localSheetId="1" hidden="1">[4]Bandas!#REF!</definedName>
    <definedName name="_9__123Graph_BGRAFICO_4" hidden="1">[4]Bandas!#REF!</definedName>
    <definedName name="_9__123Graph_BGRAFICO_5" localSheetId="1" hidden="1">[5]Bandas!#REF!</definedName>
    <definedName name="_9__123Graph_BGRAFICO_5" hidden="1">[5]Bandas!#REF!</definedName>
    <definedName name="_bdm.FastTrackBookmark.1_10_2007_12_28_19_PM.edm" hidden="1">[15]Title!$J$18</definedName>
    <definedName name="_bdm.FastTrackBookmark.1_10_2007_12_28_30_PM.edm" hidden="1">'[15]Detailed Outputs'!$C$322</definedName>
    <definedName name="_bdm.FastTrackBookmark.1_15_2007_5_39_13_PM.edm" localSheetId="1" hidden="1">[16]Scenario!#REF!</definedName>
    <definedName name="_bdm.FastTrackBookmark.1_15_2007_5_39_13_PM.edm" hidden="1">[16]Scenario!#REF!</definedName>
    <definedName name="_bdm.FastTrackBookmark.1_20_2007_2_24_46_PM.edm" localSheetId="1" hidden="1">[16]Scenario!#REF!</definedName>
    <definedName name="_bdm.FastTrackBookmark.1_20_2007_2_24_46_PM.edm" hidden="1">[16]Scenario!#REF!</definedName>
    <definedName name="_bdm.FastTrackBookmark.1_21_2007_9_18_20_PM.edm" localSheetId="1" hidden="1">[16]Scenario!#REF!</definedName>
    <definedName name="_bdm.FastTrackBookmark.1_21_2007_9_18_20_PM.edm" hidden="1">[16]Scenario!#REF!</definedName>
    <definedName name="_bdm.FastTrackBookmark.1_22_2007_6_06_36_PM.edm" localSheetId="1" hidden="1">[16]Scenario!#REF!</definedName>
    <definedName name="_bdm.FastTrackBookmark.1_22_2007_6_06_36_PM.edm" hidden="1">[16]Scenario!#REF!</definedName>
    <definedName name="_bdm.FastTrackBookmark.11_15_2006_11_26_49_PM.edm" localSheetId="1" hidden="1">[15]ChartData!#REF!</definedName>
    <definedName name="_bdm.FastTrackBookmark.11_15_2006_11_26_49_PM.edm" hidden="1">[15]ChartData!#REF!</definedName>
    <definedName name="_bdm.FastTrackBookmark.11_15_2006_5_19_46_PM.edm" localSheetId="1" hidden="1">[15]Debt!#REF!</definedName>
    <definedName name="_bdm.FastTrackBookmark.11_15_2006_5_19_46_PM.edm" hidden="1">[15]Debt!#REF!</definedName>
    <definedName name="_bdm.FastTrackBookmark.11_21_2006_8_44_58_PM.edm" localSheetId="1" hidden="1">#REF!</definedName>
    <definedName name="_bdm.FastTrackBookmark.11_21_2006_8_44_58_PM.edm" hidden="1">#REF!</definedName>
    <definedName name="_bdm.FastTrackBookmark.11_21_2006_8_45_02_PM.edm" localSheetId="1" hidden="1">[15]Scenario!#REF!</definedName>
    <definedName name="_bdm.FastTrackBookmark.11_21_2006_8_45_02_PM.edm" hidden="1">[15]Scenario!#REF!</definedName>
    <definedName name="_Fill" localSheetId="1" hidden="1">[17]Inputs!#REF!</definedName>
    <definedName name="_Fill" hidden="1">[17]Inputs!#REF!</definedName>
    <definedName name="_r" localSheetId="1" hidden="1">[18]Ingresos!#REF!</definedName>
    <definedName name="_r" hidden="1">[18]Ingresos!#REF!</definedName>
    <definedName name="_Table1_In1" localSheetId="1" hidden="1">#REF!</definedName>
    <definedName name="_Table1_In1" hidden="1">#REF!</definedName>
    <definedName name="_Table1_Out" localSheetId="1" hidden="1">#REF!</definedName>
    <definedName name="_Table1_Out" hidden="1">#REF!</definedName>
    <definedName name="_Table2_In1" localSheetId="1" hidden="1">#REF!</definedName>
    <definedName name="_Table2_In1" hidden="1">#REF!</definedName>
    <definedName name="_Table2_In2" localSheetId="1" hidden="1">#REF!</definedName>
    <definedName name="_Table2_In2" hidden="1">#REF!</definedName>
    <definedName name="A"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f"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G"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no_Ab" localSheetId="1" hidden="1">#REF!</definedName>
    <definedName name="Ano_Ab" hidden="1">#REF!</definedName>
    <definedName name="Ano_Enc" localSheetId="1" hidden="1">#REF!</definedName>
    <definedName name="Ano_Enc" hidden="1">#REF!</definedName>
    <definedName name="anscount" hidden="1">1</definedName>
    <definedName name="_xlnm.Print_Area" localSheetId="7">Acc!$A$1:$BJ$100</definedName>
    <definedName name="_xlnm.Print_Area" localSheetId="5">CF!$A$1:$BJ$65</definedName>
    <definedName name="_xlnm.Print_Area" localSheetId="0">Dis!$A$1:$R$67</definedName>
    <definedName name="_xlnm.Print_Area" localSheetId="4">Fin!$B$2:$BJ$369</definedName>
    <definedName name="_xlnm.Print_Area" localSheetId="2">Inputs!$A$1:$R$228</definedName>
    <definedName name="_xlnm.Print_Area" localSheetId="9">Mac!$A$1:$BJ$34</definedName>
    <definedName name="_xlnm.Print_Area" localSheetId="3">Oper!$A$1:$BJ$110</definedName>
    <definedName name="_xlnm.Print_Area" localSheetId="1">Summary!$B$3:$AA$99</definedName>
    <definedName name="_xlnm.Print_Area" localSheetId="6">Tax!$A$1:$BJ$83</definedName>
    <definedName name="_xlnm.Print_Area" localSheetId="8">'Valuation &amp; IRR'!$A$1:$BQ$81</definedName>
    <definedName name="AS2DocOpenMode" hidden="1">"AS2DocumentEdit"</definedName>
    <definedName name="aw"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z"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B"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BandasAnoInicial" localSheetId="1" hidden="1">#REF!</definedName>
    <definedName name="BandasAnoInicial" hidden="1">#REF!</definedName>
    <definedName name="BandasCadernoEncargos" localSheetId="1" hidden="1">#REF!</definedName>
    <definedName name="BandasCadernoEncargos" hidden="1">#REF!</definedName>
    <definedName name="BandasIndiceActualizaçãoTarifária" localSheetId="1" hidden="1">#REF!</definedName>
    <definedName name="BandasIndiceActualizaçãoTarifária" hidden="1">#REF!</definedName>
    <definedName name="BandasLimitesSuperior" localSheetId="1" hidden="1">#REF!</definedName>
    <definedName name="BandasLimitesSuperior" hidden="1">#REF!</definedName>
    <definedName name="BandasPagamentosFixos" localSheetId="1" hidden="1">#REF!</definedName>
    <definedName name="BandasPagamentosFixos" hidden="1">#REF!</definedName>
    <definedName name="BandasPagamentosVariaveis" localSheetId="1" hidden="1">#REF!</definedName>
    <definedName name="BandasPagamentosVariaveis" hidden="1">#REF!</definedName>
    <definedName name="BandasPenalizaçõesPercentagem" localSheetId="1" hidden="1">#REF!</definedName>
    <definedName name="BandasPenalizaçõesPercentagem" hidden="1">#REF!</definedName>
    <definedName name="BandasPgtIndiceActualizaçãoTarifária" localSheetId="1" hidden="1">#REF!</definedName>
    <definedName name="BandasPgtIndiceActualizaçãoTarifária" hidden="1">#REF!</definedName>
    <definedName name="BandasReceitasPortagem" localSheetId="1" hidden="1">#REF!</definedName>
    <definedName name="BandasReceitasPortagem" hidden="1">#REF!</definedName>
    <definedName name="BandasTabelaActualizaçãoTarifária" localSheetId="1" hidden="1">#REF!</definedName>
    <definedName name="BandasTabelaActualizaçãoTarifária" hidden="1">#REF!</definedName>
    <definedName name="BandasTarifasReferência" localSheetId="1" hidden="1">#REF!</definedName>
    <definedName name="BandasTarifasReferência" hidden="1">#REF!</definedName>
    <definedName name="BandasVeiculosKmsAlocação" localSheetId="1" hidden="1">#REF!</definedName>
    <definedName name="BandasVeiculosKmsAlocação" hidden="1">#REF!</definedName>
    <definedName name="Barreiras_Entrada_Manual" localSheetId="1" hidden="1">#REF!</definedName>
    <definedName name="Barreiras_Entrada_Manual" hidden="1">#REF!</definedName>
    <definedName name="Barreiras_Entrada_VV" localSheetId="1" hidden="1">#REF!</definedName>
    <definedName name="Barreiras_Entrada_VV" hidden="1">#REF!</definedName>
    <definedName name="Barreiras_Lanços" localSheetId="1" hidden="1">#REF!</definedName>
    <definedName name="Barreiras_Lanços" hidden="1">#REF!</definedName>
    <definedName name="Barreiras_Saída_Manual" localSheetId="1" hidden="1">#REF!</definedName>
    <definedName name="Barreiras_Saída_Manual" hidden="1">#REF!</definedName>
    <definedName name="Barreiras_Saída_VV" localSheetId="1" hidden="1">#REF!</definedName>
    <definedName name="Barreiras_Saída_VV" hidden="1">#REF!</definedName>
    <definedName name="Barreiras_Sublanços" localSheetId="1" hidden="1">#REF!</definedName>
    <definedName name="Barreiras_Sublanços" hidden="1">#REF!</definedName>
    <definedName name="Code" localSheetId="1" hidden="1">#REF!</definedName>
    <definedName name="Code" hidden="1">#REF!</definedName>
    <definedName name="CustosExploraçãoParâmetros" localSheetId="1" hidden="1">#REF!</definedName>
    <definedName name="CustosExploraçãoParâmetros" hidden="1">#REF!</definedName>
    <definedName name="CustosExploraçãoValores" localSheetId="1" hidden="1">#REF!</definedName>
    <definedName name="CustosExploraçãoValores" hidden="1">#REF!</definedName>
    <definedName name="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data1" localSheetId="1" hidden="1">#REF!</definedName>
    <definedName name="data1" hidden="1">#REF!</definedName>
    <definedName name="data2" localSheetId="1" hidden="1">#REF!</definedName>
    <definedName name="data2" hidden="1">#REF!</definedName>
    <definedName name="data3" localSheetId="1" hidden="1">#REF!</definedName>
    <definedName name="data3" hidden="1">#REF!</definedName>
    <definedName name="DataCessãoExploração" localSheetId="1" hidden="1">#REF!</definedName>
    <definedName name="DataCessãoExploração" hidden="1">#REF!</definedName>
    <definedName name="D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Dias_Ab" localSheetId="1" hidden="1">#REF!</definedName>
    <definedName name="Dias_Ab" hidden="1">#REF!</definedName>
    <definedName name="Dias_Enc" localSheetId="1" hidden="1">#REF!</definedName>
    <definedName name="Dias_Enc" hidden="1">#REF!</definedName>
    <definedName name="Discount" localSheetId="1" hidden="1">#REF!</definedName>
    <definedName name="Discount" hidden="1">#REF!</definedName>
    <definedName name="display_area_2" localSheetId="1" hidden="1">#REF!</definedName>
    <definedName name="display_area_2" hidden="1">#REF!</definedName>
    <definedName name="DividaAcrJuros" localSheetId="1" hidden="1">#REF!</definedName>
    <definedName name="DividaAcrJuros" hidden="1">#REF!</definedName>
    <definedName name="DividaAlocação" localSheetId="1" hidden="1">#REF!</definedName>
    <definedName name="DividaAlocação" hidden="1">#REF!</definedName>
    <definedName name="DividaCom" localSheetId="1" hidden="1">#REF!</definedName>
    <definedName name="DividaCom" hidden="1">#REF!</definedName>
    <definedName name="DividaCP" localSheetId="1" hidden="1">#REF!</definedName>
    <definedName name="DividaCP" hidden="1">#REF!</definedName>
    <definedName name="DividaJurCapitaliz" localSheetId="1" hidden="1">#REF!</definedName>
    <definedName name="DividaJurCapitaliz" hidden="1">#REF!</definedName>
    <definedName name="DividaJuros" localSheetId="1" hidden="1">#REF!</definedName>
    <definedName name="DividaJuros" hidden="1">#REF!</definedName>
    <definedName name="DividaMLP" localSheetId="1" hidden="1">#REF!</definedName>
    <definedName name="DividaMLP" hidden="1">#REF!</definedName>
    <definedName name="DividaTaxasJuro" localSheetId="1" hidden="1">#REF!</definedName>
    <definedName name="DividaTaxasJuro" hidden="1">#REF!</definedName>
    <definedName name="Extensão" localSheetId="1" hidden="1">#REF!</definedName>
    <definedName name="Extensão" hidden="1">#REF!</definedName>
    <definedName name="ExtensãoObras" localSheetId="1" hidden="1">#REF!</definedName>
    <definedName name="ExtensãoObras" hidden="1">#REF!</definedName>
    <definedName name="FCode" localSheetId="1" hidden="1">#REF!</definedName>
    <definedName name="FCode" hidden="1">#REF!</definedName>
    <definedName name="HiddenRows" localSheetId="1" hidden="1">#REF!</definedName>
    <definedName name="HiddenRows" hidden="1">#REF!</definedName>
    <definedName name="IMOB_AmortizaçõesAcumuladas" localSheetId="1" hidden="1">#REF!</definedName>
    <definedName name="IMOB_AmortizaçõesAcumuladas" hidden="1">#REF!</definedName>
    <definedName name="IMOB_AmortizaçõesExercício" localSheetId="1" hidden="1">#REF!</definedName>
    <definedName name="IMOB_AmortizaçõesExercício" hidden="1">#REF!</definedName>
    <definedName name="IMOB_ImobilizadoBruto" localSheetId="1" hidden="1">#REF!</definedName>
    <definedName name="IMOB_ImobilizadoBruto" hidden="1">#REF!</definedName>
    <definedName name="IMOB_tppe" localSheetId="1" hidden="1">#REF!</definedName>
    <definedName name="IMOB_tppe" hidden="1">#REF!</definedName>
    <definedName name="IMOB_Transferências" localSheetId="1" hidden="1">#REF!</definedName>
    <definedName name="IMOB_Transferências" hidden="1">#REF!</definedName>
    <definedName name="IMOBConta" localSheetId="1" hidden="1">#REF!</definedName>
    <definedName name="IMOBConta" hidden="1">#REF!</definedName>
    <definedName name="IMOBInvest_v" localSheetId="1" hidden="1">#REF!</definedName>
    <definedName name="IMOBInvest_v" hidden="1">#REF!</definedName>
    <definedName name="IMOBTransf_v" localSheetId="1" hidden="1">#REF!</definedName>
    <definedName name="IMOBTransf_v" hidden="1">#REF!</definedName>
    <definedName name="IMOBTransf_vduod" localSheetId="1" hidden="1">#REF!</definedName>
    <definedName name="IMOBTransf_vduod" hidden="1">#REF!</definedName>
    <definedName name="infpte" localSheetId="1" hidden="1">#REF!</definedName>
    <definedName name="infpte" hidden="1">#REF!</definedName>
    <definedName name="Investimentos" localSheetId="1" hidden="1">#REF!</definedName>
    <definedName name="Investimentos" hidden="1">#REF!</definedName>
    <definedName name="Investimentos_Areas" localSheetId="1" hidden="1">#REF!</definedName>
    <definedName name="Investimentos_Areas" hidden="1">#REF!</definedName>
    <definedName name="Investimentos_fc" localSheetId="1" hidden="1">#REF!</definedName>
    <definedName name="Investimentos_fc" hidden="1">#REF!</definedName>
    <definedName name="Investimentos_Sublanços" localSheetId="1" hidden="1">#REF!</definedName>
    <definedName name="Investimentos_Sublanços" hidden="1">#REF!</definedName>
    <definedName name="IPC_Mensal" localSheetId="1" hidden="1">#REF!</definedName>
    <definedName name="IPC_Mensal"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Z_SCORE" hidden="1">"c1339"</definedName>
    <definedName name="IVA_Areas_SErviço" localSheetId="1" hidden="1">#REF!</definedName>
    <definedName name="IVA_Areas_SErviço" hidden="1">#REF!</definedName>
    <definedName name="IVA_Invest" localSheetId="1" hidden="1">#REF!</definedName>
    <definedName name="IVA_Invest" hidden="1">#REF!</definedName>
    <definedName name="Iva_Outros_Proveitos" localSheetId="1" hidden="1">#REF!</definedName>
    <definedName name="Iva_Outros_Proveitos" hidden="1">#REF!</definedName>
    <definedName name="IVA_Portagens" localSheetId="1" hidden="1">#REF!</definedName>
    <definedName name="IVA_Portagens" hidden="1">#REF!</definedName>
    <definedName name="Macro_CHECK">Mac!$M$21</definedName>
    <definedName name="MACRO_COPY">Mac!$Q$22:$BJ$26</definedName>
    <definedName name="MACRO_PASTE">Mac!$Q$30:$BJ$34</definedName>
    <definedName name="Ñ"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OrderTable" localSheetId="1" hidden="1">#REF!</definedName>
    <definedName name="OrderTable" hidden="1">#REF!</definedName>
    <definedName name="Outros_Activos" localSheetId="1" hidden="1">#REF!</definedName>
    <definedName name="Outros_Activos" hidden="1">#REF!</definedName>
    <definedName name="Portagem_Receitas" localSheetId="1" hidden="1">#REF!</definedName>
    <definedName name="Portagem_Receitas" hidden="1">#REF!</definedName>
    <definedName name="Portagem_Receitas_Estrutura" localSheetId="1" hidden="1">#REF!</definedName>
    <definedName name="Portagem_Receitas_Estrutura" hidden="1">#REF!</definedName>
    <definedName name="Portagem_Receitascl1" localSheetId="1" hidden="1">#REF!</definedName>
    <definedName name="Portagem_Receitascl1" hidden="1">#REF!</definedName>
    <definedName name="Portagem_Receitascl2" localSheetId="1" hidden="1">#REF!</definedName>
    <definedName name="Portagem_Receitascl2" hidden="1">#REF!</definedName>
    <definedName name="Portagem_Receitascl3" localSheetId="1" hidden="1">#REF!</definedName>
    <definedName name="Portagem_Receitascl3" hidden="1">#REF!</definedName>
    <definedName name="Portagem_Receitascl4" localSheetId="1" hidden="1">#REF!</definedName>
    <definedName name="Portagem_Receitascl4" hidden="1">#REF!</definedName>
    <definedName name="Portagem_Taxascl1" localSheetId="1" hidden="1">#REF!</definedName>
    <definedName name="Portagem_Taxascl1" hidden="1">#REF!</definedName>
    <definedName name="Portagem_Taxascl2" localSheetId="1" hidden="1">#REF!</definedName>
    <definedName name="Portagem_Taxascl2" hidden="1">#REF!</definedName>
    <definedName name="Portagem_Taxascl3" localSheetId="1" hidden="1">#REF!</definedName>
    <definedName name="Portagem_Taxascl3" hidden="1">#REF!</definedName>
    <definedName name="Portagem_Taxascl4" localSheetId="1" hidden="1">#REF!</definedName>
    <definedName name="Portagem_Taxascl4" hidden="1">#REF!</definedName>
    <definedName name="ProdForm" localSheetId="1" hidden="1">#REF!</definedName>
    <definedName name="ProdForm" hidden="1">#REF!</definedName>
    <definedName name="Product" localSheetId="1" hidden="1">#REF!</definedName>
    <definedName name="Product" hidden="1">#REF!</definedName>
    <definedName name="QD_Balanços" localSheetId="1" hidden="1">#REF!</definedName>
    <definedName name="QD_Balanços" hidden="1">#REF!</definedName>
    <definedName name="QD_DemonstraçãoFluxosCaixa" localSheetId="1" hidden="1">#REF!</definedName>
    <definedName name="QD_DemonstraçãoFluxosCaixa" hidden="1">#REF!</definedName>
    <definedName name="QD_DemonstraçãoResultados" localSheetId="1" hidden="1">#REF!</definedName>
    <definedName name="QD_DemonstraçãoResultados" hidden="1">#REF!</definedName>
    <definedName name="QD_FundosPróprios" localSheetId="1" hidden="1">#REF!</definedName>
    <definedName name="QD_FundosPróprios" hidden="1">#REF!</definedName>
    <definedName name="QD_MOAF" localSheetId="1" hidden="1">#REF!</definedName>
    <definedName name="QD_MOAF" hidden="1">#REF!</definedName>
    <definedName name="QuadroDividaModelo" localSheetId="1" hidden="1">#REF!</definedName>
    <definedName name="QuadroDividaModelo" hidden="1">#REF!</definedName>
    <definedName name="QuadroDividaUtilizador" localSheetId="1" hidden="1">#REF!</definedName>
    <definedName name="QuadroDividaUtilizador" hidden="1">#REF!</definedName>
    <definedName name="qw"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RCArea" localSheetId="1" hidden="1">#REF!</definedName>
    <definedName name="RCArea" hidden="1">#REF!</definedName>
    <definedName name="Scenario">Inputs!$L$7</definedName>
    <definedName name="SpecialPrice" localSheetId="1" hidden="1">#REF!</definedName>
    <definedName name="SpecialPrice" hidden="1">#REF!</definedName>
    <definedName name="Sublanços_a" localSheetId="1" hidden="1">#REF!</definedName>
    <definedName name="Sublanços_a" hidden="1">#REF!</definedName>
    <definedName name="Subs_Calculados_v" localSheetId="1" hidden="1">#REF!</definedName>
    <definedName name="Subs_Calculados_v" hidden="1">#REF!</definedName>
    <definedName name="Subs_Exploração" localSheetId="1" hidden="1">#REF!</definedName>
    <definedName name="Subs_Exploração" hidden="1">#REF!</definedName>
    <definedName name="Subs_Recebidos_v" localSheetId="1" hidden="1">#REF!</definedName>
    <definedName name="Subs_Recebidos_v" hidden="1">#REF!</definedName>
    <definedName name="Subs_Taxas_v" localSheetId="1" hidden="1">#REF!</definedName>
    <definedName name="Subs_Taxas_v" hidden="1">#REF!</definedName>
    <definedName name="Tabela_Areas_Serviço_Downpayment" localSheetId="1" hidden="1">#REF!</definedName>
    <definedName name="Tabela_Areas_Serviço_Downpayment" hidden="1">#REF!</definedName>
    <definedName name="Tabela_Areas_Serviço_Fixas" localSheetId="1" hidden="1">#REF!</definedName>
    <definedName name="Tabela_Areas_Serviço_Fixas" hidden="1">#REF!</definedName>
    <definedName name="Tabela_Areas_Serviço_Proveitos_Diferidos" localSheetId="1" hidden="1">#REF!</definedName>
    <definedName name="Tabela_Areas_Serviço_Proveitos_Diferidos" hidden="1">#REF!</definedName>
    <definedName name="Tabela_Areas_Serviço_Proveitos_Exercício" localSheetId="1" hidden="1">#REF!</definedName>
    <definedName name="Tabela_Areas_Serviço_Proveitos_Exercício" hidden="1">#REF!</definedName>
    <definedName name="Tabela_Custos_Exploração_Resumo" localSheetId="1" hidden="1">#REF!</definedName>
    <definedName name="Tabela_Custos_Exploração_Resumo" hidden="1">#REF!</definedName>
    <definedName name="Tabela_IVA" localSheetId="1" hidden="1">#REF!</definedName>
    <definedName name="Tabela_IVA" hidden="1">#REF!</definedName>
    <definedName name="Tabela_Lanços" localSheetId="1" hidden="1">#REF!</definedName>
    <definedName name="Tabela_Lanços" hidden="1">#REF!</definedName>
    <definedName name="Tabela_Outros_Proveitos" localSheetId="1" hidden="1">#REF!</definedName>
    <definedName name="Tabela_Outros_Proveitos" hidden="1">#REF!</definedName>
    <definedName name="Tabela_Prazos_Médios" localSheetId="1" hidden="1">#REF!</definedName>
    <definedName name="Tabela_Prazos_Médios" hidden="1">#REF!</definedName>
    <definedName name="TabelaActualizaçãoTarifária" localSheetId="1" hidden="1">#REF!</definedName>
    <definedName name="TabelaActualizaçãoTarifária" hidden="1">#REF!</definedName>
    <definedName name="tbl_ProdInfo" localSheetId="1" hidden="1">#REF!</definedName>
    <definedName name="tbl_ProdInfo" hidden="1">#REF!</definedName>
    <definedName name="_xlnm.Print_Titles" localSheetId="7">Acc!$A:$K,Acc!$1:$10</definedName>
    <definedName name="_xlnm.Print_Titles" localSheetId="5">CF!$B:$K,CF!$1:$10</definedName>
    <definedName name="_xlnm.Print_Titles" localSheetId="4">Fin!$B:$K,Fin!$1:$10</definedName>
    <definedName name="_xlnm.Print_Titles" localSheetId="2">Inputs!$C:$K,Inputs!$1:$9</definedName>
    <definedName name="_xlnm.Print_Titles" localSheetId="9">Mac!$B:$M,Mac!$1:$9</definedName>
    <definedName name="_xlnm.Print_Titles" localSheetId="3">Oper!$B:$K,Oper!$1:$10</definedName>
    <definedName name="_xlnm.Print_Titles" localSheetId="6">Tax!$A:$K,Tax!$1:$10</definedName>
    <definedName name="_xlnm.Print_Titles" localSheetId="8">'Valuation &amp; IRR'!$B:$K,'Valuation &amp; IRR'!$1:$10</definedName>
    <definedName name="TMDA" localSheetId="1" hidden="1">#REF!</definedName>
    <definedName name="TMDA" hidden="1">#REF!</definedName>
    <definedName name="TMDA_kms_Exploração" localSheetId="1" hidden="1">#REF!</definedName>
    <definedName name="TMDA_kms_Exploração" hidden="1">#REF!</definedName>
    <definedName name="TMDA_Kms_Exploração_média" localSheetId="1" hidden="1">#REF!</definedName>
    <definedName name="TMDA_Kms_Exploração_média" hidden="1">#REF!</definedName>
    <definedName name="TMDA_kms_Percorridos_Lanços" localSheetId="1" hidden="1">#REF!</definedName>
    <definedName name="TMDA_kms_Percorridos_Lanços" hidden="1">#REF!</definedName>
    <definedName name="TMDA_Receitas" localSheetId="1" hidden="1">#REF!</definedName>
    <definedName name="TMDA_Receitas" hidden="1">#REF!</definedName>
    <definedName name="TMDA_Receitascl1" localSheetId="1" hidden="1">#REF!</definedName>
    <definedName name="TMDA_Receitascl1" hidden="1">#REF!</definedName>
    <definedName name="TMDA_Receitascl2" localSheetId="1" hidden="1">#REF!</definedName>
    <definedName name="TMDA_Receitascl2" hidden="1">#REF!</definedName>
    <definedName name="TMDA_Receitascl3" localSheetId="1" hidden="1">#REF!</definedName>
    <definedName name="TMDA_Receitascl3" hidden="1">#REF!</definedName>
    <definedName name="TMDA_Receitascl4" localSheetId="1" hidden="1">#REF!</definedName>
    <definedName name="TMDA_Receitascl4" hidden="1">#REF!</definedName>
    <definedName name="TMDA_ViasLanços" localSheetId="1" hidden="1">#REF!</definedName>
    <definedName name="TMDA_ViasLanços" hidden="1">#REF!</definedName>
    <definedName name="TMDAcl1" localSheetId="1" hidden="1">#REF!</definedName>
    <definedName name="TMDAcl1" hidden="1">#REF!</definedName>
    <definedName name="TMDAcl2" localSheetId="1" hidden="1">#REF!</definedName>
    <definedName name="TMDAcl2" hidden="1">#REF!</definedName>
    <definedName name="TMDAcl3" localSheetId="1" hidden="1">#REF!</definedName>
    <definedName name="TMDAcl3" hidden="1">#REF!</definedName>
    <definedName name="TMDAcl4" localSheetId="1" hidden="1">#REF!</definedName>
    <definedName name="TMDAcl4" hidden="1">#REF!</definedName>
    <definedName name="Total_Nós_média" localSheetId="1" hidden="1">#REF!</definedName>
    <definedName name="Total_Nós_média" hidden="1">#REF!</definedName>
    <definedName name="Total_Portagens_média" localSheetId="1" hidden="1">#REF!</definedName>
    <definedName name="Total_Portagens_média" hidden="1">#REF!</definedName>
    <definedName name="W"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ging._.and._.Trend._.Analysis." hidden="1">{#N/A,#N/A,FALSE,"Aging Summary";#N/A,#N/A,FALSE,"Ratio Analysis";#N/A,#N/A,FALSE,"Test 120 Day Accts";#N/A,#N/A,FALSE,"Tickmarks"}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XRefColumnsCount" hidden="1">1</definedName>
    <definedName name="XRefPasteRangeCount" hidden="1">1</definedName>
    <definedName name="Z_148EB523_2AD8_4BF5_875E_1A0B44E3C5DA_.wvu.Cols" localSheetId="1" hidden="1">Summary!$Q:$R,Summary!$Y:$Y,Summary!$AN:$XFD</definedName>
    <definedName name="Z_5F88CBE0_3291_4A41_996B_A8A1DC273A84_.wvu.Cols" localSheetId="5" hidden="1">CF!$BK:$XFD</definedName>
    <definedName name="Z_5F88CBE0_3291_4A41_996B_A8A1DC273A84_.wvu.Cols" localSheetId="4" hidden="1">Fin!$BW:$XFD</definedName>
    <definedName name="Z_5F88CBE0_3291_4A41_996B_A8A1DC273A84_.wvu.Cols" localSheetId="2" hidden="1">Inputs!$X:$XFD</definedName>
    <definedName name="Z_5F88CBE0_3291_4A41_996B_A8A1DC273A84_.wvu.Cols" localSheetId="9" hidden="1">Mac!$BK:$XFD</definedName>
    <definedName name="Z_5F88CBE0_3291_4A41_996B_A8A1DC273A84_.wvu.Cols" localSheetId="3" hidden="1">Oper!$DR:$XFD</definedName>
    <definedName name="Z_5F88CBE0_3291_4A41_996B_A8A1DC273A84_.wvu.Cols" localSheetId="6" hidden="1">Tax!$DR:$XFD</definedName>
    <definedName name="Z_5F88CBE0_3291_4A41_996B_A8A1DC273A84_.wvu.Cols" localSheetId="8" hidden="1">'Valuation &amp; IRR'!$CD:$XFD</definedName>
    <definedName name="Z_5F88CBE0_3291_4A41_996B_A8A1DC273A84_.wvu.PrintArea" localSheetId="1" hidden="1">Summary!$A$2:$Y$104</definedName>
    <definedName name="Z_5F88CBE0_3291_4A41_996B_A8A1DC273A84_.wvu.Rows" localSheetId="6" hidden="1">Tax!#REF!</definedName>
    <definedName name="Z_5F88CBE0_3291_4A41_996B_A8A1DC273A84_.wvu.Rows" localSheetId="8" hidden="1">'Valuation &amp; IRR'!$82:$1048576,'Valuation &amp; IRR'!#REF!</definedName>
    <definedName name="Z_A171ABFC_BD20_4BE9_8F97_F532286F0C2D_.wvu.Cols" localSheetId="5" hidden="1">CF!$BK:$XFD</definedName>
    <definedName name="Z_A171ABFC_BD20_4BE9_8F97_F532286F0C2D_.wvu.Cols" localSheetId="4" hidden="1">Fin!$BW:$XFD</definedName>
    <definedName name="Z_A171ABFC_BD20_4BE9_8F97_F532286F0C2D_.wvu.Cols" localSheetId="2" hidden="1">Inputs!$X:$XFD</definedName>
    <definedName name="Z_A171ABFC_BD20_4BE9_8F97_F532286F0C2D_.wvu.Cols" localSheetId="9" hidden="1">Mac!$BK:$XFD</definedName>
    <definedName name="Z_A171ABFC_BD20_4BE9_8F97_F532286F0C2D_.wvu.Cols" localSheetId="3" hidden="1">Oper!$DR:$XFD</definedName>
    <definedName name="Z_A171ABFC_BD20_4BE9_8F97_F532286F0C2D_.wvu.Cols" localSheetId="6" hidden="1">Tax!$DR:$XFD</definedName>
    <definedName name="Z_A171ABFC_BD20_4BE9_8F97_F532286F0C2D_.wvu.Cols" localSheetId="8" hidden="1">'Valuation &amp; IRR'!$CD:$XFD</definedName>
    <definedName name="Z_A171ABFC_BD20_4BE9_8F97_F532286F0C2D_.wvu.PrintArea" localSheetId="1" hidden="1">Summary!$A$2:$Y$104</definedName>
    <definedName name="Z_A171ABFC_BD20_4BE9_8F97_F532286F0C2D_.wvu.Rows" localSheetId="6" hidden="1">Tax!#REF!</definedName>
    <definedName name="Z_A171ABFC_BD20_4BE9_8F97_F532286F0C2D_.wvu.Rows" localSheetId="8" hidden="1">'Valuation &amp; IRR'!$82:$1048576,'Valuation &amp; IRR'!#REF!</definedName>
    <definedName name="Z_D5F8AA90_3C65_487D_972C_477D75B27FAB_.wvu.Cols" localSheetId="1" hidden="1">Summary!$J:$AH</definedName>
    <definedName name="Z_D5F8AA90_3C65_487D_972C_477D75B27FAB_.wvu.PrintArea" localSheetId="1" hidden="1">Summary!$A$6:$AS$105</definedName>
  </definedNames>
  <calcPr calcId="171027" concurrentCalc="0"/>
  <customWorkbookViews>
    <customWorkbookView name="Agustin Gomez-Moreno Vazquez - Vista personalizada" guid="{A171ABFC-BD20-4BE9-8F97-F532286F0C2D}" mergeInterval="0" personalView="1" maximized="1" xWindow="-8" yWindow="-8" windowWidth="1936" windowHeight="1056" tabRatio="884" activeSheetId="4"/>
    <customWorkbookView name="Pablo Villanueva Peral - Personal View" guid="{5F88CBE0-3291-4A41-996B-A8A1DC273A84}" mergeInterval="0" personalView="1" maximized="1" xWindow="-8" yWindow="-8" windowWidth="1936" windowHeight="1056" tabRatio="884" activeSheetId="4"/>
  </customWorkbookViews>
</workbook>
</file>

<file path=xl/calcChain.xml><?xml version="1.0" encoding="utf-8"?>
<calcChain xmlns="http://schemas.openxmlformats.org/spreadsheetml/2006/main">
  <c r="Q9" i="3" l="1"/>
  <c r="R8" i="3"/>
  <c r="R9" i="3"/>
  <c r="S8" i="3"/>
  <c r="S9" i="3"/>
  <c r="T8" i="3"/>
  <c r="T9" i="3"/>
  <c r="T7" i="3"/>
  <c r="L20" i="2"/>
  <c r="T25" i="3"/>
  <c r="U8" i="3"/>
  <c r="U9" i="3"/>
  <c r="U7" i="3"/>
  <c r="U25" i="3"/>
  <c r="V8" i="3"/>
  <c r="V9" i="3"/>
  <c r="V7" i="3"/>
  <c r="V25" i="3"/>
  <c r="W8" i="3"/>
  <c r="W9" i="3"/>
  <c r="W7" i="3"/>
  <c r="L21" i="2"/>
  <c r="W25" i="3"/>
  <c r="X8" i="3"/>
  <c r="X9" i="3"/>
  <c r="X7" i="3"/>
  <c r="X25" i="3"/>
  <c r="Y8" i="3"/>
  <c r="Y9" i="3"/>
  <c r="Y7" i="3"/>
  <c r="Y25" i="3"/>
  <c r="Z8" i="3"/>
  <c r="Z9" i="3"/>
  <c r="Z7" i="3"/>
  <c r="Z25" i="3"/>
  <c r="AA8" i="3"/>
  <c r="AA9" i="3"/>
  <c r="AA7" i="3"/>
  <c r="AA25" i="3"/>
  <c r="AB8" i="3"/>
  <c r="AB9" i="3"/>
  <c r="AB7" i="3"/>
  <c r="AB25" i="3"/>
  <c r="AC8" i="3"/>
  <c r="AC9" i="3"/>
  <c r="AC7" i="3"/>
  <c r="AC25" i="3"/>
  <c r="AD8" i="3"/>
  <c r="AD9" i="3"/>
  <c r="AD7" i="3"/>
  <c r="AD25" i="3"/>
  <c r="AE8" i="3"/>
  <c r="AE9" i="3"/>
  <c r="AE7" i="3"/>
  <c r="AE25" i="3"/>
  <c r="AF8" i="3"/>
  <c r="AF9" i="3"/>
  <c r="AF7" i="3"/>
  <c r="AF25" i="3"/>
  <c r="AG8" i="3"/>
  <c r="AG9" i="3"/>
  <c r="AG7" i="3"/>
  <c r="AG25" i="3"/>
  <c r="AH8" i="3"/>
  <c r="AH9" i="3"/>
  <c r="AH7" i="3"/>
  <c r="AH25" i="3"/>
  <c r="AI8" i="3"/>
  <c r="AI9" i="3"/>
  <c r="AI7" i="3"/>
  <c r="AI25" i="3"/>
  <c r="AJ8" i="3"/>
  <c r="AJ9" i="3"/>
  <c r="AJ7" i="3"/>
  <c r="AJ25" i="3"/>
  <c r="AK8" i="3"/>
  <c r="AK9" i="3"/>
  <c r="AK7" i="3"/>
  <c r="AK25" i="3"/>
  <c r="AL8" i="3"/>
  <c r="AL9" i="3"/>
  <c r="AL7" i="3"/>
  <c r="AL25" i="3"/>
  <c r="AM8" i="3"/>
  <c r="AM9" i="3"/>
  <c r="AM7" i="3"/>
  <c r="AM25" i="3"/>
  <c r="AN8" i="3"/>
  <c r="AN9" i="3"/>
  <c r="AN7" i="3"/>
  <c r="AN25" i="3"/>
  <c r="AO8" i="3"/>
  <c r="AO9" i="3"/>
  <c r="AO7" i="3"/>
  <c r="AO25" i="3"/>
  <c r="AP8" i="3"/>
  <c r="AP9" i="3"/>
  <c r="AP7" i="3"/>
  <c r="AP25" i="3"/>
  <c r="AQ8" i="3"/>
  <c r="AQ9" i="3"/>
  <c r="AQ7" i="3"/>
  <c r="AQ25" i="3"/>
  <c r="AR8" i="3"/>
  <c r="AR9" i="3"/>
  <c r="AR7" i="3"/>
  <c r="AR25" i="3"/>
  <c r="AS8" i="3"/>
  <c r="AS9" i="3"/>
  <c r="AS7" i="3"/>
  <c r="AS25" i="3"/>
  <c r="AT8" i="3"/>
  <c r="AT9" i="3"/>
  <c r="AT7" i="3"/>
  <c r="AT25" i="3"/>
  <c r="AU8" i="3"/>
  <c r="AU9" i="3"/>
  <c r="AU7" i="3"/>
  <c r="AU25" i="3"/>
  <c r="AV8" i="3"/>
  <c r="AV9" i="3"/>
  <c r="AV7" i="3"/>
  <c r="AV25" i="3"/>
  <c r="AW8" i="3"/>
  <c r="AW9" i="3"/>
  <c r="AW7" i="3"/>
  <c r="AW25" i="3"/>
  <c r="AX8" i="3"/>
  <c r="AX9" i="3"/>
  <c r="AX7" i="3"/>
  <c r="AX25" i="3"/>
  <c r="AY8" i="3"/>
  <c r="AY9" i="3"/>
  <c r="AY7" i="3"/>
  <c r="AY25" i="3"/>
  <c r="AZ8" i="3"/>
  <c r="AZ9" i="3"/>
  <c r="AZ7" i="3"/>
  <c r="AZ25" i="3"/>
  <c r="BA8" i="3"/>
  <c r="BA9" i="3"/>
  <c r="BA7" i="3"/>
  <c r="BA25" i="3"/>
  <c r="BB8" i="3"/>
  <c r="BB9" i="3"/>
  <c r="BB7" i="3"/>
  <c r="BB25" i="3"/>
  <c r="BC8" i="3"/>
  <c r="BC9" i="3"/>
  <c r="BC7" i="3"/>
  <c r="BC25" i="3"/>
  <c r="BD8" i="3"/>
  <c r="BD9" i="3"/>
  <c r="BD7" i="3"/>
  <c r="BD25" i="3"/>
  <c r="BE8" i="3"/>
  <c r="BE9" i="3"/>
  <c r="BE7" i="3"/>
  <c r="BE25" i="3"/>
  <c r="BF8" i="3"/>
  <c r="BF9" i="3"/>
  <c r="BF7" i="3"/>
  <c r="BF25" i="3"/>
  <c r="BG8" i="3"/>
  <c r="BG9" i="3"/>
  <c r="BG7" i="3"/>
  <c r="BG25" i="3"/>
  <c r="BH8" i="3"/>
  <c r="BH9" i="3"/>
  <c r="BH7" i="3"/>
  <c r="BH25" i="3"/>
  <c r="BI8" i="3"/>
  <c r="BI9" i="3"/>
  <c r="BI7" i="3"/>
  <c r="BI25" i="3"/>
  <c r="BJ8" i="3"/>
  <c r="BJ9" i="3"/>
  <c r="BJ7" i="3"/>
  <c r="BJ25" i="3"/>
  <c r="S7" i="3"/>
  <c r="S25" i="3"/>
  <c r="R9" i="4"/>
  <c r="M103" i="4"/>
  <c r="M106" i="4"/>
  <c r="R8" i="4"/>
  <c r="L105" i="4"/>
  <c r="L106" i="4"/>
  <c r="R106" i="4"/>
  <c r="R107" i="4"/>
  <c r="S9" i="4"/>
  <c r="S8" i="4"/>
  <c r="S106" i="4"/>
  <c r="S107" i="4"/>
  <c r="T9" i="4"/>
  <c r="T8" i="4"/>
  <c r="T106" i="4"/>
  <c r="T107" i="4"/>
  <c r="T104" i="4"/>
  <c r="P104" i="2"/>
  <c r="L104" i="2"/>
  <c r="T132" i="4"/>
  <c r="R104" i="4"/>
  <c r="S104" i="4"/>
  <c r="U9" i="4"/>
  <c r="U8" i="4"/>
  <c r="U106" i="4"/>
  <c r="U107" i="4"/>
  <c r="U104" i="4"/>
  <c r="V9" i="4"/>
  <c r="V8" i="4"/>
  <c r="V106" i="4"/>
  <c r="V107" i="4"/>
  <c r="V104" i="4"/>
  <c r="W9" i="4"/>
  <c r="W8" i="4"/>
  <c r="W106" i="4"/>
  <c r="W107" i="4"/>
  <c r="W104" i="4"/>
  <c r="X9" i="4"/>
  <c r="X8" i="4"/>
  <c r="X106" i="4"/>
  <c r="X107" i="4"/>
  <c r="X104" i="4"/>
  <c r="Y9" i="4"/>
  <c r="Y8" i="4"/>
  <c r="Y106" i="4"/>
  <c r="Y107" i="4"/>
  <c r="Y104" i="4"/>
  <c r="Z9" i="4"/>
  <c r="Z8" i="4"/>
  <c r="Z106" i="4"/>
  <c r="Z107" i="4"/>
  <c r="Z104" i="4"/>
  <c r="AA9" i="4"/>
  <c r="AA8" i="4"/>
  <c r="AA106" i="4"/>
  <c r="AA107" i="4"/>
  <c r="AA104" i="4"/>
  <c r="AB9" i="4"/>
  <c r="AB8" i="4"/>
  <c r="AB106" i="4"/>
  <c r="AB107" i="4"/>
  <c r="AB104" i="4"/>
  <c r="AC9" i="4"/>
  <c r="AC8" i="4"/>
  <c r="AC106" i="4"/>
  <c r="AC107" i="4"/>
  <c r="AC104" i="4"/>
  <c r="AD9" i="4"/>
  <c r="AD8" i="4"/>
  <c r="AD106" i="4"/>
  <c r="AD107" i="4"/>
  <c r="AD104" i="4"/>
  <c r="AE9" i="4"/>
  <c r="AE8" i="4"/>
  <c r="AE106" i="4"/>
  <c r="AE107" i="4"/>
  <c r="AE104" i="4"/>
  <c r="AF9" i="4"/>
  <c r="AF8" i="4"/>
  <c r="AF106" i="4"/>
  <c r="AF107" i="4"/>
  <c r="AF104" i="4"/>
  <c r="AG9" i="4"/>
  <c r="AG8" i="4"/>
  <c r="AG106" i="4"/>
  <c r="AG107" i="4"/>
  <c r="AG104" i="4"/>
  <c r="AH9" i="4"/>
  <c r="AH8" i="4"/>
  <c r="AH106" i="4"/>
  <c r="AH107" i="4"/>
  <c r="AH104" i="4"/>
  <c r="AI9" i="4"/>
  <c r="AI8" i="4"/>
  <c r="AI106" i="4"/>
  <c r="AI107" i="4"/>
  <c r="AI104" i="4"/>
  <c r="AJ9" i="4"/>
  <c r="AJ8" i="4"/>
  <c r="AJ106" i="4"/>
  <c r="AJ107" i="4"/>
  <c r="AJ104" i="4"/>
  <c r="AK9" i="4"/>
  <c r="AK8" i="4"/>
  <c r="AK106" i="4"/>
  <c r="AK107" i="4"/>
  <c r="AK104" i="4"/>
  <c r="AL9" i="4"/>
  <c r="AL8" i="4"/>
  <c r="AL106" i="4"/>
  <c r="AL107" i="4"/>
  <c r="AL104" i="4"/>
  <c r="AM9" i="4"/>
  <c r="AM8" i="4"/>
  <c r="AM106" i="4"/>
  <c r="AM107" i="4"/>
  <c r="AM104" i="4"/>
  <c r="AN9" i="4"/>
  <c r="AN8" i="4"/>
  <c r="AN106" i="4"/>
  <c r="AN107" i="4"/>
  <c r="AN104" i="4"/>
  <c r="AO9" i="4"/>
  <c r="AO8" i="4"/>
  <c r="AO106" i="4"/>
  <c r="AO107" i="4"/>
  <c r="AO104" i="4"/>
  <c r="AP9" i="4"/>
  <c r="AP8" i="4"/>
  <c r="AP106" i="4"/>
  <c r="AP107" i="4"/>
  <c r="AP104" i="4"/>
  <c r="AQ9" i="4"/>
  <c r="AQ8" i="4"/>
  <c r="AQ106" i="4"/>
  <c r="AQ107" i="4"/>
  <c r="AQ104" i="4"/>
  <c r="AR9" i="4"/>
  <c r="AR8" i="4"/>
  <c r="AR106" i="4"/>
  <c r="AR107" i="4"/>
  <c r="AR104" i="4"/>
  <c r="AS9" i="4"/>
  <c r="AS8" i="4"/>
  <c r="AS106" i="4"/>
  <c r="AS107" i="4"/>
  <c r="AS104" i="4"/>
  <c r="AT9" i="4"/>
  <c r="AT8" i="4"/>
  <c r="AT106" i="4"/>
  <c r="AT107" i="4"/>
  <c r="AT104" i="4"/>
  <c r="AU9" i="4"/>
  <c r="AU8" i="4"/>
  <c r="AU106" i="4"/>
  <c r="AU107" i="4"/>
  <c r="AU104" i="4"/>
  <c r="AV9" i="4"/>
  <c r="AV8" i="4"/>
  <c r="AV106" i="4"/>
  <c r="AV107" i="4"/>
  <c r="AV104" i="4"/>
  <c r="AW9" i="4"/>
  <c r="AW8" i="4"/>
  <c r="AW106" i="4"/>
  <c r="AW107" i="4"/>
  <c r="AW104" i="4"/>
  <c r="AX9" i="4"/>
  <c r="AX8" i="4"/>
  <c r="AX106" i="4"/>
  <c r="AX107" i="4"/>
  <c r="AX104" i="4"/>
  <c r="AY9" i="4"/>
  <c r="AY8" i="4"/>
  <c r="AY106" i="4"/>
  <c r="AY107" i="4"/>
  <c r="AY104" i="4"/>
  <c r="AZ9" i="4"/>
  <c r="AZ8" i="4"/>
  <c r="AZ106" i="4"/>
  <c r="AZ107" i="4"/>
  <c r="AZ104" i="4"/>
  <c r="BA9" i="4"/>
  <c r="BA8" i="4"/>
  <c r="BA106" i="4"/>
  <c r="BA107" i="4"/>
  <c r="BA104" i="4"/>
  <c r="BB9" i="4"/>
  <c r="BB8" i="4"/>
  <c r="BB106" i="4"/>
  <c r="BB107" i="4"/>
  <c r="BB104" i="4"/>
  <c r="BC9" i="4"/>
  <c r="BC8" i="4"/>
  <c r="BC106" i="4"/>
  <c r="BC107" i="4"/>
  <c r="BC104" i="4"/>
  <c r="BD9" i="4"/>
  <c r="BD8" i="4"/>
  <c r="BD106" i="4"/>
  <c r="BD107" i="4"/>
  <c r="BD104" i="4"/>
  <c r="BE9" i="4"/>
  <c r="BE8" i="4"/>
  <c r="BE106" i="4"/>
  <c r="BE107" i="4"/>
  <c r="BE104" i="4"/>
  <c r="BF9" i="4"/>
  <c r="BF8" i="4"/>
  <c r="BF106" i="4"/>
  <c r="BF107" i="4"/>
  <c r="BF104" i="4"/>
  <c r="BG9" i="4"/>
  <c r="BG8" i="4"/>
  <c r="BG106" i="4"/>
  <c r="BG107" i="4"/>
  <c r="BG104" i="4"/>
  <c r="BH9" i="4"/>
  <c r="BH8" i="4"/>
  <c r="BH106" i="4"/>
  <c r="BH107" i="4"/>
  <c r="BH104" i="4"/>
  <c r="BI9" i="4"/>
  <c r="BI8" i="4"/>
  <c r="BI106" i="4"/>
  <c r="BI107" i="4"/>
  <c r="BI104" i="4"/>
  <c r="BJ9" i="4"/>
  <c r="BJ8" i="4"/>
  <c r="BJ106" i="4"/>
  <c r="BJ107" i="4"/>
  <c r="BJ104" i="4"/>
  <c r="R131" i="4"/>
  <c r="Q238" i="4"/>
  <c r="E111" i="1"/>
  <c r="E108" i="1"/>
  <c r="F142" i="1"/>
  <c r="R288" i="4"/>
  <c r="L72" i="2"/>
  <c r="L70" i="2"/>
  <c r="R20" i="3"/>
  <c r="L17" i="2"/>
  <c r="H55" i="3"/>
  <c r="L68" i="2"/>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Y46" i="8"/>
  <c r="L84" i="2"/>
  <c r="L74" i="7"/>
  <c r="L83" i="2"/>
  <c r="L66" i="7"/>
  <c r="L82" i="2"/>
  <c r="L65" i="7"/>
  <c r="S62" i="7"/>
  <c r="T62" i="7"/>
  <c r="U62" i="7"/>
  <c r="R67" i="7"/>
  <c r="R72" i="7"/>
  <c r="R71" i="7"/>
  <c r="V62" i="7"/>
  <c r="N30" i="7"/>
  <c r="R27" i="7"/>
  <c r="W62" i="7"/>
  <c r="R20" i="7"/>
  <c r="R13" i="7"/>
  <c r="Y23" i="8"/>
  <c r="X62" i="7"/>
  <c r="Y62" i="7"/>
  <c r="Z62" i="7"/>
  <c r="AA62" i="7"/>
  <c r="AB62" i="7"/>
  <c r="AC62" i="7"/>
  <c r="AD62" i="7"/>
  <c r="AE62" i="7"/>
  <c r="AF62" i="7"/>
  <c r="AG62" i="7"/>
  <c r="AH62" i="7"/>
  <c r="AI62" i="7"/>
  <c r="AJ62" i="7"/>
  <c r="AK62" i="7"/>
  <c r="AL62" i="7"/>
  <c r="AM62" i="7"/>
  <c r="AN62" i="7"/>
  <c r="AO62" i="7"/>
  <c r="AP62" i="7"/>
  <c r="AQ62" i="7"/>
  <c r="AR62" i="7"/>
  <c r="AS62" i="7"/>
  <c r="AT62" i="7"/>
  <c r="AU62" i="7"/>
  <c r="AV62" i="7"/>
  <c r="AW62" i="7"/>
  <c r="AX62" i="7"/>
  <c r="AY62" i="7"/>
  <c r="AZ62" i="7"/>
  <c r="BA62" i="7"/>
  <c r="BB62" i="7"/>
  <c r="BC62" i="7"/>
  <c r="BD62" i="7"/>
  <c r="BE62" i="7"/>
  <c r="BF62" i="7"/>
  <c r="BG62" i="7"/>
  <c r="BH62" i="7"/>
  <c r="BI62" i="7"/>
  <c r="BJ62" i="7"/>
  <c r="BA75" i="7"/>
  <c r="BC75" i="7"/>
  <c r="BG75" i="7"/>
  <c r="BI75" i="7"/>
  <c r="BE75" i="7"/>
  <c r="BJ75" i="7"/>
  <c r="U75" i="7"/>
  <c r="R75" i="7"/>
  <c r="T75" i="7"/>
  <c r="S75" i="7"/>
  <c r="V75" i="7"/>
  <c r="W75" i="7"/>
  <c r="X75" i="7"/>
  <c r="Y75" i="7"/>
  <c r="Z75" i="7"/>
  <c r="AA75" i="7"/>
  <c r="AB75" i="7"/>
  <c r="AC75" i="7"/>
  <c r="AD75" i="7"/>
  <c r="AE75" i="7"/>
  <c r="AF75" i="7"/>
  <c r="AG75" i="7"/>
  <c r="AK75" i="7"/>
  <c r="AH75" i="7"/>
  <c r="AI75" i="7"/>
  <c r="AJ75" i="7"/>
  <c r="AN75" i="7"/>
  <c r="AL75" i="7"/>
  <c r="AM75" i="7"/>
  <c r="AO75" i="7"/>
  <c r="AP75" i="7"/>
  <c r="AQ75" i="7"/>
  <c r="AR75" i="7"/>
  <c r="AS75" i="7"/>
  <c r="AT75" i="7"/>
  <c r="AU75" i="7"/>
  <c r="AV75" i="7"/>
  <c r="AW75" i="7"/>
  <c r="AX75" i="7"/>
  <c r="AY75" i="7"/>
  <c r="BD75" i="7"/>
  <c r="AZ75" i="7"/>
  <c r="BH75" i="7"/>
  <c r="BB75" i="7"/>
  <c r="BF75" i="7"/>
  <c r="N75" i="7"/>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X61" i="4"/>
  <c r="AY61" i="4"/>
  <c r="AZ61" i="4"/>
  <c r="BA61" i="4"/>
  <c r="BB61" i="4"/>
  <c r="BC61" i="4"/>
  <c r="BD61" i="4"/>
  <c r="BE61" i="4"/>
  <c r="BF61" i="4"/>
  <c r="BG61" i="4"/>
  <c r="BH61" i="4"/>
  <c r="BI61" i="4"/>
  <c r="BJ61" i="4"/>
  <c r="R61" i="4"/>
  <c r="R59" i="6"/>
  <c r="R62" i="6"/>
  <c r="R41" i="6"/>
  <c r="R43" i="6"/>
  <c r="BE285" i="4"/>
  <c r="A45" i="2"/>
  <c r="A57" i="2"/>
  <c r="C34" i="2"/>
  <c r="R213" i="4"/>
  <c r="R32" i="6"/>
  <c r="R55" i="6"/>
  <c r="R54" i="6"/>
  <c r="R42" i="6"/>
  <c r="R308" i="4"/>
  <c r="R253" i="4"/>
  <c r="N250" i="4"/>
  <c r="R38" i="6"/>
  <c r="R278" i="4"/>
  <c r="N275" i="4"/>
  <c r="R39" i="6"/>
  <c r="R318" i="4"/>
  <c r="N315" i="4"/>
  <c r="R40" i="6"/>
  <c r="L57" i="2"/>
  <c r="A34" i="2"/>
  <c r="A35" i="2"/>
  <c r="A46" i="2"/>
  <c r="A58" i="2"/>
  <c r="A36" i="2"/>
  <c r="A47" i="2"/>
  <c r="A59" i="2"/>
  <c r="A37" i="2"/>
  <c r="A48" i="2"/>
  <c r="A60" i="2"/>
  <c r="A38" i="2"/>
  <c r="A49" i="2"/>
  <c r="A61" i="2"/>
  <c r="A39" i="2"/>
  <c r="A50" i="2"/>
  <c r="A62" i="2"/>
  <c r="A40" i="2"/>
  <c r="A51" i="2"/>
  <c r="A63" i="2"/>
  <c r="A41" i="2"/>
  <c r="A52" i="2"/>
  <c r="A64" i="2"/>
  <c r="A42" i="2"/>
  <c r="A54" i="2"/>
  <c r="A66" i="2"/>
  <c r="A53" i="2"/>
  <c r="A65" i="2"/>
  <c r="F144" i="1"/>
  <c r="G136" i="1"/>
  <c r="H136" i="1"/>
  <c r="I136" i="1"/>
  <c r="J136" i="1"/>
  <c r="K136" i="1"/>
  <c r="L136" i="1"/>
  <c r="M136" i="1"/>
  <c r="N136" i="1"/>
  <c r="O136" i="1"/>
  <c r="P136" i="1"/>
  <c r="Q136" i="1"/>
  <c r="R136" i="1"/>
  <c r="S136" i="1"/>
  <c r="T136" i="1"/>
  <c r="U136" i="1"/>
  <c r="V136" i="1"/>
  <c r="W136" i="1"/>
  <c r="X136" i="1"/>
  <c r="Y136" i="1"/>
  <c r="Z136" i="1"/>
  <c r="AA136" i="1"/>
  <c r="AB136" i="1"/>
  <c r="AC136" i="1"/>
  <c r="AD136" i="1"/>
  <c r="AE136" i="1"/>
  <c r="AF136" i="1"/>
  <c r="AG136" i="1"/>
  <c r="AH136" i="1"/>
  <c r="AI136" i="1"/>
  <c r="AJ136" i="1"/>
  <c r="AK136" i="1"/>
  <c r="AL136" i="1"/>
  <c r="AM136" i="1"/>
  <c r="AN136" i="1"/>
  <c r="AO136" i="1"/>
  <c r="AP136" i="1"/>
  <c r="AQ136" i="1"/>
  <c r="AR136" i="1"/>
  <c r="AS136" i="1"/>
  <c r="AT136" i="1"/>
  <c r="AU136" i="1"/>
  <c r="AV136" i="1"/>
  <c r="AW136" i="1"/>
  <c r="AX136" i="1"/>
  <c r="F159" i="1"/>
  <c r="L169" i="2"/>
  <c r="L166" i="2"/>
  <c r="L165" i="2"/>
  <c r="L164" i="2"/>
  <c r="L163" i="2"/>
  <c r="L159" i="2"/>
  <c r="L154" i="2"/>
  <c r="L153" i="2"/>
  <c r="L151" i="2"/>
  <c r="L149" i="2"/>
  <c r="L146" i="2"/>
  <c r="L145" i="2"/>
  <c r="L142" i="2"/>
  <c r="L141" i="2"/>
  <c r="L140" i="2"/>
  <c r="L139" i="2"/>
  <c r="L138" i="2"/>
  <c r="L137" i="2"/>
  <c r="L136" i="2"/>
  <c r="L135" i="2"/>
  <c r="L134" i="2"/>
  <c r="L88" i="2"/>
  <c r="L87" i="2"/>
  <c r="L86" i="2"/>
  <c r="L79" i="2"/>
  <c r="L25" i="7"/>
  <c r="L77" i="2"/>
  <c r="L19" i="7"/>
  <c r="L16" i="2"/>
  <c r="L15" i="2"/>
  <c r="L14" i="2"/>
  <c r="T19" i="7"/>
  <c r="X19" i="7"/>
  <c r="AB19" i="7"/>
  <c r="AF19" i="7"/>
  <c r="AJ19" i="7"/>
  <c r="AN19" i="7"/>
  <c r="AR19" i="7"/>
  <c r="AV19" i="7"/>
  <c r="AZ19" i="7"/>
  <c r="BD19" i="7"/>
  <c r="BH19" i="7"/>
  <c r="BE19" i="7"/>
  <c r="BF19" i="7"/>
  <c r="AY19" i="7"/>
  <c r="R19" i="7"/>
  <c r="U19" i="7"/>
  <c r="Y19" i="7"/>
  <c r="AC19" i="7"/>
  <c r="AG19" i="7"/>
  <c r="AK19" i="7"/>
  <c r="AO19" i="7"/>
  <c r="AS19" i="7"/>
  <c r="AW19" i="7"/>
  <c r="BA19" i="7"/>
  <c r="BI19" i="7"/>
  <c r="BB19" i="7"/>
  <c r="BG19" i="7"/>
  <c r="V19" i="7"/>
  <c r="Z19" i="7"/>
  <c r="AD19" i="7"/>
  <c r="AH19" i="7"/>
  <c r="AL19" i="7"/>
  <c r="AP19" i="7"/>
  <c r="AT19" i="7"/>
  <c r="AX19" i="7"/>
  <c r="BJ19" i="7"/>
  <c r="S19" i="7"/>
  <c r="W19" i="7"/>
  <c r="AA19" i="7"/>
  <c r="AE19" i="7"/>
  <c r="AI19" i="7"/>
  <c r="AM19" i="7"/>
  <c r="AQ19" i="7"/>
  <c r="AU19" i="7"/>
  <c r="BC19" i="7"/>
  <c r="M299" i="4"/>
  <c r="M300" i="4"/>
  <c r="BJ285" i="4"/>
  <c r="BI285" i="4"/>
  <c r="BH285" i="4"/>
  <c r="BG285" i="4"/>
  <c r="BF285" i="4"/>
  <c r="C125" i="2"/>
  <c r="C126" i="2"/>
  <c r="C127" i="2"/>
  <c r="C128" i="2"/>
  <c r="U238" i="4"/>
  <c r="T238" i="4"/>
  <c r="S238" i="4"/>
  <c r="R238" i="4"/>
  <c r="R85" i="4"/>
  <c r="S85" i="4"/>
  <c r="T85" i="4"/>
  <c r="U85"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X85" i="4"/>
  <c r="AY85" i="4"/>
  <c r="AZ85" i="4"/>
  <c r="BA85" i="4"/>
  <c r="BB85" i="4"/>
  <c r="BC85" i="4"/>
  <c r="BD85" i="4"/>
  <c r="BE85" i="4"/>
  <c r="BF85" i="4"/>
  <c r="BG85" i="4"/>
  <c r="BH85" i="4"/>
  <c r="BI85" i="4"/>
  <c r="BJ85" i="4"/>
  <c r="L16" i="5"/>
  <c r="E74" i="8"/>
  <c r="L167" i="4"/>
  <c r="L165" i="4"/>
  <c r="N316" i="4"/>
  <c r="C46" i="2"/>
  <c r="C58" i="2"/>
  <c r="C35" i="2"/>
  <c r="C47" i="2"/>
  <c r="C36" i="2"/>
  <c r="C59" i="2"/>
  <c r="C37" i="2"/>
  <c r="C48" i="2"/>
  <c r="C60" i="2"/>
  <c r="C38" i="2"/>
  <c r="C49" i="2"/>
  <c r="C50" i="2"/>
  <c r="C39" i="2"/>
  <c r="C61" i="2"/>
  <c r="C62" i="2"/>
  <c r="C51" i="2"/>
  <c r="C40" i="2"/>
  <c r="C63" i="2"/>
  <c r="C41" i="2"/>
  <c r="C52" i="2"/>
  <c r="C64" i="2"/>
  <c r="C53" i="2"/>
  <c r="C42" i="2"/>
  <c r="AY220" i="4"/>
  <c r="AO220" i="4"/>
  <c r="AE220" i="4"/>
  <c r="C65" i="2"/>
  <c r="C54" i="2"/>
  <c r="D53" i="7"/>
  <c r="C66" i="2"/>
  <c r="T31" i="4"/>
  <c r="S31" i="4"/>
  <c r="R31" i="4"/>
  <c r="T30" i="4"/>
  <c r="S30" i="4"/>
  <c r="R30" i="4"/>
  <c r="L209" i="2"/>
  <c r="L193" i="2"/>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X114" i="4"/>
  <c r="AY114" i="4"/>
  <c r="AZ114" i="4"/>
  <c r="BA114" i="4"/>
  <c r="BB114" i="4"/>
  <c r="BC114" i="4"/>
  <c r="BD114" i="4"/>
  <c r="BE114" i="4"/>
  <c r="BF114" i="4"/>
  <c r="BG114" i="4"/>
  <c r="BH114" i="4"/>
  <c r="BI114" i="4"/>
  <c r="BJ114" i="4"/>
  <c r="E73" i="8"/>
  <c r="K40" i="8"/>
  <c r="K39" i="8"/>
  <c r="K38" i="8"/>
  <c r="K31" i="8"/>
  <c r="K41" i="8"/>
  <c r="K50" i="8"/>
  <c r="Q8" i="4"/>
  <c r="O7" i="1"/>
  <c r="U21" i="4"/>
  <c r="J9" i="1"/>
  <c r="K47" i="8"/>
  <c r="Y47" i="8"/>
  <c r="Y48" i="8"/>
  <c r="Y52" i="8"/>
  <c r="R220" i="4"/>
  <c r="BG208" i="4"/>
  <c r="BC208" i="4"/>
  <c r="AY208" i="4"/>
  <c r="AU208" i="4"/>
  <c r="AQ208" i="4"/>
  <c r="AM208" i="4"/>
  <c r="AI208" i="4"/>
  <c r="AE208" i="4"/>
  <c r="AA208" i="4"/>
  <c r="W208" i="4"/>
  <c r="S208" i="4"/>
  <c r="BJ208" i="4"/>
  <c r="BF208" i="4"/>
  <c r="BB208" i="4"/>
  <c r="AX208" i="4"/>
  <c r="AT208" i="4"/>
  <c r="AP208" i="4"/>
  <c r="AL208" i="4"/>
  <c r="AH208" i="4"/>
  <c r="AD208" i="4"/>
  <c r="Z208" i="4"/>
  <c r="V208" i="4"/>
  <c r="R208" i="4"/>
  <c r="BI208" i="4"/>
  <c r="BE208" i="4"/>
  <c r="BA208" i="4"/>
  <c r="AW208" i="4"/>
  <c r="AS208" i="4"/>
  <c r="AO208" i="4"/>
  <c r="AK208" i="4"/>
  <c r="AC208" i="4"/>
  <c r="Y208" i="4"/>
  <c r="U208" i="4"/>
  <c r="AZ208" i="4"/>
  <c r="AV208" i="4"/>
  <c r="AR208" i="4"/>
  <c r="AN208" i="4"/>
  <c r="AJ208" i="4"/>
  <c r="AF208" i="4"/>
  <c r="AB208" i="4"/>
  <c r="X208" i="4"/>
  <c r="T208" i="4"/>
  <c r="AG208" i="4"/>
  <c r="BH208" i="4"/>
  <c r="BD208" i="4"/>
  <c r="J8" i="1"/>
  <c r="Y3" i="1"/>
  <c r="H46" i="3"/>
  <c r="E110" i="1"/>
  <c r="F107" i="1"/>
  <c r="G107" i="1"/>
  <c r="H107" i="1"/>
  <c r="I107" i="1"/>
  <c r="J107" i="1"/>
  <c r="F2" i="6"/>
  <c r="K107" i="1"/>
  <c r="L107" i="1"/>
  <c r="M107" i="1"/>
  <c r="N107" i="1"/>
  <c r="H38" i="3"/>
  <c r="H30" i="3"/>
  <c r="P8" i="2"/>
  <c r="Q8" i="2"/>
  <c r="R8" i="2"/>
  <c r="G9" i="2"/>
  <c r="O107" i="1"/>
  <c r="P107" i="1"/>
  <c r="Q107" i="1"/>
  <c r="R107" i="1"/>
  <c r="S107" i="1"/>
  <c r="T107" i="1"/>
  <c r="Q9" i="6"/>
  <c r="U107" i="1"/>
  <c r="R8" i="6"/>
  <c r="R9" i="6"/>
  <c r="Q7" i="6"/>
  <c r="V107" i="1"/>
  <c r="S8" i="6"/>
  <c r="S9" i="6"/>
  <c r="R7" i="6"/>
  <c r="R65" i="7"/>
  <c r="R66" i="7"/>
  <c r="R73" i="7"/>
  <c r="R68" i="7"/>
  <c r="R78" i="7"/>
  <c r="R74" i="7"/>
  <c r="W107" i="1"/>
  <c r="S7" i="6"/>
  <c r="T8" i="6"/>
  <c r="T9" i="6"/>
  <c r="R76" i="7"/>
  <c r="S71" i="7"/>
  <c r="R17" i="7"/>
  <c r="X107" i="1"/>
  <c r="U8" i="6"/>
  <c r="U9" i="6"/>
  <c r="T7" i="6"/>
  <c r="R25" i="7"/>
  <c r="R24" i="7"/>
  <c r="Y107" i="1"/>
  <c r="V8" i="6"/>
  <c r="V9" i="6"/>
  <c r="U7" i="6"/>
  <c r="Z107" i="1"/>
  <c r="V7" i="6"/>
  <c r="W8" i="6"/>
  <c r="W9" i="6"/>
  <c r="AA107" i="1"/>
  <c r="W7" i="6"/>
  <c r="X8" i="6"/>
  <c r="X9" i="6"/>
  <c r="AB107" i="1"/>
  <c r="Y8" i="6"/>
  <c r="Y9" i="6"/>
  <c r="X7" i="6"/>
  <c r="AC107" i="1"/>
  <c r="Z8" i="6"/>
  <c r="Z9" i="6"/>
  <c r="Y7" i="6"/>
  <c r="AD107" i="1"/>
  <c r="AA8" i="6"/>
  <c r="AA9" i="6"/>
  <c r="Z7" i="6"/>
  <c r="AE107" i="1"/>
  <c r="AA7" i="6"/>
  <c r="AB8" i="6"/>
  <c r="AB9" i="6"/>
  <c r="AF107" i="1"/>
  <c r="AC8" i="6"/>
  <c r="AC9" i="6"/>
  <c r="AB7" i="6"/>
  <c r="AG107" i="1"/>
  <c r="AD8" i="6"/>
  <c r="AD9" i="6"/>
  <c r="AC7" i="6"/>
  <c r="AH107" i="1"/>
  <c r="AD7" i="6"/>
  <c r="AE8" i="6"/>
  <c r="AE9" i="6"/>
  <c r="AI107" i="1"/>
  <c r="AE7" i="6"/>
  <c r="AF8" i="6"/>
  <c r="AF9" i="6"/>
  <c r="AJ107" i="1"/>
  <c r="AG8" i="6"/>
  <c r="AG9" i="6"/>
  <c r="AF7" i="6"/>
  <c r="AK107" i="1"/>
  <c r="AG7" i="6"/>
  <c r="AH8" i="6"/>
  <c r="AH9" i="6"/>
  <c r="AL107" i="1"/>
  <c r="AH7" i="6"/>
  <c r="AI8" i="6"/>
  <c r="AI9" i="6"/>
  <c r="AM107" i="1"/>
  <c r="AN107" i="1"/>
  <c r="AO107" i="1"/>
  <c r="AP107" i="1"/>
  <c r="AQ107" i="1"/>
  <c r="AR107" i="1"/>
  <c r="AS107" i="1"/>
  <c r="AT107" i="1"/>
  <c r="AU107" i="1"/>
  <c r="AV107" i="1"/>
  <c r="AW107" i="1"/>
  <c r="AJ8" i="6"/>
  <c r="AJ9" i="6"/>
  <c r="AI7" i="6"/>
  <c r="AJ7" i="6"/>
  <c r="AK8" i="6"/>
  <c r="AK9" i="6"/>
  <c r="AL8" i="6"/>
  <c r="AL9" i="6"/>
  <c r="AK7" i="6"/>
  <c r="AM8" i="6"/>
  <c r="AM9" i="6"/>
  <c r="AL7" i="6"/>
  <c r="AN8" i="6"/>
  <c r="AN9" i="6"/>
  <c r="AM7" i="6"/>
  <c r="AO8" i="6"/>
  <c r="AO9" i="6"/>
  <c r="AN7" i="6"/>
  <c r="AP8" i="6"/>
  <c r="AP9" i="6"/>
  <c r="AO7" i="6"/>
  <c r="AP7" i="6"/>
  <c r="AQ8" i="6"/>
  <c r="AQ9" i="6"/>
  <c r="AQ7" i="6"/>
  <c r="AR8" i="6"/>
  <c r="AR9" i="6"/>
  <c r="AR7" i="6"/>
  <c r="AS8" i="6"/>
  <c r="AS9" i="6"/>
  <c r="AS7" i="6"/>
  <c r="AT8" i="6"/>
  <c r="AT9" i="6"/>
  <c r="AT7" i="6"/>
  <c r="AU8" i="6"/>
  <c r="AU9" i="6"/>
  <c r="AU7" i="6"/>
  <c r="AV8" i="6"/>
  <c r="AV9" i="6"/>
  <c r="AW8" i="6"/>
  <c r="AW9" i="6"/>
  <c r="AV7" i="6"/>
  <c r="AX8" i="6"/>
  <c r="AX9" i="6"/>
  <c r="AW7" i="6"/>
  <c r="AY8" i="6"/>
  <c r="AY9" i="6"/>
  <c r="AX7" i="6"/>
  <c r="AZ8" i="6"/>
  <c r="AZ9" i="6"/>
  <c r="AY7" i="6"/>
  <c r="BA8" i="6"/>
  <c r="BA9" i="6"/>
  <c r="AZ7" i="6"/>
  <c r="BA7" i="6"/>
  <c r="BB8" i="6"/>
  <c r="BB9" i="6"/>
  <c r="BC8" i="6"/>
  <c r="BC9" i="6"/>
  <c r="BB7" i="6"/>
  <c r="BD8" i="6"/>
  <c r="BD9" i="6"/>
  <c r="BC7" i="6"/>
  <c r="BE8" i="6"/>
  <c r="BE9" i="6"/>
  <c r="BD7" i="6"/>
  <c r="BE7" i="6"/>
  <c r="BF8" i="6"/>
  <c r="BF9" i="6"/>
  <c r="BG8" i="6"/>
  <c r="BG9" i="6"/>
  <c r="BF7" i="6"/>
  <c r="BH8" i="6"/>
  <c r="BH9" i="6"/>
  <c r="BG7" i="6"/>
  <c r="F2" i="3"/>
  <c r="F2" i="7"/>
  <c r="BI8" i="6"/>
  <c r="BI9" i="6"/>
  <c r="BH7" i="6"/>
  <c r="BI7" i="6"/>
  <c r="BJ8" i="6"/>
  <c r="BJ9" i="6"/>
  <c r="BJ7" i="6"/>
  <c r="L166" i="4"/>
  <c r="K80" i="4"/>
  <c r="L200" i="4"/>
  <c r="L203" i="4"/>
  <c r="L103" i="4"/>
  <c r="L170" i="4"/>
  <c r="L169" i="4"/>
  <c r="R115" i="4"/>
  <c r="R160" i="4"/>
  <c r="S37" i="4"/>
  <c r="S77" i="6"/>
  <c r="S115" i="4"/>
  <c r="S160" i="4"/>
  <c r="T37" i="4"/>
  <c r="T77" i="6"/>
  <c r="T115" i="4"/>
  <c r="T160" i="4"/>
  <c r="U60" i="4"/>
  <c r="U37" i="4"/>
  <c r="U77" i="6"/>
  <c r="U115" i="4"/>
  <c r="U160" i="4"/>
  <c r="V37" i="4"/>
  <c r="V77" i="6"/>
  <c r="V115" i="4"/>
  <c r="V160" i="4"/>
  <c r="W37" i="4"/>
  <c r="W77" i="6"/>
  <c r="W115" i="4"/>
  <c r="W160" i="4"/>
  <c r="X37" i="4"/>
  <c r="X77" i="6"/>
  <c r="X115" i="4"/>
  <c r="X160" i="4"/>
  <c r="Y37" i="4"/>
  <c r="Y77" i="6"/>
  <c r="Y115" i="4"/>
  <c r="Y160" i="4"/>
  <c r="Z37" i="4"/>
  <c r="Z77" i="6"/>
  <c r="Z115" i="4"/>
  <c r="Z160" i="4"/>
  <c r="AA37" i="4"/>
  <c r="AA77" i="6"/>
  <c r="AA115" i="4"/>
  <c r="AA160" i="4"/>
  <c r="AB37" i="4"/>
  <c r="AB77" i="6"/>
  <c r="AB115" i="4"/>
  <c r="AB160" i="4"/>
  <c r="AC37" i="4"/>
  <c r="AC77" i="6"/>
  <c r="AC115" i="4"/>
  <c r="AC160" i="4"/>
  <c r="AD37" i="4"/>
  <c r="AD77" i="6"/>
  <c r="AD115" i="4"/>
  <c r="AD160" i="4"/>
  <c r="AE37" i="4"/>
  <c r="AE77" i="6"/>
  <c r="AE115" i="4"/>
  <c r="AE160" i="4"/>
  <c r="AF37" i="4"/>
  <c r="AF77" i="6"/>
  <c r="AF115" i="4"/>
  <c r="AF160" i="4"/>
  <c r="AG37" i="4"/>
  <c r="AG77" i="6"/>
  <c r="AG115" i="4"/>
  <c r="AG160" i="4"/>
  <c r="AH37" i="4"/>
  <c r="AH77" i="6"/>
  <c r="AH115" i="4"/>
  <c r="AH160" i="4"/>
  <c r="AI37" i="4"/>
  <c r="AI77" i="6"/>
  <c r="AI115" i="4"/>
  <c r="AI160" i="4"/>
  <c r="AJ37" i="4"/>
  <c r="AJ77" i="6"/>
  <c r="AJ115" i="4"/>
  <c r="AJ160" i="4"/>
  <c r="AK37" i="4"/>
  <c r="AK77" i="6"/>
  <c r="AK115" i="4"/>
  <c r="AK160" i="4"/>
  <c r="AL37" i="4"/>
  <c r="AL77" i="6"/>
  <c r="AL115" i="4"/>
  <c r="AL160" i="4"/>
  <c r="AM37" i="4"/>
  <c r="AM77" i="6"/>
  <c r="AM115" i="4"/>
  <c r="AM160" i="4"/>
  <c r="AN37" i="4"/>
  <c r="AN77" i="6"/>
  <c r="AN115" i="4"/>
  <c r="AN160" i="4"/>
  <c r="AO37" i="4"/>
  <c r="AO77" i="6"/>
  <c r="AO115" i="4"/>
  <c r="AO160" i="4"/>
  <c r="AP37" i="4"/>
  <c r="AP77" i="6"/>
  <c r="AP115" i="4"/>
  <c r="AP160" i="4"/>
  <c r="AQ37" i="4"/>
  <c r="AQ77" i="6"/>
  <c r="AQ115" i="4"/>
  <c r="AQ160" i="4"/>
  <c r="AR37" i="4"/>
  <c r="AR77" i="6"/>
  <c r="AR115" i="4"/>
  <c r="AR160" i="4"/>
  <c r="AS37" i="4"/>
  <c r="AS77" i="6"/>
  <c r="AS115" i="4"/>
  <c r="AS160" i="4"/>
  <c r="AT37" i="4"/>
  <c r="AT77" i="6"/>
  <c r="AT115" i="4"/>
  <c r="AT160" i="4"/>
  <c r="AU37" i="4"/>
  <c r="AU77" i="6"/>
  <c r="AU115" i="4"/>
  <c r="AU160" i="4"/>
  <c r="AV37" i="4"/>
  <c r="AV77" i="6"/>
  <c r="AV115" i="4"/>
  <c r="AV160" i="4"/>
  <c r="AW37" i="4"/>
  <c r="AW77" i="6"/>
  <c r="AW115" i="4"/>
  <c r="AW160" i="4"/>
  <c r="AX37" i="4"/>
  <c r="AX77" i="6"/>
  <c r="AX115" i="4"/>
  <c r="AX160" i="4"/>
  <c r="AY37" i="4"/>
  <c r="AY77" i="6"/>
  <c r="AY115" i="4"/>
  <c r="AY160" i="4"/>
  <c r="AZ37" i="4"/>
  <c r="AZ77" i="6"/>
  <c r="AZ115" i="4"/>
  <c r="AZ160" i="4"/>
  <c r="BA37" i="4"/>
  <c r="BA77" i="6"/>
  <c r="BA115" i="4"/>
  <c r="BA160" i="4"/>
  <c r="BB37" i="4"/>
  <c r="BB77" i="6"/>
  <c r="BB115" i="4"/>
  <c r="BB160" i="4"/>
  <c r="BC37" i="4"/>
  <c r="BC77" i="6"/>
  <c r="BC115" i="4"/>
  <c r="BC160" i="4"/>
  <c r="BD37" i="4"/>
  <c r="BD77" i="6"/>
  <c r="BD115" i="4"/>
  <c r="BD160" i="4"/>
  <c r="BE37" i="4"/>
  <c r="BE77" i="6"/>
  <c r="BE115" i="4"/>
  <c r="BE160" i="4"/>
  <c r="BF37" i="4"/>
  <c r="BF77" i="6"/>
  <c r="BF115" i="4"/>
  <c r="BF160" i="4"/>
  <c r="BG37" i="4"/>
  <c r="BG77" i="6"/>
  <c r="BG115" i="4"/>
  <c r="BG160" i="4"/>
  <c r="BH37" i="4"/>
  <c r="BH77" i="6"/>
  <c r="BH115" i="4"/>
  <c r="BH160" i="4"/>
  <c r="BI37" i="4"/>
  <c r="BI77" i="6"/>
  <c r="BI115" i="4"/>
  <c r="BI160" i="4"/>
  <c r="BJ37" i="4"/>
  <c r="BJ77" i="6"/>
  <c r="BJ115" i="4"/>
  <c r="BJ160" i="4"/>
  <c r="AU176" i="4"/>
  <c r="AU177" i="4"/>
  <c r="AU178" i="4"/>
  <c r="AV176" i="4"/>
  <c r="AV177" i="4"/>
  <c r="AV178" i="4"/>
  <c r="AW176" i="4"/>
  <c r="AW177" i="4"/>
  <c r="AW178" i="4"/>
  <c r="AX176" i="4"/>
  <c r="AX177" i="4"/>
  <c r="AX178" i="4"/>
  <c r="AY176" i="4"/>
  <c r="AY177" i="4"/>
  <c r="AY178" i="4"/>
  <c r="AZ176" i="4"/>
  <c r="AZ177" i="4"/>
  <c r="AZ178" i="4"/>
  <c r="BA176" i="4"/>
  <c r="BA177" i="4"/>
  <c r="BA178" i="4"/>
  <c r="BB176" i="4"/>
  <c r="BB177" i="4"/>
  <c r="BB178" i="4"/>
  <c r="BC176" i="4"/>
  <c r="BC177" i="4"/>
  <c r="BC178" i="4"/>
  <c r="BD176" i="4"/>
  <c r="BD177" i="4"/>
  <c r="BD178" i="4"/>
  <c r="V43" i="5"/>
  <c r="V60" i="4"/>
  <c r="R60" i="4"/>
  <c r="S43" i="5"/>
  <c r="S60" i="4"/>
  <c r="T43" i="5"/>
  <c r="T60" i="4"/>
  <c r="U43" i="5"/>
  <c r="W43" i="5"/>
  <c r="W60" i="4"/>
  <c r="X43" i="5"/>
  <c r="X60" i="4"/>
  <c r="Y43" i="5"/>
  <c r="Y60" i="4"/>
  <c r="Z43" i="5"/>
  <c r="Z60" i="4"/>
  <c r="AA43" i="5"/>
  <c r="AA60" i="4"/>
  <c r="AB43" i="5"/>
  <c r="AB60" i="4"/>
  <c r="AC43" i="5"/>
  <c r="AC60" i="4"/>
  <c r="AD43" i="5"/>
  <c r="AD60" i="4"/>
  <c r="AE43" i="5"/>
  <c r="AE60" i="4"/>
  <c r="AF43" i="5"/>
  <c r="AF60" i="4"/>
  <c r="AG43" i="5"/>
  <c r="AG60" i="4"/>
  <c r="AH43" i="5"/>
  <c r="AH60" i="4"/>
  <c r="AI43" i="5"/>
  <c r="AI60" i="4"/>
  <c r="AJ43" i="5"/>
  <c r="AJ60" i="4"/>
  <c r="AK43" i="5"/>
  <c r="AK60" i="4"/>
  <c r="AL43" i="5"/>
  <c r="AL60" i="4"/>
  <c r="AM43" i="5"/>
  <c r="AM60" i="4"/>
  <c r="AN43" i="5"/>
  <c r="AN60" i="4"/>
  <c r="AO43" i="5"/>
  <c r="AO60" i="4"/>
  <c r="AP43" i="5"/>
  <c r="AP60" i="4"/>
  <c r="AQ43" i="5"/>
  <c r="AQ60" i="4"/>
  <c r="AR43" i="5"/>
  <c r="AR60" i="4"/>
  <c r="AS43" i="5"/>
  <c r="AS60" i="4"/>
  <c r="AT43" i="5"/>
  <c r="AT60" i="4"/>
  <c r="AU43" i="5"/>
  <c r="AU60" i="4"/>
  <c r="AV43" i="5"/>
  <c r="AV60" i="4"/>
  <c r="AW43" i="5"/>
  <c r="AW60" i="4"/>
  <c r="AX43" i="5"/>
  <c r="AX60" i="4"/>
  <c r="AY43" i="5"/>
  <c r="AY60" i="4"/>
  <c r="AZ43" i="5"/>
  <c r="AZ60" i="4"/>
  <c r="BA43" i="5"/>
  <c r="BA60" i="4"/>
  <c r="BB43" i="5"/>
  <c r="BB60" i="4"/>
  <c r="BC43" i="5"/>
  <c r="BC60" i="4"/>
  <c r="BD43" i="5"/>
  <c r="BD60" i="4"/>
  <c r="BE43" i="5"/>
  <c r="BE60" i="4"/>
  <c r="BF43" i="5"/>
  <c r="BF60" i="4"/>
  <c r="BG43" i="5"/>
  <c r="BG60" i="4"/>
  <c r="BH43" i="5"/>
  <c r="BH60" i="4"/>
  <c r="BI43" i="5"/>
  <c r="BI60" i="4"/>
  <c r="BJ43" i="5"/>
  <c r="BJ60" i="4"/>
  <c r="R176" i="4"/>
  <c r="R177" i="4"/>
  <c r="R178" i="4"/>
  <c r="S176" i="4"/>
  <c r="S177" i="4"/>
  <c r="S178" i="4"/>
  <c r="T176" i="4"/>
  <c r="T177" i="4"/>
  <c r="T178" i="4"/>
  <c r="U176" i="4"/>
  <c r="U177" i="4"/>
  <c r="U178" i="4"/>
  <c r="G2" i="9"/>
  <c r="F2" i="8"/>
  <c r="F2" i="4"/>
  <c r="F2" i="5"/>
  <c r="L155" i="4"/>
  <c r="W176" i="4"/>
  <c r="AA176" i="4"/>
  <c r="AE176" i="4"/>
  <c r="AI176" i="4"/>
  <c r="AM176" i="4"/>
  <c r="AQ176" i="4"/>
  <c r="BG176" i="4"/>
  <c r="V176" i="4"/>
  <c r="Z176" i="4"/>
  <c r="AD176" i="4"/>
  <c r="AH176" i="4"/>
  <c r="AL176" i="4"/>
  <c r="AP176" i="4"/>
  <c r="AT176" i="4"/>
  <c r="BF176" i="4"/>
  <c r="BJ176" i="4"/>
  <c r="AB176" i="4"/>
  <c r="AJ176" i="4"/>
  <c r="AR176" i="4"/>
  <c r="BH176" i="4"/>
  <c r="AF176" i="4"/>
  <c r="AN176" i="4"/>
  <c r="AG176" i="4"/>
  <c r="AC176" i="4"/>
  <c r="AK176" i="4"/>
  <c r="AS176" i="4"/>
  <c r="BI176" i="4"/>
  <c r="X176" i="4"/>
  <c r="Y176" i="4"/>
  <c r="AO176" i="4"/>
  <c r="BE176" i="4"/>
  <c r="W177" i="4"/>
  <c r="AA177" i="4"/>
  <c r="AE177" i="4"/>
  <c r="AI177" i="4"/>
  <c r="AM177" i="4"/>
  <c r="AQ177" i="4"/>
  <c r="BG177" i="4"/>
  <c r="V177" i="4"/>
  <c r="Z177" i="4"/>
  <c r="AD177" i="4"/>
  <c r="AH177" i="4"/>
  <c r="AL177" i="4"/>
  <c r="AP177" i="4"/>
  <c r="AT177" i="4"/>
  <c r="BF177" i="4"/>
  <c r="BJ177" i="4"/>
  <c r="AB177" i="4"/>
  <c r="AJ177" i="4"/>
  <c r="AR177" i="4"/>
  <c r="BH177" i="4"/>
  <c r="X177" i="4"/>
  <c r="AG177" i="4"/>
  <c r="AC177" i="4"/>
  <c r="AK177" i="4"/>
  <c r="AS177" i="4"/>
  <c r="BI177" i="4"/>
  <c r="AF177" i="4"/>
  <c r="AN177" i="4"/>
  <c r="Y177" i="4"/>
  <c r="AO177" i="4"/>
  <c r="BE177" i="4"/>
  <c r="W178" i="4"/>
  <c r="AA178" i="4"/>
  <c r="AE178" i="4"/>
  <c r="AI178" i="4"/>
  <c r="AM178" i="4"/>
  <c r="AQ178" i="4"/>
  <c r="BG178" i="4"/>
  <c r="V178" i="4"/>
  <c r="Z178" i="4"/>
  <c r="AD178" i="4"/>
  <c r="AH178" i="4"/>
  <c r="AL178" i="4"/>
  <c r="AP178" i="4"/>
  <c r="AT178" i="4"/>
  <c r="BF178" i="4"/>
  <c r="BJ178" i="4"/>
  <c r="AB178" i="4"/>
  <c r="AJ178" i="4"/>
  <c r="AR178" i="4"/>
  <c r="BH178" i="4"/>
  <c r="AF178" i="4"/>
  <c r="AG178" i="4"/>
  <c r="AC178" i="4"/>
  <c r="AK178" i="4"/>
  <c r="AS178" i="4"/>
  <c r="BI178" i="4"/>
  <c r="X178" i="4"/>
  <c r="AN178" i="4"/>
  <c r="Y178" i="4"/>
  <c r="AO178" i="4"/>
  <c r="BE178" i="4"/>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J6" i="8"/>
  <c r="BK6" i="8"/>
  <c r="BL6" i="8"/>
  <c r="BM6" i="8"/>
  <c r="BN6" i="8"/>
  <c r="BO6" i="8"/>
  <c r="BP6" i="8"/>
  <c r="BQ6" i="8"/>
  <c r="N34" i="9"/>
  <c r="N33" i="9"/>
  <c r="N32" i="9"/>
  <c r="N31" i="9"/>
  <c r="N30" i="9"/>
  <c r="N22" i="9"/>
  <c r="T28" i="6"/>
  <c r="BI28" i="6"/>
  <c r="BG28" i="6"/>
  <c r="BE28" i="6"/>
  <c r="BC28" i="6"/>
  <c r="BA28" i="6"/>
  <c r="AY28" i="6"/>
  <c r="AW28" i="6"/>
  <c r="AU28" i="6"/>
  <c r="AS28" i="6"/>
  <c r="AQ28" i="6"/>
  <c r="AO28" i="6"/>
  <c r="AM28" i="6"/>
  <c r="AK28" i="6"/>
  <c r="AI28" i="6"/>
  <c r="AG28" i="6"/>
  <c r="AE28" i="6"/>
  <c r="AC28" i="6"/>
  <c r="AA28" i="6"/>
  <c r="Y28" i="6"/>
  <c r="W28" i="6"/>
  <c r="V28" i="6"/>
  <c r="U28" i="6"/>
  <c r="S28" i="6"/>
  <c r="BJ28" i="6"/>
  <c r="BH28" i="6"/>
  <c r="BF28" i="6"/>
  <c r="BD28" i="6"/>
  <c r="BB28" i="6"/>
  <c r="AZ28" i="6"/>
  <c r="AX28" i="6"/>
  <c r="AV28" i="6"/>
  <c r="AT28" i="6"/>
  <c r="AR28" i="6"/>
  <c r="AP28" i="6"/>
  <c r="AN28" i="6"/>
  <c r="AL28" i="6"/>
  <c r="AJ28" i="6"/>
  <c r="AH28" i="6"/>
  <c r="AF28" i="6"/>
  <c r="AD28" i="6"/>
  <c r="AB28" i="6"/>
  <c r="Z28" i="6"/>
  <c r="X28" i="6"/>
  <c r="R179" i="4"/>
  <c r="T179" i="4"/>
  <c r="Y179" i="4"/>
  <c r="Z179" i="4"/>
  <c r="W179" i="4"/>
  <c r="U179" i="4"/>
  <c r="X179" i="4"/>
  <c r="V179" i="4"/>
  <c r="S179" i="4"/>
  <c r="AN118" i="1"/>
  <c r="M49" i="1"/>
  <c r="AO150" i="1"/>
  <c r="AJ118" i="1"/>
  <c r="M45" i="1"/>
  <c r="AK150" i="1"/>
  <c r="AF118" i="1"/>
  <c r="M41" i="1"/>
  <c r="AG150" i="1"/>
  <c r="AB118" i="1"/>
  <c r="M37" i="1"/>
  <c r="AC150" i="1"/>
  <c r="X118" i="1"/>
  <c r="M33" i="1"/>
  <c r="Y150" i="1"/>
  <c r="T118" i="1"/>
  <c r="M29" i="1"/>
  <c r="U150" i="1"/>
  <c r="P118" i="1"/>
  <c r="M25" i="1"/>
  <c r="Q150" i="1"/>
  <c r="L118" i="1"/>
  <c r="M21" i="1"/>
  <c r="M150" i="1"/>
  <c r="E118" i="1"/>
  <c r="F150" i="1"/>
  <c r="AW118" i="1"/>
  <c r="M58" i="1"/>
  <c r="AX150" i="1"/>
  <c r="AS118" i="1"/>
  <c r="M54" i="1"/>
  <c r="AT150" i="1"/>
  <c r="AO118" i="1"/>
  <c r="M50" i="1"/>
  <c r="AP150" i="1"/>
  <c r="AK118" i="1"/>
  <c r="M46" i="1"/>
  <c r="AL150" i="1"/>
  <c r="AG118" i="1"/>
  <c r="M42" i="1"/>
  <c r="AH150" i="1"/>
  <c r="AC118" i="1"/>
  <c r="M38" i="1"/>
  <c r="AD150" i="1"/>
  <c r="Y118" i="1"/>
  <c r="M34" i="1"/>
  <c r="Z150" i="1"/>
  <c r="U118" i="1"/>
  <c r="M30" i="1"/>
  <c r="V150" i="1"/>
  <c r="Q118" i="1"/>
  <c r="M26" i="1"/>
  <c r="R150" i="1"/>
  <c r="M118" i="1"/>
  <c r="M22" i="1"/>
  <c r="N150" i="1"/>
  <c r="F118" i="1"/>
  <c r="M15" i="1"/>
  <c r="G150" i="1"/>
  <c r="AV118" i="1"/>
  <c r="M57" i="1"/>
  <c r="AW150" i="1"/>
  <c r="AR118" i="1"/>
  <c r="M53" i="1"/>
  <c r="AS150" i="1"/>
  <c r="AT118" i="1"/>
  <c r="M55" i="1"/>
  <c r="AU150" i="1"/>
  <c r="AP118" i="1"/>
  <c r="M51" i="1"/>
  <c r="AQ150" i="1"/>
  <c r="AL118" i="1"/>
  <c r="M47" i="1"/>
  <c r="AM150" i="1"/>
  <c r="AH118" i="1"/>
  <c r="M43" i="1"/>
  <c r="AI150" i="1"/>
  <c r="AD118" i="1"/>
  <c r="M39" i="1"/>
  <c r="AE150" i="1"/>
  <c r="Z118" i="1"/>
  <c r="M35" i="1"/>
  <c r="AA150" i="1"/>
  <c r="V118" i="1"/>
  <c r="M31" i="1"/>
  <c r="W150" i="1"/>
  <c r="R118" i="1"/>
  <c r="M27" i="1"/>
  <c r="S150" i="1"/>
  <c r="N118" i="1"/>
  <c r="M23" i="1"/>
  <c r="O150" i="1"/>
  <c r="J118" i="1"/>
  <c r="M19" i="1"/>
  <c r="K150" i="1"/>
  <c r="G118" i="1"/>
  <c r="M16" i="1"/>
  <c r="H150" i="1"/>
  <c r="AU118" i="1"/>
  <c r="M56" i="1"/>
  <c r="AV150" i="1"/>
  <c r="AQ118" i="1"/>
  <c r="M52" i="1"/>
  <c r="AR150" i="1"/>
  <c r="AM118" i="1"/>
  <c r="M48" i="1"/>
  <c r="AN150" i="1"/>
  <c r="AI118" i="1"/>
  <c r="M44" i="1"/>
  <c r="AJ150" i="1"/>
  <c r="AE118" i="1"/>
  <c r="M40" i="1"/>
  <c r="AF150" i="1"/>
  <c r="AA118" i="1"/>
  <c r="M36" i="1"/>
  <c r="AB150" i="1"/>
  <c r="W118" i="1"/>
  <c r="M32" i="1"/>
  <c r="X150" i="1"/>
  <c r="S118" i="1"/>
  <c r="M28" i="1"/>
  <c r="T150" i="1"/>
  <c r="O118" i="1"/>
  <c r="M24" i="1"/>
  <c r="P150" i="1"/>
  <c r="K118" i="1"/>
  <c r="M20" i="1"/>
  <c r="L150" i="1"/>
  <c r="H118" i="1"/>
  <c r="M17" i="1"/>
  <c r="I150" i="1"/>
  <c r="I118" i="1"/>
  <c r="M18" i="1"/>
  <c r="J150" i="1"/>
  <c r="N60" i="4"/>
  <c r="Q24" i="9"/>
  <c r="BA74" i="6"/>
  <c r="AK74" i="6"/>
  <c r="AE74" i="6"/>
  <c r="AC74" i="6"/>
  <c r="W74" i="6"/>
  <c r="U74" i="6"/>
  <c r="V74" i="6"/>
  <c r="BI74" i="6"/>
  <c r="BG74" i="6"/>
  <c r="BE74" i="6"/>
  <c r="BC74" i="6"/>
  <c r="AY74" i="6"/>
  <c r="AW74" i="6"/>
  <c r="AU74" i="6"/>
  <c r="AS74" i="6"/>
  <c r="AQ74" i="6"/>
  <c r="AO74" i="6"/>
  <c r="AM74" i="6"/>
  <c r="AI74" i="6"/>
  <c r="AG74" i="6"/>
  <c r="AA74" i="6"/>
  <c r="Y74" i="6"/>
  <c r="T74" i="6"/>
  <c r="BJ74" i="6"/>
  <c r="BH74" i="6"/>
  <c r="BF74" i="6"/>
  <c r="BD74" i="6"/>
  <c r="BB74" i="6"/>
  <c r="AZ74" i="6"/>
  <c r="AX74" i="6"/>
  <c r="AV74" i="6"/>
  <c r="AT74" i="6"/>
  <c r="AR74" i="6"/>
  <c r="AP74" i="6"/>
  <c r="AN74" i="6"/>
  <c r="AL74" i="6"/>
  <c r="AJ74" i="6"/>
  <c r="AH74" i="6"/>
  <c r="AF74" i="6"/>
  <c r="AD74" i="6"/>
  <c r="AB74" i="6"/>
  <c r="Z74" i="6"/>
  <c r="X74" i="6"/>
  <c r="S74" i="6"/>
  <c r="M105" i="4"/>
  <c r="AJ179" i="4"/>
  <c r="AE179" i="4"/>
  <c r="M22" i="9"/>
  <c r="M30" i="9"/>
  <c r="AN179" i="4"/>
  <c r="BI179" i="4"/>
  <c r="AZ179" i="4"/>
  <c r="AF179" i="4"/>
  <c r="AB179" i="4"/>
  <c r="AQ179" i="4"/>
  <c r="AS179" i="4"/>
  <c r="AG179" i="4"/>
  <c r="BF179" i="4"/>
  <c r="AH179" i="4"/>
  <c r="AA179" i="4"/>
  <c r="BJ179" i="4"/>
  <c r="BE179" i="4"/>
  <c r="BH179" i="4"/>
  <c r="AT179" i="4"/>
  <c r="AD179" i="4"/>
  <c r="AM179" i="4"/>
  <c r="AU179" i="4"/>
  <c r="AV179" i="4"/>
  <c r="AX179" i="4"/>
  <c r="AW179" i="4"/>
  <c r="BA179" i="4"/>
  <c r="N160" i="4"/>
  <c r="AR179" i="4"/>
  <c r="AL179" i="4"/>
  <c r="AK179" i="4"/>
  <c r="BG179" i="4"/>
  <c r="AC179" i="4"/>
  <c r="BB179" i="4"/>
  <c r="AO179" i="4"/>
  <c r="AP179" i="4"/>
  <c r="AI179" i="4"/>
  <c r="BC179" i="4"/>
  <c r="BD179" i="4"/>
  <c r="AY179" i="4"/>
  <c r="N43" i="5"/>
  <c r="N74" i="6"/>
  <c r="N77" i="6"/>
  <c r="M59" i="1"/>
  <c r="Q9" i="7"/>
  <c r="R8" i="7"/>
  <c r="Q7" i="7"/>
  <c r="Q7" i="3"/>
  <c r="Q7" i="4"/>
  <c r="Q9" i="4"/>
  <c r="R9" i="7"/>
  <c r="S8" i="7"/>
  <c r="R7" i="7"/>
  <c r="R109" i="4"/>
  <c r="R82" i="4"/>
  <c r="R7" i="3"/>
  <c r="S9" i="7"/>
  <c r="R7" i="4"/>
  <c r="R6" i="3"/>
  <c r="S7" i="7"/>
  <c r="T8" i="7"/>
  <c r="R291" i="4"/>
  <c r="R215" i="4"/>
  <c r="R184" i="4"/>
  <c r="S109" i="4"/>
  <c r="T9" i="7"/>
  <c r="S56" i="3"/>
  <c r="S55" i="3"/>
  <c r="S82" i="4"/>
  <c r="S77" i="3"/>
  <c r="S80" i="3"/>
  <c r="S71" i="3"/>
  <c r="S74" i="3"/>
  <c r="R32" i="4"/>
  <c r="R225" i="4"/>
  <c r="S7" i="4"/>
  <c r="S6" i="3"/>
  <c r="U8" i="7"/>
  <c r="T7" i="7"/>
  <c r="S291" i="4"/>
  <c r="S31" i="5"/>
  <c r="S215" i="4"/>
  <c r="S184" i="4"/>
  <c r="S110" i="4"/>
  <c r="S225" i="4"/>
  <c r="R19" i="3"/>
  <c r="R204" i="4"/>
  <c r="R214" i="4"/>
  <c r="R216" i="4"/>
  <c r="S213" i="4"/>
  <c r="S220" i="4"/>
  <c r="R286" i="4"/>
  <c r="S111" i="4"/>
  <c r="S47" i="3"/>
  <c r="U9" i="7"/>
  <c r="T110" i="4"/>
  <c r="T56" i="3"/>
  <c r="T55" i="3"/>
  <c r="T82" i="4"/>
  <c r="T109" i="4"/>
  <c r="T77" i="3"/>
  <c r="T80" i="3"/>
  <c r="T71" i="3"/>
  <c r="T74" i="3"/>
  <c r="S32" i="4"/>
  <c r="S46" i="3"/>
  <c r="R29" i="4"/>
  <c r="T7" i="4"/>
  <c r="T6" i="3"/>
  <c r="U7" i="7"/>
  <c r="V8" i="7"/>
  <c r="T291" i="4"/>
  <c r="T31" i="5"/>
  <c r="T215" i="4"/>
  <c r="T184" i="4"/>
  <c r="F141" i="1"/>
  <c r="F160" i="1"/>
  <c r="T111" i="4"/>
  <c r="T225" i="4"/>
  <c r="T227" i="4"/>
  <c r="Q7" i="9"/>
  <c r="V9" i="7"/>
  <c r="X8" i="8"/>
  <c r="Q9" i="5"/>
  <c r="Q12" i="5"/>
  <c r="U109" i="4"/>
  <c r="U56" i="3"/>
  <c r="U55" i="3"/>
  <c r="U82" i="4"/>
  <c r="U74" i="3"/>
  <c r="U77" i="3"/>
  <c r="U80" i="3"/>
  <c r="U71" i="3"/>
  <c r="T32" i="4"/>
  <c r="U7" i="4"/>
  <c r="U6" i="3"/>
  <c r="Q8" i="9"/>
  <c r="W8" i="7"/>
  <c r="V7" i="7"/>
  <c r="R8" i="5"/>
  <c r="Q13" i="5"/>
  <c r="Q7" i="5"/>
  <c r="Q12" i="3"/>
  <c r="Q14" i="5"/>
  <c r="X9" i="8"/>
  <c r="Q16" i="5"/>
  <c r="Q15" i="5"/>
  <c r="U291" i="4"/>
  <c r="U31" i="5"/>
  <c r="U215" i="4"/>
  <c r="U184" i="4"/>
  <c r="U111" i="4"/>
  <c r="U110" i="4"/>
  <c r="Q25" i="9"/>
  <c r="R25" i="9"/>
  <c r="R7" i="9"/>
  <c r="Q6" i="9"/>
  <c r="X7" i="8"/>
  <c r="W9" i="7"/>
  <c r="R9" i="5"/>
  <c r="R12" i="5"/>
  <c r="Y8" i="8"/>
  <c r="Q15" i="4"/>
  <c r="Q13" i="4"/>
  <c r="Q12" i="4"/>
  <c r="V111" i="4"/>
  <c r="V56" i="3"/>
  <c r="V55" i="3"/>
  <c r="V82" i="4"/>
  <c r="V109" i="4"/>
  <c r="V74" i="3"/>
  <c r="V77" i="3"/>
  <c r="V80" i="3"/>
  <c r="V71" i="3"/>
  <c r="U32" i="4"/>
  <c r="V7" i="4"/>
  <c r="V6" i="3"/>
  <c r="U225" i="4"/>
  <c r="U227" i="4"/>
  <c r="S25" i="9"/>
  <c r="R219" i="4"/>
  <c r="R8" i="9"/>
  <c r="X8" i="7"/>
  <c r="W7" i="7"/>
  <c r="R14" i="5"/>
  <c r="R15" i="5"/>
  <c r="Y9" i="8"/>
  <c r="Y7" i="8"/>
  <c r="R13" i="5"/>
  <c r="R54" i="7"/>
  <c r="R16" i="5"/>
  <c r="S8" i="5"/>
  <c r="R7" i="5"/>
  <c r="V215" i="4"/>
  <c r="V184" i="4"/>
  <c r="V291" i="4"/>
  <c r="V31" i="5"/>
  <c r="V110" i="4"/>
  <c r="W82" i="4"/>
  <c r="V219" i="4"/>
  <c r="S219" i="4"/>
  <c r="R103" i="4"/>
  <c r="R108" i="4"/>
  <c r="R105" i="4"/>
  <c r="R6" i="9"/>
  <c r="R12" i="3"/>
  <c r="S7" i="9"/>
  <c r="X9" i="7"/>
  <c r="R13" i="4"/>
  <c r="R313" i="4"/>
  <c r="R166" i="4"/>
  <c r="R173" i="4"/>
  <c r="R12" i="4"/>
  <c r="Z8" i="8"/>
  <c r="S9" i="5"/>
  <c r="S12" i="5"/>
  <c r="S54" i="6"/>
  <c r="R209" i="4"/>
  <c r="R15" i="4"/>
  <c r="W109" i="4"/>
  <c r="W56" i="3"/>
  <c r="W55" i="3"/>
  <c r="W77" i="3"/>
  <c r="W80" i="3"/>
  <c r="W71" i="3"/>
  <c r="W74" i="3"/>
  <c r="V225" i="4"/>
  <c r="V227" i="4"/>
  <c r="W7" i="4"/>
  <c r="W6" i="3"/>
  <c r="W111" i="4"/>
  <c r="T219" i="4"/>
  <c r="U219" i="4"/>
  <c r="S8" i="9"/>
  <c r="Y8" i="7"/>
  <c r="X7" i="7"/>
  <c r="R334" i="4"/>
  <c r="R80" i="4"/>
  <c r="Z9" i="8"/>
  <c r="Z7" i="8"/>
  <c r="S7" i="5"/>
  <c r="S16" i="5"/>
  <c r="S15" i="5"/>
  <c r="S14" i="5"/>
  <c r="T8" i="5"/>
  <c r="S13" i="5"/>
  <c r="R282" i="4"/>
  <c r="R63" i="4"/>
  <c r="X74" i="3"/>
  <c r="X77" i="3"/>
  <c r="X71" i="3"/>
  <c r="W291" i="4"/>
  <c r="S30" i="5"/>
  <c r="G142" i="1"/>
  <c r="S32" i="5"/>
  <c r="X80" i="3"/>
  <c r="W215" i="4"/>
  <c r="W184" i="4"/>
  <c r="W110" i="4"/>
  <c r="R16" i="3"/>
  <c r="R18" i="3"/>
  <c r="R283" i="4"/>
  <c r="W219" i="4"/>
  <c r="S105" i="4"/>
  <c r="S103" i="4"/>
  <c r="S108" i="4"/>
  <c r="S6" i="9"/>
  <c r="S12" i="3"/>
  <c r="T7" i="9"/>
  <c r="S54" i="7"/>
  <c r="Y9" i="7"/>
  <c r="S12" i="4"/>
  <c r="S209" i="4"/>
  <c r="S15" i="4"/>
  <c r="AA8" i="8"/>
  <c r="T9" i="5"/>
  <c r="T12" i="5"/>
  <c r="T54" i="6"/>
  <c r="S13" i="4"/>
  <c r="S313" i="4"/>
  <c r="S166" i="4"/>
  <c r="S80" i="4"/>
  <c r="S173" i="4"/>
  <c r="X109" i="4"/>
  <c r="S75" i="6"/>
  <c r="X56" i="3"/>
  <c r="X55" i="3"/>
  <c r="X82" i="4"/>
  <c r="W31" i="5"/>
  <c r="X7" i="4"/>
  <c r="X6" i="3"/>
  <c r="X110" i="4"/>
  <c r="W225" i="4"/>
  <c r="W227" i="4"/>
  <c r="R153" i="4"/>
  <c r="V32" i="4"/>
  <c r="T8" i="9"/>
  <c r="Z8" i="7"/>
  <c r="Y7" i="7"/>
  <c r="T14" i="5"/>
  <c r="U8" i="5"/>
  <c r="T15" i="5"/>
  <c r="T7" i="5"/>
  <c r="T30" i="5"/>
  <c r="AA9" i="8"/>
  <c r="AA7" i="8"/>
  <c r="T13" i="5"/>
  <c r="T16" i="5"/>
  <c r="T54" i="5"/>
  <c r="S282" i="4"/>
  <c r="R315" i="4"/>
  <c r="T75" i="6"/>
  <c r="H142" i="1"/>
  <c r="Y80" i="3"/>
  <c r="Y74" i="3"/>
  <c r="X291" i="4"/>
  <c r="X31" i="5"/>
  <c r="X215" i="4"/>
  <c r="X184" i="4"/>
  <c r="Y77" i="3"/>
  <c r="Y71" i="3"/>
  <c r="F140" i="1"/>
  <c r="F158" i="1"/>
  <c r="F138" i="1"/>
  <c r="X225" i="4"/>
  <c r="X227" i="4"/>
  <c r="X111" i="4"/>
  <c r="Y82" i="4"/>
  <c r="E109" i="1"/>
  <c r="S283" i="4"/>
  <c r="X219" i="4"/>
  <c r="T105" i="4"/>
  <c r="T103" i="4"/>
  <c r="T108" i="4"/>
  <c r="R21" i="4"/>
  <c r="T6" i="9"/>
  <c r="T12" i="3"/>
  <c r="T43" i="6"/>
  <c r="U7" i="9"/>
  <c r="T54" i="7"/>
  <c r="Z9" i="7"/>
  <c r="T173" i="4"/>
  <c r="R317" i="4"/>
  <c r="U9" i="5"/>
  <c r="U12" i="5"/>
  <c r="U54" i="6"/>
  <c r="AB8" i="8"/>
  <c r="R240" i="4"/>
  <c r="T166" i="4"/>
  <c r="T80" i="4"/>
  <c r="U23" i="5"/>
  <c r="T328" i="4"/>
  <c r="T15" i="4"/>
  <c r="T209" i="4"/>
  <c r="T12" i="4"/>
  <c r="T13" i="4"/>
  <c r="T313" i="4"/>
  <c r="Y56" i="3"/>
  <c r="Y55" i="3"/>
  <c r="Y109" i="4"/>
  <c r="Y7" i="4"/>
  <c r="Y6" i="3"/>
  <c r="Y110" i="4"/>
  <c r="W32" i="4"/>
  <c r="U8" i="9"/>
  <c r="AB9" i="8"/>
  <c r="AB7" i="8"/>
  <c r="AA8" i="7"/>
  <c r="Z7" i="7"/>
  <c r="T282" i="4"/>
  <c r="V8" i="5"/>
  <c r="U7" i="5"/>
  <c r="U30" i="5"/>
  <c r="I142" i="1"/>
  <c r="U13" i="5"/>
  <c r="U16" i="5"/>
  <c r="U54" i="5"/>
  <c r="U79" i="6"/>
  <c r="U15" i="5"/>
  <c r="U14" i="5"/>
  <c r="Y291" i="4"/>
  <c r="Y31" i="5"/>
  <c r="Z77" i="3"/>
  <c r="Z71" i="3"/>
  <c r="U75" i="6"/>
  <c r="Z80" i="3"/>
  <c r="Z74" i="3"/>
  <c r="Y215" i="4"/>
  <c r="Y184" i="4"/>
  <c r="F145" i="1"/>
  <c r="Y111" i="4"/>
  <c r="Y225" i="4"/>
  <c r="Y227" i="4"/>
  <c r="Z82" i="4"/>
  <c r="T283" i="4"/>
  <c r="Y219" i="4"/>
  <c r="S315" i="4"/>
  <c r="S317" i="4"/>
  <c r="R70" i="4"/>
  <c r="U103" i="4"/>
  <c r="U108" i="4"/>
  <c r="U105" i="4"/>
  <c r="S21" i="4"/>
  <c r="U6" i="9"/>
  <c r="U12" i="3"/>
  <c r="U43" i="6"/>
  <c r="V7" i="9"/>
  <c r="U54" i="7"/>
  <c r="AA9" i="7"/>
  <c r="U15" i="4"/>
  <c r="U209" i="4"/>
  <c r="U12" i="4"/>
  <c r="U166" i="4"/>
  <c r="U80" i="4"/>
  <c r="U328" i="4"/>
  <c r="V23" i="5"/>
  <c r="U13" i="4"/>
  <c r="U313" i="4"/>
  <c r="V9" i="5"/>
  <c r="V12" i="5"/>
  <c r="V54" i="6"/>
  <c r="AC8" i="8"/>
  <c r="Z109" i="4"/>
  <c r="Z56" i="3"/>
  <c r="Z55" i="3"/>
  <c r="Z7" i="4"/>
  <c r="Z6" i="3"/>
  <c r="X32" i="4"/>
  <c r="V8" i="9"/>
  <c r="AA7" i="7"/>
  <c r="AB8" i="7"/>
  <c r="S33" i="5"/>
  <c r="S318" i="4"/>
  <c r="V14" i="5"/>
  <c r="U282" i="4"/>
  <c r="V7" i="5"/>
  <c r="V30" i="5"/>
  <c r="J142" i="1"/>
  <c r="V15" i="5"/>
  <c r="AC9" i="8"/>
  <c r="AC7" i="8"/>
  <c r="W8" i="5"/>
  <c r="V16" i="5"/>
  <c r="V54" i="5"/>
  <c r="V79" i="6"/>
  <c r="V13" i="5"/>
  <c r="U173" i="4"/>
  <c r="AA77" i="3"/>
  <c r="AA74" i="3"/>
  <c r="Z291" i="4"/>
  <c r="V75" i="6"/>
  <c r="AA80" i="3"/>
  <c r="AA71" i="3"/>
  <c r="Z215" i="4"/>
  <c r="Z184" i="4"/>
  <c r="S93" i="6"/>
  <c r="G145" i="1"/>
  <c r="Z111" i="4"/>
  <c r="Z110" i="4"/>
  <c r="AA82" i="4"/>
  <c r="U283" i="4"/>
  <c r="Z219" i="4"/>
  <c r="T315" i="4"/>
  <c r="T317" i="4"/>
  <c r="S70" i="4"/>
  <c r="V103" i="4"/>
  <c r="V108" i="4"/>
  <c r="V105" i="4"/>
  <c r="T21" i="4"/>
  <c r="V6" i="9"/>
  <c r="V12" i="3"/>
  <c r="S40" i="6"/>
  <c r="W7" i="9"/>
  <c r="V43" i="6"/>
  <c r="V54" i="7"/>
  <c r="AB9" i="7"/>
  <c r="V12" i="4"/>
  <c r="V13" i="4"/>
  <c r="V313" i="4"/>
  <c r="V166" i="4"/>
  <c r="V173" i="4"/>
  <c r="V328" i="4"/>
  <c r="W23" i="5"/>
  <c r="W9" i="5"/>
  <c r="W12" i="5"/>
  <c r="W54" i="6"/>
  <c r="AD8" i="8"/>
  <c r="V209" i="4"/>
  <c r="V15" i="4"/>
  <c r="AA109" i="4"/>
  <c r="AA56" i="3"/>
  <c r="AA55" i="3"/>
  <c r="Z31" i="5"/>
  <c r="Z225" i="4"/>
  <c r="Z227" i="4"/>
  <c r="AA7" i="4"/>
  <c r="AA6" i="3"/>
  <c r="R17" i="3"/>
  <c r="Y32" i="4"/>
  <c r="T33" i="5"/>
  <c r="W8" i="9"/>
  <c r="W14" i="5"/>
  <c r="AC8" i="7"/>
  <c r="AB7" i="7"/>
  <c r="T318" i="4"/>
  <c r="V282" i="4"/>
  <c r="W13" i="5"/>
  <c r="X8" i="5"/>
  <c r="W7" i="5"/>
  <c r="W30" i="5"/>
  <c r="K142" i="1"/>
  <c r="W15" i="5"/>
  <c r="AD9" i="8"/>
  <c r="AD7" i="8"/>
  <c r="W16" i="5"/>
  <c r="W54" i="5"/>
  <c r="W79" i="6"/>
  <c r="V80" i="4"/>
  <c r="AB74" i="3"/>
  <c r="AB80" i="3"/>
  <c r="AA291" i="4"/>
  <c r="AA31" i="5"/>
  <c r="W75" i="6"/>
  <c r="AB77" i="3"/>
  <c r="AB71" i="3"/>
  <c r="AA215" i="4"/>
  <c r="AA184" i="4"/>
  <c r="T93" i="6"/>
  <c r="H145" i="1"/>
  <c r="AA110" i="4"/>
  <c r="AA111" i="4"/>
  <c r="V283" i="4"/>
  <c r="AA219" i="4"/>
  <c r="U315" i="4"/>
  <c r="U317" i="4"/>
  <c r="T70" i="4"/>
  <c r="W105" i="4"/>
  <c r="W103" i="4"/>
  <c r="W108" i="4"/>
  <c r="T40" i="6"/>
  <c r="W6" i="9"/>
  <c r="W12" i="3"/>
  <c r="X7" i="9"/>
  <c r="W43" i="6"/>
  <c r="W54" i="7"/>
  <c r="AC9" i="7"/>
  <c r="X23" i="5"/>
  <c r="W328" i="4"/>
  <c r="W173" i="4"/>
  <c r="W166" i="4"/>
  <c r="AE8" i="8"/>
  <c r="X9" i="5"/>
  <c r="X12" i="5"/>
  <c r="X54" i="6"/>
  <c r="W13" i="4"/>
  <c r="W313" i="4"/>
  <c r="W15" i="4"/>
  <c r="W209" i="4"/>
  <c r="W12" i="4"/>
  <c r="AB82" i="4"/>
  <c r="AB109" i="4"/>
  <c r="AB56" i="3"/>
  <c r="AB55" i="3"/>
  <c r="F139" i="1"/>
  <c r="AB7" i="4"/>
  <c r="AB6" i="3"/>
  <c r="AA225" i="4"/>
  <c r="AA227" i="4"/>
  <c r="R333" i="4"/>
  <c r="Z32" i="4"/>
  <c r="X8" i="9"/>
  <c r="AC7" i="7"/>
  <c r="AD8" i="7"/>
  <c r="U318" i="4"/>
  <c r="U33" i="5"/>
  <c r="W282" i="4"/>
  <c r="X14" i="5"/>
  <c r="W80" i="4"/>
  <c r="X13" i="5"/>
  <c r="AE9" i="8"/>
  <c r="AE7" i="8"/>
  <c r="X15" i="5"/>
  <c r="X16" i="5"/>
  <c r="X54" i="5"/>
  <c r="X79" i="6"/>
  <c r="Y8" i="5"/>
  <c r="X7" i="5"/>
  <c r="X30" i="5"/>
  <c r="X75" i="6"/>
  <c r="L142" i="1"/>
  <c r="AC77" i="3"/>
  <c r="AB291" i="4"/>
  <c r="AB31" i="5"/>
  <c r="AC80" i="3"/>
  <c r="AC74" i="3"/>
  <c r="AC71" i="3"/>
  <c r="AB215" i="4"/>
  <c r="AB184" i="4"/>
  <c r="I145" i="1"/>
  <c r="AB111" i="4"/>
  <c r="AB110" i="4"/>
  <c r="AB225" i="4"/>
  <c r="AB227" i="4"/>
  <c r="AC109" i="4"/>
  <c r="AC82" i="4"/>
  <c r="W283" i="4"/>
  <c r="AB219" i="4"/>
  <c r="V315" i="4"/>
  <c r="V317" i="4"/>
  <c r="U70" i="4"/>
  <c r="X105" i="4"/>
  <c r="X103" i="4"/>
  <c r="X108" i="4"/>
  <c r="V21" i="4"/>
  <c r="X6" i="9"/>
  <c r="X12" i="3"/>
  <c r="Y7" i="9"/>
  <c r="X43" i="6"/>
  <c r="U93" i="6"/>
  <c r="U40" i="6"/>
  <c r="X54" i="7"/>
  <c r="AD9" i="7"/>
  <c r="X13" i="4"/>
  <c r="X313" i="4"/>
  <c r="X166" i="4"/>
  <c r="X173" i="4"/>
  <c r="Y23" i="5"/>
  <c r="X328" i="4"/>
  <c r="X12" i="4"/>
  <c r="AF8" i="8"/>
  <c r="Y9" i="5"/>
  <c r="Y12" i="5"/>
  <c r="Y54" i="6"/>
  <c r="X15" i="4"/>
  <c r="X209" i="4"/>
  <c r="AC56" i="3"/>
  <c r="AC55" i="3"/>
  <c r="AC7" i="4"/>
  <c r="AC6" i="3"/>
  <c r="AA32" i="4"/>
  <c r="Y8" i="9"/>
  <c r="AE8" i="7"/>
  <c r="AD7" i="7"/>
  <c r="V33" i="5"/>
  <c r="V318" i="4"/>
  <c r="X282" i="4"/>
  <c r="Y14" i="5"/>
  <c r="Y13" i="5"/>
  <c r="AF9" i="8"/>
  <c r="AF7" i="8"/>
  <c r="Y7" i="5"/>
  <c r="Y30" i="5"/>
  <c r="Y15" i="5"/>
  <c r="Z8" i="5"/>
  <c r="Y16" i="5"/>
  <c r="Y54" i="5"/>
  <c r="Y79" i="6"/>
  <c r="X80" i="4"/>
  <c r="Y75" i="6"/>
  <c r="M142" i="1"/>
  <c r="AD80" i="3"/>
  <c r="AD77" i="3"/>
  <c r="AC291" i="4"/>
  <c r="AC31" i="5"/>
  <c r="AD74" i="3"/>
  <c r="AD71" i="3"/>
  <c r="AC215" i="4"/>
  <c r="AC184" i="4"/>
  <c r="V93" i="6"/>
  <c r="J145" i="1"/>
  <c r="AC110" i="4"/>
  <c r="AC111" i="4"/>
  <c r="AD82" i="4"/>
  <c r="AD109" i="4"/>
  <c r="X283" i="4"/>
  <c r="AC219" i="4"/>
  <c r="W315" i="4"/>
  <c r="W317" i="4"/>
  <c r="V70" i="4"/>
  <c r="Y103" i="4"/>
  <c r="Y108" i="4"/>
  <c r="Y105" i="4"/>
  <c r="W21" i="4"/>
  <c r="Y6" i="9"/>
  <c r="Y12" i="3"/>
  <c r="V40" i="6"/>
  <c r="Y43" i="6"/>
  <c r="Z7" i="9"/>
  <c r="Y54" i="7"/>
  <c r="AE9" i="7"/>
  <c r="Y173" i="4"/>
  <c r="Y166" i="4"/>
  <c r="Y13" i="4"/>
  <c r="Y313" i="4"/>
  <c r="Y12" i="4"/>
  <c r="Z23" i="5"/>
  <c r="Y328" i="4"/>
  <c r="Z9" i="5"/>
  <c r="Z12" i="5"/>
  <c r="Z54" i="6"/>
  <c r="AG8" i="8"/>
  <c r="Y15" i="4"/>
  <c r="Y209" i="4"/>
  <c r="AD110" i="4"/>
  <c r="AD56" i="3"/>
  <c r="AD55" i="3"/>
  <c r="AC225" i="4"/>
  <c r="AC227" i="4"/>
  <c r="AD7" i="4"/>
  <c r="AD6" i="3"/>
  <c r="AB32" i="4"/>
  <c r="W33" i="5"/>
  <c r="Z8" i="9"/>
  <c r="Z14" i="5"/>
  <c r="AF8" i="7"/>
  <c r="AE7" i="7"/>
  <c r="W318" i="4"/>
  <c r="Z13" i="5"/>
  <c r="Z15" i="5"/>
  <c r="Z7" i="5"/>
  <c r="Z30" i="5"/>
  <c r="AG9" i="8"/>
  <c r="AG7" i="8"/>
  <c r="AA8" i="5"/>
  <c r="Z16" i="5"/>
  <c r="Z54" i="5"/>
  <c r="Z79" i="6"/>
  <c r="Y80" i="4"/>
  <c r="Y282" i="4"/>
  <c r="AE80" i="3"/>
  <c r="AE71" i="3"/>
  <c r="Z75" i="6"/>
  <c r="N142" i="1"/>
  <c r="AD291" i="4"/>
  <c r="AE77" i="3"/>
  <c r="AE74" i="3"/>
  <c r="AD31" i="5"/>
  <c r="W93" i="6"/>
  <c r="K145" i="1"/>
  <c r="AD111" i="4"/>
  <c r="AD225" i="4"/>
  <c r="AD227" i="4"/>
  <c r="AE82" i="4"/>
  <c r="Y283" i="4"/>
  <c r="AD219" i="4"/>
  <c r="X315" i="4"/>
  <c r="X317" i="4"/>
  <c r="W70" i="4"/>
  <c r="Z103" i="4"/>
  <c r="Z108" i="4"/>
  <c r="Z105" i="4"/>
  <c r="W40" i="6"/>
  <c r="X21" i="4"/>
  <c r="Z6" i="9"/>
  <c r="Z12" i="3"/>
  <c r="Z43" i="6"/>
  <c r="AA7" i="9"/>
  <c r="Z54" i="7"/>
  <c r="AF9" i="7"/>
  <c r="Z173" i="4"/>
  <c r="Z328" i="4"/>
  <c r="AA23" i="5"/>
  <c r="Z12" i="4"/>
  <c r="Z166" i="4"/>
  <c r="Z13" i="4"/>
  <c r="Z313" i="4"/>
  <c r="Z15" i="4"/>
  <c r="Z209" i="4"/>
  <c r="AA9" i="5"/>
  <c r="AA12" i="5"/>
  <c r="AA54" i="6"/>
  <c r="AH8" i="8"/>
  <c r="AE56" i="3"/>
  <c r="AE55" i="3"/>
  <c r="AE109" i="4"/>
  <c r="AE7" i="4"/>
  <c r="AE6" i="3"/>
  <c r="AC32" i="4"/>
  <c r="X33" i="5"/>
  <c r="AA8" i="9"/>
  <c r="AA14" i="5"/>
  <c r="AG8" i="7"/>
  <c r="AF7" i="7"/>
  <c r="X318" i="4"/>
  <c r="AB8" i="5"/>
  <c r="AA13" i="5"/>
  <c r="AA15" i="5"/>
  <c r="AH9" i="8"/>
  <c r="AH7" i="8"/>
  <c r="AA16" i="5"/>
  <c r="AA54" i="5"/>
  <c r="AA79" i="6"/>
  <c r="AA7" i="5"/>
  <c r="AA30" i="5"/>
  <c r="Z282" i="4"/>
  <c r="Z80" i="4"/>
  <c r="AF74" i="3"/>
  <c r="AF77" i="3"/>
  <c r="AE291" i="4"/>
  <c r="AE31" i="5"/>
  <c r="AA75" i="6"/>
  <c r="O142" i="1"/>
  <c r="AF80" i="3"/>
  <c r="AF71" i="3"/>
  <c r="AE215" i="4"/>
  <c r="X40" i="6"/>
  <c r="L145" i="1"/>
  <c r="AE111" i="4"/>
  <c r="AE110" i="4"/>
  <c r="AF109" i="4"/>
  <c r="AF82" i="4"/>
  <c r="Z283" i="4"/>
  <c r="AE219" i="4"/>
  <c r="Y315" i="4"/>
  <c r="Y317" i="4"/>
  <c r="X70" i="4"/>
  <c r="AA105" i="4"/>
  <c r="AA103" i="4"/>
  <c r="AA108" i="4"/>
  <c r="X93" i="6"/>
  <c r="Y21" i="4"/>
  <c r="AA6" i="9"/>
  <c r="AA12" i="3"/>
  <c r="AA43" i="6"/>
  <c r="AB7" i="9"/>
  <c r="AA54" i="7"/>
  <c r="AG9" i="7"/>
  <c r="AA166" i="4"/>
  <c r="AA328" i="4"/>
  <c r="AB23" i="5"/>
  <c r="AB9" i="5"/>
  <c r="AB12" i="5"/>
  <c r="AB54" i="6"/>
  <c r="AI8" i="8"/>
  <c r="AA173" i="4"/>
  <c r="AA15" i="4"/>
  <c r="AA209" i="4"/>
  <c r="AA13" i="4"/>
  <c r="AA313" i="4"/>
  <c r="AA12" i="4"/>
  <c r="AF56" i="3"/>
  <c r="AF55" i="3"/>
  <c r="AF7" i="4"/>
  <c r="AF6" i="3"/>
  <c r="AE225" i="4"/>
  <c r="AE227" i="4"/>
  <c r="Y33" i="5"/>
  <c r="AB8" i="9"/>
  <c r="AB14" i="5"/>
  <c r="AH8" i="7"/>
  <c r="AG7" i="7"/>
  <c r="Y318" i="4"/>
  <c r="AA282" i="4"/>
  <c r="AC8" i="5"/>
  <c r="AI9" i="8"/>
  <c r="AI7" i="8"/>
  <c r="AB7" i="5"/>
  <c r="AB30" i="5"/>
  <c r="AB15" i="5"/>
  <c r="AB13" i="5"/>
  <c r="AB16" i="5"/>
  <c r="AB54" i="5"/>
  <c r="AB79" i="6"/>
  <c r="AA80" i="4"/>
  <c r="R20" i="4"/>
  <c r="AB75" i="6"/>
  <c r="P142" i="1"/>
  <c r="AG80" i="3"/>
  <c r="AG77" i="3"/>
  <c r="AF291" i="4"/>
  <c r="AF31" i="5"/>
  <c r="AG74" i="3"/>
  <c r="AG71" i="3"/>
  <c r="AF215" i="4"/>
  <c r="AF184" i="4"/>
  <c r="Y93" i="6"/>
  <c r="M145" i="1"/>
  <c r="AF110" i="4"/>
  <c r="AF111" i="4"/>
  <c r="AG109" i="4"/>
  <c r="AG82" i="4"/>
  <c r="AA283" i="4"/>
  <c r="AF219" i="4"/>
  <c r="Z315" i="4"/>
  <c r="Z317" i="4"/>
  <c r="Y70" i="4"/>
  <c r="AB105" i="4"/>
  <c r="AB103" i="4"/>
  <c r="AB108" i="4"/>
  <c r="Y40" i="6"/>
  <c r="Z21" i="4"/>
  <c r="AB6" i="9"/>
  <c r="AB12" i="3"/>
  <c r="AC7" i="9"/>
  <c r="AB43" i="6"/>
  <c r="AB54" i="7"/>
  <c r="AH9" i="7"/>
  <c r="AB173" i="4"/>
  <c r="AB13" i="4"/>
  <c r="AB313" i="4"/>
  <c r="AB328" i="4"/>
  <c r="AC23" i="5"/>
  <c r="AB12" i="4"/>
  <c r="AB166" i="4"/>
  <c r="AJ8" i="8"/>
  <c r="AC9" i="5"/>
  <c r="AC12" i="5"/>
  <c r="AC54" i="6"/>
  <c r="AB209" i="4"/>
  <c r="AB15" i="4"/>
  <c r="AG56" i="3"/>
  <c r="AG55" i="3"/>
  <c r="AG7" i="4"/>
  <c r="AG6" i="3"/>
  <c r="AF225" i="4"/>
  <c r="AF227" i="4"/>
  <c r="AE184" i="4"/>
  <c r="AE25" i="9"/>
  <c r="AC8" i="9"/>
  <c r="AI8" i="7"/>
  <c r="AH7" i="7"/>
  <c r="AC14" i="5"/>
  <c r="Z33" i="5"/>
  <c r="Z318" i="4"/>
  <c r="AJ9" i="8"/>
  <c r="AJ7" i="8"/>
  <c r="AC16" i="5"/>
  <c r="AC54" i="5"/>
  <c r="AC79" i="6"/>
  <c r="AC13" i="5"/>
  <c r="AD8" i="5"/>
  <c r="AC7" i="5"/>
  <c r="AC30" i="5"/>
  <c r="AC15" i="5"/>
  <c r="AB282" i="4"/>
  <c r="AB80" i="4"/>
  <c r="AH77" i="3"/>
  <c r="AH71" i="3"/>
  <c r="AG291" i="4"/>
  <c r="AG31" i="5"/>
  <c r="AC75" i="6"/>
  <c r="Q142" i="1"/>
  <c r="AH80" i="3"/>
  <c r="AH74" i="3"/>
  <c r="AG215" i="4"/>
  <c r="AG184" i="4"/>
  <c r="N145" i="1"/>
  <c r="AG111" i="4"/>
  <c r="AG110" i="4"/>
  <c r="AE32" i="4"/>
  <c r="AB283" i="4"/>
  <c r="AG219" i="4"/>
  <c r="AA315" i="4"/>
  <c r="AA317" i="4"/>
  <c r="Z70" i="4"/>
  <c r="AC103" i="4"/>
  <c r="AC108" i="4"/>
  <c r="AC105" i="4"/>
  <c r="AA21" i="4"/>
  <c r="AC6" i="9"/>
  <c r="AC12" i="3"/>
  <c r="AC43" i="6"/>
  <c r="AD7" i="9"/>
  <c r="Z93" i="6"/>
  <c r="Z40" i="6"/>
  <c r="AC54" i="7"/>
  <c r="AI9" i="7"/>
  <c r="AC12" i="4"/>
  <c r="AC13" i="4"/>
  <c r="AC313" i="4"/>
  <c r="AC328" i="4"/>
  <c r="AD23" i="5"/>
  <c r="AC166" i="4"/>
  <c r="AC173" i="4"/>
  <c r="AD9" i="5"/>
  <c r="AD12" i="5"/>
  <c r="AD54" i="6"/>
  <c r="AK8" i="8"/>
  <c r="AC15" i="4"/>
  <c r="AC209" i="4"/>
  <c r="AH82" i="4"/>
  <c r="AH56" i="3"/>
  <c r="AH55" i="3"/>
  <c r="AH109" i="4"/>
  <c r="AG225" i="4"/>
  <c r="AG227" i="4"/>
  <c r="AH7" i="4"/>
  <c r="AH6" i="3"/>
  <c r="AF32" i="4"/>
  <c r="R50" i="4"/>
  <c r="AD8" i="9"/>
  <c r="AD14" i="5"/>
  <c r="AJ8" i="7"/>
  <c r="AI7" i="7"/>
  <c r="AA33" i="5"/>
  <c r="AA318" i="4"/>
  <c r="AD13" i="5"/>
  <c r="AD16" i="5"/>
  <c r="AD54" i="5"/>
  <c r="AD79" i="6"/>
  <c r="AD15" i="5"/>
  <c r="AE8" i="5"/>
  <c r="AK9" i="8"/>
  <c r="AK7" i="8"/>
  <c r="AD7" i="5"/>
  <c r="AD30" i="5"/>
  <c r="AC282" i="4"/>
  <c r="AC80" i="4"/>
  <c r="AD75" i="6"/>
  <c r="R142" i="1"/>
  <c r="AI80" i="3"/>
  <c r="AI71" i="3"/>
  <c r="AH291" i="4"/>
  <c r="AH31" i="5"/>
  <c r="AI77" i="3"/>
  <c r="AI74" i="3"/>
  <c r="AH215" i="4"/>
  <c r="AH184" i="4"/>
  <c r="AA93" i="6"/>
  <c r="O145" i="1"/>
  <c r="AH111" i="4"/>
  <c r="AH110" i="4"/>
  <c r="AI109" i="4"/>
  <c r="AI82" i="4"/>
  <c r="AC283" i="4"/>
  <c r="AH219" i="4"/>
  <c r="AB315" i="4"/>
  <c r="AB317" i="4"/>
  <c r="AA70" i="4"/>
  <c r="AD103" i="4"/>
  <c r="AD108" i="4"/>
  <c r="AD105" i="4"/>
  <c r="AB21" i="4"/>
  <c r="AD6" i="9"/>
  <c r="AD12" i="3"/>
  <c r="AE7" i="9"/>
  <c r="AD43" i="6"/>
  <c r="AA40" i="6"/>
  <c r="AD54" i="7"/>
  <c r="AJ9" i="7"/>
  <c r="AD13" i="4"/>
  <c r="AD313" i="4"/>
  <c r="AL8" i="8"/>
  <c r="AE9" i="5"/>
  <c r="AE12" i="5"/>
  <c r="AE54" i="6"/>
  <c r="AD166" i="4"/>
  <c r="AD173" i="4"/>
  <c r="AE23" i="5"/>
  <c r="AD328" i="4"/>
  <c r="AD12" i="4"/>
  <c r="AD209" i="4"/>
  <c r="AD15" i="4"/>
  <c r="AI110" i="4"/>
  <c r="AI56" i="3"/>
  <c r="AI55" i="3"/>
  <c r="AH225" i="4"/>
  <c r="AH227" i="4"/>
  <c r="AI7" i="4"/>
  <c r="AI6" i="3"/>
  <c r="AG32" i="4"/>
  <c r="AB33" i="5"/>
  <c r="AE8" i="9"/>
  <c r="AK8" i="7"/>
  <c r="AJ7" i="7"/>
  <c r="AE16" i="5"/>
  <c r="AE54" i="5"/>
  <c r="AE79" i="6"/>
  <c r="AF8" i="5"/>
  <c r="AE7" i="5"/>
  <c r="AE30" i="5"/>
  <c r="AE15" i="5"/>
  <c r="AE13" i="5"/>
  <c r="AL9" i="8"/>
  <c r="AL7" i="8"/>
  <c r="AE14" i="5"/>
  <c r="AB318" i="4"/>
  <c r="AD282" i="4"/>
  <c r="AD80" i="4"/>
  <c r="AI291" i="4"/>
  <c r="AI31" i="5"/>
  <c r="AE75" i="6"/>
  <c r="S142" i="1"/>
  <c r="AJ77" i="3"/>
  <c r="AJ71" i="3"/>
  <c r="AJ74" i="3"/>
  <c r="AI215" i="4"/>
  <c r="AI184" i="4"/>
  <c r="AJ80" i="3"/>
  <c r="AB93" i="6"/>
  <c r="P145" i="1"/>
  <c r="AI225" i="4"/>
  <c r="AI227" i="4"/>
  <c r="AI111" i="4"/>
  <c r="AD283" i="4"/>
  <c r="AI219" i="4"/>
  <c r="AC315" i="4"/>
  <c r="AC317" i="4"/>
  <c r="AB70" i="4"/>
  <c r="AE105" i="4"/>
  <c r="AE103" i="4"/>
  <c r="AE108" i="4"/>
  <c r="AB40" i="6"/>
  <c r="AC21" i="4"/>
  <c r="AE6" i="9"/>
  <c r="AE12" i="3"/>
  <c r="AF7" i="9"/>
  <c r="AE43" i="6"/>
  <c r="AE54" i="7"/>
  <c r="AK9" i="7"/>
  <c r="AE209" i="4"/>
  <c r="AE15" i="4"/>
  <c r="AE328" i="4"/>
  <c r="AF23" i="5"/>
  <c r="AE12" i="4"/>
  <c r="AE13" i="4"/>
  <c r="AE313" i="4"/>
  <c r="AE173" i="4"/>
  <c r="AE166" i="4"/>
  <c r="AF9" i="5"/>
  <c r="AF12" i="5"/>
  <c r="AF54" i="6"/>
  <c r="AM8" i="8"/>
  <c r="AJ109" i="4"/>
  <c r="AJ110" i="4"/>
  <c r="AJ56" i="3"/>
  <c r="AJ55" i="3"/>
  <c r="AJ82" i="4"/>
  <c r="AJ7" i="4"/>
  <c r="AJ6" i="3"/>
  <c r="AH32" i="4"/>
  <c r="AF8" i="9"/>
  <c r="AK7" i="7"/>
  <c r="AL8" i="7"/>
  <c r="AC33" i="5"/>
  <c r="AC318" i="4"/>
  <c r="AF16" i="5"/>
  <c r="AF54" i="5"/>
  <c r="AF79" i="6"/>
  <c r="AM9" i="8"/>
  <c r="AM7" i="8"/>
  <c r="AF13" i="5"/>
  <c r="AF15" i="5"/>
  <c r="AG8" i="5"/>
  <c r="AF7" i="5"/>
  <c r="AF30" i="5"/>
  <c r="AE80" i="4"/>
  <c r="AE282" i="4"/>
  <c r="AF14" i="5"/>
  <c r="AF75" i="6"/>
  <c r="T142" i="1"/>
  <c r="AK80" i="3"/>
  <c r="AK74" i="3"/>
  <c r="AK77" i="3"/>
  <c r="AK71" i="3"/>
  <c r="AJ291" i="4"/>
  <c r="AJ31" i="5"/>
  <c r="Q145" i="1"/>
  <c r="AJ215" i="4"/>
  <c r="AJ184" i="4"/>
  <c r="AJ111" i="4"/>
  <c r="AJ225" i="4"/>
  <c r="AJ227" i="4"/>
  <c r="AK82" i="4"/>
  <c r="AE283" i="4"/>
  <c r="AJ219" i="4"/>
  <c r="AD315" i="4"/>
  <c r="AD317" i="4"/>
  <c r="AC70" i="4"/>
  <c r="S50" i="4"/>
  <c r="AF105" i="4"/>
  <c r="AF103" i="4"/>
  <c r="AF108" i="4"/>
  <c r="AD21" i="4"/>
  <c r="AF6" i="9"/>
  <c r="AF12" i="3"/>
  <c r="AC93" i="6"/>
  <c r="AC40" i="6"/>
  <c r="AF43" i="6"/>
  <c r="AG7" i="9"/>
  <c r="AF54" i="7"/>
  <c r="AL9" i="7"/>
  <c r="AN8" i="8"/>
  <c r="AG9" i="5"/>
  <c r="AG12" i="5"/>
  <c r="AG54" i="6"/>
  <c r="AF166" i="4"/>
  <c r="AF15" i="4"/>
  <c r="AF209" i="4"/>
  <c r="AF173" i="4"/>
  <c r="AF13" i="4"/>
  <c r="AF313" i="4"/>
  <c r="AF12" i="4"/>
  <c r="AF328" i="4"/>
  <c r="AG23" i="5"/>
  <c r="AK109" i="4"/>
  <c r="AK110" i="4"/>
  <c r="AK56" i="3"/>
  <c r="AK55" i="3"/>
  <c r="AK7" i="4"/>
  <c r="AK6" i="3"/>
  <c r="AI32" i="4"/>
  <c r="AD318" i="4"/>
  <c r="AG8" i="9"/>
  <c r="AM8" i="7"/>
  <c r="AL7" i="7"/>
  <c r="AD33" i="5"/>
  <c r="AG14" i="5"/>
  <c r="AF282" i="4"/>
  <c r="AF80" i="4"/>
  <c r="AN9" i="8"/>
  <c r="AN7" i="8"/>
  <c r="AG13" i="5"/>
  <c r="AG16" i="5"/>
  <c r="AG54" i="5"/>
  <c r="AG79" i="6"/>
  <c r="AH8" i="5"/>
  <c r="AG7" i="5"/>
  <c r="AG30" i="5"/>
  <c r="AG15" i="5"/>
  <c r="AG75" i="6"/>
  <c r="U142" i="1"/>
  <c r="AK291" i="4"/>
  <c r="AK31" i="5"/>
  <c r="AL77" i="3"/>
  <c r="AL74" i="3"/>
  <c r="AL80" i="3"/>
  <c r="AL71" i="3"/>
  <c r="AK215" i="4"/>
  <c r="AK184" i="4"/>
  <c r="AD93" i="6"/>
  <c r="R145" i="1"/>
  <c r="AK111" i="4"/>
  <c r="AK225" i="4"/>
  <c r="AK227" i="4"/>
  <c r="AL82" i="4"/>
  <c r="AL109" i="4"/>
  <c r="AF283" i="4"/>
  <c r="AK219" i="4"/>
  <c r="AE315" i="4"/>
  <c r="AD70" i="4"/>
  <c r="AG103" i="4"/>
  <c r="AG108" i="4"/>
  <c r="AG105" i="4"/>
  <c r="AE21" i="4"/>
  <c r="AG173" i="4"/>
  <c r="AG6" i="9"/>
  <c r="AG12" i="3"/>
  <c r="AD40" i="6"/>
  <c r="AG43" i="6"/>
  <c r="AH7" i="9"/>
  <c r="AG54" i="7"/>
  <c r="AM9" i="7"/>
  <c r="AG15" i="4"/>
  <c r="AG209" i="4"/>
  <c r="AG12" i="4"/>
  <c r="AH23" i="5"/>
  <c r="AG328" i="4"/>
  <c r="AG166" i="4"/>
  <c r="AG13" i="4"/>
  <c r="AG313" i="4"/>
  <c r="AO8" i="8"/>
  <c r="AH9" i="5"/>
  <c r="AH12" i="5"/>
  <c r="AH54" i="6"/>
  <c r="AL56" i="3"/>
  <c r="AL55" i="3"/>
  <c r="AL7" i="4"/>
  <c r="AL6" i="3"/>
  <c r="AJ32" i="4"/>
  <c r="AE317" i="4"/>
  <c r="AE33" i="5"/>
  <c r="AH8" i="9"/>
  <c r="AM7" i="7"/>
  <c r="AN8" i="7"/>
  <c r="AO9" i="8"/>
  <c r="AO7" i="8"/>
  <c r="AH15" i="5"/>
  <c r="AH16" i="5"/>
  <c r="AH54" i="5"/>
  <c r="AH79" i="6"/>
  <c r="AI8" i="5"/>
  <c r="AH7" i="5"/>
  <c r="AH30" i="5"/>
  <c r="AH14" i="5"/>
  <c r="AH13" i="5"/>
  <c r="AG282" i="4"/>
  <c r="AG80" i="4"/>
  <c r="AM80" i="3"/>
  <c r="AH75" i="6"/>
  <c r="V142" i="1"/>
  <c r="AL291" i="4"/>
  <c r="AM77" i="3"/>
  <c r="AM74" i="3"/>
  <c r="AM71" i="3"/>
  <c r="AL215" i="4"/>
  <c r="AL184" i="4"/>
  <c r="AE93" i="6"/>
  <c r="S145" i="1"/>
  <c r="AL110" i="4"/>
  <c r="AL111" i="4"/>
  <c r="AM109" i="4"/>
  <c r="AM82" i="4"/>
  <c r="AH12" i="3"/>
  <c r="AG283" i="4"/>
  <c r="AE318" i="4"/>
  <c r="AE70" i="4"/>
  <c r="AL219" i="4"/>
  <c r="AH103" i="4"/>
  <c r="AH108" i="4"/>
  <c r="AH105" i="4"/>
  <c r="AE40" i="6"/>
  <c r="AF21" i="4"/>
  <c r="AH6" i="9"/>
  <c r="AH43" i="6"/>
  <c r="AI7" i="9"/>
  <c r="AH54" i="7"/>
  <c r="AN9" i="7"/>
  <c r="AH12" i="4"/>
  <c r="AI23" i="5"/>
  <c r="AH328" i="4"/>
  <c r="AH13" i="4"/>
  <c r="AH313" i="4"/>
  <c r="AH166" i="4"/>
  <c r="AH173" i="4"/>
  <c r="AH15" i="4"/>
  <c r="AH209" i="4"/>
  <c r="AI9" i="5"/>
  <c r="AI12" i="5"/>
  <c r="AI54" i="6"/>
  <c r="AP8" i="8"/>
  <c r="T50" i="4"/>
  <c r="AM110" i="4"/>
  <c r="AM56" i="3"/>
  <c r="AM55" i="3"/>
  <c r="AL31" i="5"/>
  <c r="AL225" i="4"/>
  <c r="AL227" i="4"/>
  <c r="AM7" i="4"/>
  <c r="AM6" i="3"/>
  <c r="AF315" i="4"/>
  <c r="AF317" i="4"/>
  <c r="AF33" i="5"/>
  <c r="AK32" i="4"/>
  <c r="AI8" i="9"/>
  <c r="AO8" i="7"/>
  <c r="AN7" i="7"/>
  <c r="AI13" i="5"/>
  <c r="AP9" i="8"/>
  <c r="AP7" i="8"/>
  <c r="AI16" i="5"/>
  <c r="AI54" i="5"/>
  <c r="AI79" i="6"/>
  <c r="AJ8" i="5"/>
  <c r="AI7" i="5"/>
  <c r="AI30" i="5"/>
  <c r="AI15" i="5"/>
  <c r="AH80" i="4"/>
  <c r="AH282" i="4"/>
  <c r="AI14" i="5"/>
  <c r="AN80" i="3"/>
  <c r="AN77" i="3"/>
  <c r="AN71" i="3"/>
  <c r="AI75" i="6"/>
  <c r="W142" i="1"/>
  <c r="AM291" i="4"/>
  <c r="AM31" i="5"/>
  <c r="AN74" i="3"/>
  <c r="AM215" i="4"/>
  <c r="AM184" i="4"/>
  <c r="AF40" i="6"/>
  <c r="T145" i="1"/>
  <c r="AM225" i="4"/>
  <c r="AM227" i="4"/>
  <c r="AM111" i="4"/>
  <c r="AN82" i="4"/>
  <c r="AI12" i="3"/>
  <c r="AF318" i="4"/>
  <c r="AG315" i="4"/>
  <c r="AG317" i="4"/>
  <c r="AH283" i="4"/>
  <c r="AM219" i="4"/>
  <c r="AI105" i="4"/>
  <c r="AI103" i="4"/>
  <c r="AI108" i="4"/>
  <c r="AF93" i="6"/>
  <c r="AG21" i="4"/>
  <c r="AI6" i="9"/>
  <c r="AI43" i="6"/>
  <c r="AJ7" i="9"/>
  <c r="AI54" i="7"/>
  <c r="AO9" i="7"/>
  <c r="AI13" i="4"/>
  <c r="AI313" i="4"/>
  <c r="AJ9" i="5"/>
  <c r="AJ12" i="5"/>
  <c r="AJ54" i="6"/>
  <c r="AQ8" i="8"/>
  <c r="AJ23" i="5"/>
  <c r="AI328" i="4"/>
  <c r="AI12" i="4"/>
  <c r="AI173" i="4"/>
  <c r="AI166" i="4"/>
  <c r="AI209" i="4"/>
  <c r="AI15" i="4"/>
  <c r="AN56" i="3"/>
  <c r="AN55" i="3"/>
  <c r="AN109" i="4"/>
  <c r="AN7" i="4"/>
  <c r="AN291" i="4"/>
  <c r="AN6" i="3"/>
  <c r="AN110" i="4"/>
  <c r="AF70" i="4"/>
  <c r="AL32" i="4"/>
  <c r="AJ8" i="9"/>
  <c r="AP8" i="7"/>
  <c r="AO7" i="7"/>
  <c r="AJ14" i="5"/>
  <c r="AG33" i="5"/>
  <c r="AG318" i="4"/>
  <c r="AI80" i="4"/>
  <c r="AI282" i="4"/>
  <c r="AJ13" i="5"/>
  <c r="AJ16" i="5"/>
  <c r="AJ54" i="5"/>
  <c r="AJ79" i="6"/>
  <c r="AK8" i="5"/>
  <c r="AJ15" i="5"/>
  <c r="AJ7" i="5"/>
  <c r="AJ30" i="5"/>
  <c r="AQ9" i="8"/>
  <c r="AQ7" i="8"/>
  <c r="AJ75" i="6"/>
  <c r="X142" i="1"/>
  <c r="AO80" i="3"/>
  <c r="AO77" i="3"/>
  <c r="AO71" i="3"/>
  <c r="AO74" i="3"/>
  <c r="AN31" i="5"/>
  <c r="U145" i="1"/>
  <c r="AN225" i="4"/>
  <c r="AN227" i="4"/>
  <c r="AN111" i="4"/>
  <c r="AO109" i="4"/>
  <c r="AJ12" i="3"/>
  <c r="AI283" i="4"/>
  <c r="AN219" i="4"/>
  <c r="AH315" i="4"/>
  <c r="AH317" i="4"/>
  <c r="AG70" i="4"/>
  <c r="U50" i="4"/>
  <c r="AJ105" i="4"/>
  <c r="AJ103" i="4"/>
  <c r="AJ108" i="4"/>
  <c r="AH21" i="4"/>
  <c r="AJ6" i="9"/>
  <c r="AK7" i="9"/>
  <c r="AJ43" i="6"/>
  <c r="AG93" i="6"/>
  <c r="AG40" i="6"/>
  <c r="AJ54" i="7"/>
  <c r="AP9" i="7"/>
  <c r="AJ173" i="4"/>
  <c r="AJ15" i="4"/>
  <c r="AJ209" i="4"/>
  <c r="AJ12" i="4"/>
  <c r="AJ13" i="4"/>
  <c r="AJ313" i="4"/>
  <c r="AJ166" i="4"/>
  <c r="AJ328" i="4"/>
  <c r="AK23" i="5"/>
  <c r="AR8" i="8"/>
  <c r="AK9" i="5"/>
  <c r="AK12" i="5"/>
  <c r="AK54" i="6"/>
  <c r="AO82" i="4"/>
  <c r="AO56" i="3"/>
  <c r="AO55" i="3"/>
  <c r="AO7" i="4"/>
  <c r="AO291" i="4"/>
  <c r="AO6" i="3"/>
  <c r="AO111" i="4"/>
  <c r="AM32" i="4"/>
  <c r="AK8" i="9"/>
  <c r="AQ8" i="7"/>
  <c r="AP7" i="7"/>
  <c r="AH318" i="4"/>
  <c r="AH33" i="5"/>
  <c r="AJ282" i="4"/>
  <c r="AK14" i="5"/>
  <c r="AR9" i="8"/>
  <c r="AR7" i="8"/>
  <c r="AK15" i="5"/>
  <c r="AL8" i="5"/>
  <c r="AK7" i="5"/>
  <c r="AK30" i="5"/>
  <c r="AK13" i="5"/>
  <c r="AK16" i="5"/>
  <c r="AK54" i="5"/>
  <c r="AK79" i="6"/>
  <c r="AJ80" i="4"/>
  <c r="AP74" i="3"/>
  <c r="AP71" i="3"/>
  <c r="AK75" i="6"/>
  <c r="Y142" i="1"/>
  <c r="AP80" i="3"/>
  <c r="AP77" i="3"/>
  <c r="AO215" i="4"/>
  <c r="AO31" i="5"/>
  <c r="AH93" i="6"/>
  <c r="V145" i="1"/>
  <c r="AO110" i="4"/>
  <c r="AK12" i="3"/>
  <c r="AJ283" i="4"/>
  <c r="AO219" i="4"/>
  <c r="AO25" i="9"/>
  <c r="AI315" i="4"/>
  <c r="AI317" i="4"/>
  <c r="AH70" i="4"/>
  <c r="AK103" i="4"/>
  <c r="AK108" i="4"/>
  <c r="AK105" i="4"/>
  <c r="AI21" i="4"/>
  <c r="AK6" i="9"/>
  <c r="AK43" i="6"/>
  <c r="AH40" i="6"/>
  <c r="AL7" i="9"/>
  <c r="AK54" i="7"/>
  <c r="AQ9" i="7"/>
  <c r="AK166" i="4"/>
  <c r="AL23" i="5"/>
  <c r="AK328" i="4"/>
  <c r="AL9" i="5"/>
  <c r="AL12" i="5"/>
  <c r="AL54" i="6"/>
  <c r="AS8" i="8"/>
  <c r="AK12" i="4"/>
  <c r="AK15" i="4"/>
  <c r="AK209" i="4"/>
  <c r="AK13" i="4"/>
  <c r="AK313" i="4"/>
  <c r="AP111" i="4"/>
  <c r="AP56" i="3"/>
  <c r="AP55" i="3"/>
  <c r="AP82" i="4"/>
  <c r="AP109" i="4"/>
  <c r="AP7" i="4"/>
  <c r="AP291" i="4"/>
  <c r="AP6" i="3"/>
  <c r="AO225" i="4"/>
  <c r="AO227" i="4"/>
  <c r="AL8" i="9"/>
  <c r="AL14" i="5"/>
  <c r="AR8" i="7"/>
  <c r="AQ7" i="7"/>
  <c r="AK80" i="4"/>
  <c r="AK173" i="4"/>
  <c r="AK282" i="4"/>
  <c r="AI33" i="5"/>
  <c r="AI318" i="4"/>
  <c r="AL13" i="5"/>
  <c r="AL7" i="5"/>
  <c r="AL30" i="5"/>
  <c r="AL15" i="5"/>
  <c r="AM8" i="5"/>
  <c r="AS9" i="8"/>
  <c r="AS7" i="8"/>
  <c r="AL16" i="5"/>
  <c r="AL54" i="5"/>
  <c r="AL79" i="6"/>
  <c r="AL75" i="6"/>
  <c r="Z142" i="1"/>
  <c r="AQ80" i="3"/>
  <c r="AQ77" i="3"/>
  <c r="AQ74" i="3"/>
  <c r="AQ71" i="3"/>
  <c r="AP215" i="4"/>
  <c r="AP184" i="4"/>
  <c r="AP31" i="5"/>
  <c r="AI93" i="6"/>
  <c r="W145" i="1"/>
  <c r="AP110" i="4"/>
  <c r="AP225" i="4"/>
  <c r="AP227" i="4"/>
  <c r="AL12" i="3"/>
  <c r="AQ109" i="4"/>
  <c r="AK283" i="4"/>
  <c r="AP219" i="4"/>
  <c r="AJ315" i="4"/>
  <c r="AJ317" i="4"/>
  <c r="AI70" i="4"/>
  <c r="AL103" i="4"/>
  <c r="AL108" i="4"/>
  <c r="AL105" i="4"/>
  <c r="AJ21" i="4"/>
  <c r="AL6" i="9"/>
  <c r="AI40" i="6"/>
  <c r="AM7" i="9"/>
  <c r="AL43" i="6"/>
  <c r="AL54" i="7"/>
  <c r="AR9" i="7"/>
  <c r="AL15" i="4"/>
  <c r="AL209" i="4"/>
  <c r="AL13" i="4"/>
  <c r="AL313" i="4"/>
  <c r="AM23" i="5"/>
  <c r="AL328" i="4"/>
  <c r="AM9" i="5"/>
  <c r="AM12" i="5"/>
  <c r="AM54" i="6"/>
  <c r="AT8" i="8"/>
  <c r="AL173" i="4"/>
  <c r="AL166" i="4"/>
  <c r="AL12" i="4"/>
  <c r="AQ56" i="3"/>
  <c r="AQ55" i="3"/>
  <c r="AQ82" i="4"/>
  <c r="AQ7" i="4"/>
  <c r="AQ291" i="4"/>
  <c r="AQ6" i="3"/>
  <c r="AJ33" i="5"/>
  <c r="AM8" i="9"/>
  <c r="AS8" i="7"/>
  <c r="AR7" i="7"/>
  <c r="AL80" i="4"/>
  <c r="AT9" i="8"/>
  <c r="AT7" i="8"/>
  <c r="AN8" i="5"/>
  <c r="AM7" i="5"/>
  <c r="AM30" i="5"/>
  <c r="AM13" i="5"/>
  <c r="AM16" i="5"/>
  <c r="AM54" i="5"/>
  <c r="AM79" i="6"/>
  <c r="AM15" i="5"/>
  <c r="AJ318" i="4"/>
  <c r="AL282" i="4"/>
  <c r="AM14" i="5"/>
  <c r="V50" i="4"/>
  <c r="AR77" i="3"/>
  <c r="AR71" i="3"/>
  <c r="AR74" i="3"/>
  <c r="AM75" i="6"/>
  <c r="AA142" i="1"/>
  <c r="AR80" i="3"/>
  <c r="AQ31" i="5"/>
  <c r="AQ215" i="4"/>
  <c r="AQ184" i="4"/>
  <c r="AJ93" i="6"/>
  <c r="X145" i="1"/>
  <c r="AQ111" i="4"/>
  <c r="AQ110" i="4"/>
  <c r="AR109" i="4"/>
  <c r="AM12" i="3"/>
  <c r="AO184" i="4"/>
  <c r="AO32" i="4"/>
  <c r="AL283" i="4"/>
  <c r="AQ219" i="4"/>
  <c r="AK315" i="4"/>
  <c r="AK317" i="4"/>
  <c r="AJ70" i="4"/>
  <c r="AM105" i="4"/>
  <c r="AM103" i="4"/>
  <c r="AM108" i="4"/>
  <c r="AJ40" i="6"/>
  <c r="AK21" i="4"/>
  <c r="AM6" i="9"/>
  <c r="AM43" i="6"/>
  <c r="AN7" i="9"/>
  <c r="AM54" i="7"/>
  <c r="AS9" i="7"/>
  <c r="AM15" i="4"/>
  <c r="AM209" i="4"/>
  <c r="AM12" i="4"/>
  <c r="AN9" i="5"/>
  <c r="AN12" i="5"/>
  <c r="AN54" i="6"/>
  <c r="AU8" i="8"/>
  <c r="AN23" i="5"/>
  <c r="AM328" i="4"/>
  <c r="AM166" i="4"/>
  <c r="AM173" i="4"/>
  <c r="AM13" i="4"/>
  <c r="AM313" i="4"/>
  <c r="AR82" i="4"/>
  <c r="AR56" i="3"/>
  <c r="AR55" i="3"/>
  <c r="AR7" i="4"/>
  <c r="AR291" i="4"/>
  <c r="AR6" i="3"/>
  <c r="AR111" i="4"/>
  <c r="AQ225" i="4"/>
  <c r="AQ227" i="4"/>
  <c r="AR215" i="4"/>
  <c r="AR184" i="4"/>
  <c r="AP32" i="4"/>
  <c r="AN8" i="9"/>
  <c r="AS7" i="7"/>
  <c r="AT8" i="7"/>
  <c r="AK33" i="5"/>
  <c r="AK318" i="4"/>
  <c r="AM282" i="4"/>
  <c r="AN14" i="5"/>
  <c r="AO8" i="5"/>
  <c r="AN7" i="5"/>
  <c r="AN30" i="5"/>
  <c r="AN15" i="5"/>
  <c r="AU9" i="8"/>
  <c r="AU7" i="8"/>
  <c r="AN13" i="5"/>
  <c r="AN16" i="5"/>
  <c r="AN54" i="5"/>
  <c r="AN79" i="6"/>
  <c r="AM80" i="4"/>
  <c r="AN75" i="6"/>
  <c r="AB142" i="1"/>
  <c r="AS80" i="3"/>
  <c r="AS77" i="3"/>
  <c r="AS71" i="3"/>
  <c r="AS74" i="3"/>
  <c r="AR31" i="5"/>
  <c r="Y145" i="1"/>
  <c r="AR110" i="4"/>
  <c r="AS109" i="4"/>
  <c r="AS82" i="4"/>
  <c r="AN12" i="3"/>
  <c r="AM283" i="4"/>
  <c r="AR219" i="4"/>
  <c r="AL315" i="4"/>
  <c r="AL317" i="4"/>
  <c r="AK70" i="4"/>
  <c r="AN105" i="4"/>
  <c r="AN103" i="4"/>
  <c r="AN108" i="4"/>
  <c r="AL21" i="4"/>
  <c r="AN6" i="9"/>
  <c r="AK93" i="6"/>
  <c r="AK40" i="6"/>
  <c r="AN43" i="6"/>
  <c r="AO7" i="9"/>
  <c r="AN54" i="7"/>
  <c r="AT9" i="7"/>
  <c r="AN173" i="4"/>
  <c r="AN13" i="4"/>
  <c r="AN313" i="4"/>
  <c r="AV8" i="8"/>
  <c r="AO9" i="5"/>
  <c r="AO12" i="5"/>
  <c r="AO54" i="6"/>
  <c r="AN328" i="4"/>
  <c r="AO23" i="5"/>
  <c r="AN166" i="4"/>
  <c r="AN12" i="4"/>
  <c r="AN209" i="4"/>
  <c r="AN15" i="4"/>
  <c r="AS56" i="3"/>
  <c r="AS55" i="3"/>
  <c r="AS7" i="4"/>
  <c r="AS291" i="4"/>
  <c r="AS6" i="3"/>
  <c r="AS111" i="4"/>
  <c r="AR225" i="4"/>
  <c r="AR227" i="4"/>
  <c r="AQ32" i="4"/>
  <c r="AO8" i="9"/>
  <c r="AU8" i="7"/>
  <c r="AT7" i="7"/>
  <c r="AO14" i="5"/>
  <c r="AP8" i="5"/>
  <c r="AO7" i="5"/>
  <c r="AO30" i="5"/>
  <c r="AO15" i="5"/>
  <c r="AV9" i="8"/>
  <c r="AV7" i="8"/>
  <c r="AO13" i="5"/>
  <c r="AO16" i="5"/>
  <c r="AO54" i="5"/>
  <c r="AO79" i="6"/>
  <c r="AN80" i="4"/>
  <c r="AL33" i="5"/>
  <c r="AL318" i="4"/>
  <c r="AN282" i="4"/>
  <c r="W50" i="4"/>
  <c r="AT74" i="3"/>
  <c r="AT71" i="3"/>
  <c r="AO75" i="6"/>
  <c r="AC142" i="1"/>
  <c r="AT80" i="3"/>
  <c r="AT77" i="3"/>
  <c r="AS215" i="4"/>
  <c r="AS184" i="4"/>
  <c r="AL93" i="6"/>
  <c r="Z145" i="1"/>
  <c r="AS110" i="4"/>
  <c r="AO12" i="3"/>
  <c r="AN283" i="4"/>
  <c r="AS219" i="4"/>
  <c r="AM315" i="4"/>
  <c r="AM317" i="4"/>
  <c r="AL70" i="4"/>
  <c r="AO103" i="4"/>
  <c r="AO108" i="4"/>
  <c r="AO105" i="4"/>
  <c r="AM21" i="4"/>
  <c r="AO6" i="9"/>
  <c r="AO43" i="6"/>
  <c r="AP7" i="9"/>
  <c r="AL40" i="6"/>
  <c r="AO54" i="7"/>
  <c r="AU9" i="7"/>
  <c r="AO173" i="4"/>
  <c r="AO12" i="4"/>
  <c r="AO15" i="4"/>
  <c r="AO209" i="4"/>
  <c r="AO13" i="4"/>
  <c r="AO313" i="4"/>
  <c r="AO328" i="4"/>
  <c r="AP23" i="5"/>
  <c r="AP9" i="5"/>
  <c r="AP12" i="5"/>
  <c r="AP54" i="6"/>
  <c r="AW8" i="8"/>
  <c r="AO166" i="4"/>
  <c r="AT111" i="4"/>
  <c r="AT56" i="3"/>
  <c r="AT55" i="3"/>
  <c r="AT109" i="4"/>
  <c r="AT82" i="4"/>
  <c r="AS31" i="5"/>
  <c r="AT7" i="4"/>
  <c r="AT291" i="4"/>
  <c r="AT6" i="3"/>
  <c r="AS225" i="4"/>
  <c r="AS227" i="4"/>
  <c r="AR32" i="4"/>
  <c r="AP8" i="9"/>
  <c r="AU7" i="7"/>
  <c r="AV8" i="7"/>
  <c r="AM33" i="5"/>
  <c r="AM318" i="4"/>
  <c r="AO282" i="4"/>
  <c r="AO80" i="4"/>
  <c r="AW9" i="8"/>
  <c r="AW7" i="8"/>
  <c r="AP16" i="5"/>
  <c r="AP54" i="5"/>
  <c r="AP79" i="6"/>
  <c r="AQ8" i="5"/>
  <c r="AP7" i="5"/>
  <c r="AP30" i="5"/>
  <c r="AP13" i="5"/>
  <c r="AP15" i="5"/>
  <c r="AP14" i="5"/>
  <c r="AU74" i="3"/>
  <c r="AP75" i="6"/>
  <c r="AD142" i="1"/>
  <c r="AU80" i="3"/>
  <c r="AU77" i="3"/>
  <c r="AU71" i="3"/>
  <c r="AT215" i="4"/>
  <c r="AT184" i="4"/>
  <c r="AA145" i="1"/>
  <c r="AT110" i="4"/>
  <c r="AT225" i="4"/>
  <c r="AT227" i="4"/>
  <c r="AU82" i="4"/>
  <c r="AP12" i="3"/>
  <c r="AO283" i="4"/>
  <c r="AT219" i="4"/>
  <c r="AN315" i="4"/>
  <c r="AN317" i="4"/>
  <c r="AM70" i="4"/>
  <c r="AP103" i="4"/>
  <c r="AP108" i="4"/>
  <c r="AP105" i="4"/>
  <c r="AN21" i="4"/>
  <c r="AP6" i="9"/>
  <c r="AM93" i="6"/>
  <c r="AQ7" i="9"/>
  <c r="AP43" i="6"/>
  <c r="AM40" i="6"/>
  <c r="AP54" i="7"/>
  <c r="AV9" i="7"/>
  <c r="AP12" i="4"/>
  <c r="AQ9" i="5"/>
  <c r="AQ12" i="5"/>
  <c r="AQ54" i="6"/>
  <c r="AX8" i="8"/>
  <c r="AQ23" i="5"/>
  <c r="AP328" i="4"/>
  <c r="AP15" i="4"/>
  <c r="AP209" i="4"/>
  <c r="AP166" i="4"/>
  <c r="AP13" i="4"/>
  <c r="AP313" i="4"/>
  <c r="AU56" i="3"/>
  <c r="AU55" i="3"/>
  <c r="AU109" i="4"/>
  <c r="AT31" i="5"/>
  <c r="AU7" i="4"/>
  <c r="AU291" i="4"/>
  <c r="AU6" i="3"/>
  <c r="AS32" i="4"/>
  <c r="AQ8" i="9"/>
  <c r="AW8" i="7"/>
  <c r="AV7" i="7"/>
  <c r="AP80" i="4"/>
  <c r="AQ13" i="5"/>
  <c r="AR8" i="5"/>
  <c r="AQ7" i="5"/>
  <c r="AQ30" i="5"/>
  <c r="AQ15" i="5"/>
  <c r="AQ16" i="5"/>
  <c r="AQ54" i="5"/>
  <c r="AQ79" i="6"/>
  <c r="AX9" i="8"/>
  <c r="AX7" i="8"/>
  <c r="AP282" i="4"/>
  <c r="AP173" i="4"/>
  <c r="AN318" i="4"/>
  <c r="AN33" i="5"/>
  <c r="AQ14" i="5"/>
  <c r="X50" i="4"/>
  <c r="AV77" i="3"/>
  <c r="AV71" i="3"/>
  <c r="AQ75" i="6"/>
  <c r="AE142" i="1"/>
  <c r="AV80" i="3"/>
  <c r="AV74" i="3"/>
  <c r="AU215" i="4"/>
  <c r="AU184" i="4"/>
  <c r="AU31" i="5"/>
  <c r="AN93" i="6"/>
  <c r="AB145" i="1"/>
  <c r="AU110" i="4"/>
  <c r="AU111" i="4"/>
  <c r="AV82" i="4"/>
  <c r="AQ12" i="3"/>
  <c r="AP283" i="4"/>
  <c r="AU219" i="4"/>
  <c r="AO315" i="4"/>
  <c r="AO317" i="4"/>
  <c r="AN70" i="4"/>
  <c r="AQ105" i="4"/>
  <c r="AQ103" i="4"/>
  <c r="AQ108" i="4"/>
  <c r="AO21" i="4"/>
  <c r="AQ6" i="9"/>
  <c r="AN40" i="6"/>
  <c r="AR7" i="9"/>
  <c r="AQ43" i="6"/>
  <c r="AQ54" i="7"/>
  <c r="AW9" i="7"/>
  <c r="AQ173" i="4"/>
  <c r="AQ166" i="4"/>
  <c r="AQ328" i="4"/>
  <c r="AR23" i="5"/>
  <c r="AQ13" i="4"/>
  <c r="AQ313" i="4"/>
  <c r="AR9" i="5"/>
  <c r="AR12" i="5"/>
  <c r="AR54" i="6"/>
  <c r="AY8" i="8"/>
  <c r="AQ15" i="4"/>
  <c r="AQ209" i="4"/>
  <c r="AQ12" i="4"/>
  <c r="AV109" i="4"/>
  <c r="AV56" i="3"/>
  <c r="AV55" i="3"/>
  <c r="AV7" i="4"/>
  <c r="AV291" i="4"/>
  <c r="AV6" i="3"/>
  <c r="AV110" i="4"/>
  <c r="AU225" i="4"/>
  <c r="AU227" i="4"/>
  <c r="AT32" i="4"/>
  <c r="AO33" i="5"/>
  <c r="AR8" i="9"/>
  <c r="AX8" i="7"/>
  <c r="AW7" i="7"/>
  <c r="AO318" i="4"/>
  <c r="AR14" i="5"/>
  <c r="AQ80" i="4"/>
  <c r="AS8" i="5"/>
  <c r="AR15" i="5"/>
  <c r="AR13" i="5"/>
  <c r="AR16" i="5"/>
  <c r="AR54" i="5"/>
  <c r="AR79" i="6"/>
  <c r="AR7" i="5"/>
  <c r="AR30" i="5"/>
  <c r="AY9" i="8"/>
  <c r="AY7" i="8"/>
  <c r="AQ282" i="4"/>
  <c r="AR75" i="6"/>
  <c r="AF142" i="1"/>
  <c r="AW80" i="3"/>
  <c r="AW77" i="3"/>
  <c r="AW71" i="3"/>
  <c r="AW74" i="3"/>
  <c r="AV215" i="4"/>
  <c r="AV184" i="4"/>
  <c r="AV31" i="5"/>
  <c r="AO93" i="6"/>
  <c r="AC145" i="1"/>
  <c r="AV111" i="4"/>
  <c r="AV225" i="4"/>
  <c r="AV227" i="4"/>
  <c r="AR12" i="3"/>
  <c r="AQ283" i="4"/>
  <c r="AV219" i="4"/>
  <c r="AP315" i="4"/>
  <c r="AP317" i="4"/>
  <c r="AO70" i="4"/>
  <c r="AR105" i="4"/>
  <c r="AR103" i="4"/>
  <c r="AR108" i="4"/>
  <c r="AO40" i="6"/>
  <c r="AP21" i="4"/>
  <c r="AR173" i="4"/>
  <c r="AR6" i="9"/>
  <c r="AR43" i="6"/>
  <c r="AS7" i="9"/>
  <c r="AR54" i="7"/>
  <c r="AX9" i="7"/>
  <c r="AR209" i="4"/>
  <c r="AR15" i="4"/>
  <c r="AS9" i="5"/>
  <c r="AS12" i="5"/>
  <c r="AS54" i="6"/>
  <c r="AZ8" i="8"/>
  <c r="AR166" i="4"/>
  <c r="AR328" i="4"/>
  <c r="AS23" i="5"/>
  <c r="AR12" i="4"/>
  <c r="AR13" i="4"/>
  <c r="AR313" i="4"/>
  <c r="AW56" i="3"/>
  <c r="AW55" i="3"/>
  <c r="AW82" i="4"/>
  <c r="AW109" i="4"/>
  <c r="AW7" i="4"/>
  <c r="AW6" i="3"/>
  <c r="AU32" i="4"/>
  <c r="AS8" i="9"/>
  <c r="AS14" i="5"/>
  <c r="AY8" i="7"/>
  <c r="AX7" i="7"/>
  <c r="AR80" i="4"/>
  <c r="AR282" i="4"/>
  <c r="AP33" i="5"/>
  <c r="AP318" i="4"/>
  <c r="AS13" i="5"/>
  <c r="AS16" i="5"/>
  <c r="AS54" i="5"/>
  <c r="AS79" i="6"/>
  <c r="AS15" i="5"/>
  <c r="AT8" i="5"/>
  <c r="AS7" i="5"/>
  <c r="AS30" i="5"/>
  <c r="AZ9" i="8"/>
  <c r="AZ7" i="8"/>
  <c r="Y50" i="4"/>
  <c r="AS75" i="6"/>
  <c r="AG142" i="1"/>
  <c r="AX80" i="3"/>
  <c r="AW215" i="4"/>
  <c r="AW184" i="4"/>
  <c r="AW291" i="4"/>
  <c r="AW31" i="5"/>
  <c r="AX77" i="3"/>
  <c r="AX74" i="3"/>
  <c r="AX71" i="3"/>
  <c r="AX109" i="4"/>
  <c r="AD145" i="1"/>
  <c r="AW110" i="4"/>
  <c r="AW111" i="4"/>
  <c r="AX82" i="4"/>
  <c r="AS12" i="3"/>
  <c r="AR283" i="4"/>
  <c r="AW219" i="4"/>
  <c r="AQ315" i="4"/>
  <c r="AQ317" i="4"/>
  <c r="AP70" i="4"/>
  <c r="AS103" i="4"/>
  <c r="AS108" i="4"/>
  <c r="AS105" i="4"/>
  <c r="AQ21" i="4"/>
  <c r="AS6" i="9"/>
  <c r="AS43" i="6"/>
  <c r="AP93" i="6"/>
  <c r="AP40" i="6"/>
  <c r="AT7" i="9"/>
  <c r="AS54" i="7"/>
  <c r="AY9" i="7"/>
  <c r="AS13" i="4"/>
  <c r="AS313" i="4"/>
  <c r="AS166" i="4"/>
  <c r="BA8" i="8"/>
  <c r="AT9" i="5"/>
  <c r="AT12" i="5"/>
  <c r="AT54" i="6"/>
  <c r="AT23" i="5"/>
  <c r="AS328" i="4"/>
  <c r="AS209" i="4"/>
  <c r="AS15" i="4"/>
  <c r="AS12" i="4"/>
  <c r="AS173" i="4"/>
  <c r="AX56" i="3"/>
  <c r="AX55" i="3"/>
  <c r="AX7" i="4"/>
  <c r="AX291" i="4"/>
  <c r="AX6" i="3"/>
  <c r="AX111" i="4"/>
  <c r="AW225" i="4"/>
  <c r="AW227" i="4"/>
  <c r="AV32" i="4"/>
  <c r="AQ318" i="4"/>
  <c r="AT8" i="9"/>
  <c r="AZ8" i="7"/>
  <c r="AY7" i="7"/>
  <c r="AQ33" i="5"/>
  <c r="AT13" i="5"/>
  <c r="AT16" i="5"/>
  <c r="AT54" i="5"/>
  <c r="AT79" i="6"/>
  <c r="AT15" i="5"/>
  <c r="BA9" i="8"/>
  <c r="BA7" i="8"/>
  <c r="AT7" i="5"/>
  <c r="AT30" i="5"/>
  <c r="AU8" i="5"/>
  <c r="AS282" i="4"/>
  <c r="AT14" i="5"/>
  <c r="AS80" i="4"/>
  <c r="AT75" i="6"/>
  <c r="AH142" i="1"/>
  <c r="AY80" i="3"/>
  <c r="AY77" i="3"/>
  <c r="AY74" i="3"/>
  <c r="AY71" i="3"/>
  <c r="AX31" i="5"/>
  <c r="AQ93" i="6"/>
  <c r="AE145" i="1"/>
  <c r="AX110" i="4"/>
  <c r="AX225" i="4"/>
  <c r="AX227" i="4"/>
  <c r="AT12" i="3"/>
  <c r="AS283" i="4"/>
  <c r="AX219" i="4"/>
  <c r="AR315" i="4"/>
  <c r="AR317" i="4"/>
  <c r="AQ70" i="4"/>
  <c r="AT103" i="4"/>
  <c r="AT108" i="4"/>
  <c r="AT105" i="4"/>
  <c r="AR21" i="4"/>
  <c r="AT6" i="9"/>
  <c r="AU7" i="9"/>
  <c r="AQ40" i="6"/>
  <c r="AT43" i="6"/>
  <c r="AT54" i="7"/>
  <c r="AZ9" i="7"/>
  <c r="AT15" i="4"/>
  <c r="AT209" i="4"/>
  <c r="AT173" i="4"/>
  <c r="AT166" i="4"/>
  <c r="AT12" i="4"/>
  <c r="AT13" i="4"/>
  <c r="AT313" i="4"/>
  <c r="AU23" i="5"/>
  <c r="AT328" i="4"/>
  <c r="BB8" i="8"/>
  <c r="AU9" i="5"/>
  <c r="AU12" i="5"/>
  <c r="AU54" i="6"/>
  <c r="AY82" i="4"/>
  <c r="AY56" i="3"/>
  <c r="AY55" i="3"/>
  <c r="AY109" i="4"/>
  <c r="AY7" i="4"/>
  <c r="AY291" i="4"/>
  <c r="AY6" i="3"/>
  <c r="AW32" i="4"/>
  <c r="AR33" i="5"/>
  <c r="AU8" i="9"/>
  <c r="BA8" i="7"/>
  <c r="AZ7" i="7"/>
  <c r="AR318" i="4"/>
  <c r="AU14" i="5"/>
  <c r="Z50" i="4"/>
  <c r="AU16" i="5"/>
  <c r="AU54" i="5"/>
  <c r="AU79" i="6"/>
  <c r="AU15" i="5"/>
  <c r="BB9" i="8"/>
  <c r="BB7" i="8"/>
  <c r="AU7" i="5"/>
  <c r="AU30" i="5"/>
  <c r="AV8" i="5"/>
  <c r="AU13" i="5"/>
  <c r="AT80" i="4"/>
  <c r="AT282" i="4"/>
  <c r="AU75" i="6"/>
  <c r="AI142" i="1"/>
  <c r="AZ77" i="3"/>
  <c r="AZ71" i="3"/>
  <c r="AZ80" i="3"/>
  <c r="AZ74" i="3"/>
  <c r="AY31" i="5"/>
  <c r="AR93" i="6"/>
  <c r="AF145" i="1"/>
  <c r="AY215" i="4"/>
  <c r="AY111" i="4"/>
  <c r="AY110" i="4"/>
  <c r="AZ82" i="4"/>
  <c r="AU12" i="3"/>
  <c r="AT283" i="4"/>
  <c r="AY219" i="4"/>
  <c r="AS315" i="4"/>
  <c r="AS317" i="4"/>
  <c r="AR70" i="4"/>
  <c r="AU105" i="4"/>
  <c r="AU103" i="4"/>
  <c r="AU108" i="4"/>
  <c r="AR40" i="6"/>
  <c r="AS21" i="4"/>
  <c r="AU6" i="9"/>
  <c r="AU43" i="6"/>
  <c r="AV7" i="9"/>
  <c r="AU54" i="7"/>
  <c r="BA9" i="7"/>
  <c r="AU173" i="4"/>
  <c r="AU328" i="4"/>
  <c r="AV23" i="5"/>
  <c r="AU12" i="4"/>
  <c r="BC8" i="8"/>
  <c r="AV9" i="5"/>
  <c r="AV12" i="5"/>
  <c r="AV54" i="6"/>
  <c r="AU166" i="4"/>
  <c r="AU13" i="4"/>
  <c r="AU313" i="4"/>
  <c r="AU209" i="4"/>
  <c r="AU15" i="4"/>
  <c r="AZ56" i="3"/>
  <c r="AZ55" i="3"/>
  <c r="AZ109" i="4"/>
  <c r="AZ7" i="4"/>
  <c r="AZ291" i="4"/>
  <c r="AZ6" i="3"/>
  <c r="AY225" i="4"/>
  <c r="AY227" i="4"/>
  <c r="AV8" i="9"/>
  <c r="BB8" i="7"/>
  <c r="BA7" i="7"/>
  <c r="AS33" i="5"/>
  <c r="AS318" i="4"/>
  <c r="AU80" i="4"/>
  <c r="AV13" i="5"/>
  <c r="AV16" i="5"/>
  <c r="AV54" i="5"/>
  <c r="AV79" i="6"/>
  <c r="AW8" i="5"/>
  <c r="AV7" i="5"/>
  <c r="AV30" i="5"/>
  <c r="AV14" i="5"/>
  <c r="BC9" i="8"/>
  <c r="BC7" i="8"/>
  <c r="AV15" i="5"/>
  <c r="AU282" i="4"/>
  <c r="AV75" i="6"/>
  <c r="AJ142" i="1"/>
  <c r="BA80" i="3"/>
  <c r="BA74" i="3"/>
  <c r="BA71" i="3"/>
  <c r="BA77" i="3"/>
  <c r="AZ31" i="5"/>
  <c r="AZ215" i="4"/>
  <c r="AG145" i="1"/>
  <c r="AZ111" i="4"/>
  <c r="AZ110" i="4"/>
  <c r="AV12" i="3"/>
  <c r="AU283" i="4"/>
  <c r="AZ219" i="4"/>
  <c r="AT315" i="4"/>
  <c r="AT317" i="4"/>
  <c r="AS70" i="4"/>
  <c r="AV105" i="4"/>
  <c r="AV103" i="4"/>
  <c r="AV108" i="4"/>
  <c r="AT21" i="4"/>
  <c r="AV6" i="9"/>
  <c r="AW7" i="9"/>
  <c r="AV43" i="6"/>
  <c r="AS93" i="6"/>
  <c r="AS40" i="6"/>
  <c r="AV54" i="7"/>
  <c r="BB9" i="7"/>
  <c r="AV13" i="4"/>
  <c r="AV313" i="4"/>
  <c r="AV166" i="4"/>
  <c r="AV173" i="4"/>
  <c r="AV15" i="4"/>
  <c r="AV209" i="4"/>
  <c r="AV12" i="4"/>
  <c r="AW9" i="5"/>
  <c r="AW12" i="5"/>
  <c r="AW54" i="6"/>
  <c r="BD8" i="8"/>
  <c r="AW23" i="5"/>
  <c r="AV328" i="4"/>
  <c r="BA56" i="3"/>
  <c r="BA55" i="3"/>
  <c r="BA82" i="4"/>
  <c r="BA109" i="4"/>
  <c r="BA7" i="4"/>
  <c r="BA291" i="4"/>
  <c r="BA6" i="3"/>
  <c r="AZ225" i="4"/>
  <c r="AZ227" i="4"/>
  <c r="AY25" i="9"/>
  <c r="AY184" i="4"/>
  <c r="AW8" i="9"/>
  <c r="AA50" i="4"/>
  <c r="BC8" i="7"/>
  <c r="BB7" i="7"/>
  <c r="AW14" i="5"/>
  <c r="AT33" i="5"/>
  <c r="AT318" i="4"/>
  <c r="AV80" i="4"/>
  <c r="AX8" i="5"/>
  <c r="BD9" i="8"/>
  <c r="BD7" i="8"/>
  <c r="AW16" i="5"/>
  <c r="AW54" i="5"/>
  <c r="AW79" i="6"/>
  <c r="AW13" i="5"/>
  <c r="AW7" i="5"/>
  <c r="AW30" i="5"/>
  <c r="AW15" i="5"/>
  <c r="AV282" i="4"/>
  <c r="AW75" i="6"/>
  <c r="AK142" i="1"/>
  <c r="BB80" i="3"/>
  <c r="BB74" i="3"/>
  <c r="BB77" i="3"/>
  <c r="BB71" i="3"/>
  <c r="BA31" i="5"/>
  <c r="AT93" i="6"/>
  <c r="AH145" i="1"/>
  <c r="BA215" i="4"/>
  <c r="BA184" i="4"/>
  <c r="BA111" i="4"/>
  <c r="BA110" i="4"/>
  <c r="BB82" i="4"/>
  <c r="AW12" i="3"/>
  <c r="AY32" i="4"/>
  <c r="AV283" i="4"/>
  <c r="BA219" i="4"/>
  <c r="AU315" i="4"/>
  <c r="AU317" i="4"/>
  <c r="AT70" i="4"/>
  <c r="AW103" i="4"/>
  <c r="AW108" i="4"/>
  <c r="AW105" i="4"/>
  <c r="AU21" i="4"/>
  <c r="AW6" i="9"/>
  <c r="AW43" i="6"/>
  <c r="AT40" i="6"/>
  <c r="AX7" i="9"/>
  <c r="AW54" i="7"/>
  <c r="BC9" i="7"/>
  <c r="AW173" i="4"/>
  <c r="AW166" i="4"/>
  <c r="AW15" i="4"/>
  <c r="AW209" i="4"/>
  <c r="AW328" i="4"/>
  <c r="AX23" i="5"/>
  <c r="AX9" i="5"/>
  <c r="AX12" i="5"/>
  <c r="AX54" i="6"/>
  <c r="BE8" i="8"/>
  <c r="AW12" i="4"/>
  <c r="AW13" i="4"/>
  <c r="AW313" i="4"/>
  <c r="BB56" i="3"/>
  <c r="BB55" i="3"/>
  <c r="BB109" i="4"/>
  <c r="BB7" i="4"/>
  <c r="BB6" i="3"/>
  <c r="BA225" i="4"/>
  <c r="BA227" i="4"/>
  <c r="AZ184" i="4"/>
  <c r="AX8" i="9"/>
  <c r="BC7" i="7"/>
  <c r="BD8" i="7"/>
  <c r="AU33" i="5"/>
  <c r="AU318" i="4"/>
  <c r="AX13" i="5"/>
  <c r="AX16" i="5"/>
  <c r="AX54" i="5"/>
  <c r="AX79" i="6"/>
  <c r="AX14" i="5"/>
  <c r="BE9" i="8"/>
  <c r="BE7" i="8"/>
  <c r="AX7" i="5"/>
  <c r="AX30" i="5"/>
  <c r="AX15" i="5"/>
  <c r="AY8" i="5"/>
  <c r="AW282" i="4"/>
  <c r="AW80" i="4"/>
  <c r="BC74" i="3"/>
  <c r="BC71" i="3"/>
  <c r="BB215" i="4"/>
  <c r="BB184" i="4"/>
  <c r="BB291" i="4"/>
  <c r="BB31" i="5"/>
  <c r="AX75" i="6"/>
  <c r="AL142" i="1"/>
  <c r="BC80" i="3"/>
  <c r="BC77" i="3"/>
  <c r="AU93" i="6"/>
  <c r="AI145" i="1"/>
  <c r="BB111" i="4"/>
  <c r="BB110" i="4"/>
  <c r="AX12" i="3"/>
  <c r="AZ32" i="4"/>
  <c r="AW283" i="4"/>
  <c r="BB219" i="4"/>
  <c r="AV315" i="4"/>
  <c r="AV317" i="4"/>
  <c r="AU70" i="4"/>
  <c r="AX103" i="4"/>
  <c r="AX108" i="4"/>
  <c r="AX105" i="4"/>
  <c r="AV21" i="4"/>
  <c r="AX6" i="9"/>
  <c r="AY7" i="9"/>
  <c r="AU40" i="6"/>
  <c r="AX43" i="6"/>
  <c r="AX54" i="7"/>
  <c r="BD9" i="7"/>
  <c r="AX173" i="4"/>
  <c r="AX15" i="4"/>
  <c r="AX209" i="4"/>
  <c r="AX13" i="4"/>
  <c r="AX313" i="4"/>
  <c r="AY9" i="5"/>
  <c r="AY12" i="5"/>
  <c r="AY54" i="6"/>
  <c r="BF8" i="8"/>
  <c r="AX166" i="4"/>
  <c r="AX328" i="4"/>
  <c r="AY23" i="5"/>
  <c r="AX12" i="4"/>
  <c r="BC82" i="4"/>
  <c r="BC56" i="3"/>
  <c r="BC55" i="3"/>
  <c r="BC109" i="4"/>
  <c r="BC7" i="4"/>
  <c r="BC291" i="4"/>
  <c r="BC111" i="4"/>
  <c r="BC6" i="3"/>
  <c r="BB225" i="4"/>
  <c r="BB227" i="4"/>
  <c r="BA32" i="4"/>
  <c r="AB50" i="4"/>
  <c r="AV33" i="5"/>
  <c r="AY8" i="9"/>
  <c r="BE8" i="7"/>
  <c r="BD7" i="7"/>
  <c r="AX282" i="4"/>
  <c r="AV318" i="4"/>
  <c r="AX80" i="4"/>
  <c r="AY13" i="5"/>
  <c r="AY14" i="5"/>
  <c r="BF9" i="8"/>
  <c r="BF7" i="8"/>
  <c r="AY16" i="5"/>
  <c r="AY54" i="5"/>
  <c r="AY79" i="6"/>
  <c r="AZ8" i="5"/>
  <c r="AY7" i="5"/>
  <c r="AY30" i="5"/>
  <c r="AY15" i="5"/>
  <c r="AY75" i="6"/>
  <c r="AM142" i="1"/>
  <c r="BD80" i="3"/>
  <c r="BD74" i="3"/>
  <c r="BD77" i="3"/>
  <c r="BD71" i="3"/>
  <c r="BC31" i="5"/>
  <c r="AV93" i="6"/>
  <c r="AJ145" i="1"/>
  <c r="BC215" i="4"/>
  <c r="BC184" i="4"/>
  <c r="BC110" i="4"/>
  <c r="BC225" i="4"/>
  <c r="BC227" i="4"/>
  <c r="AY12" i="3"/>
  <c r="BD109" i="4"/>
  <c r="AX283" i="4"/>
  <c r="BC219" i="4"/>
  <c r="AW315" i="4"/>
  <c r="AW317" i="4"/>
  <c r="AV70" i="4"/>
  <c r="AY105" i="4"/>
  <c r="AY103" i="4"/>
  <c r="AY108" i="4"/>
  <c r="AV40" i="6"/>
  <c r="AW21" i="4"/>
  <c r="AY6" i="9"/>
  <c r="AZ7" i="9"/>
  <c r="AY43" i="6"/>
  <c r="AY54" i="7"/>
  <c r="BE9" i="7"/>
  <c r="AY15" i="4"/>
  <c r="AY209" i="4"/>
  <c r="BG8" i="8"/>
  <c r="AZ9" i="5"/>
  <c r="AZ12" i="5"/>
  <c r="AZ54" i="6"/>
  <c r="AY12" i="4"/>
  <c r="AY13" i="4"/>
  <c r="AY313" i="4"/>
  <c r="AY328" i="4"/>
  <c r="AZ23" i="5"/>
  <c r="AY173" i="4"/>
  <c r="AY166" i="4"/>
  <c r="BD82" i="4"/>
  <c r="BD56" i="3"/>
  <c r="BD55" i="3"/>
  <c r="BD7" i="4"/>
  <c r="BD291" i="4"/>
  <c r="BD6" i="3"/>
  <c r="BB32" i="4"/>
  <c r="AW33" i="5"/>
  <c r="AZ8" i="9"/>
  <c r="BE7" i="7"/>
  <c r="BF8" i="7"/>
  <c r="AW318" i="4"/>
  <c r="AY282" i="4"/>
  <c r="AY80" i="4"/>
  <c r="AZ13" i="5"/>
  <c r="AZ7" i="5"/>
  <c r="AZ30" i="5"/>
  <c r="AZ14" i="5"/>
  <c r="BA8" i="5"/>
  <c r="AZ15" i="5"/>
  <c r="AZ16" i="5"/>
  <c r="AZ54" i="5"/>
  <c r="AZ79" i="6"/>
  <c r="BG9" i="8"/>
  <c r="BG7" i="8"/>
  <c r="AZ75" i="6"/>
  <c r="AN142" i="1"/>
  <c r="BE80" i="3"/>
  <c r="BE74" i="3"/>
  <c r="BE77" i="3"/>
  <c r="BE71" i="3"/>
  <c r="BD31" i="5"/>
  <c r="BD215" i="4"/>
  <c r="BD184" i="4"/>
  <c r="AW93" i="6"/>
  <c r="AK145" i="1"/>
  <c r="BD111" i="4"/>
  <c r="BD110" i="4"/>
  <c r="BE82" i="4"/>
  <c r="AZ12" i="3"/>
  <c r="AY283" i="4"/>
  <c r="BD219" i="4"/>
  <c r="AX315" i="4"/>
  <c r="AX317" i="4"/>
  <c r="AW70" i="4"/>
  <c r="AZ105" i="4"/>
  <c r="AZ103" i="4"/>
  <c r="AZ108" i="4"/>
  <c r="AW40" i="6"/>
  <c r="AX21" i="4"/>
  <c r="AZ6" i="9"/>
  <c r="BA7" i="9"/>
  <c r="AZ43" i="6"/>
  <c r="AZ54" i="7"/>
  <c r="BF9" i="7"/>
  <c r="AZ173" i="4"/>
  <c r="BH8" i="8"/>
  <c r="BA9" i="5"/>
  <c r="BA12" i="5"/>
  <c r="BA54" i="6"/>
  <c r="AZ12" i="4"/>
  <c r="BA23" i="5"/>
  <c r="AZ328" i="4"/>
  <c r="AZ209" i="4"/>
  <c r="AZ15" i="4"/>
  <c r="AZ166" i="4"/>
  <c r="AZ13" i="4"/>
  <c r="AZ313" i="4"/>
  <c r="BE56" i="3"/>
  <c r="BE55" i="3"/>
  <c r="BE109" i="4"/>
  <c r="BE7" i="4"/>
  <c r="BE291" i="4"/>
  <c r="BE6" i="3"/>
  <c r="BD225" i="4"/>
  <c r="BD227" i="4"/>
  <c r="BC32" i="4"/>
  <c r="AC50" i="4"/>
  <c r="AX33" i="5"/>
  <c r="BA8" i="9"/>
  <c r="BA14" i="5"/>
  <c r="BG8" i="7"/>
  <c r="BF7" i="7"/>
  <c r="AX318" i="4"/>
  <c r="AZ80" i="4"/>
  <c r="BA13" i="5"/>
  <c r="BA16" i="5"/>
  <c r="BA54" i="5"/>
  <c r="BA79" i="6"/>
  <c r="BA15" i="5"/>
  <c r="BH9" i="8"/>
  <c r="BH7" i="8"/>
  <c r="BB8" i="5"/>
  <c r="BA7" i="5"/>
  <c r="BA30" i="5"/>
  <c r="AZ282" i="4"/>
  <c r="BF74" i="3"/>
  <c r="BF71" i="3"/>
  <c r="BA75" i="6"/>
  <c r="AO142" i="1"/>
  <c r="BF80" i="3"/>
  <c r="BF77" i="3"/>
  <c r="BE215" i="4"/>
  <c r="BE184" i="4"/>
  <c r="BE31" i="5"/>
  <c r="AX93" i="6"/>
  <c r="AL145" i="1"/>
  <c r="BE110" i="4"/>
  <c r="BE111" i="4"/>
  <c r="BF82" i="4"/>
  <c r="BA12" i="3"/>
  <c r="AZ283" i="4"/>
  <c r="BE219" i="4"/>
  <c r="AY315" i="4"/>
  <c r="AY317" i="4"/>
  <c r="AX70" i="4"/>
  <c r="BA103" i="4"/>
  <c r="BA108" i="4"/>
  <c r="BA105" i="4"/>
  <c r="AX40" i="6"/>
  <c r="AY21" i="4"/>
  <c r="BA6" i="9"/>
  <c r="BB7" i="9"/>
  <c r="BA43" i="6"/>
  <c r="BA54" i="7"/>
  <c r="BG9" i="7"/>
  <c r="BA173" i="4"/>
  <c r="BA12" i="4"/>
  <c r="BA13" i="4"/>
  <c r="BA313" i="4"/>
  <c r="BA15" i="4"/>
  <c r="BA209" i="4"/>
  <c r="BI8" i="8"/>
  <c r="BB9" i="5"/>
  <c r="BB12" i="5"/>
  <c r="BB54" i="6"/>
  <c r="BA166" i="4"/>
  <c r="BB23" i="5"/>
  <c r="BA328" i="4"/>
  <c r="BF109" i="4"/>
  <c r="BF56" i="3"/>
  <c r="BF55" i="3"/>
  <c r="BF7" i="4"/>
  <c r="BF291" i="4"/>
  <c r="BF6" i="3"/>
  <c r="BE225" i="4"/>
  <c r="BE227" i="4"/>
  <c r="BD32" i="4"/>
  <c r="AY33" i="5"/>
  <c r="BB8" i="9"/>
  <c r="BH8" i="7"/>
  <c r="BG7" i="7"/>
  <c r="BB14" i="5"/>
  <c r="BA80" i="4"/>
  <c r="BA282" i="4"/>
  <c r="AY318" i="4"/>
  <c r="BI9" i="8"/>
  <c r="BI7" i="8"/>
  <c r="BB7" i="5"/>
  <c r="BB30" i="5"/>
  <c r="BB13" i="5"/>
  <c r="BB16" i="5"/>
  <c r="BB54" i="5"/>
  <c r="BB79" i="6"/>
  <c r="BC8" i="5"/>
  <c r="BB15" i="5"/>
  <c r="BB75" i="6"/>
  <c r="AP142" i="1"/>
  <c r="BG80" i="3"/>
  <c r="BG77" i="3"/>
  <c r="BG71" i="3"/>
  <c r="BF215" i="4"/>
  <c r="BF184" i="4"/>
  <c r="BG74" i="3"/>
  <c r="BF31" i="5"/>
  <c r="AY93" i="6"/>
  <c r="AM145" i="1"/>
  <c r="BF111" i="4"/>
  <c r="BF110" i="4"/>
  <c r="BF225" i="4"/>
  <c r="BF227" i="4"/>
  <c r="BB12" i="3"/>
  <c r="BA283" i="4"/>
  <c r="BF219" i="4"/>
  <c r="AZ315" i="4"/>
  <c r="AZ317" i="4"/>
  <c r="AY70" i="4"/>
  <c r="BB103" i="4"/>
  <c r="BB108" i="4"/>
  <c r="BB105" i="4"/>
  <c r="AY40" i="6"/>
  <c r="AZ21" i="4"/>
  <c r="BB6" i="9"/>
  <c r="BB43" i="6"/>
  <c r="BC7" i="9"/>
  <c r="BB54" i="7"/>
  <c r="BH9" i="7"/>
  <c r="BJ8" i="8"/>
  <c r="BC9" i="5"/>
  <c r="BC12" i="5"/>
  <c r="BC54" i="6"/>
  <c r="BB13" i="4"/>
  <c r="BB313" i="4"/>
  <c r="BB12" i="4"/>
  <c r="BC23" i="5"/>
  <c r="BB328" i="4"/>
  <c r="BB15" i="4"/>
  <c r="BB209" i="4"/>
  <c r="BB173" i="4"/>
  <c r="BB166" i="4"/>
  <c r="BG56" i="3"/>
  <c r="BG55" i="3"/>
  <c r="BG82" i="4"/>
  <c r="BG109" i="4"/>
  <c r="BG7" i="4"/>
  <c r="BG291" i="4"/>
  <c r="BG6" i="3"/>
  <c r="BE32" i="4"/>
  <c r="BC8" i="9"/>
  <c r="BI8" i="7"/>
  <c r="BH7" i="7"/>
  <c r="BC14" i="5"/>
  <c r="BB80" i="4"/>
  <c r="AZ33" i="5"/>
  <c r="AZ318" i="4"/>
  <c r="BB282" i="4"/>
  <c r="BD8" i="5"/>
  <c r="BC15" i="5"/>
  <c r="BC13" i="5"/>
  <c r="BJ9" i="8"/>
  <c r="BJ7" i="8"/>
  <c r="BC7" i="5"/>
  <c r="BC30" i="5"/>
  <c r="BC16" i="5"/>
  <c r="BC54" i="5"/>
  <c r="BC79" i="6"/>
  <c r="BC75" i="6"/>
  <c r="AQ142" i="1"/>
  <c r="BH71" i="3"/>
  <c r="BH77" i="3"/>
  <c r="BH80" i="3"/>
  <c r="BH74" i="3"/>
  <c r="BG31" i="5"/>
  <c r="AN145" i="1"/>
  <c r="BG215" i="4"/>
  <c r="BG184" i="4"/>
  <c r="BG110" i="4"/>
  <c r="BG111" i="4"/>
  <c r="BH82" i="4"/>
  <c r="BC12" i="3"/>
  <c r="BB283" i="4"/>
  <c r="BG219" i="4"/>
  <c r="BA315" i="4"/>
  <c r="BA317" i="4"/>
  <c r="AZ70" i="4"/>
  <c r="BC105" i="4"/>
  <c r="BC103" i="4"/>
  <c r="BC108" i="4"/>
  <c r="BA21" i="4"/>
  <c r="BC6" i="9"/>
  <c r="BC43" i="6"/>
  <c r="BD7" i="9"/>
  <c r="AZ93" i="6"/>
  <c r="AZ40" i="6"/>
  <c r="BC54" i="7"/>
  <c r="BI9" i="7"/>
  <c r="BC173" i="4"/>
  <c r="BC166" i="4"/>
  <c r="BC13" i="4"/>
  <c r="BC313" i="4"/>
  <c r="BK8" i="8"/>
  <c r="BD9" i="5"/>
  <c r="BD12" i="5"/>
  <c r="BD54" i="6"/>
  <c r="BD23" i="5"/>
  <c r="BC328" i="4"/>
  <c r="BC12" i="4"/>
  <c r="BC15" i="4"/>
  <c r="BC209" i="4"/>
  <c r="BH110" i="4"/>
  <c r="BH56" i="3"/>
  <c r="BH55" i="3"/>
  <c r="BH109" i="4"/>
  <c r="BG225" i="4"/>
  <c r="BG227" i="4"/>
  <c r="BH7" i="4"/>
  <c r="BH291" i="4"/>
  <c r="BH6" i="3"/>
  <c r="BF32" i="4"/>
  <c r="BD8" i="9"/>
  <c r="BJ8" i="7"/>
  <c r="BI7" i="7"/>
  <c r="BA33" i="5"/>
  <c r="BA318" i="4"/>
  <c r="BD14" i="5"/>
  <c r="BK9" i="8"/>
  <c r="BK7" i="8"/>
  <c r="BD13" i="5"/>
  <c r="BD16" i="5"/>
  <c r="BD54" i="5"/>
  <c r="BD79" i="6"/>
  <c r="BD15" i="5"/>
  <c r="BE8" i="5"/>
  <c r="BD7" i="5"/>
  <c r="BD30" i="5"/>
  <c r="BC80" i="4"/>
  <c r="BC282" i="4"/>
  <c r="BD75" i="6"/>
  <c r="AR142" i="1"/>
  <c r="BI77" i="3"/>
  <c r="BI71" i="3"/>
  <c r="BI74" i="3"/>
  <c r="BI80" i="3"/>
  <c r="BH31" i="5"/>
  <c r="BI109" i="4"/>
  <c r="BH215" i="4"/>
  <c r="BH184" i="4"/>
  <c r="BA93" i="6"/>
  <c r="AO145" i="1"/>
  <c r="BH225" i="4"/>
  <c r="BH227" i="4"/>
  <c r="BH111" i="4"/>
  <c r="BI82" i="4"/>
  <c r="BD12" i="3"/>
  <c r="BC283" i="4"/>
  <c r="BH219" i="4"/>
  <c r="BB315" i="4"/>
  <c r="BB317" i="4"/>
  <c r="BA70" i="4"/>
  <c r="BD105" i="4"/>
  <c r="BD103" i="4"/>
  <c r="BD108" i="4"/>
  <c r="BB21" i="4"/>
  <c r="BD6" i="9"/>
  <c r="BD43" i="6"/>
  <c r="BE7" i="9"/>
  <c r="BA40" i="6"/>
  <c r="BD54" i="7"/>
  <c r="BJ9" i="7"/>
  <c r="BD12" i="4"/>
  <c r="BD15" i="4"/>
  <c r="BD209" i="4"/>
  <c r="BD13" i="4"/>
  <c r="BD313" i="4"/>
  <c r="BD173" i="4"/>
  <c r="BD166" i="4"/>
  <c r="BE9" i="5"/>
  <c r="BE12" i="5"/>
  <c r="BE54" i="6"/>
  <c r="BL8" i="8"/>
  <c r="BD328" i="4"/>
  <c r="BE23" i="5"/>
  <c r="BI56" i="3"/>
  <c r="BI55" i="3"/>
  <c r="BI7" i="4"/>
  <c r="BI291" i="4"/>
  <c r="BI6" i="3"/>
  <c r="BI110" i="4"/>
  <c r="BG32" i="4"/>
  <c r="AE50" i="4"/>
  <c r="BE8" i="9"/>
  <c r="BJ7" i="7"/>
  <c r="BD80" i="4"/>
  <c r="BB33" i="5"/>
  <c r="BB318" i="4"/>
  <c r="BD282" i="4"/>
  <c r="BL9" i="8"/>
  <c r="BL7" i="8"/>
  <c r="BE14" i="5"/>
  <c r="BE13" i="5"/>
  <c r="BE7" i="5"/>
  <c r="BE30" i="5"/>
  <c r="BE15" i="5"/>
  <c r="BF8" i="5"/>
  <c r="BE16" i="5"/>
  <c r="BE54" i="5"/>
  <c r="BE79" i="6"/>
  <c r="BE75" i="6"/>
  <c r="AS142" i="1"/>
  <c r="BI31" i="5"/>
  <c r="BB93" i="6"/>
  <c r="AP145" i="1"/>
  <c r="BI215" i="4"/>
  <c r="BI184" i="4"/>
  <c r="BI225" i="4"/>
  <c r="BI227" i="4"/>
  <c r="BI111" i="4"/>
  <c r="BJ82" i="4"/>
  <c r="BE12" i="3"/>
  <c r="BD283" i="4"/>
  <c r="BI219" i="4"/>
  <c r="BC315" i="4"/>
  <c r="BC317" i="4"/>
  <c r="BB70" i="4"/>
  <c r="BE103" i="4"/>
  <c r="BE108" i="4"/>
  <c r="BE105" i="4"/>
  <c r="BC21" i="4"/>
  <c r="BE6" i="9"/>
  <c r="BF7" i="9"/>
  <c r="BE43" i="6"/>
  <c r="BB40" i="6"/>
  <c r="BE54" i="7"/>
  <c r="BE13" i="4"/>
  <c r="BE313" i="4"/>
  <c r="BF9" i="5"/>
  <c r="BF12" i="5"/>
  <c r="BF54" i="6"/>
  <c r="BM8" i="8"/>
  <c r="BE166" i="4"/>
  <c r="BF23" i="5"/>
  <c r="BE328" i="4"/>
  <c r="BE209" i="4"/>
  <c r="BE15" i="4"/>
  <c r="BE12" i="4"/>
  <c r="BE173" i="4"/>
  <c r="BJ111" i="4"/>
  <c r="BJ56" i="3"/>
  <c r="BJ55" i="3"/>
  <c r="BJ109" i="4"/>
  <c r="BJ77" i="3"/>
  <c r="N75" i="3"/>
  <c r="BJ80" i="3"/>
  <c r="N80" i="3"/>
  <c r="N78" i="3"/>
  <c r="BJ71" i="3"/>
  <c r="N69" i="3"/>
  <c r="BJ74" i="3"/>
  <c r="N72" i="3"/>
  <c r="BJ7" i="4"/>
  <c r="BJ6" i="3"/>
  <c r="BH32" i="4"/>
  <c r="BF8" i="9"/>
  <c r="BC33" i="5"/>
  <c r="BC318" i="4"/>
  <c r="BF16" i="5"/>
  <c r="BF54" i="5"/>
  <c r="BF79" i="6"/>
  <c r="BM9" i="8"/>
  <c r="BM7" i="8"/>
  <c r="BF7" i="5"/>
  <c r="BF30" i="5"/>
  <c r="BF13" i="5"/>
  <c r="BG8" i="5"/>
  <c r="BF15" i="5"/>
  <c r="BF14" i="5"/>
  <c r="BE80" i="4"/>
  <c r="BE282" i="4"/>
  <c r="BF75" i="6"/>
  <c r="AT142" i="1"/>
  <c r="N55" i="3"/>
  <c r="BJ215" i="4"/>
  <c r="BC93" i="6"/>
  <c r="AQ145" i="1"/>
  <c r="BJ110" i="4"/>
  <c r="BJ225" i="4"/>
  <c r="BJ227" i="4"/>
  <c r="N150" i="4"/>
  <c r="BF12" i="3"/>
  <c r="BE283" i="4"/>
  <c r="BJ219" i="4"/>
  <c r="N219" i="4"/>
  <c r="BD315" i="4"/>
  <c r="BD317" i="4"/>
  <c r="BC70" i="4"/>
  <c r="BF103" i="4"/>
  <c r="BF108" i="4"/>
  <c r="BF105" i="4"/>
  <c r="BD21" i="4"/>
  <c r="BF6" i="9"/>
  <c r="BF43" i="6"/>
  <c r="BC40" i="6"/>
  <c r="BG7" i="9"/>
  <c r="BF54" i="7"/>
  <c r="BF12" i="4"/>
  <c r="BF15" i="4"/>
  <c r="BF209" i="4"/>
  <c r="BF13" i="4"/>
  <c r="BF313" i="4"/>
  <c r="BG9" i="5"/>
  <c r="BG12" i="5"/>
  <c r="BG54" i="6"/>
  <c r="BN8" i="8"/>
  <c r="BG23" i="5"/>
  <c r="BF328" i="4"/>
  <c r="BF166" i="4"/>
  <c r="BF173" i="4"/>
  <c r="BJ184" i="4"/>
  <c r="BI32" i="4"/>
  <c r="AF50" i="4"/>
  <c r="BG8" i="9"/>
  <c r="BG14" i="5"/>
  <c r="BD33" i="5"/>
  <c r="BD318" i="4"/>
  <c r="BF282" i="4"/>
  <c r="BH8" i="5"/>
  <c r="BG7" i="5"/>
  <c r="BG30" i="5"/>
  <c r="BN9" i="8"/>
  <c r="BN7" i="8"/>
  <c r="BG16" i="5"/>
  <c r="BG54" i="5"/>
  <c r="BG79" i="6"/>
  <c r="BG13" i="5"/>
  <c r="BG15" i="5"/>
  <c r="BF80" i="4"/>
  <c r="BG75" i="6"/>
  <c r="AU142" i="1"/>
  <c r="BD40" i="6"/>
  <c r="AR145" i="1"/>
  <c r="BG12" i="3"/>
  <c r="BF283" i="4"/>
  <c r="BE315" i="4"/>
  <c r="BE317" i="4"/>
  <c r="BD70" i="4"/>
  <c r="BG105" i="4"/>
  <c r="BG103" i="4"/>
  <c r="BG108" i="4"/>
  <c r="BE21" i="4"/>
  <c r="BG6" i="9"/>
  <c r="BG43" i="6"/>
  <c r="BH7" i="9"/>
  <c r="BD93" i="6"/>
  <c r="BG54" i="7"/>
  <c r="BG12" i="4"/>
  <c r="BG166" i="4"/>
  <c r="BG173" i="4"/>
  <c r="BG13" i="4"/>
  <c r="BG313" i="4"/>
  <c r="BG209" i="4"/>
  <c r="BG15" i="4"/>
  <c r="BG328" i="4"/>
  <c r="BH23" i="5"/>
  <c r="BH9" i="5"/>
  <c r="BH12" i="5"/>
  <c r="BH54" i="6"/>
  <c r="BO8" i="8"/>
  <c r="BJ32" i="4"/>
  <c r="BE33" i="5"/>
  <c r="BH8" i="9"/>
  <c r="BE318" i="4"/>
  <c r="BG80" i="4"/>
  <c r="BG282" i="4"/>
  <c r="BH14" i="5"/>
  <c r="BI8" i="5"/>
  <c r="BH15" i="5"/>
  <c r="BH16" i="5"/>
  <c r="BH54" i="5"/>
  <c r="BH79" i="6"/>
  <c r="BO9" i="8"/>
  <c r="BO7" i="8"/>
  <c r="BH7" i="5"/>
  <c r="BH30" i="5"/>
  <c r="BH13" i="5"/>
  <c r="BH75" i="6"/>
  <c r="AV142" i="1"/>
  <c r="BE93" i="6"/>
  <c r="AS145" i="1"/>
  <c r="BH12" i="3"/>
  <c r="BG283" i="4"/>
  <c r="BF315" i="4"/>
  <c r="BF317" i="4"/>
  <c r="BE70" i="4"/>
  <c r="AG50" i="4"/>
  <c r="BH105" i="4"/>
  <c r="BH103" i="4"/>
  <c r="BH108" i="4"/>
  <c r="BE40" i="6"/>
  <c r="BF21" i="4"/>
  <c r="BH6" i="9"/>
  <c r="BI7" i="9"/>
  <c r="BH43" i="6"/>
  <c r="BH54" i="7"/>
  <c r="BH166" i="4"/>
  <c r="BH15" i="4"/>
  <c r="BH209" i="4"/>
  <c r="BH12" i="4"/>
  <c r="BH13" i="4"/>
  <c r="BH313" i="4"/>
  <c r="BH173" i="4"/>
  <c r="BI23" i="5"/>
  <c r="BH328" i="4"/>
  <c r="BI9" i="5"/>
  <c r="BI12" i="5"/>
  <c r="BI54" i="6"/>
  <c r="BP8" i="8"/>
  <c r="BI8" i="9"/>
  <c r="BH80" i="4"/>
  <c r="BI7" i="5"/>
  <c r="BI30" i="5"/>
  <c r="BI14" i="5"/>
  <c r="BI16" i="5"/>
  <c r="BI54" i="5"/>
  <c r="BI79" i="6"/>
  <c r="BP9" i="8"/>
  <c r="BP7" i="8"/>
  <c r="BI13" i="5"/>
  <c r="BJ8" i="5"/>
  <c r="BI15" i="5"/>
  <c r="BF33" i="5"/>
  <c r="BF318" i="4"/>
  <c r="BH282" i="4"/>
  <c r="BI75" i="6"/>
  <c r="AW142" i="1"/>
  <c r="AT145" i="1"/>
  <c r="BI12" i="3"/>
  <c r="BH283" i="4"/>
  <c r="BG315" i="4"/>
  <c r="BG317" i="4"/>
  <c r="BF70" i="4"/>
  <c r="BI103" i="4"/>
  <c r="BI108" i="4"/>
  <c r="BI105" i="4"/>
  <c r="BG21" i="4"/>
  <c r="BI6" i="9"/>
  <c r="BF93" i="6"/>
  <c r="BF40" i="6"/>
  <c r="BI43" i="6"/>
  <c r="BJ7" i="9"/>
  <c r="BI54" i="7"/>
  <c r="BI12" i="4"/>
  <c r="BI13" i="4"/>
  <c r="BI313" i="4"/>
  <c r="BI209" i="4"/>
  <c r="BI15" i="4"/>
  <c r="BJ23" i="5"/>
  <c r="BI328" i="4"/>
  <c r="BQ8" i="8"/>
  <c r="BJ9" i="5"/>
  <c r="BJ12" i="5"/>
  <c r="BJ54" i="6"/>
  <c r="BI166" i="4"/>
  <c r="BI173" i="4"/>
  <c r="BJ8" i="9"/>
  <c r="BG318" i="4"/>
  <c r="BG33" i="5"/>
  <c r="BI282" i="4"/>
  <c r="BI80" i="4"/>
  <c r="BJ16" i="5"/>
  <c r="BJ54" i="5"/>
  <c r="BJ79" i="6"/>
  <c r="BJ13" i="5"/>
  <c r="BJ14" i="5"/>
  <c r="BQ9" i="8"/>
  <c r="BQ7" i="8"/>
  <c r="BJ15" i="5"/>
  <c r="BJ7" i="5"/>
  <c r="BJ12" i="3"/>
  <c r="BJ30" i="5"/>
  <c r="AX142" i="1"/>
  <c r="BG93" i="6"/>
  <c r="AU145" i="1"/>
  <c r="F143" i="1"/>
  <c r="BI283" i="4"/>
  <c r="BH315" i="4"/>
  <c r="BH317" i="4"/>
  <c r="BG70" i="4"/>
  <c r="BJ103" i="4"/>
  <c r="BJ108" i="4"/>
  <c r="BJ105" i="4"/>
  <c r="BH21" i="4"/>
  <c r="BJ6" i="9"/>
  <c r="BG40" i="6"/>
  <c r="BJ43" i="6"/>
  <c r="BJ54" i="7"/>
  <c r="BJ166" i="4"/>
  <c r="BJ12" i="4"/>
  <c r="BJ209" i="4"/>
  <c r="BJ15" i="4"/>
  <c r="BJ173" i="4"/>
  <c r="BJ13" i="4"/>
  <c r="BJ313" i="4"/>
  <c r="BJ328" i="4"/>
  <c r="BJ75" i="6"/>
  <c r="N75" i="6"/>
  <c r="N30" i="5"/>
  <c r="BJ53" i="7"/>
  <c r="R53" i="7"/>
  <c r="S53" i="7"/>
  <c r="T53" i="7"/>
  <c r="U53" i="7"/>
  <c r="V53" i="7"/>
  <c r="W53" i="7"/>
  <c r="X53" i="7"/>
  <c r="Y53" i="7"/>
  <c r="Z53" i="7"/>
  <c r="AA53" i="7"/>
  <c r="AB53" i="7"/>
  <c r="AC53" i="7"/>
  <c r="AD53" i="7"/>
  <c r="AE53" i="7"/>
  <c r="AF53" i="7"/>
  <c r="AG53" i="7"/>
  <c r="AH53" i="7"/>
  <c r="AI53" i="7"/>
  <c r="AJ53" i="7"/>
  <c r="AK53" i="7"/>
  <c r="AL53" i="7"/>
  <c r="AM53" i="7"/>
  <c r="AN53" i="7"/>
  <c r="AO53" i="7"/>
  <c r="AP53" i="7"/>
  <c r="AQ53" i="7"/>
  <c r="AR53" i="7"/>
  <c r="AS53" i="7"/>
  <c r="AT53" i="7"/>
  <c r="AU53" i="7"/>
  <c r="AV53" i="7"/>
  <c r="AW53" i="7"/>
  <c r="AX53" i="7"/>
  <c r="AY53" i="7"/>
  <c r="AZ53" i="7"/>
  <c r="BA53" i="7"/>
  <c r="BB53" i="7"/>
  <c r="BC53" i="7"/>
  <c r="BD53" i="7"/>
  <c r="BE53" i="7"/>
  <c r="BF53" i="7"/>
  <c r="BG53" i="7"/>
  <c r="BH53" i="7"/>
  <c r="BI53" i="7"/>
  <c r="BH33" i="5"/>
  <c r="AH50" i="4"/>
  <c r="BH318" i="4"/>
  <c r="BJ282" i="4"/>
  <c r="BJ80" i="4"/>
  <c r="BH93" i="6"/>
  <c r="AV145" i="1"/>
  <c r="BJ283" i="4"/>
  <c r="BI315" i="4"/>
  <c r="BI317" i="4"/>
  <c r="BH70" i="4"/>
  <c r="BH40" i="6"/>
  <c r="BI21" i="4"/>
  <c r="BI33" i="5"/>
  <c r="BI318" i="4"/>
  <c r="AW145" i="1"/>
  <c r="BJ315" i="4"/>
  <c r="BJ317" i="4"/>
  <c r="N317" i="4"/>
  <c r="BI70" i="4"/>
  <c r="AI50" i="4"/>
  <c r="BJ21" i="4"/>
  <c r="BI93" i="6"/>
  <c r="BI40" i="6"/>
  <c r="BJ33" i="5"/>
  <c r="BJ318" i="4"/>
  <c r="BJ93" i="6"/>
  <c r="AX145" i="1"/>
  <c r="BJ70" i="4"/>
  <c r="E112" i="1"/>
  <c r="BJ40" i="6"/>
  <c r="AJ50" i="4"/>
  <c r="AK50" i="4"/>
  <c r="AL50" i="4"/>
  <c r="AM50" i="4"/>
  <c r="N103" i="4"/>
  <c r="N319" i="4"/>
  <c r="L183" i="2"/>
  <c r="N93" i="6"/>
  <c r="AO50" i="4"/>
  <c r="N33" i="5"/>
  <c r="AP50" i="4"/>
  <c r="AQ50" i="4"/>
  <c r="R28" i="4"/>
  <c r="R33" i="4"/>
  <c r="S28" i="4"/>
  <c r="AR50" i="4"/>
  <c r="AS50" i="4"/>
  <c r="AT50" i="4"/>
  <c r="AU50" i="4"/>
  <c r="AV50" i="4"/>
  <c r="AW50" i="4"/>
  <c r="AY50" i="4"/>
  <c r="AZ50" i="4"/>
  <c r="BA50" i="4"/>
  <c r="R127" i="4"/>
  <c r="R36" i="4"/>
  <c r="Q23" i="9"/>
  <c r="BB50" i="4"/>
  <c r="BC50" i="4"/>
  <c r="BD50" i="4"/>
  <c r="F146" i="1"/>
  <c r="R62" i="4"/>
  <c r="F147" i="1"/>
  <c r="BE50" i="4"/>
  <c r="BF50" i="4"/>
  <c r="S361" i="4"/>
  <c r="S62" i="4"/>
  <c r="BG50" i="4"/>
  <c r="BH50" i="4"/>
  <c r="BI50" i="4"/>
  <c r="BJ50" i="4"/>
  <c r="R14" i="4"/>
  <c r="R168" i="4"/>
  <c r="R169" i="4"/>
  <c r="R170" i="4"/>
  <c r="R189" i="4"/>
  <c r="S14" i="4"/>
  <c r="N61" i="4"/>
  <c r="R56" i="4"/>
  <c r="R171" i="4"/>
  <c r="T14" i="4"/>
  <c r="S168" i="4"/>
  <c r="S169" i="4"/>
  <c r="S170" i="4"/>
  <c r="T168" i="4"/>
  <c r="U14" i="4"/>
  <c r="E116" i="1"/>
  <c r="F149" i="1"/>
  <c r="F162" i="1"/>
  <c r="S171" i="4"/>
  <c r="V14" i="4"/>
  <c r="U168" i="4"/>
  <c r="U169" i="4"/>
  <c r="U170" i="4"/>
  <c r="T169" i="4"/>
  <c r="T170" i="4"/>
  <c r="U171" i="4"/>
  <c r="V168" i="4"/>
  <c r="W14" i="4"/>
  <c r="T171" i="4"/>
  <c r="X14" i="4"/>
  <c r="W168" i="4"/>
  <c r="V169" i="4"/>
  <c r="V170" i="4"/>
  <c r="V171" i="4"/>
  <c r="Y14" i="4"/>
  <c r="X168" i="4"/>
  <c r="X169" i="4"/>
  <c r="X170" i="4"/>
  <c r="W169" i="4"/>
  <c r="W170" i="4"/>
  <c r="X171" i="4"/>
  <c r="Z14" i="4"/>
  <c r="Y168" i="4"/>
  <c r="W171" i="4"/>
  <c r="Y169" i="4"/>
  <c r="Y170" i="4"/>
  <c r="Z168" i="4"/>
  <c r="AA14" i="4"/>
  <c r="Y171" i="4"/>
  <c r="AA168" i="4"/>
  <c r="AB14" i="4"/>
  <c r="Z169" i="4"/>
  <c r="Z170" i="4"/>
  <c r="AB168" i="4"/>
  <c r="AB169" i="4"/>
  <c r="AB170" i="4"/>
  <c r="AC14" i="4"/>
  <c r="AA169" i="4"/>
  <c r="AA170" i="4"/>
  <c r="Z171" i="4"/>
  <c r="AB171" i="4"/>
  <c r="AA171" i="4"/>
  <c r="AD14" i="4"/>
  <c r="AC168" i="4"/>
  <c r="AC169" i="4"/>
  <c r="AC170" i="4"/>
  <c r="AC171" i="4"/>
  <c r="AD168" i="4"/>
  <c r="AD169" i="4"/>
  <c r="AD170" i="4"/>
  <c r="AE14" i="4"/>
  <c r="AD171" i="4"/>
  <c r="AF14" i="4"/>
  <c r="AE168" i="4"/>
  <c r="AE169" i="4"/>
  <c r="AE170" i="4"/>
  <c r="AF168" i="4"/>
  <c r="AF169" i="4"/>
  <c r="AF170" i="4"/>
  <c r="AG14" i="4"/>
  <c r="AF171" i="4"/>
  <c r="AE171" i="4"/>
  <c r="AH14" i="4"/>
  <c r="AG168" i="4"/>
  <c r="AG169" i="4"/>
  <c r="AG170" i="4"/>
  <c r="AH168" i="4"/>
  <c r="AI14" i="4"/>
  <c r="AG171" i="4"/>
  <c r="AI168" i="4"/>
  <c r="AJ14" i="4"/>
  <c r="AH169" i="4"/>
  <c r="AH170" i="4"/>
  <c r="AH171" i="4"/>
  <c r="AI169" i="4"/>
  <c r="AI170" i="4"/>
  <c r="AK14" i="4"/>
  <c r="AJ168" i="4"/>
  <c r="AJ169" i="4"/>
  <c r="AJ170" i="4"/>
  <c r="AJ171" i="4"/>
  <c r="AL14" i="4"/>
  <c r="AK168" i="4"/>
  <c r="AI171" i="4"/>
  <c r="Q26" i="9"/>
  <c r="AK169" i="4"/>
  <c r="AK170" i="4"/>
  <c r="AM14" i="4"/>
  <c r="AL168" i="4"/>
  <c r="AL169" i="4"/>
  <c r="AL170" i="4"/>
  <c r="AK171" i="4"/>
  <c r="AL171" i="4"/>
  <c r="AM168" i="4"/>
  <c r="AM169" i="4"/>
  <c r="AM170" i="4"/>
  <c r="AN14" i="4"/>
  <c r="AM171" i="4"/>
  <c r="R182" i="4"/>
  <c r="AO14" i="4"/>
  <c r="AN168" i="4"/>
  <c r="AN169" i="4"/>
  <c r="AN170" i="4"/>
  <c r="R49" i="4"/>
  <c r="AN171" i="4"/>
  <c r="AP14" i="4"/>
  <c r="AO168" i="4"/>
  <c r="AO169" i="4"/>
  <c r="AO170" i="4"/>
  <c r="AP168" i="4"/>
  <c r="AP169" i="4"/>
  <c r="AP170" i="4"/>
  <c r="AQ14" i="4"/>
  <c r="AP171" i="4"/>
  <c r="AR14" i="4"/>
  <c r="AQ168" i="4"/>
  <c r="AO171" i="4"/>
  <c r="S189" i="4"/>
  <c r="S56" i="4"/>
  <c r="AQ169" i="4"/>
  <c r="AQ170" i="4"/>
  <c r="AS14" i="4"/>
  <c r="AR168" i="4"/>
  <c r="AR169" i="4"/>
  <c r="AR170" i="4"/>
  <c r="E115" i="1"/>
  <c r="E117" i="1"/>
  <c r="F148" i="1"/>
  <c r="F161" i="1"/>
  <c r="AQ171" i="4"/>
  <c r="AR171" i="4"/>
  <c r="AS168" i="4"/>
  <c r="AS169" i="4"/>
  <c r="AS170" i="4"/>
  <c r="AT14" i="4"/>
  <c r="AS171" i="4"/>
  <c r="AT168" i="4"/>
  <c r="AU14" i="4"/>
  <c r="AU168" i="4"/>
  <c r="AV14" i="4"/>
  <c r="AT169" i="4"/>
  <c r="AT170" i="4"/>
  <c r="AT171" i="4"/>
  <c r="AU169" i="4"/>
  <c r="AU170" i="4"/>
  <c r="AW14" i="4"/>
  <c r="AV168" i="4"/>
  <c r="AU171" i="4"/>
  <c r="AV169" i="4"/>
  <c r="AV170" i="4"/>
  <c r="AW168" i="4"/>
  <c r="AX14" i="4"/>
  <c r="AV171" i="4"/>
  <c r="AW169" i="4"/>
  <c r="AW170" i="4"/>
  <c r="AX168" i="4"/>
  <c r="AX169" i="4"/>
  <c r="AX170" i="4"/>
  <c r="AY14" i="4"/>
  <c r="AW171" i="4"/>
  <c r="AX171" i="4"/>
  <c r="AY168" i="4"/>
  <c r="AY169" i="4"/>
  <c r="AY170" i="4"/>
  <c r="AZ14" i="4"/>
  <c r="U189" i="4"/>
  <c r="U56" i="4"/>
  <c r="AZ168" i="4"/>
  <c r="BA14" i="4"/>
  <c r="AY171" i="4"/>
  <c r="AZ169" i="4"/>
  <c r="AZ170" i="4"/>
  <c r="AZ171" i="4"/>
  <c r="BA168" i="4"/>
  <c r="BA169" i="4"/>
  <c r="BA170" i="4"/>
  <c r="BB14" i="4"/>
  <c r="BA171" i="4"/>
  <c r="BB168" i="4"/>
  <c r="BC14" i="4"/>
  <c r="BD14" i="4"/>
  <c r="BC168" i="4"/>
  <c r="BC169" i="4"/>
  <c r="BC170" i="4"/>
  <c r="BB169" i="4"/>
  <c r="BB170" i="4"/>
  <c r="BB171" i="4"/>
  <c r="BC171" i="4"/>
  <c r="BE14" i="4"/>
  <c r="BD168" i="4"/>
  <c r="BD169" i="4"/>
  <c r="BD170" i="4"/>
  <c r="BD171" i="4"/>
  <c r="BE168" i="4"/>
  <c r="BF14" i="4"/>
  <c r="BE169" i="4"/>
  <c r="BE170" i="4"/>
  <c r="BF168" i="4"/>
  <c r="BF169" i="4"/>
  <c r="BF170" i="4"/>
  <c r="BG14" i="4"/>
  <c r="BE171" i="4"/>
  <c r="BF171" i="4"/>
  <c r="BG168" i="4"/>
  <c r="BG169" i="4"/>
  <c r="BG170" i="4"/>
  <c r="BH14" i="4"/>
  <c r="BG171" i="4"/>
  <c r="BI14" i="4"/>
  <c r="BH168" i="4"/>
  <c r="BH169" i="4"/>
  <c r="BH170" i="4"/>
  <c r="BH171" i="4"/>
  <c r="BI168" i="4"/>
  <c r="BJ14" i="4"/>
  <c r="BJ168" i="4"/>
  <c r="BJ169" i="4"/>
  <c r="BJ170" i="4"/>
  <c r="BI169" i="4"/>
  <c r="BI170" i="4"/>
  <c r="BI171" i="4"/>
  <c r="BJ171" i="4"/>
  <c r="N170" i="4"/>
  <c r="R249" i="4"/>
  <c r="R324" i="4"/>
  <c r="R274" i="4"/>
  <c r="R269" i="4"/>
  <c r="R303" i="4"/>
  <c r="R325" i="4"/>
  <c r="R45" i="7"/>
  <c r="X73" i="8"/>
  <c r="Q100" i="6"/>
  <c r="R326" i="4"/>
  <c r="AA189" i="4"/>
  <c r="AA56" i="4"/>
  <c r="AG189" i="4"/>
  <c r="AG56" i="4"/>
  <c r="AH189" i="4"/>
  <c r="AH56" i="4"/>
  <c r="AJ189" i="4"/>
  <c r="AJ56" i="4"/>
  <c r="AQ189" i="4"/>
  <c r="AQ56" i="4"/>
  <c r="BQ58" i="8"/>
  <c r="BJ263" i="4"/>
  <c r="S63" i="4"/>
  <c r="N227" i="4"/>
  <c r="S38" i="5"/>
  <c r="S356" i="4"/>
  <c r="S27" i="6"/>
  <c r="G147" i="1"/>
  <c r="S91" i="6"/>
  <c r="F152" i="1"/>
  <c r="E124" i="1"/>
  <c r="R68" i="4"/>
  <c r="S274" i="4"/>
  <c r="S325" i="4"/>
  <c r="S249" i="4"/>
  <c r="F151" i="1"/>
  <c r="E123" i="1"/>
  <c r="R67" i="4"/>
  <c r="S324" i="4"/>
  <c r="BJ299" i="4"/>
  <c r="BI299" i="4"/>
  <c r="BH299" i="4"/>
  <c r="BG299" i="4"/>
  <c r="BF299" i="4"/>
  <c r="BE299" i="4"/>
  <c r="BD299" i="4"/>
  <c r="BC299" i="4"/>
  <c r="BA299" i="4"/>
  <c r="BB299" i="4"/>
  <c r="AZ299" i="4"/>
  <c r="AY299" i="4"/>
  <c r="AR299" i="4"/>
  <c r="AW299" i="4"/>
  <c r="AX299" i="4"/>
  <c r="AV299" i="4"/>
  <c r="AU299" i="4"/>
  <c r="AT299" i="4"/>
  <c r="AS299" i="4"/>
  <c r="AQ299" i="4"/>
  <c r="AP299" i="4"/>
  <c r="AO299" i="4"/>
  <c r="AN299" i="4"/>
  <c r="AL299" i="4"/>
  <c r="AJ299" i="4"/>
  <c r="AG299" i="4"/>
  <c r="AM299" i="4"/>
  <c r="AK299" i="4"/>
  <c r="AI299" i="4"/>
  <c r="AH299" i="4"/>
  <c r="AF299" i="4"/>
  <c r="AE299" i="4"/>
  <c r="AD299" i="4"/>
  <c r="AA299" i="4"/>
  <c r="AC299" i="4"/>
  <c r="AB299" i="4"/>
  <c r="Z299" i="4"/>
  <c r="Y299" i="4"/>
  <c r="X299" i="4"/>
  <c r="W299" i="4"/>
  <c r="V299" i="4"/>
  <c r="U299" i="4"/>
  <c r="T299" i="4"/>
  <c r="BG300" i="4"/>
  <c r="BC300" i="4"/>
  <c r="AY300" i="4"/>
  <c r="AU300" i="4"/>
  <c r="AQ300" i="4"/>
  <c r="AE300" i="4"/>
  <c r="S300" i="4"/>
  <c r="BJ300" i="4"/>
  <c r="BF300" i="4"/>
  <c r="BB300" i="4"/>
  <c r="AX300" i="4"/>
  <c r="AT300" i="4"/>
  <c r="AP300" i="4"/>
  <c r="AL300" i="4"/>
  <c r="AD300" i="4"/>
  <c r="R300" i="4"/>
  <c r="BI300" i="4"/>
  <c r="BE300" i="4"/>
  <c r="BA300" i="4"/>
  <c r="AW300" i="4"/>
  <c r="AS300" i="4"/>
  <c r="AO300" i="4"/>
  <c r="AK300" i="4"/>
  <c r="AG300" i="4"/>
  <c r="AC300" i="4"/>
  <c r="Y300" i="4"/>
  <c r="U300" i="4"/>
  <c r="AI300" i="4"/>
  <c r="W300" i="4"/>
  <c r="AH300" i="4"/>
  <c r="V300" i="4"/>
  <c r="BH300" i="4"/>
  <c r="BD300" i="4"/>
  <c r="AZ300" i="4"/>
  <c r="AV300" i="4"/>
  <c r="AR300" i="4"/>
  <c r="AN300" i="4"/>
  <c r="AJ300" i="4"/>
  <c r="AF300" i="4"/>
  <c r="AB300" i="4"/>
  <c r="X300" i="4"/>
  <c r="T300" i="4"/>
  <c r="AM300" i="4"/>
  <c r="AA300" i="4"/>
  <c r="Z300" i="4"/>
  <c r="S299" i="4"/>
  <c r="R299" i="4"/>
  <c r="F153" i="1"/>
  <c r="F157" i="1"/>
  <c r="E126" i="1"/>
  <c r="F154" i="1"/>
  <c r="F164" i="1"/>
  <c r="Y15" i="8"/>
  <c r="Y17" i="8"/>
  <c r="R157" i="4"/>
  <c r="R53" i="6"/>
  <c r="F163" i="1"/>
  <c r="E130" i="1"/>
  <c r="S23" i="5"/>
  <c r="R328" i="4"/>
  <c r="R37" i="6"/>
  <c r="Y59" i="8"/>
  <c r="Y22" i="8"/>
  <c r="F166" i="1"/>
  <c r="R100" i="6"/>
  <c r="R74" i="4"/>
  <c r="R24" i="9"/>
  <c r="T189" i="4"/>
  <c r="T56" i="4"/>
  <c r="V189" i="4"/>
  <c r="V56" i="4"/>
  <c r="W189" i="4"/>
  <c r="W56" i="4"/>
  <c r="X189" i="4"/>
  <c r="X56" i="4"/>
  <c r="Y189" i="4"/>
  <c r="Y56" i="4"/>
  <c r="Z189" i="4"/>
  <c r="Z56" i="4"/>
  <c r="AB189" i="4"/>
  <c r="AB56" i="4"/>
  <c r="AC189" i="4"/>
  <c r="AC56" i="4"/>
  <c r="AD189" i="4"/>
  <c r="AD56" i="4"/>
  <c r="AE189" i="4"/>
  <c r="AE56" i="4"/>
  <c r="AF189" i="4"/>
  <c r="AF56" i="4"/>
  <c r="AI189" i="4"/>
  <c r="AI56" i="4"/>
  <c r="AK189" i="4"/>
  <c r="AK56" i="4"/>
  <c r="AL189" i="4"/>
  <c r="AL56" i="4"/>
  <c r="AM189" i="4"/>
  <c r="AM56" i="4"/>
  <c r="AN189" i="4"/>
  <c r="AN56" i="4"/>
  <c r="AO189" i="4"/>
  <c r="AO56" i="4"/>
  <c r="AP189" i="4"/>
  <c r="AP56" i="4"/>
  <c r="AR189" i="4"/>
  <c r="AR56" i="4"/>
  <c r="AS189" i="4"/>
  <c r="AS56" i="4"/>
  <c r="AT189" i="4"/>
  <c r="AT56" i="4"/>
  <c r="N305" i="4"/>
  <c r="R69" i="4"/>
  <c r="S305" i="4"/>
  <c r="S326" i="4"/>
  <c r="L45" i="2"/>
  <c r="S39" i="3"/>
  <c r="S38" i="3"/>
  <c r="G144" i="1"/>
  <c r="G159" i="1"/>
  <c r="S86" i="6"/>
  <c r="S20" i="6"/>
  <c r="S347" i="4"/>
  <c r="F110" i="1"/>
  <c r="E15" i="1"/>
  <c r="U220" i="4"/>
  <c r="U25" i="9"/>
  <c r="BF63" i="4"/>
  <c r="AK63" i="4"/>
  <c r="BA63" i="4"/>
  <c r="AO63" i="4"/>
  <c r="AZ63" i="4"/>
  <c r="AP63" i="4"/>
  <c r="T63" i="4"/>
  <c r="BB63" i="4"/>
  <c r="AB63" i="4"/>
  <c r="BD63" i="4"/>
  <c r="AF63" i="4"/>
  <c r="AM63" i="4"/>
  <c r="AA63" i="4"/>
  <c r="BG63" i="4"/>
  <c r="Z63" i="4"/>
  <c r="AN63" i="4"/>
  <c r="W63" i="4"/>
  <c r="AW63" i="4"/>
  <c r="BE63" i="4"/>
  <c r="V63" i="4"/>
  <c r="AI63" i="4"/>
  <c r="AJ63" i="4"/>
  <c r="AG63" i="4"/>
  <c r="AU63" i="4"/>
  <c r="AY63" i="4"/>
  <c r="BI63" i="4"/>
  <c r="AL63" i="4"/>
  <c r="AH63" i="4"/>
  <c r="X63" i="4"/>
  <c r="AE63" i="4"/>
  <c r="AQ63" i="4"/>
  <c r="AS63" i="4"/>
  <c r="BH63" i="4"/>
  <c r="AV63" i="4"/>
  <c r="AR63" i="4"/>
  <c r="AX63" i="4"/>
  <c r="BC63" i="4"/>
  <c r="Y63" i="4"/>
  <c r="BJ63" i="4"/>
  <c r="U63" i="4"/>
  <c r="AT63" i="4"/>
  <c r="AD63" i="4"/>
  <c r="AC63" i="4"/>
  <c r="AD356" i="4"/>
  <c r="U356" i="4"/>
  <c r="Y356" i="4"/>
  <c r="AX356" i="4"/>
  <c r="AV356" i="4"/>
  <c r="AQ356" i="4"/>
  <c r="X356" i="4"/>
  <c r="AL356" i="4"/>
  <c r="AY356" i="4"/>
  <c r="AG356" i="4"/>
  <c r="AI356" i="4"/>
  <c r="BE356" i="4"/>
  <c r="W356" i="4"/>
  <c r="Z356" i="4"/>
  <c r="AA356" i="4"/>
  <c r="AF356" i="4"/>
  <c r="AB356" i="4"/>
  <c r="T356" i="4"/>
  <c r="N63" i="4"/>
  <c r="AZ356" i="4"/>
  <c r="BA356" i="4"/>
  <c r="BF356" i="4"/>
  <c r="AC356" i="4"/>
  <c r="AT356" i="4"/>
  <c r="BJ356" i="4"/>
  <c r="BC356" i="4"/>
  <c r="AR356" i="4"/>
  <c r="BH356" i="4"/>
  <c r="AS356" i="4"/>
  <c r="AE356" i="4"/>
  <c r="AH356" i="4"/>
  <c r="BI356" i="4"/>
  <c r="AU356" i="4"/>
  <c r="AJ356" i="4"/>
  <c r="V356" i="4"/>
  <c r="AW356" i="4"/>
  <c r="AN356" i="4"/>
  <c r="BG356" i="4"/>
  <c r="AM356" i="4"/>
  <c r="BD356" i="4"/>
  <c r="BB356" i="4"/>
  <c r="AP356" i="4"/>
  <c r="AO356" i="4"/>
  <c r="AK356" i="4"/>
  <c r="N356" i="4"/>
  <c r="T348" i="4"/>
  <c r="S348" i="4"/>
  <c r="N28" i="6"/>
  <c r="BF348" i="4"/>
  <c r="AP348" i="4"/>
  <c r="U348" i="4"/>
  <c r="AN348" i="4"/>
  <c r="X348" i="4"/>
  <c r="BH348" i="4"/>
  <c r="AH348" i="4"/>
  <c r="BI348" i="4"/>
  <c r="AR348" i="4"/>
  <c r="W348" i="4"/>
  <c r="BG348" i="4"/>
  <c r="AQ348" i="4"/>
  <c r="BJ348" i="4"/>
  <c r="AO348" i="4"/>
  <c r="BC348" i="4"/>
  <c r="AK348" i="4"/>
  <c r="BD348" i="4"/>
  <c r="V348" i="4"/>
  <c r="AX348" i="4"/>
  <c r="AC348" i="4"/>
  <c r="AF348" i="4"/>
  <c r="BA348" i="4"/>
  <c r="AU348" i="4"/>
  <c r="AY348" i="4"/>
  <c r="AI348" i="4"/>
  <c r="AL348" i="4"/>
  <c r="AE348" i="4"/>
  <c r="AS348" i="4"/>
  <c r="AA348" i="4"/>
  <c r="AJ348" i="4"/>
  <c r="BE348" i="4"/>
  <c r="AZ348" i="4"/>
  <c r="Z348" i="4"/>
  <c r="AM348" i="4"/>
  <c r="BB348" i="4"/>
  <c r="AW348" i="4"/>
  <c r="AG348" i="4"/>
  <c r="AB348" i="4"/>
  <c r="AV348" i="4"/>
  <c r="AT348" i="4"/>
  <c r="AD348" i="4"/>
  <c r="Y348" i="4"/>
  <c r="N348" i="4"/>
  <c r="Y25" i="8"/>
  <c r="E128" i="1"/>
  <c r="E132" i="1"/>
  <c r="E134" i="1"/>
  <c r="Y73" i="8"/>
  <c r="S24" i="9"/>
  <c r="S74" i="4"/>
  <c r="BI334" i="4"/>
  <c r="AB334" i="4"/>
  <c r="AZ334" i="4"/>
  <c r="AJ334" i="4"/>
  <c r="AR334" i="4"/>
  <c r="V334" i="4"/>
  <c r="BJ334" i="4"/>
  <c r="AT334" i="4"/>
  <c r="U334" i="4"/>
  <c r="BD334" i="4"/>
  <c r="AQ334" i="4"/>
  <c r="AI334" i="4"/>
  <c r="AW334" i="4"/>
  <c r="BH334" i="4"/>
  <c r="AM334" i="4"/>
  <c r="AU334" i="4"/>
  <c r="AN334" i="4"/>
  <c r="AF334" i="4"/>
  <c r="AO334" i="4"/>
  <c r="BE334" i="4"/>
  <c r="Z334" i="4"/>
  <c r="AS334" i="4"/>
  <c r="AC334" i="4"/>
  <c r="AA334" i="4"/>
  <c r="BA334" i="4"/>
  <c r="AX334" i="4"/>
  <c r="AL334" i="4"/>
  <c r="BB334" i="4"/>
  <c r="AY334" i="4"/>
  <c r="T334" i="4"/>
  <c r="BF334" i="4"/>
  <c r="S334" i="4"/>
  <c r="AK334" i="4"/>
  <c r="Y334" i="4"/>
  <c r="AG334" i="4"/>
  <c r="W334" i="4"/>
  <c r="AH334" i="4"/>
  <c r="AD334" i="4"/>
  <c r="BG334" i="4"/>
  <c r="X334" i="4"/>
  <c r="AE334" i="4"/>
  <c r="BC334" i="4"/>
  <c r="AV334" i="4"/>
  <c r="AP334" i="4"/>
  <c r="L54" i="2"/>
  <c r="L47" i="2"/>
  <c r="L50" i="2"/>
  <c r="L49" i="2"/>
  <c r="L51" i="2"/>
  <c r="L46" i="2"/>
  <c r="Z37" i="3"/>
  <c r="L48" i="2"/>
  <c r="AG37" i="3"/>
  <c r="AQ37" i="3"/>
  <c r="AU39" i="3"/>
  <c r="AS37" i="3"/>
  <c r="AT37" i="3"/>
  <c r="AU37" i="3"/>
  <c r="AR37" i="3"/>
  <c r="L53" i="2"/>
  <c r="AP37" i="3"/>
  <c r="AO37" i="3"/>
  <c r="AM37" i="3"/>
  <c r="AP39" i="3"/>
  <c r="AL37" i="3"/>
  <c r="AN37" i="3"/>
  <c r="BJ39" i="3"/>
  <c r="BJ38" i="3"/>
  <c r="BH37" i="3"/>
  <c r="L52" i="2"/>
  <c r="AK39" i="3"/>
  <c r="AA39" i="3"/>
  <c r="X37" i="3"/>
  <c r="AI37" i="3"/>
  <c r="AP38" i="3"/>
  <c r="AQ39" i="3"/>
  <c r="BD37" i="3"/>
  <c r="BB37" i="3"/>
  <c r="BE39" i="3"/>
  <c r="BA37" i="3"/>
  <c r="BC37" i="3"/>
  <c r="BE37" i="3"/>
  <c r="AC37" i="3"/>
  <c r="AF37" i="3"/>
  <c r="AF39" i="3"/>
  <c r="AD37" i="3"/>
  <c r="AE37" i="3"/>
  <c r="AB37" i="3"/>
  <c r="AB39" i="3"/>
  <c r="AK37" i="3"/>
  <c r="AK38" i="3"/>
  <c r="AL39" i="3"/>
  <c r="BJ37" i="3"/>
  <c r="BI37" i="3"/>
  <c r="AU38" i="3"/>
  <c r="T37" i="3"/>
  <c r="T39" i="3"/>
  <c r="U37" i="3"/>
  <c r="V37" i="3"/>
  <c r="V39" i="3"/>
  <c r="W37" i="3"/>
  <c r="Y37" i="3"/>
  <c r="AJ37" i="3"/>
  <c r="AV37" i="3"/>
  <c r="AV39" i="3"/>
  <c r="AZ39" i="3"/>
  <c r="AW37" i="3"/>
  <c r="AZ37" i="3"/>
  <c r="AX37" i="3"/>
  <c r="AY37" i="3"/>
  <c r="BF37" i="3"/>
  <c r="AA38" i="3"/>
  <c r="AA37" i="3"/>
  <c r="AH37" i="3"/>
  <c r="BG37" i="3"/>
  <c r="AV38" i="3"/>
  <c r="AW39" i="3"/>
  <c r="AZ38" i="3"/>
  <c r="BA39" i="3"/>
  <c r="AC39" i="3"/>
  <c r="AB38" i="3"/>
  <c r="AF38" i="3"/>
  <c r="AG39" i="3"/>
  <c r="T38" i="3"/>
  <c r="U39" i="3"/>
  <c r="U38" i="3"/>
  <c r="AR39" i="3"/>
  <c r="AQ38" i="3"/>
  <c r="V38" i="3"/>
  <c r="W39" i="3"/>
  <c r="AM39" i="3"/>
  <c r="AL38" i="3"/>
  <c r="BE38" i="3"/>
  <c r="BF39" i="3"/>
  <c r="L42" i="2"/>
  <c r="L41" i="2"/>
  <c r="L36" i="2"/>
  <c r="BF29" i="3"/>
  <c r="BE31" i="3"/>
  <c r="L38" i="2"/>
  <c r="L39" i="2"/>
  <c r="BG39" i="3"/>
  <c r="BF38" i="3"/>
  <c r="AR38" i="3"/>
  <c r="AS39" i="3"/>
  <c r="AC38" i="3"/>
  <c r="AD39" i="3"/>
  <c r="AN39" i="3"/>
  <c r="AM38" i="3"/>
  <c r="X39" i="3"/>
  <c r="W38" i="3"/>
  <c r="AG38" i="3"/>
  <c r="AH39" i="3"/>
  <c r="L40" i="2"/>
  <c r="BD29" i="3"/>
  <c r="BB39" i="3"/>
  <c r="BA38" i="3"/>
  <c r="AX39" i="3"/>
  <c r="AW38" i="3"/>
  <c r="AF31" i="3"/>
  <c r="AF30" i="3"/>
  <c r="BJ31" i="3"/>
  <c r="BJ30" i="3"/>
  <c r="BI29" i="3"/>
  <c r="BG29" i="3"/>
  <c r="BJ29" i="3"/>
  <c r="BH29" i="3"/>
  <c r="L37" i="2"/>
  <c r="BC29" i="3"/>
  <c r="Y39" i="3"/>
  <c r="X38" i="3"/>
  <c r="BG38" i="3"/>
  <c r="BH39" i="3"/>
  <c r="AH38" i="3"/>
  <c r="AI39" i="3"/>
  <c r="BE30" i="3"/>
  <c r="BF31" i="3"/>
  <c r="AY39" i="3"/>
  <c r="AY38" i="3"/>
  <c r="AX38" i="3"/>
  <c r="AU31" i="3"/>
  <c r="AU30" i="3"/>
  <c r="AT29" i="3"/>
  <c r="AQ29" i="3"/>
  <c r="AS29" i="3"/>
  <c r="AU29" i="3"/>
  <c r="AR29" i="3"/>
  <c r="AY29" i="3"/>
  <c r="AW29" i="3"/>
  <c r="AZ31" i="3"/>
  <c r="AV29" i="3"/>
  <c r="AZ29" i="3"/>
  <c r="AX29" i="3"/>
  <c r="AO39" i="3"/>
  <c r="AO38" i="3"/>
  <c r="AN38" i="3"/>
  <c r="AD38" i="3"/>
  <c r="AE39" i="3"/>
  <c r="AE38" i="3"/>
  <c r="AT39" i="3"/>
  <c r="AT38" i="3"/>
  <c r="AS38" i="3"/>
  <c r="BB29" i="3"/>
  <c r="BA29" i="3"/>
  <c r="AJ29" i="3"/>
  <c r="AI29" i="3"/>
  <c r="AG29" i="3"/>
  <c r="AG31" i="3"/>
  <c r="AK31" i="3"/>
  <c r="AH29" i="3"/>
  <c r="AK29" i="3"/>
  <c r="BC39" i="3"/>
  <c r="BB38" i="3"/>
  <c r="AO29" i="3"/>
  <c r="AP31" i="3"/>
  <c r="AL29" i="3"/>
  <c r="AN29" i="3"/>
  <c r="AM29" i="3"/>
  <c r="AP29" i="3"/>
  <c r="BE29" i="3"/>
  <c r="AV31" i="3"/>
  <c r="AV30" i="3"/>
  <c r="AH31" i="3"/>
  <c r="AG30" i="3"/>
  <c r="AZ30" i="3"/>
  <c r="BA31" i="3"/>
  <c r="Z39" i="3"/>
  <c r="Z38" i="3"/>
  <c r="Y38" i="3"/>
  <c r="AP30" i="3"/>
  <c r="AQ31" i="3"/>
  <c r="AK30" i="3"/>
  <c r="AL31" i="3"/>
  <c r="BH38" i="3"/>
  <c r="BI39" i="3"/>
  <c r="BI38" i="3"/>
  <c r="BC38" i="3"/>
  <c r="BD39" i="3"/>
  <c r="BD38" i="3"/>
  <c r="BF30" i="3"/>
  <c r="BG31" i="3"/>
  <c r="AJ39" i="3"/>
  <c r="AJ38" i="3"/>
  <c r="AI38" i="3"/>
  <c r="AW31" i="3"/>
  <c r="AX31" i="3"/>
  <c r="AL30" i="3"/>
  <c r="AM31" i="3"/>
  <c r="BA30" i="3"/>
  <c r="BB31" i="3"/>
  <c r="AR31" i="3"/>
  <c r="AQ30" i="3"/>
  <c r="AI31" i="3"/>
  <c r="AH30" i="3"/>
  <c r="BG30" i="3"/>
  <c r="BH31" i="3"/>
  <c r="N38" i="3"/>
  <c r="AW30" i="3"/>
  <c r="AI30" i="3"/>
  <c r="AJ31" i="3"/>
  <c r="AJ30" i="3"/>
  <c r="AS31" i="3"/>
  <c r="AR30" i="3"/>
  <c r="BB30" i="3"/>
  <c r="BC31" i="3"/>
  <c r="BI31" i="3"/>
  <c r="BI30" i="3"/>
  <c r="BH30" i="3"/>
  <c r="AM30" i="3"/>
  <c r="AN31" i="3"/>
  <c r="AY31" i="3"/>
  <c r="AY30" i="3"/>
  <c r="AX30" i="3"/>
  <c r="AN30" i="3"/>
  <c r="AO31" i="3"/>
  <c r="AO30" i="3"/>
  <c r="BD31" i="3"/>
  <c r="BD30" i="3"/>
  <c r="BC30" i="3"/>
  <c r="AS30" i="3"/>
  <c r="AT31" i="3"/>
  <c r="AT30" i="3"/>
  <c r="R25" i="4"/>
  <c r="R60" i="6"/>
  <c r="R88" i="4"/>
  <c r="N89" i="4"/>
  <c r="R90" i="4"/>
  <c r="S20" i="4"/>
  <c r="N21" i="4"/>
  <c r="R91" i="4"/>
  <c r="R23" i="4"/>
  <c r="R22" i="4"/>
  <c r="R92" i="4"/>
  <c r="R24" i="4"/>
  <c r="R183" i="4"/>
  <c r="R93" i="4"/>
  <c r="S88" i="4"/>
  <c r="S90" i="4"/>
  <c r="R51" i="4"/>
  <c r="S22" i="4"/>
  <c r="S91" i="4"/>
  <c r="S25" i="6"/>
  <c r="S23" i="4"/>
  <c r="S92" i="4"/>
  <c r="S93" i="4"/>
  <c r="T88" i="4"/>
  <c r="S60" i="6"/>
  <c r="S24" i="4"/>
  <c r="S183" i="4"/>
  <c r="S51" i="4"/>
  <c r="S358" i="4"/>
  <c r="S25" i="4"/>
  <c r="T90" i="4"/>
  <c r="T22" i="4"/>
  <c r="T91" i="4"/>
  <c r="T25" i="6"/>
  <c r="T20" i="4"/>
  <c r="T23" i="4"/>
  <c r="T92" i="4"/>
  <c r="T93" i="4"/>
  <c r="U88" i="4"/>
  <c r="T60" i="6"/>
  <c r="T24" i="4"/>
  <c r="T183" i="4"/>
  <c r="T25" i="4"/>
  <c r="T51" i="4"/>
  <c r="T358" i="4"/>
  <c r="U90" i="4"/>
  <c r="U20" i="4"/>
  <c r="U22" i="4"/>
  <c r="U91" i="4"/>
  <c r="U25" i="6"/>
  <c r="U23" i="4"/>
  <c r="U92" i="4"/>
  <c r="U93" i="4"/>
  <c r="U60" i="6"/>
  <c r="V88" i="4"/>
  <c r="U24" i="4"/>
  <c r="U183" i="4"/>
  <c r="U25" i="4"/>
  <c r="V90" i="4"/>
  <c r="U51" i="4"/>
  <c r="U358" i="4"/>
  <c r="V20" i="4"/>
  <c r="V22" i="4"/>
  <c r="V25" i="6"/>
  <c r="V91" i="4"/>
  <c r="V23" i="4"/>
  <c r="V92" i="4"/>
  <c r="V24" i="4"/>
  <c r="V183" i="4"/>
  <c r="V93" i="4"/>
  <c r="V60" i="6"/>
  <c r="W88" i="4"/>
  <c r="V51" i="4"/>
  <c r="V358" i="4"/>
  <c r="V25" i="4"/>
  <c r="W90" i="4"/>
  <c r="W20" i="4"/>
  <c r="W22" i="4"/>
  <c r="W25" i="6"/>
  <c r="W91" i="4"/>
  <c r="W23" i="4"/>
  <c r="W92" i="4"/>
  <c r="W24" i="4"/>
  <c r="W93" i="4"/>
  <c r="W60" i="6"/>
  <c r="W183" i="4"/>
  <c r="W51" i="4"/>
  <c r="W358" i="4"/>
  <c r="W25" i="4"/>
  <c r="X88" i="4"/>
  <c r="X90" i="4"/>
  <c r="X20" i="4"/>
  <c r="X22" i="4"/>
  <c r="X91" i="4"/>
  <c r="X25" i="6"/>
  <c r="X23" i="4"/>
  <c r="X92" i="4"/>
  <c r="X24" i="4"/>
  <c r="X183" i="4"/>
  <c r="X93" i="4"/>
  <c r="X25" i="4"/>
  <c r="Y88" i="4"/>
  <c r="X60" i="6"/>
  <c r="X51" i="4"/>
  <c r="X358" i="4"/>
  <c r="Y20" i="4"/>
  <c r="Y90" i="4"/>
  <c r="Y22" i="4"/>
  <c r="Y25" i="6"/>
  <c r="Y91" i="4"/>
  <c r="Y23" i="4"/>
  <c r="Y92" i="4"/>
  <c r="Y183" i="4"/>
  <c r="Y24" i="4"/>
  <c r="Y93" i="4"/>
  <c r="Y25" i="4"/>
  <c r="Y51" i="4"/>
  <c r="Y358" i="4"/>
  <c r="Z88" i="4"/>
  <c r="Y60" i="6"/>
  <c r="Z90" i="4"/>
  <c r="Z20" i="4"/>
  <c r="Z22" i="4"/>
  <c r="Z91" i="4"/>
  <c r="Z25" i="6"/>
  <c r="Z23" i="4"/>
  <c r="Z92" i="4"/>
  <c r="Z93" i="4"/>
  <c r="Z60" i="6"/>
  <c r="AA88" i="4"/>
  <c r="Z183" i="4"/>
  <c r="Z24" i="4"/>
  <c r="Z25" i="4"/>
  <c r="AA20" i="4"/>
  <c r="AA90" i="4"/>
  <c r="Z51" i="4"/>
  <c r="Z358" i="4"/>
  <c r="AA22" i="4"/>
  <c r="AA91" i="4"/>
  <c r="AA25" i="6"/>
  <c r="AA23" i="4"/>
  <c r="AA92" i="4"/>
  <c r="AA24" i="4"/>
  <c r="AA183" i="4"/>
  <c r="AA93" i="4"/>
  <c r="AA25" i="4"/>
  <c r="AB20" i="4"/>
  <c r="AA51" i="4"/>
  <c r="AA358" i="4"/>
  <c r="AA60" i="6"/>
  <c r="AB88" i="4"/>
  <c r="AB90" i="4"/>
  <c r="AB22" i="4"/>
  <c r="AB91" i="4"/>
  <c r="AB25" i="6"/>
  <c r="AB23" i="4"/>
  <c r="AB92" i="4"/>
  <c r="AB93" i="4"/>
  <c r="AC88" i="4"/>
  <c r="AB60" i="6"/>
  <c r="AB24" i="4"/>
  <c r="AB183" i="4"/>
  <c r="AC90" i="4"/>
  <c r="AB51" i="4"/>
  <c r="AB358" i="4"/>
  <c r="AB25" i="4"/>
  <c r="AC20" i="4"/>
  <c r="AC22" i="4"/>
  <c r="AC25" i="6"/>
  <c r="AC91" i="4"/>
  <c r="AC23" i="4"/>
  <c r="AC92" i="4"/>
  <c r="AC93" i="4"/>
  <c r="AD88" i="4"/>
  <c r="AC60" i="6"/>
  <c r="AC24" i="4"/>
  <c r="AC183" i="4"/>
  <c r="AC25" i="4"/>
  <c r="AD20" i="4"/>
  <c r="AC51" i="4"/>
  <c r="AC358" i="4"/>
  <c r="AD90" i="4"/>
  <c r="AD22" i="4"/>
  <c r="AD25" i="6"/>
  <c r="AD91" i="4"/>
  <c r="AD23" i="4"/>
  <c r="AD92" i="4"/>
  <c r="AD24" i="4"/>
  <c r="AD183" i="4"/>
  <c r="AD93" i="4"/>
  <c r="AD60" i="6"/>
  <c r="AE88" i="4"/>
  <c r="AD51" i="4"/>
  <c r="AD25" i="4"/>
  <c r="AE20" i="4"/>
  <c r="AE90" i="4"/>
  <c r="AE22" i="4"/>
  <c r="AE91" i="4"/>
  <c r="AE25" i="6"/>
  <c r="AE23" i="4"/>
  <c r="AE92" i="4"/>
  <c r="AE24" i="4"/>
  <c r="AE183" i="4"/>
  <c r="AE93" i="4"/>
  <c r="AE51" i="4"/>
  <c r="AE358" i="4"/>
  <c r="AE25" i="4"/>
  <c r="AF88" i="4"/>
  <c r="AE60" i="6"/>
  <c r="AF90" i="4"/>
  <c r="AF20" i="4"/>
  <c r="AF22" i="4"/>
  <c r="AF91" i="4"/>
  <c r="AF25" i="6"/>
  <c r="AF23" i="4"/>
  <c r="AF92" i="4"/>
  <c r="AF93" i="4"/>
  <c r="AF60" i="6"/>
  <c r="AG88" i="4"/>
  <c r="AF24" i="4"/>
  <c r="AF183" i="4"/>
  <c r="AG90" i="4"/>
  <c r="AF51" i="4"/>
  <c r="AF358" i="4"/>
  <c r="AF25" i="4"/>
  <c r="AG20" i="4"/>
  <c r="AG22" i="4"/>
  <c r="AG91" i="4"/>
  <c r="AG25" i="6"/>
  <c r="AG23" i="4"/>
  <c r="AG92" i="4"/>
  <c r="AG24" i="4"/>
  <c r="AG183" i="4"/>
  <c r="AG93" i="4"/>
  <c r="AG25" i="4"/>
  <c r="AH20" i="4"/>
  <c r="AH88" i="4"/>
  <c r="AG60" i="6"/>
  <c r="AG51" i="4"/>
  <c r="AG358" i="4"/>
  <c r="AH90" i="4"/>
  <c r="AH22" i="4"/>
  <c r="AH91" i="4"/>
  <c r="AH23" i="4"/>
  <c r="AH25" i="6"/>
  <c r="AH92" i="4"/>
  <c r="AH93" i="4"/>
  <c r="AH183" i="4"/>
  <c r="AH24" i="4"/>
  <c r="AH25" i="4"/>
  <c r="AH51" i="4"/>
  <c r="AH358" i="4"/>
  <c r="AH60" i="6"/>
  <c r="AI88" i="4"/>
  <c r="AI90" i="4"/>
  <c r="AI20" i="4"/>
  <c r="AI22" i="4"/>
  <c r="AI25" i="6"/>
  <c r="AI91" i="4"/>
  <c r="AI23" i="4"/>
  <c r="AI92" i="4"/>
  <c r="AI93" i="4"/>
  <c r="AI60" i="6"/>
  <c r="AJ88" i="4"/>
  <c r="AI24" i="4"/>
  <c r="AI183" i="4"/>
  <c r="AI25" i="4"/>
  <c r="AJ20" i="4"/>
  <c r="AI51" i="4"/>
  <c r="AI358" i="4"/>
  <c r="AJ90" i="4"/>
  <c r="AJ22" i="4"/>
  <c r="AJ25" i="6"/>
  <c r="AJ91" i="4"/>
  <c r="AJ92" i="4"/>
  <c r="AJ24" i="4"/>
  <c r="AJ183" i="4"/>
  <c r="AJ23" i="4"/>
  <c r="AJ93" i="4"/>
  <c r="AK88" i="4"/>
  <c r="AJ60" i="6"/>
  <c r="AJ25" i="4"/>
  <c r="AJ51" i="4"/>
  <c r="AJ358" i="4"/>
  <c r="AK20" i="4"/>
  <c r="AK90" i="4"/>
  <c r="AK22" i="4"/>
  <c r="AK25" i="6"/>
  <c r="AK91" i="4"/>
  <c r="AK23" i="4"/>
  <c r="AK92" i="4"/>
  <c r="AK24" i="4"/>
  <c r="AK25" i="4"/>
  <c r="AK183" i="4"/>
  <c r="AK93" i="4"/>
  <c r="AL20" i="4"/>
  <c r="AK60" i="6"/>
  <c r="AL88" i="4"/>
  <c r="AK51" i="4"/>
  <c r="AK358" i="4"/>
  <c r="AL90" i="4"/>
  <c r="AL22" i="4"/>
  <c r="AL25" i="6"/>
  <c r="AL91" i="4"/>
  <c r="AL23" i="4"/>
  <c r="AL92" i="4"/>
  <c r="AL24" i="4"/>
  <c r="AL183" i="4"/>
  <c r="AL93" i="4"/>
  <c r="AL51" i="4"/>
  <c r="AL358" i="4"/>
  <c r="AL25" i="4"/>
  <c r="AM88" i="4"/>
  <c r="AL60" i="6"/>
  <c r="AM90" i="4"/>
  <c r="AM20" i="4"/>
  <c r="AM22" i="4"/>
  <c r="AM25" i="6"/>
  <c r="AM91" i="4"/>
  <c r="AM23" i="4"/>
  <c r="AM92" i="4"/>
  <c r="AM93" i="4"/>
  <c r="AN88" i="4"/>
  <c r="AM60" i="6"/>
  <c r="AM24" i="4"/>
  <c r="AM183" i="4"/>
  <c r="AM25" i="4"/>
  <c r="AN20" i="4"/>
  <c r="AM51" i="4"/>
  <c r="AM358" i="4"/>
  <c r="AN90" i="4"/>
  <c r="AN22" i="4"/>
  <c r="AN91" i="4"/>
  <c r="AN25" i="6"/>
  <c r="AN23" i="4"/>
  <c r="AN92" i="4"/>
  <c r="AN93" i="4"/>
  <c r="AN60" i="6"/>
  <c r="AO88" i="4"/>
  <c r="AN24" i="4"/>
  <c r="AN25" i="4"/>
  <c r="AN183" i="4"/>
  <c r="AO90" i="4"/>
  <c r="AO20" i="4"/>
  <c r="AN51" i="4"/>
  <c r="AO22" i="4"/>
  <c r="AO25" i="6"/>
  <c r="AO91" i="4"/>
  <c r="AO23" i="4"/>
  <c r="AO92" i="4"/>
  <c r="AO93" i="4"/>
  <c r="AO60" i="6"/>
  <c r="AP88" i="4"/>
  <c r="AO24" i="4"/>
  <c r="AO183" i="4"/>
  <c r="AO51" i="4"/>
  <c r="AO358" i="4"/>
  <c r="AP90" i="4"/>
  <c r="AO25" i="4"/>
  <c r="AP20" i="4"/>
  <c r="AP22" i="4"/>
  <c r="AP25" i="6"/>
  <c r="AP91" i="4"/>
  <c r="AP23" i="4"/>
  <c r="AP92" i="4"/>
  <c r="AP93" i="4"/>
  <c r="AP60" i="6"/>
  <c r="AQ88" i="4"/>
  <c r="AP24" i="4"/>
  <c r="AP183" i="4"/>
  <c r="AP51" i="4"/>
  <c r="AP358" i="4"/>
  <c r="AP25" i="4"/>
  <c r="AQ90" i="4"/>
  <c r="AQ22" i="4"/>
  <c r="AQ25" i="6"/>
  <c r="AQ91" i="4"/>
  <c r="AQ23" i="4"/>
  <c r="AQ20" i="4"/>
  <c r="AQ92" i="4"/>
  <c r="AQ24" i="4"/>
  <c r="AQ183" i="4"/>
  <c r="AQ93" i="4"/>
  <c r="AQ60" i="6"/>
  <c r="AR88" i="4"/>
  <c r="AQ51" i="4"/>
  <c r="AQ358" i="4"/>
  <c r="AQ25" i="4"/>
  <c r="AR20" i="4"/>
  <c r="AR90" i="4"/>
  <c r="AR22" i="4"/>
  <c r="AR91" i="4"/>
  <c r="AR23" i="4"/>
  <c r="AR25" i="6"/>
  <c r="AR92" i="4"/>
  <c r="AR93" i="4"/>
  <c r="AR24" i="4"/>
  <c r="AR183" i="4"/>
  <c r="AR51" i="4"/>
  <c r="AR60" i="6"/>
  <c r="AS88" i="4"/>
  <c r="AR25" i="4"/>
  <c r="AS20" i="4"/>
  <c r="AR358" i="4"/>
  <c r="AS90" i="4"/>
  <c r="AS22" i="4"/>
  <c r="AS91" i="4"/>
  <c r="AS23" i="4"/>
  <c r="AS25" i="6"/>
  <c r="AS92" i="4"/>
  <c r="AS93" i="4"/>
  <c r="AT88" i="4"/>
  <c r="AS24" i="4"/>
  <c r="AS25" i="4"/>
  <c r="AS183" i="4"/>
  <c r="AS51" i="4"/>
  <c r="AS60" i="6"/>
  <c r="AT90" i="4"/>
  <c r="AS358" i="4"/>
  <c r="AT20" i="4"/>
  <c r="AT22" i="4"/>
  <c r="AT25" i="6"/>
  <c r="AT91" i="4"/>
  <c r="AT23" i="4"/>
  <c r="AT92" i="4"/>
  <c r="AT93" i="4"/>
  <c r="AT24" i="4"/>
  <c r="AT183" i="4"/>
  <c r="AT60" i="6"/>
  <c r="AU88" i="4"/>
  <c r="AU90" i="4"/>
  <c r="AT51" i="4"/>
  <c r="AT358" i="4"/>
  <c r="AT25" i="4"/>
  <c r="AU20" i="4"/>
  <c r="AU22" i="4"/>
  <c r="AU91" i="4"/>
  <c r="AU25" i="6"/>
  <c r="AU23" i="4"/>
  <c r="AU92" i="4"/>
  <c r="AU24" i="4"/>
  <c r="AU25" i="4"/>
  <c r="AU183" i="4"/>
  <c r="AU93" i="4"/>
  <c r="AV20" i="4"/>
  <c r="AV88" i="4"/>
  <c r="AU60" i="6"/>
  <c r="AU51" i="4"/>
  <c r="AV90" i="4"/>
  <c r="AV22" i="4"/>
  <c r="AV25" i="6"/>
  <c r="AV91" i="4"/>
  <c r="AV23" i="4"/>
  <c r="AV92" i="4"/>
  <c r="AV24" i="4"/>
  <c r="AV183" i="4"/>
  <c r="AV93" i="4"/>
  <c r="AW88" i="4"/>
  <c r="AV60" i="6"/>
  <c r="AV51" i="4"/>
  <c r="AV25" i="4"/>
  <c r="AW20" i="4"/>
  <c r="AW90" i="4"/>
  <c r="AW22" i="4"/>
  <c r="AW91" i="4"/>
  <c r="AW23" i="4"/>
  <c r="AW25" i="6"/>
  <c r="AW92" i="4"/>
  <c r="AW24" i="4"/>
  <c r="AW183" i="4"/>
  <c r="AW93" i="4"/>
  <c r="AW25" i="4"/>
  <c r="AW60" i="6"/>
  <c r="AX88" i="4"/>
  <c r="AW51" i="4"/>
  <c r="AX20" i="4"/>
  <c r="AX90" i="4"/>
  <c r="AX22" i="4"/>
  <c r="AX91" i="4"/>
  <c r="AX25" i="6"/>
  <c r="AX23" i="4"/>
  <c r="AX92" i="4"/>
  <c r="AX24" i="4"/>
  <c r="AX183" i="4"/>
  <c r="AX93" i="4"/>
  <c r="AX51" i="4"/>
  <c r="AX60" i="6"/>
  <c r="AY88" i="4"/>
  <c r="AX25" i="4"/>
  <c r="AY90" i="4"/>
  <c r="AY20" i="4"/>
  <c r="AY22" i="4"/>
  <c r="AY91" i="4"/>
  <c r="AY25" i="6"/>
  <c r="AY23" i="4"/>
  <c r="AY92" i="4"/>
  <c r="AY93" i="4"/>
  <c r="AY60" i="6"/>
  <c r="AZ88" i="4"/>
  <c r="AY24" i="4"/>
  <c r="AY183" i="4"/>
  <c r="AY25" i="4"/>
  <c r="AZ90" i="4"/>
  <c r="AY51" i="4"/>
  <c r="AZ22" i="4"/>
  <c r="AZ25" i="6"/>
  <c r="AZ91" i="4"/>
  <c r="AZ23" i="4"/>
  <c r="AZ20" i="4"/>
  <c r="AZ92" i="4"/>
  <c r="AZ24" i="4"/>
  <c r="AZ25" i="4"/>
  <c r="AZ93" i="4"/>
  <c r="BA88" i="4"/>
  <c r="AZ183" i="4"/>
  <c r="AZ51" i="4"/>
  <c r="BA20" i="4"/>
  <c r="AZ60" i="6"/>
  <c r="BA90" i="4"/>
  <c r="BA22" i="4"/>
  <c r="BA91" i="4"/>
  <c r="BA25" i="6"/>
  <c r="BA23" i="4"/>
  <c r="BA92" i="4"/>
  <c r="BA93" i="4"/>
  <c r="BB88" i="4"/>
  <c r="BA60" i="6"/>
  <c r="BA24" i="4"/>
  <c r="BA183" i="4"/>
  <c r="BA25" i="4"/>
  <c r="BA51" i="4"/>
  <c r="BB90" i="4"/>
  <c r="BB20" i="4"/>
  <c r="BB22" i="4"/>
  <c r="BB91" i="4"/>
  <c r="BB25" i="6"/>
  <c r="BB23" i="4"/>
  <c r="BB92" i="4"/>
  <c r="BB24" i="4"/>
  <c r="BB183" i="4"/>
  <c r="BB93" i="4"/>
  <c r="BB60" i="6"/>
  <c r="BC88" i="4"/>
  <c r="BB51" i="4"/>
  <c r="BB25" i="4"/>
  <c r="BC20" i="4"/>
  <c r="BC90" i="4"/>
  <c r="BC22" i="4"/>
  <c r="BC25" i="6"/>
  <c r="BC91" i="4"/>
  <c r="BC23" i="4"/>
  <c r="BC92" i="4"/>
  <c r="BC93" i="4"/>
  <c r="BC60" i="6"/>
  <c r="BD88" i="4"/>
  <c r="BC24" i="4"/>
  <c r="BC25" i="4"/>
  <c r="BC183" i="4"/>
  <c r="BD20" i="4"/>
  <c r="BC51" i="4"/>
  <c r="BD90" i="4"/>
  <c r="BD22" i="4"/>
  <c r="BD25" i="6"/>
  <c r="BD91" i="4"/>
  <c r="BD23" i="4"/>
  <c r="BD92" i="4"/>
  <c r="BD93" i="4"/>
  <c r="BD60" i="6"/>
  <c r="BE88" i="4"/>
  <c r="BD24" i="4"/>
  <c r="BD25" i="4"/>
  <c r="BD183" i="4"/>
  <c r="BD51" i="4"/>
  <c r="BE90" i="4"/>
  <c r="BE20" i="4"/>
  <c r="BE22" i="4"/>
  <c r="BE25" i="6"/>
  <c r="BE91" i="4"/>
  <c r="BE23" i="4"/>
  <c r="BE92" i="4"/>
  <c r="BE93" i="4"/>
  <c r="BE60" i="6"/>
  <c r="BF88" i="4"/>
  <c r="BE24" i="4"/>
  <c r="BE25" i="4"/>
  <c r="BE183" i="4"/>
  <c r="BF20" i="4"/>
  <c r="BE51" i="4"/>
  <c r="BF90" i="4"/>
  <c r="BF22" i="4"/>
  <c r="BF91" i="4"/>
  <c r="BF25" i="6"/>
  <c r="BF23" i="4"/>
  <c r="BF92" i="4"/>
  <c r="BF93" i="4"/>
  <c r="BG88" i="4"/>
  <c r="BF60" i="6"/>
  <c r="BF24" i="4"/>
  <c r="BF25" i="4"/>
  <c r="BF183" i="4"/>
  <c r="BG20" i="4"/>
  <c r="BF51" i="4"/>
  <c r="BG90" i="4"/>
  <c r="BG22" i="4"/>
  <c r="BG25" i="6"/>
  <c r="BG91" i="4"/>
  <c r="BG23" i="4"/>
  <c r="BG92" i="4"/>
  <c r="BG93" i="4"/>
  <c r="BH88" i="4"/>
  <c r="BG60" i="6"/>
  <c r="BG24" i="4"/>
  <c r="BG25" i="4"/>
  <c r="BG183" i="4"/>
  <c r="BH20" i="4"/>
  <c r="BG51" i="4"/>
  <c r="BH90" i="4"/>
  <c r="BH22" i="4"/>
  <c r="BH25" i="6"/>
  <c r="BH91" i="4"/>
  <c r="BH23" i="4"/>
  <c r="BH92" i="4"/>
  <c r="BH93" i="4"/>
  <c r="BH60" i="6"/>
  <c r="BI88" i="4"/>
  <c r="BH24" i="4"/>
  <c r="BH25" i="4"/>
  <c r="BH183" i="4"/>
  <c r="BI90" i="4"/>
  <c r="BI20" i="4"/>
  <c r="BH51" i="4"/>
  <c r="BI22" i="4"/>
  <c r="BI91" i="4"/>
  <c r="BI23" i="4"/>
  <c r="BI25" i="6"/>
  <c r="BI92" i="4"/>
  <c r="BI183" i="4"/>
  <c r="BI24" i="4"/>
  <c r="BI93" i="4"/>
  <c r="BI60" i="6"/>
  <c r="BJ88" i="4"/>
  <c r="BI25" i="4"/>
  <c r="BI51" i="4"/>
  <c r="BJ20" i="4"/>
  <c r="BJ90" i="4"/>
  <c r="BJ91" i="4"/>
  <c r="BJ22" i="4"/>
  <c r="BJ25" i="6"/>
  <c r="N90" i="4"/>
  <c r="BJ92" i="4"/>
  <c r="N25" i="6"/>
  <c r="BJ183" i="4"/>
  <c r="BJ24" i="4"/>
  <c r="N92" i="4"/>
  <c r="N22" i="4"/>
  <c r="N91" i="4"/>
  <c r="BJ23" i="4"/>
  <c r="BJ93" i="4"/>
  <c r="BJ60" i="6"/>
  <c r="N23" i="4"/>
  <c r="BJ25" i="4"/>
  <c r="N97" i="4"/>
  <c r="N24" i="4"/>
  <c r="BJ51" i="4"/>
  <c r="N183" i="4"/>
  <c r="N26" i="4"/>
  <c r="N51" i="4"/>
  <c r="R151" i="4"/>
  <c r="R152" i="4"/>
  <c r="S26" i="3"/>
  <c r="S59" i="3"/>
  <c r="S50" i="3"/>
  <c r="S42" i="3"/>
  <c r="T26" i="3"/>
  <c r="S151" i="4"/>
  <c r="S152" i="4"/>
  <c r="T59" i="3"/>
  <c r="T20" i="3"/>
  <c r="T151" i="4"/>
  <c r="T152" i="4"/>
  <c r="U26" i="3"/>
  <c r="T42" i="3"/>
  <c r="T18" i="3"/>
  <c r="T27" i="5"/>
  <c r="S18" i="3"/>
  <c r="S286" i="4"/>
  <c r="S204" i="4"/>
  <c r="S19" i="3"/>
  <c r="S37" i="7"/>
  <c r="S20" i="3"/>
  <c r="S39" i="7"/>
  <c r="S57" i="7"/>
  <c r="U59" i="3"/>
  <c r="U151" i="4"/>
  <c r="U152" i="4"/>
  <c r="V26" i="3"/>
  <c r="U42" i="3"/>
  <c r="S28" i="5"/>
  <c r="S27" i="5"/>
  <c r="S214" i="4"/>
  <c r="S240" i="4"/>
  <c r="T17" i="6"/>
  <c r="T346" i="4"/>
  <c r="H140" i="1"/>
  <c r="H158" i="1"/>
  <c r="T87" i="6"/>
  <c r="G109" i="1"/>
  <c r="D16" i="1"/>
  <c r="S352" i="4"/>
  <c r="S17" i="6"/>
  <c r="G140" i="1"/>
  <c r="G158" i="1"/>
  <c r="S87" i="6"/>
  <c r="F109" i="1"/>
  <c r="D15" i="1"/>
  <c r="U18" i="3"/>
  <c r="U20" i="3"/>
  <c r="V151" i="4"/>
  <c r="V152" i="4"/>
  <c r="W26" i="3"/>
  <c r="V59" i="3"/>
  <c r="V20" i="3"/>
  <c r="V42" i="3"/>
  <c r="V18" i="3"/>
  <c r="V27" i="5"/>
  <c r="S46" i="7"/>
  <c r="S216" i="4"/>
  <c r="S29" i="4"/>
  <c r="S353" i="4"/>
  <c r="G141" i="1"/>
  <c r="G160" i="1"/>
  <c r="S88" i="6"/>
  <c r="S33" i="4"/>
  <c r="V87" i="6"/>
  <c r="V17" i="6"/>
  <c r="V346" i="4"/>
  <c r="I109" i="1"/>
  <c r="D18" i="1"/>
  <c r="J140" i="1"/>
  <c r="J158" i="1"/>
  <c r="S59" i="6"/>
  <c r="T213" i="4"/>
  <c r="U27" i="5"/>
  <c r="S346" i="4"/>
  <c r="W59" i="3"/>
  <c r="W20" i="3"/>
  <c r="W151" i="4"/>
  <c r="W152" i="4"/>
  <c r="X26" i="3"/>
  <c r="W42" i="3"/>
  <c r="X59" i="3"/>
  <c r="X151" i="4"/>
  <c r="X152" i="4"/>
  <c r="Y26" i="3"/>
  <c r="X42" i="3"/>
  <c r="X18" i="3"/>
  <c r="X27" i="5"/>
  <c r="T220" i="4"/>
  <c r="W18" i="3"/>
  <c r="U17" i="6"/>
  <c r="I140" i="1"/>
  <c r="I158" i="1"/>
  <c r="H109" i="1"/>
  <c r="D17" i="1"/>
  <c r="U87" i="6"/>
  <c r="T28" i="4"/>
  <c r="W27" i="5"/>
  <c r="T25" i="9"/>
  <c r="Y59" i="3"/>
  <c r="Y20" i="3"/>
  <c r="Z26" i="3"/>
  <c r="Y151" i="4"/>
  <c r="Y152" i="4"/>
  <c r="Y42" i="3"/>
  <c r="U346" i="4"/>
  <c r="K109" i="1"/>
  <c r="D20" i="1"/>
  <c r="X87" i="6"/>
  <c r="L140" i="1"/>
  <c r="L158" i="1"/>
  <c r="X17" i="6"/>
  <c r="X346" i="4"/>
  <c r="X20" i="3"/>
  <c r="Y18" i="3"/>
  <c r="K140" i="1"/>
  <c r="K158" i="1"/>
  <c r="J109" i="1"/>
  <c r="D19" i="1"/>
  <c r="W87" i="6"/>
  <c r="W17" i="6"/>
  <c r="Z59" i="3"/>
  <c r="AA26" i="3"/>
  <c r="Z151" i="4"/>
  <c r="Z152" i="4"/>
  <c r="Z42" i="3"/>
  <c r="Z18" i="3"/>
  <c r="Z27" i="5"/>
  <c r="W346" i="4"/>
  <c r="AA59" i="3"/>
  <c r="AA20" i="3"/>
  <c r="AA151" i="4"/>
  <c r="AA152" i="4"/>
  <c r="AB26" i="3"/>
  <c r="AA42" i="3"/>
  <c r="AA18" i="3"/>
  <c r="AA27" i="5"/>
  <c r="M109" i="1"/>
  <c r="D22" i="1"/>
  <c r="N140" i="1"/>
  <c r="N158" i="1"/>
  <c r="Z17" i="6"/>
  <c r="Z346" i="4"/>
  <c r="Z87" i="6"/>
  <c r="Z20" i="3"/>
  <c r="Y27" i="5"/>
  <c r="M140" i="1"/>
  <c r="M158" i="1"/>
  <c r="L109" i="1"/>
  <c r="D21" i="1"/>
  <c r="Y17" i="6"/>
  <c r="Y87" i="6"/>
  <c r="O140" i="1"/>
  <c r="O158" i="1"/>
  <c r="N109" i="1"/>
  <c r="D23" i="1"/>
  <c r="AA17" i="6"/>
  <c r="AA346" i="4"/>
  <c r="AA87" i="6"/>
  <c r="AB59" i="3"/>
  <c r="AB20" i="3"/>
  <c r="AC26" i="3"/>
  <c r="AB151" i="4"/>
  <c r="AB152" i="4"/>
  <c r="AB42" i="3"/>
  <c r="AB18" i="3"/>
  <c r="AB27" i="5"/>
  <c r="AC59" i="3"/>
  <c r="AC20" i="3"/>
  <c r="AC151" i="4"/>
  <c r="AC152" i="4"/>
  <c r="AD26" i="3"/>
  <c r="AC42" i="3"/>
  <c r="AC18" i="3"/>
  <c r="AC27" i="5"/>
  <c r="Y346" i="4"/>
  <c r="AB17" i="6"/>
  <c r="AB346" i="4"/>
  <c r="O109" i="1"/>
  <c r="D24" i="1"/>
  <c r="P140" i="1"/>
  <c r="P158" i="1"/>
  <c r="AB87" i="6"/>
  <c r="Q140" i="1"/>
  <c r="Q158" i="1"/>
  <c r="AC17" i="6"/>
  <c r="AC346" i="4"/>
  <c r="AC87" i="6"/>
  <c r="P109" i="1"/>
  <c r="D25" i="1"/>
  <c r="AD59" i="3"/>
  <c r="AD20" i="3"/>
  <c r="AE26" i="3"/>
  <c r="AD151" i="4"/>
  <c r="AD152" i="4"/>
  <c r="AD42" i="3"/>
  <c r="AD18" i="3"/>
  <c r="AD27" i="5"/>
  <c r="AE59" i="3"/>
  <c r="AE20" i="3"/>
  <c r="AE151" i="4"/>
  <c r="AE152" i="4"/>
  <c r="AF26" i="3"/>
  <c r="AE42" i="3"/>
  <c r="AE18" i="3"/>
  <c r="AE27" i="5"/>
  <c r="AD87" i="6"/>
  <c r="AD17" i="6"/>
  <c r="AD346" i="4"/>
  <c r="Q109" i="1"/>
  <c r="D26" i="1"/>
  <c r="R140" i="1"/>
  <c r="R158" i="1"/>
  <c r="AF59" i="3"/>
  <c r="AF20" i="3"/>
  <c r="AG26" i="3"/>
  <c r="AF151" i="4"/>
  <c r="AF152" i="4"/>
  <c r="AF42" i="3"/>
  <c r="AF18" i="3"/>
  <c r="AF27" i="5"/>
  <c r="AF34" i="3"/>
  <c r="AF16" i="3"/>
  <c r="AE17" i="6"/>
  <c r="AE346" i="4"/>
  <c r="S140" i="1"/>
  <c r="S158" i="1"/>
  <c r="AE87" i="6"/>
  <c r="R109" i="1"/>
  <c r="D27" i="1"/>
  <c r="AF153" i="4"/>
  <c r="AF25" i="5"/>
  <c r="AF65" i="3"/>
  <c r="AG59" i="3"/>
  <c r="AG20" i="3"/>
  <c r="AH26" i="3"/>
  <c r="AG151" i="4"/>
  <c r="AG152" i="4"/>
  <c r="AG42" i="3"/>
  <c r="AG18" i="3"/>
  <c r="AG27" i="5"/>
  <c r="AG34" i="3"/>
  <c r="AG16" i="3"/>
  <c r="S109" i="1"/>
  <c r="D28" i="1"/>
  <c r="AF87" i="6"/>
  <c r="T140" i="1"/>
  <c r="T158" i="1"/>
  <c r="AF17" i="6"/>
  <c r="AF346" i="4"/>
  <c r="AG153" i="4"/>
  <c r="AG25" i="5"/>
  <c r="AG65" i="3"/>
  <c r="AH59" i="3"/>
  <c r="AH20" i="3"/>
  <c r="AI26" i="3"/>
  <c r="AH151" i="4"/>
  <c r="AH152" i="4"/>
  <c r="AH42" i="3"/>
  <c r="AH18" i="3"/>
  <c r="AH27" i="5"/>
  <c r="AH34" i="3"/>
  <c r="AH16" i="3"/>
  <c r="AF73" i="6"/>
  <c r="AF32" i="5"/>
  <c r="T138" i="1"/>
  <c r="AG17" i="6"/>
  <c r="AG346" i="4"/>
  <c r="T109" i="1"/>
  <c r="D29" i="1"/>
  <c r="AG87" i="6"/>
  <c r="U140" i="1"/>
  <c r="U158" i="1"/>
  <c r="T144" i="1"/>
  <c r="T159" i="1"/>
  <c r="AF347" i="4"/>
  <c r="S110" i="1"/>
  <c r="E28" i="1"/>
  <c r="AF20" i="6"/>
  <c r="AF86" i="6"/>
  <c r="AH87" i="6"/>
  <c r="V140" i="1"/>
  <c r="V158" i="1"/>
  <c r="U109" i="1"/>
  <c r="D30" i="1"/>
  <c r="AH17" i="6"/>
  <c r="AH346" i="4"/>
  <c r="U138" i="1"/>
  <c r="AG32" i="5"/>
  <c r="AG73" i="6"/>
  <c r="AH153" i="4"/>
  <c r="AH25" i="5"/>
  <c r="AH65" i="3"/>
  <c r="AI59" i="3"/>
  <c r="AI20" i="3"/>
  <c r="AI151" i="4"/>
  <c r="AI152" i="4"/>
  <c r="AJ26" i="3"/>
  <c r="AI42" i="3"/>
  <c r="AI18" i="3"/>
  <c r="AI27" i="5"/>
  <c r="AI34" i="3"/>
  <c r="AI16" i="3"/>
  <c r="AI153" i="4"/>
  <c r="AI65" i="3"/>
  <c r="AI25" i="5"/>
  <c r="AI87" i="6"/>
  <c r="V109" i="1"/>
  <c r="D31" i="1"/>
  <c r="W140" i="1"/>
  <c r="W158" i="1"/>
  <c r="AI17" i="6"/>
  <c r="AI346" i="4"/>
  <c r="AG347" i="4"/>
  <c r="AG86" i="6"/>
  <c r="T110" i="1"/>
  <c r="E29" i="1"/>
  <c r="AG20" i="6"/>
  <c r="U144" i="1"/>
  <c r="U159" i="1"/>
  <c r="AJ59" i="3"/>
  <c r="AJ20" i="3"/>
  <c r="AK26" i="3"/>
  <c r="AJ151" i="4"/>
  <c r="AJ152" i="4"/>
  <c r="AJ42" i="3"/>
  <c r="AJ18" i="3"/>
  <c r="AJ27" i="5"/>
  <c r="AJ34" i="3"/>
  <c r="AJ16" i="3"/>
  <c r="AH73" i="6"/>
  <c r="V138" i="1"/>
  <c r="AH32" i="5"/>
  <c r="U110" i="1"/>
  <c r="E30" i="1"/>
  <c r="V144" i="1"/>
  <c r="V159" i="1"/>
  <c r="AH347" i="4"/>
  <c r="AH20" i="6"/>
  <c r="AH86" i="6"/>
  <c r="AJ17" i="6"/>
  <c r="AJ346" i="4"/>
  <c r="W109" i="1"/>
  <c r="D32" i="1"/>
  <c r="AJ87" i="6"/>
  <c r="X140" i="1"/>
  <c r="X158" i="1"/>
  <c r="AJ25" i="5"/>
  <c r="AJ153" i="4"/>
  <c r="AJ65" i="3"/>
  <c r="AK59" i="3"/>
  <c r="AK20" i="3"/>
  <c r="AL26" i="3"/>
  <c r="AK151" i="4"/>
  <c r="AK152" i="4"/>
  <c r="AK42" i="3"/>
  <c r="AK18" i="3"/>
  <c r="AK27" i="5"/>
  <c r="AK34" i="3"/>
  <c r="AK16" i="3"/>
  <c r="AI73" i="6"/>
  <c r="W138" i="1"/>
  <c r="AI32" i="5"/>
  <c r="X109" i="1"/>
  <c r="D33" i="1"/>
  <c r="Y140" i="1"/>
  <c r="Y158" i="1"/>
  <c r="AK87" i="6"/>
  <c r="AK17" i="6"/>
  <c r="AK346" i="4"/>
  <c r="AI347" i="4"/>
  <c r="W144" i="1"/>
  <c r="W159" i="1"/>
  <c r="AI20" i="6"/>
  <c r="V110" i="1"/>
  <c r="E31" i="1"/>
  <c r="AI86" i="6"/>
  <c r="AK25" i="5"/>
  <c r="AK153" i="4"/>
  <c r="AK65" i="3"/>
  <c r="AL59" i="3"/>
  <c r="AL20" i="3"/>
  <c r="AM26" i="3"/>
  <c r="AL151" i="4"/>
  <c r="AL152" i="4"/>
  <c r="AL42" i="3"/>
  <c r="AL18" i="3"/>
  <c r="AL27" i="5"/>
  <c r="AL34" i="3"/>
  <c r="AL16" i="3"/>
  <c r="X138" i="1"/>
  <c r="AJ73" i="6"/>
  <c r="AJ32" i="5"/>
  <c r="AJ20" i="6"/>
  <c r="AJ86" i="6"/>
  <c r="W110" i="1"/>
  <c r="E32" i="1"/>
  <c r="X144" i="1"/>
  <c r="X159" i="1"/>
  <c r="AJ347" i="4"/>
  <c r="AL65" i="3"/>
  <c r="AL25" i="5"/>
  <c r="AL153" i="4"/>
  <c r="AM59" i="3"/>
  <c r="AM20" i="3"/>
  <c r="AM151" i="4"/>
  <c r="AM152" i="4"/>
  <c r="AN26" i="3"/>
  <c r="AM42" i="3"/>
  <c r="AM18" i="3"/>
  <c r="AM27" i="5"/>
  <c r="AM34" i="3"/>
  <c r="AM16" i="3"/>
  <c r="AK32" i="5"/>
  <c r="Y138" i="1"/>
  <c r="AK73" i="6"/>
  <c r="AL87" i="6"/>
  <c r="AL17" i="6"/>
  <c r="AL346" i="4"/>
  <c r="Z140" i="1"/>
  <c r="Z158" i="1"/>
  <c r="Y109" i="1"/>
  <c r="D34" i="1"/>
  <c r="AA140" i="1"/>
  <c r="AA158" i="1"/>
  <c r="AM17" i="6"/>
  <c r="AM346" i="4"/>
  <c r="AM87" i="6"/>
  <c r="Z109" i="1"/>
  <c r="D35" i="1"/>
  <c r="AK86" i="6"/>
  <c r="X110" i="1"/>
  <c r="E33" i="1"/>
  <c r="AK20" i="6"/>
  <c r="Y144" i="1"/>
  <c r="Y159" i="1"/>
  <c r="AK347" i="4"/>
  <c r="AN59" i="3"/>
  <c r="AN20" i="3"/>
  <c r="AO26" i="3"/>
  <c r="AN151" i="4"/>
  <c r="AN152" i="4"/>
  <c r="AN42" i="3"/>
  <c r="AN18" i="3"/>
  <c r="AN27" i="5"/>
  <c r="AN34" i="3"/>
  <c r="AN16" i="3"/>
  <c r="Z138" i="1"/>
  <c r="AL32" i="5"/>
  <c r="AL73" i="6"/>
  <c r="AM25" i="5"/>
  <c r="AM153" i="4"/>
  <c r="AM65" i="3"/>
  <c r="AM73" i="6"/>
  <c r="AM32" i="5"/>
  <c r="AA138" i="1"/>
  <c r="AN65" i="3"/>
  <c r="AN153" i="4"/>
  <c r="AN25" i="5"/>
  <c r="AO59" i="3"/>
  <c r="AO20" i="3"/>
  <c r="AP26" i="3"/>
  <c r="AO151" i="4"/>
  <c r="AO152" i="4"/>
  <c r="AO42" i="3"/>
  <c r="AO18" i="3"/>
  <c r="AO27" i="5"/>
  <c r="AO34" i="3"/>
  <c r="AO16" i="3"/>
  <c r="AL86" i="6"/>
  <c r="Y110" i="1"/>
  <c r="E34" i="1"/>
  <c r="AL347" i="4"/>
  <c r="AL20" i="6"/>
  <c r="Z144" i="1"/>
  <c r="Z159" i="1"/>
  <c r="AN17" i="6"/>
  <c r="AN346" i="4"/>
  <c r="AN87" i="6"/>
  <c r="AB140" i="1"/>
  <c r="AB158" i="1"/>
  <c r="AA109" i="1"/>
  <c r="D36" i="1"/>
  <c r="AC140" i="1"/>
  <c r="AC158" i="1"/>
  <c r="AB109" i="1"/>
  <c r="D37" i="1"/>
  <c r="AO17" i="6"/>
  <c r="AO346" i="4"/>
  <c r="AO87" i="6"/>
  <c r="AN32" i="5"/>
  <c r="AN73" i="6"/>
  <c r="AB138" i="1"/>
  <c r="AM347" i="4"/>
  <c r="AA144" i="1"/>
  <c r="AA159" i="1"/>
  <c r="AM86" i="6"/>
  <c r="AM20" i="6"/>
  <c r="Z110" i="1"/>
  <c r="E35" i="1"/>
  <c r="AO25" i="5"/>
  <c r="AO65" i="3"/>
  <c r="AO153" i="4"/>
  <c r="AP59" i="3"/>
  <c r="AP20" i="3"/>
  <c r="AP151" i="4"/>
  <c r="AP152" i="4"/>
  <c r="AQ26" i="3"/>
  <c r="AP42" i="3"/>
  <c r="AP18" i="3"/>
  <c r="AP27" i="5"/>
  <c r="AP34" i="3"/>
  <c r="AP16" i="3"/>
  <c r="AC109" i="1"/>
  <c r="D38" i="1"/>
  <c r="AP17" i="6"/>
  <c r="AP346" i="4"/>
  <c r="AD140" i="1"/>
  <c r="AD158" i="1"/>
  <c r="AP87" i="6"/>
  <c r="AP25" i="5"/>
  <c r="AP65" i="3"/>
  <c r="AP153" i="4"/>
  <c r="AC138" i="1"/>
  <c r="AO32" i="5"/>
  <c r="AO73" i="6"/>
  <c r="AA110" i="1"/>
  <c r="E36" i="1"/>
  <c r="AB144" i="1"/>
  <c r="AB159" i="1"/>
  <c r="AN20" i="6"/>
  <c r="AN347" i="4"/>
  <c r="AN86" i="6"/>
  <c r="AQ59" i="3"/>
  <c r="AQ20" i="3"/>
  <c r="AR26" i="3"/>
  <c r="AQ151" i="4"/>
  <c r="AQ152" i="4"/>
  <c r="AQ42" i="3"/>
  <c r="AQ18" i="3"/>
  <c r="AQ27" i="5"/>
  <c r="AQ34" i="3"/>
  <c r="AQ16" i="3"/>
  <c r="AB110" i="1"/>
  <c r="E37" i="1"/>
  <c r="AO20" i="6"/>
  <c r="AO86" i="6"/>
  <c r="AO347" i="4"/>
  <c r="AC144" i="1"/>
  <c r="AC159" i="1"/>
  <c r="AP73" i="6"/>
  <c r="AD138" i="1"/>
  <c r="AP32" i="5"/>
  <c r="AD109" i="1"/>
  <c r="D39" i="1"/>
  <c r="AQ17" i="6"/>
  <c r="AQ346" i="4"/>
  <c r="AE140" i="1"/>
  <c r="AE158" i="1"/>
  <c r="AQ87" i="6"/>
  <c r="AQ25" i="5"/>
  <c r="AQ153" i="4"/>
  <c r="AQ65" i="3"/>
  <c r="AR59" i="3"/>
  <c r="AR20" i="3"/>
  <c r="AS26" i="3"/>
  <c r="AR151" i="4"/>
  <c r="AR152" i="4"/>
  <c r="AR42" i="3"/>
  <c r="AR18" i="3"/>
  <c r="AR27" i="5"/>
  <c r="AR34" i="3"/>
  <c r="AR16" i="3"/>
  <c r="AE109" i="1"/>
  <c r="D40" i="1"/>
  <c r="AF140" i="1"/>
  <c r="AF158" i="1"/>
  <c r="AR17" i="6"/>
  <c r="AR346" i="4"/>
  <c r="AR87" i="6"/>
  <c r="AP20" i="6"/>
  <c r="AC110" i="1"/>
  <c r="E38" i="1"/>
  <c r="AP347" i="4"/>
  <c r="AD144" i="1"/>
  <c r="AD159" i="1"/>
  <c r="AP86" i="6"/>
  <c r="AR25" i="5"/>
  <c r="AR153" i="4"/>
  <c r="AR65" i="3"/>
  <c r="AS59" i="3"/>
  <c r="AS20" i="3"/>
  <c r="AT26" i="3"/>
  <c r="AS151" i="4"/>
  <c r="AS152" i="4"/>
  <c r="AS42" i="3"/>
  <c r="AS18" i="3"/>
  <c r="AS27" i="5"/>
  <c r="AS34" i="3"/>
  <c r="AS16" i="3"/>
  <c r="AQ32" i="5"/>
  <c r="AQ73" i="6"/>
  <c r="AE138" i="1"/>
  <c r="AS153" i="4"/>
  <c r="AS25" i="5"/>
  <c r="AS65" i="3"/>
  <c r="AE144" i="1"/>
  <c r="AE159" i="1"/>
  <c r="AD110" i="1"/>
  <c r="E39" i="1"/>
  <c r="AQ86" i="6"/>
  <c r="AQ20" i="6"/>
  <c r="AQ347" i="4"/>
  <c r="AT59" i="3"/>
  <c r="AT20" i="3"/>
  <c r="AU26" i="3"/>
  <c r="AT151" i="4"/>
  <c r="AT152" i="4"/>
  <c r="AT42" i="3"/>
  <c r="AT18" i="3"/>
  <c r="AT27" i="5"/>
  <c r="AT34" i="3"/>
  <c r="AT16" i="3"/>
  <c r="AR73" i="6"/>
  <c r="AR32" i="5"/>
  <c r="AF138" i="1"/>
  <c r="AS87" i="6"/>
  <c r="AS17" i="6"/>
  <c r="AS346" i="4"/>
  <c r="AG140" i="1"/>
  <c r="AG158" i="1"/>
  <c r="AF109" i="1"/>
  <c r="D41" i="1"/>
  <c r="AF144" i="1"/>
  <c r="AF159" i="1"/>
  <c r="AR86" i="6"/>
  <c r="AR347" i="4"/>
  <c r="AE110" i="1"/>
  <c r="E40" i="1"/>
  <c r="AR20" i="6"/>
  <c r="AT87" i="6"/>
  <c r="AG109" i="1"/>
  <c r="D42" i="1"/>
  <c r="AT17" i="6"/>
  <c r="AT346" i="4"/>
  <c r="AH140" i="1"/>
  <c r="AH158" i="1"/>
  <c r="AS73" i="6"/>
  <c r="AG138" i="1"/>
  <c r="AS32" i="5"/>
  <c r="AT65" i="3"/>
  <c r="AT153" i="4"/>
  <c r="AT25" i="5"/>
  <c r="AU59" i="3"/>
  <c r="AU20" i="3"/>
  <c r="AV26" i="3"/>
  <c r="AU151" i="4"/>
  <c r="AU152" i="4"/>
  <c r="AU42" i="3"/>
  <c r="AU18" i="3"/>
  <c r="AU27" i="5"/>
  <c r="AU34" i="3"/>
  <c r="AU16" i="3"/>
  <c r="AU153" i="4"/>
  <c r="AU65" i="3"/>
  <c r="AU25" i="5"/>
  <c r="AV59" i="3"/>
  <c r="AV20" i="3"/>
  <c r="AV151" i="4"/>
  <c r="AV152" i="4"/>
  <c r="AW26" i="3"/>
  <c r="AV42" i="3"/>
  <c r="AV18" i="3"/>
  <c r="AV27" i="5"/>
  <c r="AV34" i="3"/>
  <c r="AV16" i="3"/>
  <c r="AI140" i="1"/>
  <c r="AI158" i="1"/>
  <c r="AU87" i="6"/>
  <c r="AH109" i="1"/>
  <c r="D43" i="1"/>
  <c r="AU17" i="6"/>
  <c r="AU346" i="4"/>
  <c r="AH138" i="1"/>
  <c r="AT32" i="5"/>
  <c r="AT73" i="6"/>
  <c r="AS347" i="4"/>
  <c r="AS86" i="6"/>
  <c r="AG144" i="1"/>
  <c r="AG159" i="1"/>
  <c r="AS20" i="6"/>
  <c r="AF110" i="1"/>
  <c r="E41" i="1"/>
  <c r="AH144" i="1"/>
  <c r="AH159" i="1"/>
  <c r="AT347" i="4"/>
  <c r="AT20" i="6"/>
  <c r="AG110" i="1"/>
  <c r="E42" i="1"/>
  <c r="AT86" i="6"/>
  <c r="AW59" i="3"/>
  <c r="AW20" i="3"/>
  <c r="AX26" i="3"/>
  <c r="AW151" i="4"/>
  <c r="AW152" i="4"/>
  <c r="AW42" i="3"/>
  <c r="AW18" i="3"/>
  <c r="AW27" i="5"/>
  <c r="AW34" i="3"/>
  <c r="AW16" i="3"/>
  <c r="AV65" i="3"/>
  <c r="AV153" i="4"/>
  <c r="AV25" i="5"/>
  <c r="AV87" i="6"/>
  <c r="AJ140" i="1"/>
  <c r="AJ158" i="1"/>
  <c r="AV17" i="6"/>
  <c r="AV346" i="4"/>
  <c r="AI109" i="1"/>
  <c r="D44" i="1"/>
  <c r="AI138" i="1"/>
  <c r="AU73" i="6"/>
  <c r="AU32" i="5"/>
  <c r="AW17" i="6"/>
  <c r="AW346" i="4"/>
  <c r="AW87" i="6"/>
  <c r="AK140" i="1"/>
  <c r="AK158" i="1"/>
  <c r="AJ109" i="1"/>
  <c r="D45" i="1"/>
  <c r="AU20" i="6"/>
  <c r="AI144" i="1"/>
  <c r="AI159" i="1"/>
  <c r="AU347" i="4"/>
  <c r="AU86" i="6"/>
  <c r="AH110" i="1"/>
  <c r="E43" i="1"/>
  <c r="AV73" i="6"/>
  <c r="AJ138" i="1"/>
  <c r="AV32" i="5"/>
  <c r="AW65" i="3"/>
  <c r="AW25" i="5"/>
  <c r="AW153" i="4"/>
  <c r="AX59" i="3"/>
  <c r="AX20" i="3"/>
  <c r="AX151" i="4"/>
  <c r="AX152" i="4"/>
  <c r="AY26" i="3"/>
  <c r="AX42" i="3"/>
  <c r="AX18" i="3"/>
  <c r="AX27" i="5"/>
  <c r="AX34" i="3"/>
  <c r="AX16" i="3"/>
  <c r="AL140" i="1"/>
  <c r="AL158" i="1"/>
  <c r="AX87" i="6"/>
  <c r="AX17" i="6"/>
  <c r="AX346" i="4"/>
  <c r="AK109" i="1"/>
  <c r="D46" i="1"/>
  <c r="AY59" i="3"/>
  <c r="AY20" i="3"/>
  <c r="AZ26" i="3"/>
  <c r="AY151" i="4"/>
  <c r="AY152" i="4"/>
  <c r="AY42" i="3"/>
  <c r="AY18" i="3"/>
  <c r="AY27" i="5"/>
  <c r="AY34" i="3"/>
  <c r="AY16" i="3"/>
  <c r="AW73" i="6"/>
  <c r="AW32" i="5"/>
  <c r="AK138" i="1"/>
  <c r="AV347" i="4"/>
  <c r="AJ144" i="1"/>
  <c r="AJ159" i="1"/>
  <c r="AV86" i="6"/>
  <c r="AI110" i="1"/>
  <c r="E44" i="1"/>
  <c r="AV20" i="6"/>
  <c r="AX65" i="3"/>
  <c r="AX153" i="4"/>
  <c r="AX25" i="5"/>
  <c r="AW20" i="6"/>
  <c r="AW347" i="4"/>
  <c r="AK144" i="1"/>
  <c r="AK159" i="1"/>
  <c r="AW86" i="6"/>
  <c r="AJ110" i="1"/>
  <c r="E45" i="1"/>
  <c r="AX73" i="6"/>
  <c r="AX32" i="5"/>
  <c r="AL138" i="1"/>
  <c r="AM140" i="1"/>
  <c r="AM158" i="1"/>
  <c r="AL109" i="1"/>
  <c r="D47" i="1"/>
  <c r="AY87" i="6"/>
  <c r="AY17" i="6"/>
  <c r="AY346" i="4"/>
  <c r="AY65" i="3"/>
  <c r="AY25" i="5"/>
  <c r="AY153" i="4"/>
  <c r="AZ59" i="3"/>
  <c r="AZ20" i="3"/>
  <c r="BA26" i="3"/>
  <c r="AZ151" i="4"/>
  <c r="AZ152" i="4"/>
  <c r="AZ42" i="3"/>
  <c r="AZ18" i="3"/>
  <c r="AZ27" i="5"/>
  <c r="AZ34" i="3"/>
  <c r="AZ16" i="3"/>
  <c r="AY32" i="5"/>
  <c r="AM138" i="1"/>
  <c r="AY73" i="6"/>
  <c r="AZ25" i="5"/>
  <c r="AZ153" i="4"/>
  <c r="AZ65" i="3"/>
  <c r="BA59" i="3"/>
  <c r="BA20" i="3"/>
  <c r="BA151" i="4"/>
  <c r="BA152" i="4"/>
  <c r="BB26" i="3"/>
  <c r="BA42" i="3"/>
  <c r="BA18" i="3"/>
  <c r="BA27" i="5"/>
  <c r="BA34" i="3"/>
  <c r="BA16" i="3"/>
  <c r="AN140" i="1"/>
  <c r="AN158" i="1"/>
  <c r="AZ17" i="6"/>
  <c r="AZ346" i="4"/>
  <c r="AM109" i="1"/>
  <c r="D48" i="1"/>
  <c r="AZ87" i="6"/>
  <c r="AX347" i="4"/>
  <c r="AL144" i="1"/>
  <c r="AL159" i="1"/>
  <c r="AK110" i="1"/>
  <c r="E46" i="1"/>
  <c r="AX20" i="6"/>
  <c r="AX86" i="6"/>
  <c r="BA87" i="6"/>
  <c r="BA17" i="6"/>
  <c r="BA346" i="4"/>
  <c r="AN109" i="1"/>
  <c r="D49" i="1"/>
  <c r="AO140" i="1"/>
  <c r="AO158" i="1"/>
  <c r="BB59" i="3"/>
  <c r="BB20" i="3"/>
  <c r="BC26" i="3"/>
  <c r="BB151" i="4"/>
  <c r="BB152" i="4"/>
  <c r="BB42" i="3"/>
  <c r="BB18" i="3"/>
  <c r="BB27" i="5"/>
  <c r="BB34" i="3"/>
  <c r="BB16" i="3"/>
  <c r="BA65" i="3"/>
  <c r="BA25" i="5"/>
  <c r="BA153" i="4"/>
  <c r="AZ73" i="6"/>
  <c r="AZ32" i="5"/>
  <c r="AN138" i="1"/>
  <c r="AM144" i="1"/>
  <c r="AM159" i="1"/>
  <c r="AY20" i="6"/>
  <c r="AL110" i="1"/>
  <c r="E47" i="1"/>
  <c r="AY86" i="6"/>
  <c r="AY347" i="4"/>
  <c r="BB153" i="4"/>
  <c r="BB25" i="5"/>
  <c r="BB65" i="3"/>
  <c r="BC59" i="3"/>
  <c r="BC20" i="3"/>
  <c r="BC151" i="4"/>
  <c r="BC152" i="4"/>
  <c r="BD26" i="3"/>
  <c r="BC42" i="3"/>
  <c r="BC18" i="3"/>
  <c r="BC27" i="5"/>
  <c r="BC34" i="3"/>
  <c r="BC16" i="3"/>
  <c r="AO138" i="1"/>
  <c r="BA32" i="5"/>
  <c r="BA73" i="6"/>
  <c r="AP140" i="1"/>
  <c r="AP158" i="1"/>
  <c r="AO109" i="1"/>
  <c r="D50" i="1"/>
  <c r="BB17" i="6"/>
  <c r="BB346" i="4"/>
  <c r="BB87" i="6"/>
  <c r="AZ20" i="6"/>
  <c r="AZ347" i="4"/>
  <c r="AZ86" i="6"/>
  <c r="AM110" i="1"/>
  <c r="E48" i="1"/>
  <c r="AN144" i="1"/>
  <c r="AN159" i="1"/>
  <c r="BD59" i="3"/>
  <c r="BD20" i="3"/>
  <c r="BE26" i="3"/>
  <c r="BD151" i="4"/>
  <c r="BD152" i="4"/>
  <c r="BD42" i="3"/>
  <c r="BD18" i="3"/>
  <c r="BD27" i="5"/>
  <c r="BD34" i="3"/>
  <c r="BD16" i="3"/>
  <c r="AP138" i="1"/>
  <c r="BB32" i="5"/>
  <c r="BB73" i="6"/>
  <c r="AN110" i="1"/>
  <c r="E49" i="1"/>
  <c r="AO144" i="1"/>
  <c r="AO159" i="1"/>
  <c r="BA86" i="6"/>
  <c r="BA347" i="4"/>
  <c r="BA20" i="6"/>
  <c r="BC25" i="5"/>
  <c r="BC153" i="4"/>
  <c r="BC65" i="3"/>
  <c r="AQ140" i="1"/>
  <c r="AQ158" i="1"/>
  <c r="BC17" i="6"/>
  <c r="BC346" i="4"/>
  <c r="AP109" i="1"/>
  <c r="D51" i="1"/>
  <c r="BC87" i="6"/>
  <c r="BD153" i="4"/>
  <c r="BD65" i="3"/>
  <c r="BD25" i="5"/>
  <c r="BE59" i="3"/>
  <c r="BE20" i="3"/>
  <c r="BF26" i="3"/>
  <c r="BE151" i="4"/>
  <c r="BE152" i="4"/>
  <c r="BE42" i="3"/>
  <c r="BE18" i="3"/>
  <c r="BE27" i="5"/>
  <c r="BE34" i="3"/>
  <c r="BE16" i="3"/>
  <c r="BB347" i="4"/>
  <c r="AP144" i="1"/>
  <c r="AP159" i="1"/>
  <c r="BB20" i="6"/>
  <c r="BB86" i="6"/>
  <c r="AO110" i="1"/>
  <c r="E50" i="1"/>
  <c r="BD87" i="6"/>
  <c r="AR140" i="1"/>
  <c r="AR158" i="1"/>
  <c r="BD17" i="6"/>
  <c r="BD346" i="4"/>
  <c r="AQ109" i="1"/>
  <c r="D52" i="1"/>
  <c r="BC32" i="5"/>
  <c r="AQ138" i="1"/>
  <c r="BC73" i="6"/>
  <c r="BE153" i="4"/>
  <c r="BE65" i="3"/>
  <c r="BE25" i="5"/>
  <c r="BF59" i="3"/>
  <c r="BF20" i="3"/>
  <c r="BG26" i="3"/>
  <c r="BF151" i="4"/>
  <c r="BF152" i="4"/>
  <c r="BF42" i="3"/>
  <c r="BF18" i="3"/>
  <c r="BF27" i="5"/>
  <c r="BF34" i="3"/>
  <c r="BF16" i="3"/>
  <c r="BC20" i="6"/>
  <c r="AQ144" i="1"/>
  <c r="AQ159" i="1"/>
  <c r="AP110" i="1"/>
  <c r="E51" i="1"/>
  <c r="BC86" i="6"/>
  <c r="BC347" i="4"/>
  <c r="AR109" i="1"/>
  <c r="D53" i="1"/>
  <c r="BE17" i="6"/>
  <c r="BE346" i="4"/>
  <c r="AS140" i="1"/>
  <c r="AS158" i="1"/>
  <c r="BE87" i="6"/>
  <c r="AR138" i="1"/>
  <c r="BD73" i="6"/>
  <c r="BD32" i="5"/>
  <c r="AT140" i="1"/>
  <c r="AT158" i="1"/>
  <c r="BF87" i="6"/>
  <c r="BF17" i="6"/>
  <c r="BF346" i="4"/>
  <c r="AS109" i="1"/>
  <c r="D54" i="1"/>
  <c r="BE32" i="5"/>
  <c r="AS138" i="1"/>
  <c r="BE73" i="6"/>
  <c r="AQ110" i="1"/>
  <c r="E52" i="1"/>
  <c r="BD20" i="6"/>
  <c r="BD86" i="6"/>
  <c r="AR144" i="1"/>
  <c r="AR159" i="1"/>
  <c r="BD347" i="4"/>
  <c r="BF25" i="5"/>
  <c r="BF65" i="3"/>
  <c r="BF153" i="4"/>
  <c r="BG59" i="3"/>
  <c r="BG20" i="3"/>
  <c r="BH26" i="3"/>
  <c r="BG151" i="4"/>
  <c r="BG152" i="4"/>
  <c r="BG42" i="3"/>
  <c r="BG18" i="3"/>
  <c r="BG27" i="5"/>
  <c r="BG34" i="3"/>
  <c r="BG16" i="3"/>
  <c r="BG25" i="5"/>
  <c r="BG153" i="4"/>
  <c r="BG65" i="3"/>
  <c r="BH59" i="3"/>
  <c r="BH20" i="3"/>
  <c r="BI26" i="3"/>
  <c r="BH151" i="4"/>
  <c r="BH152" i="4"/>
  <c r="BH42" i="3"/>
  <c r="BH18" i="3"/>
  <c r="BH27" i="5"/>
  <c r="BH34" i="3"/>
  <c r="BH16" i="3"/>
  <c r="BF32" i="5"/>
  <c r="BF73" i="6"/>
  <c r="AT138" i="1"/>
  <c r="BE86" i="6"/>
  <c r="BE20" i="6"/>
  <c r="AS144" i="1"/>
  <c r="AS159" i="1"/>
  <c r="BE347" i="4"/>
  <c r="AR110" i="1"/>
  <c r="E53" i="1"/>
  <c r="BG17" i="6"/>
  <c r="BG346" i="4"/>
  <c r="AU140" i="1"/>
  <c r="AU158" i="1"/>
  <c r="BG87" i="6"/>
  <c r="AT109" i="1"/>
  <c r="D55" i="1"/>
  <c r="AS110" i="1"/>
  <c r="E54" i="1"/>
  <c r="BF20" i="6"/>
  <c r="BF86" i="6"/>
  <c r="AT144" i="1"/>
  <c r="AT159" i="1"/>
  <c r="BF347" i="4"/>
  <c r="BH65" i="3"/>
  <c r="BH153" i="4"/>
  <c r="BH25" i="5"/>
  <c r="BI59" i="3"/>
  <c r="BI20" i="3"/>
  <c r="BJ26" i="3"/>
  <c r="BI151" i="4"/>
  <c r="BI152" i="4"/>
  <c r="BI42" i="3"/>
  <c r="BI18" i="3"/>
  <c r="BI27" i="5"/>
  <c r="BI34" i="3"/>
  <c r="BI16" i="3"/>
  <c r="BG32" i="5"/>
  <c r="AU138" i="1"/>
  <c r="BG73" i="6"/>
  <c r="AV140" i="1"/>
  <c r="AV158" i="1"/>
  <c r="BH17" i="6"/>
  <c r="BH346" i="4"/>
  <c r="AU109" i="1"/>
  <c r="D56" i="1"/>
  <c r="BH87" i="6"/>
  <c r="BG86" i="6"/>
  <c r="AU144" i="1"/>
  <c r="AU159" i="1"/>
  <c r="AT110" i="1"/>
  <c r="E55" i="1"/>
  <c r="BG347" i="4"/>
  <c r="BG20" i="6"/>
  <c r="BI25" i="5"/>
  <c r="BI65" i="3"/>
  <c r="BI153" i="4"/>
  <c r="BJ59" i="3"/>
  <c r="BJ151" i="4"/>
  <c r="BJ152" i="4"/>
  <c r="N152" i="4"/>
  <c r="BJ42" i="3"/>
  <c r="BJ34" i="3"/>
  <c r="BJ16" i="3"/>
  <c r="BI17" i="6"/>
  <c r="BI346" i="4"/>
  <c r="BI87" i="6"/>
  <c r="AV109" i="1"/>
  <c r="D57" i="1"/>
  <c r="AW140" i="1"/>
  <c r="AW158" i="1"/>
  <c r="BH32" i="5"/>
  <c r="AV138" i="1"/>
  <c r="BH73" i="6"/>
  <c r="BJ25" i="5"/>
  <c r="BJ153" i="4"/>
  <c r="BJ65" i="3"/>
  <c r="BJ20" i="3"/>
  <c r="N20" i="3"/>
  <c r="N59" i="3"/>
  <c r="AV144" i="1"/>
  <c r="AV159" i="1"/>
  <c r="BH86" i="6"/>
  <c r="BH347" i="4"/>
  <c r="AU110" i="1"/>
  <c r="E56" i="1"/>
  <c r="BH20" i="6"/>
  <c r="BJ18" i="3"/>
  <c r="N42" i="3"/>
  <c r="BI32" i="5"/>
  <c r="AW138" i="1"/>
  <c r="BI73" i="6"/>
  <c r="BJ27" i="5"/>
  <c r="N18" i="3"/>
  <c r="BJ32" i="5"/>
  <c r="AX138" i="1"/>
  <c r="BJ73" i="6"/>
  <c r="AW144" i="1"/>
  <c r="AW159" i="1"/>
  <c r="BI86" i="6"/>
  <c r="BI20" i="6"/>
  <c r="BI347" i="4"/>
  <c r="AV110" i="1"/>
  <c r="E57" i="1"/>
  <c r="AW110" i="1"/>
  <c r="E58" i="1"/>
  <c r="BJ86" i="6"/>
  <c r="BJ20" i="6"/>
  <c r="BJ347" i="4"/>
  <c r="AX144" i="1"/>
  <c r="AX159" i="1"/>
  <c r="AW109" i="1"/>
  <c r="D58" i="1"/>
  <c r="D59" i="1"/>
  <c r="BJ87" i="6"/>
  <c r="N87" i="6"/>
  <c r="AX140" i="1"/>
  <c r="AX158" i="1"/>
  <c r="N27" i="5"/>
  <c r="N146" i="4"/>
  <c r="L35" i="2"/>
  <c r="L34" i="2"/>
  <c r="V31" i="3"/>
  <c r="L33" i="2"/>
  <c r="S31" i="3"/>
  <c r="S30" i="3"/>
  <c r="AB29" i="3"/>
  <c r="AD29" i="3"/>
  <c r="AE29" i="3"/>
  <c r="AA31" i="3"/>
  <c r="AF29" i="3"/>
  <c r="AA29" i="3"/>
  <c r="AC29" i="3"/>
  <c r="Y29" i="3"/>
  <c r="Z29" i="3"/>
  <c r="W29" i="3"/>
  <c r="W31" i="3"/>
  <c r="U29" i="3"/>
  <c r="X29" i="3"/>
  <c r="T29" i="3"/>
  <c r="T31" i="3"/>
  <c r="T30" i="3"/>
  <c r="T34" i="3"/>
  <c r="T16" i="3"/>
  <c r="V29" i="3"/>
  <c r="AB31" i="3"/>
  <c r="AA30" i="3"/>
  <c r="AA34" i="3"/>
  <c r="AA16" i="3"/>
  <c r="V30" i="3"/>
  <c r="V34" i="3"/>
  <c r="V16" i="3"/>
  <c r="S34" i="3"/>
  <c r="U31" i="3"/>
  <c r="U30" i="3"/>
  <c r="U34" i="3"/>
  <c r="U16" i="3"/>
  <c r="U25" i="5"/>
  <c r="S16" i="3"/>
  <c r="T153" i="4"/>
  <c r="T25" i="5"/>
  <c r="T65" i="3"/>
  <c r="W30" i="3"/>
  <c r="W34" i="3"/>
  <c r="W16" i="3"/>
  <c r="X31" i="3"/>
  <c r="V25" i="5"/>
  <c r="V153" i="4"/>
  <c r="V65" i="3"/>
  <c r="AA153" i="4"/>
  <c r="AA25" i="5"/>
  <c r="AA65" i="3"/>
  <c r="AB30" i="3"/>
  <c r="AB34" i="3"/>
  <c r="AB16" i="3"/>
  <c r="AC31" i="3"/>
  <c r="U153" i="4"/>
  <c r="U65" i="3"/>
  <c r="AC30" i="3"/>
  <c r="AC34" i="3"/>
  <c r="AC16" i="3"/>
  <c r="AD31" i="3"/>
  <c r="AB153" i="4"/>
  <c r="AB65" i="3"/>
  <c r="AB25" i="5"/>
  <c r="O138" i="1"/>
  <c r="AA73" i="6"/>
  <c r="AA32" i="5"/>
  <c r="V32" i="5"/>
  <c r="J138" i="1"/>
  <c r="V73" i="6"/>
  <c r="X30" i="3"/>
  <c r="X34" i="3"/>
  <c r="X16" i="3"/>
  <c r="Y31" i="3"/>
  <c r="W153" i="4"/>
  <c r="W65" i="3"/>
  <c r="W25" i="5"/>
  <c r="U32" i="5"/>
  <c r="I138" i="1"/>
  <c r="U73" i="6"/>
  <c r="T73" i="6"/>
  <c r="T32" i="5"/>
  <c r="H138" i="1"/>
  <c r="S153" i="4"/>
  <c r="S25" i="5"/>
  <c r="S65" i="3"/>
  <c r="G138" i="1"/>
  <c r="S73" i="6"/>
  <c r="H144" i="1"/>
  <c r="H159" i="1"/>
  <c r="T347" i="4"/>
  <c r="G110" i="1"/>
  <c r="E16" i="1"/>
  <c r="T86" i="6"/>
  <c r="T20" i="6"/>
  <c r="H110" i="1"/>
  <c r="E17" i="1"/>
  <c r="I144" i="1"/>
  <c r="I159" i="1"/>
  <c r="U20" i="6"/>
  <c r="U347" i="4"/>
  <c r="U86" i="6"/>
  <c r="W73" i="6"/>
  <c r="K138" i="1"/>
  <c r="W32" i="5"/>
  <c r="Z31" i="3"/>
  <c r="Z30" i="3"/>
  <c r="Z34" i="3"/>
  <c r="Z16" i="3"/>
  <c r="Y30" i="3"/>
  <c r="Y34" i="3"/>
  <c r="Y16" i="3"/>
  <c r="X153" i="4"/>
  <c r="X65" i="3"/>
  <c r="X25" i="5"/>
  <c r="V86" i="6"/>
  <c r="V347" i="4"/>
  <c r="I110" i="1"/>
  <c r="E18" i="1"/>
  <c r="J144" i="1"/>
  <c r="J159" i="1"/>
  <c r="V20" i="6"/>
  <c r="O144" i="1"/>
  <c r="O159" i="1"/>
  <c r="AA86" i="6"/>
  <c r="N110" i="1"/>
  <c r="E23" i="1"/>
  <c r="AA347" i="4"/>
  <c r="AA20" i="6"/>
  <c r="AB73" i="6"/>
  <c r="P138" i="1"/>
  <c r="AB32" i="5"/>
  <c r="AE31" i="3"/>
  <c r="AE30" i="3"/>
  <c r="AE34" i="3"/>
  <c r="AE16" i="3"/>
  <c r="AD30" i="3"/>
  <c r="AD34" i="3"/>
  <c r="AD16" i="3"/>
  <c r="AC25" i="5"/>
  <c r="AC153" i="4"/>
  <c r="AC65" i="3"/>
  <c r="N16" i="3"/>
  <c r="N34" i="3"/>
  <c r="N30" i="3"/>
  <c r="AC73" i="6"/>
  <c r="Q138" i="1"/>
  <c r="AC32" i="5"/>
  <c r="AD25" i="5"/>
  <c r="AD65" i="3"/>
  <c r="AD153" i="4"/>
  <c r="AE65" i="3"/>
  <c r="AE153" i="4"/>
  <c r="AE25" i="5"/>
  <c r="AB347" i="4"/>
  <c r="P144" i="1"/>
  <c r="P159" i="1"/>
  <c r="AB20" i="6"/>
  <c r="AB86" i="6"/>
  <c r="O110" i="1"/>
  <c r="E24" i="1"/>
  <c r="X73" i="6"/>
  <c r="X32" i="5"/>
  <c r="L138" i="1"/>
  <c r="Y25" i="5"/>
  <c r="Y153" i="4"/>
  <c r="Y65" i="3"/>
  <c r="Z25" i="5"/>
  <c r="Z65" i="3"/>
  <c r="Z153" i="4"/>
  <c r="W86" i="6"/>
  <c r="K144" i="1"/>
  <c r="K159" i="1"/>
  <c r="W20" i="6"/>
  <c r="W347" i="4"/>
  <c r="J110" i="1"/>
  <c r="E19" i="1"/>
  <c r="N65" i="3"/>
  <c r="N25" i="5"/>
  <c r="N153" i="4"/>
  <c r="Z32" i="5"/>
  <c r="Z73" i="6"/>
  <c r="N138" i="1"/>
  <c r="Y32" i="5"/>
  <c r="Y73" i="6"/>
  <c r="M138" i="1"/>
  <c r="X347" i="4"/>
  <c r="X86" i="6"/>
  <c r="X20" i="6"/>
  <c r="L144" i="1"/>
  <c r="L159" i="1"/>
  <c r="K110" i="1"/>
  <c r="E20" i="1"/>
  <c r="AE73" i="6"/>
  <c r="AE32" i="5"/>
  <c r="S138" i="1"/>
  <c r="AD32" i="5"/>
  <c r="AD73" i="6"/>
  <c r="R138" i="1"/>
  <c r="Q144" i="1"/>
  <c r="Q159" i="1"/>
  <c r="AC86" i="6"/>
  <c r="AC20" i="6"/>
  <c r="AC347" i="4"/>
  <c r="P110" i="1"/>
  <c r="E25" i="1"/>
  <c r="N32" i="5"/>
  <c r="N73" i="6"/>
  <c r="R144" i="1"/>
  <c r="R159" i="1"/>
  <c r="AD347" i="4"/>
  <c r="Q110" i="1"/>
  <c r="E26" i="1"/>
  <c r="AD86" i="6"/>
  <c r="AD20" i="6"/>
  <c r="AE347" i="4"/>
  <c r="AE86" i="6"/>
  <c r="S144" i="1"/>
  <c r="S159" i="1"/>
  <c r="AE20" i="6"/>
  <c r="R110" i="1"/>
  <c r="E27" i="1"/>
  <c r="Y347" i="4"/>
  <c r="L110" i="1"/>
  <c r="E21" i="1"/>
  <c r="M144" i="1"/>
  <c r="M159" i="1"/>
  <c r="Y86" i="6"/>
  <c r="Y20" i="6"/>
  <c r="Z86" i="6"/>
  <c r="Z20" i="6"/>
  <c r="M110" i="1"/>
  <c r="E22" i="1"/>
  <c r="N144" i="1"/>
  <c r="N159" i="1"/>
  <c r="Z347" i="4"/>
  <c r="N86" i="6"/>
  <c r="N20" i="6"/>
  <c r="N347" i="4"/>
  <c r="E59" i="1"/>
  <c r="S66" i="3"/>
  <c r="S95" i="3"/>
  <c r="S96" i="3"/>
  <c r="S105" i="3"/>
  <c r="S106" i="3"/>
  <c r="S100" i="3"/>
  <c r="S101" i="3"/>
  <c r="S85" i="3"/>
  <c r="S86" i="3"/>
  <c r="S90" i="3"/>
  <c r="S91" i="3"/>
  <c r="T66" i="3"/>
  <c r="T95" i="3"/>
  <c r="T96" i="3"/>
  <c r="T90" i="3"/>
  <c r="T91" i="3"/>
  <c r="T100" i="3"/>
  <c r="T101" i="3"/>
  <c r="U66" i="3"/>
  <c r="T105" i="3"/>
  <c r="T106" i="3"/>
  <c r="T85" i="3"/>
  <c r="T86" i="3"/>
  <c r="S109" i="3"/>
  <c r="T109" i="3"/>
  <c r="T110" i="3"/>
  <c r="T17" i="3"/>
  <c r="T26" i="5"/>
  <c r="S110" i="3"/>
  <c r="V66" i="3"/>
  <c r="U85" i="3"/>
  <c r="U86" i="3"/>
  <c r="U95" i="3"/>
  <c r="U96" i="3"/>
  <c r="U105" i="3"/>
  <c r="U106" i="3"/>
  <c r="U100" i="3"/>
  <c r="U101" i="3"/>
  <c r="U90" i="3"/>
  <c r="U91" i="3"/>
  <c r="G108" i="1"/>
  <c r="C16" i="1"/>
  <c r="T333" i="4"/>
  <c r="T340" i="4"/>
  <c r="T85" i="6"/>
  <c r="H139" i="1"/>
  <c r="T16" i="6"/>
  <c r="T345" i="4"/>
  <c r="T349" i="4"/>
  <c r="U109" i="3"/>
  <c r="V85" i="3"/>
  <c r="V86" i="3"/>
  <c r="V95" i="3"/>
  <c r="V96" i="3"/>
  <c r="W66" i="3"/>
  <c r="V100" i="3"/>
  <c r="V101" i="3"/>
  <c r="V105" i="3"/>
  <c r="V106" i="3"/>
  <c r="V90" i="3"/>
  <c r="V91" i="3"/>
  <c r="S17" i="3"/>
  <c r="T18" i="6"/>
  <c r="T65" i="7"/>
  <c r="T66" i="7"/>
  <c r="V109" i="3"/>
  <c r="V110" i="3"/>
  <c r="V17" i="3"/>
  <c r="V26" i="5"/>
  <c r="U110" i="3"/>
  <c r="S26" i="5"/>
  <c r="W90" i="3"/>
  <c r="W91" i="3"/>
  <c r="W95" i="3"/>
  <c r="W96" i="3"/>
  <c r="W85" i="3"/>
  <c r="W86" i="3"/>
  <c r="W100" i="3"/>
  <c r="W101" i="3"/>
  <c r="W105" i="3"/>
  <c r="W106" i="3"/>
  <c r="X66" i="3"/>
  <c r="F108" i="1"/>
  <c r="I108" i="1"/>
  <c r="C18" i="1"/>
  <c r="V16" i="6"/>
  <c r="V18" i="6"/>
  <c r="V65" i="7"/>
  <c r="V66" i="7"/>
  <c r="V85" i="6"/>
  <c r="J139" i="1"/>
  <c r="V333" i="4"/>
  <c r="V340" i="4"/>
  <c r="U17" i="3"/>
  <c r="W109" i="3"/>
  <c r="S16" i="6"/>
  <c r="S333" i="4"/>
  <c r="X100" i="3"/>
  <c r="X101" i="3"/>
  <c r="Y66" i="3"/>
  <c r="X90" i="3"/>
  <c r="X91" i="3"/>
  <c r="X105" i="3"/>
  <c r="X106" i="3"/>
  <c r="X95" i="3"/>
  <c r="X96" i="3"/>
  <c r="X85" i="3"/>
  <c r="X86" i="3"/>
  <c r="S85" i="6"/>
  <c r="G139" i="1"/>
  <c r="V345" i="4"/>
  <c r="V349" i="4"/>
  <c r="S18" i="6"/>
  <c r="S345" i="4"/>
  <c r="C15" i="1"/>
  <c r="W110" i="3"/>
  <c r="U26" i="5"/>
  <c r="X109" i="3"/>
  <c r="X110" i="3"/>
  <c r="X17" i="3"/>
  <c r="X26" i="5"/>
  <c r="Y105" i="3"/>
  <c r="Y106" i="3"/>
  <c r="Y95" i="3"/>
  <c r="Y96" i="3"/>
  <c r="Y100" i="3"/>
  <c r="Y101" i="3"/>
  <c r="Z66" i="3"/>
  <c r="Y85" i="3"/>
  <c r="Y86" i="3"/>
  <c r="Y90" i="3"/>
  <c r="Y91" i="3"/>
  <c r="K108" i="1"/>
  <c r="H108" i="1"/>
  <c r="X85" i="6"/>
  <c r="L139" i="1"/>
  <c r="U16" i="6"/>
  <c r="U333" i="4"/>
  <c r="I139" i="1"/>
  <c r="U85" i="6"/>
  <c r="S65" i="7"/>
  <c r="S66" i="7"/>
  <c r="X16" i="6"/>
  <c r="X333" i="4"/>
  <c r="X340" i="4"/>
  <c r="W17" i="3"/>
  <c r="Y109" i="3"/>
  <c r="S349" i="4"/>
  <c r="Z100" i="3"/>
  <c r="Z101" i="3"/>
  <c r="AA66" i="3"/>
  <c r="Z85" i="3"/>
  <c r="Z86" i="3"/>
  <c r="Z95" i="3"/>
  <c r="Z96" i="3"/>
  <c r="Z105" i="3"/>
  <c r="Z106" i="3"/>
  <c r="Z90" i="3"/>
  <c r="Z91" i="3"/>
  <c r="Z109" i="3"/>
  <c r="Z110" i="3"/>
  <c r="Z17" i="3"/>
  <c r="Z26" i="5"/>
  <c r="X18" i="6"/>
  <c r="X345" i="4"/>
  <c r="X349" i="4"/>
  <c r="C17" i="1"/>
  <c r="U345" i="4"/>
  <c r="U18" i="6"/>
  <c r="Y110" i="3"/>
  <c r="W26" i="5"/>
  <c r="C20" i="1"/>
  <c r="U340" i="4"/>
  <c r="AA90" i="3"/>
  <c r="AA91" i="3"/>
  <c r="AA85" i="3"/>
  <c r="AA86" i="3"/>
  <c r="AB66" i="3"/>
  <c r="AA95" i="3"/>
  <c r="AA96" i="3"/>
  <c r="AA100" i="3"/>
  <c r="AA101" i="3"/>
  <c r="AA105" i="3"/>
  <c r="AA106" i="3"/>
  <c r="J108" i="1"/>
  <c r="M108" i="1"/>
  <c r="N139" i="1"/>
  <c r="Z85" i="6"/>
  <c r="AA109" i="3"/>
  <c r="U65" i="7"/>
  <c r="U66" i="7"/>
  <c r="Y17" i="3"/>
  <c r="U349" i="4"/>
  <c r="Z16" i="6"/>
  <c r="Z333" i="4"/>
  <c r="Z340" i="4"/>
  <c r="W16" i="6"/>
  <c r="W333" i="4"/>
  <c r="K139" i="1"/>
  <c r="W85" i="6"/>
  <c r="AB95" i="3"/>
  <c r="AB96" i="3"/>
  <c r="AB85" i="3"/>
  <c r="AB86" i="3"/>
  <c r="AB100" i="3"/>
  <c r="AB101" i="3"/>
  <c r="AC66" i="3"/>
  <c r="AB105" i="3"/>
  <c r="AB106" i="3"/>
  <c r="AB90" i="3"/>
  <c r="AB91" i="3"/>
  <c r="AB109" i="3"/>
  <c r="AB110" i="3"/>
  <c r="AB17" i="3"/>
  <c r="AB26" i="5"/>
  <c r="W18" i="6"/>
  <c r="W345" i="4"/>
  <c r="C22" i="1"/>
  <c r="C19" i="1"/>
  <c r="AA110" i="3"/>
  <c r="W340" i="4"/>
  <c r="Z18" i="6"/>
  <c r="Z345" i="4"/>
  <c r="Z349" i="4"/>
  <c r="Y26" i="5"/>
  <c r="AC90" i="3"/>
  <c r="AC91" i="3"/>
  <c r="AD66" i="3"/>
  <c r="AC85" i="3"/>
  <c r="AC86" i="3"/>
  <c r="AC105" i="3"/>
  <c r="AC106" i="3"/>
  <c r="AC100" i="3"/>
  <c r="AC101" i="3"/>
  <c r="AC95" i="3"/>
  <c r="AC96" i="3"/>
  <c r="L108" i="1"/>
  <c r="O108" i="1"/>
  <c r="C24" i="1"/>
  <c r="AB333" i="4"/>
  <c r="AB340" i="4"/>
  <c r="AB85" i="6"/>
  <c r="P139" i="1"/>
  <c r="AB16" i="6"/>
  <c r="AB345" i="4"/>
  <c r="AB349" i="4"/>
  <c r="AC109" i="3"/>
  <c r="W349" i="4"/>
  <c r="Y16" i="6"/>
  <c r="Y333" i="4"/>
  <c r="Y85" i="6"/>
  <c r="M139" i="1"/>
  <c r="AA17" i="3"/>
  <c r="AD100" i="3"/>
  <c r="AD101" i="3"/>
  <c r="AD105" i="3"/>
  <c r="AD106" i="3"/>
  <c r="AD85" i="3"/>
  <c r="AD86" i="3"/>
  <c r="AE66" i="3"/>
  <c r="AD90" i="3"/>
  <c r="AD91" i="3"/>
  <c r="AD95" i="3"/>
  <c r="AD96" i="3"/>
  <c r="AB18" i="6"/>
  <c r="Y340" i="4"/>
  <c r="AA26" i="5"/>
  <c r="AC110" i="3"/>
  <c r="Y345" i="4"/>
  <c r="Y18" i="6"/>
  <c r="AD109" i="3"/>
  <c r="AD110" i="3"/>
  <c r="AD17" i="3"/>
  <c r="AD26" i="5"/>
  <c r="C21" i="1"/>
  <c r="AF66" i="3"/>
  <c r="AE105" i="3"/>
  <c r="AE106" i="3"/>
  <c r="AE85" i="3"/>
  <c r="AE86" i="3"/>
  <c r="AE90" i="3"/>
  <c r="AE91" i="3"/>
  <c r="AE100" i="3"/>
  <c r="AE101" i="3"/>
  <c r="AE95" i="3"/>
  <c r="AE96" i="3"/>
  <c r="Q108" i="1"/>
  <c r="N108" i="1"/>
  <c r="AD85" i="6"/>
  <c r="R139" i="1"/>
  <c r="AD333" i="4"/>
  <c r="AD340" i="4"/>
  <c r="AD16" i="6"/>
  <c r="AA333" i="4"/>
  <c r="AA16" i="6"/>
  <c r="AA85" i="6"/>
  <c r="O139" i="1"/>
  <c r="AC17" i="3"/>
  <c r="AE109" i="3"/>
  <c r="AE110" i="3"/>
  <c r="AE17" i="3"/>
  <c r="AE26" i="5"/>
  <c r="Y349" i="4"/>
  <c r="AF100" i="3"/>
  <c r="AF101" i="3"/>
  <c r="AF90" i="3"/>
  <c r="AF91" i="3"/>
  <c r="AF85" i="3"/>
  <c r="AF86" i="3"/>
  <c r="AG66" i="3"/>
  <c r="AF95" i="3"/>
  <c r="AF96" i="3"/>
  <c r="AF105" i="3"/>
  <c r="AF106" i="3"/>
  <c r="R108" i="1"/>
  <c r="AE85" i="6"/>
  <c r="S139" i="1"/>
  <c r="AD18" i="6"/>
  <c r="AD345" i="4"/>
  <c r="AD349" i="4"/>
  <c r="C23" i="1"/>
  <c r="AE16" i="6"/>
  <c r="AE333" i="4"/>
  <c r="AE340" i="4"/>
  <c r="AA345" i="4"/>
  <c r="AA18" i="6"/>
  <c r="C26" i="1"/>
  <c r="AF109" i="3"/>
  <c r="AF110" i="3"/>
  <c r="AF17" i="3"/>
  <c r="AF26" i="5"/>
  <c r="AC26" i="5"/>
  <c r="AA340" i="4"/>
  <c r="AG100" i="3"/>
  <c r="AG101" i="3"/>
  <c r="AG105" i="3"/>
  <c r="AG106" i="3"/>
  <c r="AH66" i="3"/>
  <c r="AG95" i="3"/>
  <c r="AG96" i="3"/>
  <c r="AG90" i="3"/>
  <c r="AG91" i="3"/>
  <c r="AG85" i="3"/>
  <c r="AG86" i="3"/>
  <c r="P108" i="1"/>
  <c r="S108" i="1"/>
  <c r="AF85" i="6"/>
  <c r="AF333" i="4"/>
  <c r="AF340" i="4"/>
  <c r="T139" i="1"/>
  <c r="AF16" i="6"/>
  <c r="AF345" i="4"/>
  <c r="AF349" i="4"/>
  <c r="AG109" i="3"/>
  <c r="AG110" i="3"/>
  <c r="AG17" i="3"/>
  <c r="AG26" i="5"/>
  <c r="AE18" i="6"/>
  <c r="AE345" i="4"/>
  <c r="AE349" i="4"/>
  <c r="AC16" i="6"/>
  <c r="AC333" i="4"/>
  <c r="AC340" i="4"/>
  <c r="AC85" i="6"/>
  <c r="Q139" i="1"/>
  <c r="AA349" i="4"/>
  <c r="C27" i="1"/>
  <c r="AI66" i="3"/>
  <c r="AH85" i="3"/>
  <c r="AH86" i="3"/>
  <c r="AH95" i="3"/>
  <c r="AH96" i="3"/>
  <c r="AH100" i="3"/>
  <c r="AH101" i="3"/>
  <c r="AH90" i="3"/>
  <c r="AH91" i="3"/>
  <c r="AH105" i="3"/>
  <c r="AH106" i="3"/>
  <c r="C28" i="1"/>
  <c r="T108" i="1"/>
  <c r="AG85" i="6"/>
  <c r="AF18" i="6"/>
  <c r="AG16" i="6"/>
  <c r="AG345" i="4"/>
  <c r="AG349" i="4"/>
  <c r="AG333" i="4"/>
  <c r="AG340" i="4"/>
  <c r="U139" i="1"/>
  <c r="AH109" i="3"/>
  <c r="AH110" i="3"/>
  <c r="AH17" i="3"/>
  <c r="AH26" i="5"/>
  <c r="AC345" i="4"/>
  <c r="AC349" i="4"/>
  <c r="AC18" i="6"/>
  <c r="C25" i="1"/>
  <c r="C29" i="1"/>
  <c r="AG18" i="6"/>
  <c r="AI90" i="3"/>
  <c r="AI91" i="3"/>
  <c r="AI95" i="3"/>
  <c r="AI96" i="3"/>
  <c r="AI100" i="3"/>
  <c r="AI101" i="3"/>
  <c r="AI85" i="3"/>
  <c r="AI86" i="3"/>
  <c r="AI105" i="3"/>
  <c r="AI106" i="3"/>
  <c r="AJ66" i="3"/>
  <c r="U108" i="1"/>
  <c r="AH85" i="6"/>
  <c r="AH16" i="6"/>
  <c r="AH18" i="6"/>
  <c r="V139" i="1"/>
  <c r="AH333" i="4"/>
  <c r="AH340" i="4"/>
  <c r="AI109" i="3"/>
  <c r="AI110" i="3"/>
  <c r="AI17" i="3"/>
  <c r="AI26" i="5"/>
  <c r="AJ90" i="3"/>
  <c r="AJ91" i="3"/>
  <c r="AJ100" i="3"/>
  <c r="AJ101" i="3"/>
  <c r="AK66" i="3"/>
  <c r="AJ95" i="3"/>
  <c r="AJ96" i="3"/>
  <c r="AJ105" i="3"/>
  <c r="AJ106" i="3"/>
  <c r="AJ85" i="3"/>
  <c r="AJ86" i="3"/>
  <c r="C30" i="1"/>
  <c r="V108" i="1"/>
  <c r="AH345" i="4"/>
  <c r="AH349" i="4"/>
  <c r="AI85" i="6"/>
  <c r="AI16" i="6"/>
  <c r="AI18" i="6"/>
  <c r="W139" i="1"/>
  <c r="C31" i="1"/>
  <c r="AI333" i="4"/>
  <c r="AI340" i="4"/>
  <c r="AJ109" i="3"/>
  <c r="AJ110" i="3"/>
  <c r="AJ17" i="3"/>
  <c r="AJ26" i="5"/>
  <c r="AK85" i="3"/>
  <c r="AK86" i="3"/>
  <c r="AK105" i="3"/>
  <c r="AK106" i="3"/>
  <c r="AL66" i="3"/>
  <c r="AK95" i="3"/>
  <c r="AK96" i="3"/>
  <c r="AK100" i="3"/>
  <c r="AK101" i="3"/>
  <c r="AK90" i="3"/>
  <c r="AK91" i="3"/>
  <c r="W108" i="1"/>
  <c r="AI345" i="4"/>
  <c r="AI349" i="4"/>
  <c r="AJ333" i="4"/>
  <c r="AJ340" i="4"/>
  <c r="X139" i="1"/>
  <c r="AJ16" i="6"/>
  <c r="AJ18" i="6"/>
  <c r="AJ85" i="6"/>
  <c r="C32" i="1"/>
  <c r="AK109" i="3"/>
  <c r="AK110" i="3"/>
  <c r="AK17" i="3"/>
  <c r="AK26" i="5"/>
  <c r="AL95" i="3"/>
  <c r="AL96" i="3"/>
  <c r="AM66" i="3"/>
  <c r="AL85" i="3"/>
  <c r="AL86" i="3"/>
  <c r="AL105" i="3"/>
  <c r="AL106" i="3"/>
  <c r="AL90" i="3"/>
  <c r="AL91" i="3"/>
  <c r="AL100" i="3"/>
  <c r="AL101" i="3"/>
  <c r="X108" i="1"/>
  <c r="C33" i="1"/>
  <c r="AK16" i="6"/>
  <c r="AK345" i="4"/>
  <c r="AK349" i="4"/>
  <c r="AJ345" i="4"/>
  <c r="AJ349" i="4"/>
  <c r="Y139" i="1"/>
  <c r="AK333" i="4"/>
  <c r="AK340" i="4"/>
  <c r="AK85" i="6"/>
  <c r="AL109" i="3"/>
  <c r="AL110" i="3"/>
  <c r="AL17" i="3"/>
  <c r="AL26" i="5"/>
  <c r="AM85" i="3"/>
  <c r="AM86" i="3"/>
  <c r="AN66" i="3"/>
  <c r="AM105" i="3"/>
  <c r="AM106" i="3"/>
  <c r="AM90" i="3"/>
  <c r="AM91" i="3"/>
  <c r="AM95" i="3"/>
  <c r="AM96" i="3"/>
  <c r="AM100" i="3"/>
  <c r="AM101" i="3"/>
  <c r="AK18" i="6"/>
  <c r="Y108" i="1"/>
  <c r="AM109" i="3"/>
  <c r="AM110" i="3"/>
  <c r="AM17" i="3"/>
  <c r="AM26" i="5"/>
  <c r="AL333" i="4"/>
  <c r="AL340" i="4"/>
  <c r="AL85" i="6"/>
  <c r="AL16" i="6"/>
  <c r="AL18" i="6"/>
  <c r="Z139" i="1"/>
  <c r="AN85" i="3"/>
  <c r="AN86" i="3"/>
  <c r="AN95" i="3"/>
  <c r="AN96" i="3"/>
  <c r="AO66" i="3"/>
  <c r="AN105" i="3"/>
  <c r="AN106" i="3"/>
  <c r="AN90" i="3"/>
  <c r="AN91" i="3"/>
  <c r="AN100" i="3"/>
  <c r="AN101" i="3"/>
  <c r="C34" i="1"/>
  <c r="Z108" i="1"/>
  <c r="C35" i="1"/>
  <c r="AA139" i="1"/>
  <c r="AM333" i="4"/>
  <c r="AM340" i="4"/>
  <c r="AL345" i="4"/>
  <c r="AL349" i="4"/>
  <c r="AM16" i="6"/>
  <c r="AM18" i="6"/>
  <c r="AM85" i="6"/>
  <c r="AN109" i="3"/>
  <c r="AN110" i="3"/>
  <c r="AN17" i="3"/>
  <c r="AN26" i="5"/>
  <c r="AO85" i="3"/>
  <c r="AO86" i="3"/>
  <c r="AO105" i="3"/>
  <c r="AO106" i="3"/>
  <c r="AO100" i="3"/>
  <c r="AO101" i="3"/>
  <c r="AP66" i="3"/>
  <c r="AO90" i="3"/>
  <c r="AO91" i="3"/>
  <c r="AO95" i="3"/>
  <c r="AO96" i="3"/>
  <c r="AA108" i="1"/>
  <c r="AB139" i="1"/>
  <c r="AM345" i="4"/>
  <c r="AM349" i="4"/>
  <c r="AN16" i="6"/>
  <c r="AN18" i="6"/>
  <c r="C36" i="1"/>
  <c r="AN85" i="6"/>
  <c r="AN333" i="4"/>
  <c r="AN340" i="4"/>
  <c r="AO109" i="3"/>
  <c r="AO110" i="3"/>
  <c r="AO17" i="3"/>
  <c r="AO26" i="5"/>
  <c r="AP95" i="3"/>
  <c r="AP96" i="3"/>
  <c r="AQ66" i="3"/>
  <c r="AP90" i="3"/>
  <c r="AP91" i="3"/>
  <c r="AP85" i="3"/>
  <c r="AP86" i="3"/>
  <c r="AP100" i="3"/>
  <c r="AP101" i="3"/>
  <c r="AP105" i="3"/>
  <c r="AP106" i="3"/>
  <c r="AB108" i="1"/>
  <c r="C37" i="1"/>
  <c r="AO85" i="6"/>
  <c r="AN345" i="4"/>
  <c r="AN349" i="4"/>
  <c r="AO333" i="4"/>
  <c r="AO340" i="4"/>
  <c r="AO16" i="6"/>
  <c r="AO18" i="6"/>
  <c r="AC139" i="1"/>
  <c r="AP109" i="3"/>
  <c r="AP110" i="3"/>
  <c r="AP17" i="3"/>
  <c r="AP26" i="5"/>
  <c r="AQ85" i="3"/>
  <c r="AQ86" i="3"/>
  <c r="AQ100" i="3"/>
  <c r="AQ101" i="3"/>
  <c r="AQ90" i="3"/>
  <c r="AQ91" i="3"/>
  <c r="AQ95" i="3"/>
  <c r="AQ96" i="3"/>
  <c r="AQ105" i="3"/>
  <c r="AQ106" i="3"/>
  <c r="AR66" i="3"/>
  <c r="AC108" i="1"/>
  <c r="AD139" i="1"/>
  <c r="AP16" i="6"/>
  <c r="AP18" i="6"/>
  <c r="AO345" i="4"/>
  <c r="AO349" i="4"/>
  <c r="C38" i="1"/>
  <c r="AP85" i="6"/>
  <c r="AP333" i="4"/>
  <c r="AP340" i="4"/>
  <c r="AQ109" i="3"/>
  <c r="AQ110" i="3"/>
  <c r="AQ17" i="3"/>
  <c r="AQ26" i="5"/>
  <c r="AS66" i="3"/>
  <c r="AR95" i="3"/>
  <c r="AR96" i="3"/>
  <c r="AR100" i="3"/>
  <c r="AR101" i="3"/>
  <c r="AR90" i="3"/>
  <c r="AR91" i="3"/>
  <c r="AR105" i="3"/>
  <c r="AR106" i="3"/>
  <c r="AR85" i="3"/>
  <c r="AR86" i="3"/>
  <c r="AP345" i="4"/>
  <c r="AP349" i="4"/>
  <c r="AD108" i="1"/>
  <c r="C39" i="1"/>
  <c r="AE139" i="1"/>
  <c r="AQ16" i="6"/>
  <c r="AQ345" i="4"/>
  <c r="AQ349" i="4"/>
  <c r="AQ85" i="6"/>
  <c r="AQ333" i="4"/>
  <c r="AQ340" i="4"/>
  <c r="AR109" i="3"/>
  <c r="AR110" i="3"/>
  <c r="AR17" i="3"/>
  <c r="AR26" i="5"/>
  <c r="AS105" i="3"/>
  <c r="AS106" i="3"/>
  <c r="AS90" i="3"/>
  <c r="AS91" i="3"/>
  <c r="AS95" i="3"/>
  <c r="AS96" i="3"/>
  <c r="AS100" i="3"/>
  <c r="AS101" i="3"/>
  <c r="AS85" i="3"/>
  <c r="AS86" i="3"/>
  <c r="AT66" i="3"/>
  <c r="AE108" i="1"/>
  <c r="C40" i="1"/>
  <c r="AR85" i="6"/>
  <c r="AQ18" i="6"/>
  <c r="AF139" i="1"/>
  <c r="AR333" i="4"/>
  <c r="AR340" i="4"/>
  <c r="AR16" i="6"/>
  <c r="AR18" i="6"/>
  <c r="AS109" i="3"/>
  <c r="AS110" i="3"/>
  <c r="AS17" i="3"/>
  <c r="AS26" i="5"/>
  <c r="AT105" i="3"/>
  <c r="AT106" i="3"/>
  <c r="AU66" i="3"/>
  <c r="AT85" i="3"/>
  <c r="AT86" i="3"/>
  <c r="AT100" i="3"/>
  <c r="AT101" i="3"/>
  <c r="AT95" i="3"/>
  <c r="AT96" i="3"/>
  <c r="AT90" i="3"/>
  <c r="AT91" i="3"/>
  <c r="AF108" i="1"/>
  <c r="AG139" i="1"/>
  <c r="C41" i="1"/>
  <c r="AS16" i="6"/>
  <c r="AS18" i="6"/>
  <c r="AS85" i="6"/>
  <c r="AS333" i="4"/>
  <c r="AS340" i="4"/>
  <c r="AR345" i="4"/>
  <c r="AR349" i="4"/>
  <c r="AT109" i="3"/>
  <c r="AT110" i="3"/>
  <c r="AT17" i="3"/>
  <c r="AT26" i="5"/>
  <c r="AU105" i="3"/>
  <c r="AU106" i="3"/>
  <c r="AU85" i="3"/>
  <c r="AU86" i="3"/>
  <c r="AU90" i="3"/>
  <c r="AU91" i="3"/>
  <c r="AV66" i="3"/>
  <c r="AU100" i="3"/>
  <c r="AU101" i="3"/>
  <c r="AU95" i="3"/>
  <c r="AU96" i="3"/>
  <c r="AG108" i="1"/>
  <c r="C42" i="1"/>
  <c r="AS345" i="4"/>
  <c r="AS349" i="4"/>
  <c r="AT85" i="6"/>
  <c r="AT16" i="6"/>
  <c r="AT18" i="6"/>
  <c r="AH139" i="1"/>
  <c r="AT333" i="4"/>
  <c r="AT340" i="4"/>
  <c r="AU109" i="3"/>
  <c r="AU110" i="3"/>
  <c r="AU17" i="3"/>
  <c r="AU26" i="5"/>
  <c r="AV85" i="3"/>
  <c r="AV86" i="3"/>
  <c r="AV105" i="3"/>
  <c r="AV106" i="3"/>
  <c r="AV100" i="3"/>
  <c r="AV101" i="3"/>
  <c r="AV90" i="3"/>
  <c r="AV91" i="3"/>
  <c r="AV95" i="3"/>
  <c r="AV96" i="3"/>
  <c r="AW66" i="3"/>
  <c r="AH108" i="1"/>
  <c r="AI139" i="1"/>
  <c r="C43" i="1"/>
  <c r="AU333" i="4"/>
  <c r="AU340" i="4"/>
  <c r="AT345" i="4"/>
  <c r="AT349" i="4"/>
  <c r="AU85" i="6"/>
  <c r="AU16" i="6"/>
  <c r="AU345" i="4"/>
  <c r="AU349" i="4"/>
  <c r="AV109" i="3"/>
  <c r="AV110" i="3"/>
  <c r="AV17" i="3"/>
  <c r="AV26" i="5"/>
  <c r="AW100" i="3"/>
  <c r="AW101" i="3"/>
  <c r="AW90" i="3"/>
  <c r="AW91" i="3"/>
  <c r="AX66" i="3"/>
  <c r="AW105" i="3"/>
  <c r="AW106" i="3"/>
  <c r="AW85" i="3"/>
  <c r="AW86" i="3"/>
  <c r="AW95" i="3"/>
  <c r="AW96" i="3"/>
  <c r="AI108" i="1"/>
  <c r="AV85" i="6"/>
  <c r="AU18" i="6"/>
  <c r="AV16" i="6"/>
  <c r="AV18" i="6"/>
  <c r="C44" i="1"/>
  <c r="AJ139" i="1"/>
  <c r="AV333" i="4"/>
  <c r="AV340" i="4"/>
  <c r="AW109" i="3"/>
  <c r="AW110" i="3"/>
  <c r="AW17" i="3"/>
  <c r="AW26" i="5"/>
  <c r="AX85" i="3"/>
  <c r="AX86" i="3"/>
  <c r="AY66" i="3"/>
  <c r="AX105" i="3"/>
  <c r="AX106" i="3"/>
  <c r="AX100" i="3"/>
  <c r="AX101" i="3"/>
  <c r="AX95" i="3"/>
  <c r="AX96" i="3"/>
  <c r="AX90" i="3"/>
  <c r="AX91" i="3"/>
  <c r="AJ108" i="1"/>
  <c r="C45" i="1"/>
  <c r="AW16" i="6"/>
  <c r="AW18" i="6"/>
  <c r="AK139" i="1"/>
  <c r="AV345" i="4"/>
  <c r="AV349" i="4"/>
  <c r="AW85" i="6"/>
  <c r="AW333" i="4"/>
  <c r="AW340" i="4"/>
  <c r="AX109" i="3"/>
  <c r="AX110" i="3"/>
  <c r="AX17" i="3"/>
  <c r="AX26" i="5"/>
  <c r="AZ66" i="3"/>
  <c r="AY105" i="3"/>
  <c r="AY106" i="3"/>
  <c r="AY90" i="3"/>
  <c r="AY91" i="3"/>
  <c r="AY95" i="3"/>
  <c r="AY96" i="3"/>
  <c r="AY100" i="3"/>
  <c r="AY101" i="3"/>
  <c r="AY85" i="3"/>
  <c r="AY86" i="3"/>
  <c r="AW345" i="4"/>
  <c r="AW349" i="4"/>
  <c r="AK108" i="1"/>
  <c r="C46" i="1"/>
  <c r="AX333" i="4"/>
  <c r="AX340" i="4"/>
  <c r="AX85" i="6"/>
  <c r="AL139" i="1"/>
  <c r="AX16" i="6"/>
  <c r="AX18" i="6"/>
  <c r="AY109" i="3"/>
  <c r="AY110" i="3"/>
  <c r="AY17" i="3"/>
  <c r="AY26" i="5"/>
  <c r="AZ105" i="3"/>
  <c r="AZ106" i="3"/>
  <c r="AZ90" i="3"/>
  <c r="AZ91" i="3"/>
  <c r="AZ85" i="3"/>
  <c r="AZ86" i="3"/>
  <c r="AZ95" i="3"/>
  <c r="AZ96" i="3"/>
  <c r="AZ100" i="3"/>
  <c r="AZ101" i="3"/>
  <c r="BA66" i="3"/>
  <c r="AL108" i="1"/>
  <c r="C47" i="1"/>
  <c r="AM139" i="1"/>
  <c r="AY16" i="6"/>
  <c r="AY18" i="6"/>
  <c r="AX345" i="4"/>
  <c r="AX349" i="4"/>
  <c r="AZ109" i="3"/>
  <c r="AZ110" i="3"/>
  <c r="AZ17" i="3"/>
  <c r="AZ26" i="5"/>
  <c r="AY333" i="4"/>
  <c r="AY340" i="4"/>
  <c r="AY85" i="6"/>
  <c r="BA85" i="3"/>
  <c r="BA86" i="3"/>
  <c r="BB66" i="3"/>
  <c r="BA95" i="3"/>
  <c r="BA96" i="3"/>
  <c r="BA100" i="3"/>
  <c r="BA101" i="3"/>
  <c r="BA90" i="3"/>
  <c r="BA91" i="3"/>
  <c r="BA105" i="3"/>
  <c r="BA106" i="3"/>
  <c r="AM108" i="1"/>
  <c r="C48" i="1"/>
  <c r="AZ85" i="6"/>
  <c r="AZ333" i="4"/>
  <c r="AZ340" i="4"/>
  <c r="AN139" i="1"/>
  <c r="AZ16" i="6"/>
  <c r="AZ18" i="6"/>
  <c r="AY345" i="4"/>
  <c r="AY349" i="4"/>
  <c r="BA109" i="3"/>
  <c r="BA110" i="3"/>
  <c r="BA17" i="3"/>
  <c r="BA26" i="5"/>
  <c r="BB85" i="3"/>
  <c r="BB86" i="3"/>
  <c r="BB90" i="3"/>
  <c r="BB91" i="3"/>
  <c r="BB100" i="3"/>
  <c r="BB101" i="3"/>
  <c r="BB105" i="3"/>
  <c r="BB106" i="3"/>
  <c r="BB95" i="3"/>
  <c r="BB96" i="3"/>
  <c r="BC66" i="3"/>
  <c r="AN108" i="1"/>
  <c r="C49" i="1"/>
  <c r="BA85" i="6"/>
  <c r="AZ345" i="4"/>
  <c r="AZ349" i="4"/>
  <c r="BA333" i="4"/>
  <c r="BA340" i="4"/>
  <c r="AO139" i="1"/>
  <c r="BA16" i="6"/>
  <c r="BA345" i="4"/>
  <c r="BA349" i="4"/>
  <c r="BB109" i="3"/>
  <c r="BB110" i="3"/>
  <c r="BB17" i="3"/>
  <c r="BB26" i="5"/>
  <c r="BC105" i="3"/>
  <c r="BC106" i="3"/>
  <c r="BC85" i="3"/>
  <c r="BC86" i="3"/>
  <c r="BD66" i="3"/>
  <c r="BC90" i="3"/>
  <c r="BC91" i="3"/>
  <c r="BC100" i="3"/>
  <c r="BC101" i="3"/>
  <c r="BC95" i="3"/>
  <c r="BC96" i="3"/>
  <c r="BA18" i="6"/>
  <c r="AO108" i="1"/>
  <c r="C50" i="1"/>
  <c r="AP139" i="1"/>
  <c r="BB85" i="6"/>
  <c r="BB333" i="4"/>
  <c r="BB340" i="4"/>
  <c r="BB16" i="6"/>
  <c r="BB345" i="4"/>
  <c r="BB349" i="4"/>
  <c r="BC109" i="3"/>
  <c r="BC110" i="3"/>
  <c r="BC17" i="3"/>
  <c r="BC26" i="5"/>
  <c r="BD100" i="3"/>
  <c r="BD101" i="3"/>
  <c r="BD85" i="3"/>
  <c r="BD86" i="3"/>
  <c r="BE66" i="3"/>
  <c r="BD105" i="3"/>
  <c r="BD106" i="3"/>
  <c r="BD95" i="3"/>
  <c r="BD96" i="3"/>
  <c r="BD90" i="3"/>
  <c r="BD91" i="3"/>
  <c r="AP108" i="1"/>
  <c r="C51" i="1"/>
  <c r="BC333" i="4"/>
  <c r="BC340" i="4"/>
  <c r="BB18" i="6"/>
  <c r="AQ139" i="1"/>
  <c r="BD109" i="3"/>
  <c r="BD110" i="3"/>
  <c r="BD17" i="3"/>
  <c r="BD26" i="5"/>
  <c r="BC16" i="6"/>
  <c r="BC18" i="6"/>
  <c r="BC85" i="6"/>
  <c r="BE105" i="3"/>
  <c r="BE106" i="3"/>
  <c r="BF66" i="3"/>
  <c r="BE100" i="3"/>
  <c r="BE101" i="3"/>
  <c r="BE90" i="3"/>
  <c r="BE91" i="3"/>
  <c r="BE85" i="3"/>
  <c r="BE86" i="3"/>
  <c r="BE95" i="3"/>
  <c r="BE96" i="3"/>
  <c r="AQ108" i="1"/>
  <c r="C52" i="1"/>
  <c r="AR139" i="1"/>
  <c r="BC345" i="4"/>
  <c r="BC349" i="4"/>
  <c r="BD85" i="6"/>
  <c r="BD333" i="4"/>
  <c r="BD340" i="4"/>
  <c r="BD16" i="6"/>
  <c r="BD345" i="4"/>
  <c r="BD349" i="4"/>
  <c r="BE109" i="3"/>
  <c r="BE110" i="3"/>
  <c r="BE17" i="3"/>
  <c r="BE26" i="5"/>
  <c r="BF100" i="3"/>
  <c r="BF101" i="3"/>
  <c r="BF105" i="3"/>
  <c r="BF106" i="3"/>
  <c r="BF95" i="3"/>
  <c r="BF96" i="3"/>
  <c r="BG66" i="3"/>
  <c r="BF85" i="3"/>
  <c r="BF86" i="3"/>
  <c r="BF90" i="3"/>
  <c r="BF91" i="3"/>
  <c r="AR108" i="1"/>
  <c r="C53" i="1"/>
  <c r="BE85" i="6"/>
  <c r="BD18" i="6"/>
  <c r="AS139" i="1"/>
  <c r="BE333" i="4"/>
  <c r="BE340" i="4"/>
  <c r="BE16" i="6"/>
  <c r="BE345" i="4"/>
  <c r="BE349" i="4"/>
  <c r="BF109" i="3"/>
  <c r="BF110" i="3"/>
  <c r="BF17" i="3"/>
  <c r="BF26" i="5"/>
  <c r="BG105" i="3"/>
  <c r="BG106" i="3"/>
  <c r="BG85" i="3"/>
  <c r="BG86" i="3"/>
  <c r="BG90" i="3"/>
  <c r="BG91" i="3"/>
  <c r="BG95" i="3"/>
  <c r="BG96" i="3"/>
  <c r="BG100" i="3"/>
  <c r="BG101" i="3"/>
  <c r="BH66" i="3"/>
  <c r="BF85" i="6"/>
  <c r="AS108" i="1"/>
  <c r="C54" i="1"/>
  <c r="BE18" i="6"/>
  <c r="BF333" i="4"/>
  <c r="BF340" i="4"/>
  <c r="BF16" i="6"/>
  <c r="BF18" i="6"/>
  <c r="AT139" i="1"/>
  <c r="BG109" i="3"/>
  <c r="BG110" i="3"/>
  <c r="BG17" i="3"/>
  <c r="BG26" i="5"/>
  <c r="BH95" i="3"/>
  <c r="BH96" i="3"/>
  <c r="BH85" i="3"/>
  <c r="BH86" i="3"/>
  <c r="BH100" i="3"/>
  <c r="BH101" i="3"/>
  <c r="BI66" i="3"/>
  <c r="BH90" i="3"/>
  <c r="BH91" i="3"/>
  <c r="BH105" i="3"/>
  <c r="BH106" i="3"/>
  <c r="AT108" i="1"/>
  <c r="C55" i="1"/>
  <c r="BG333" i="4"/>
  <c r="BG340" i="4"/>
  <c r="BG16" i="6"/>
  <c r="BG18" i="6"/>
  <c r="BF345" i="4"/>
  <c r="BF349" i="4"/>
  <c r="AU139" i="1"/>
  <c r="BG85" i="6"/>
  <c r="BH109" i="3"/>
  <c r="BH110" i="3"/>
  <c r="BH17" i="3"/>
  <c r="BH26" i="5"/>
  <c r="BI100" i="3"/>
  <c r="BI101" i="3"/>
  <c r="BI95" i="3"/>
  <c r="BI96" i="3"/>
  <c r="BI85" i="3"/>
  <c r="BI86" i="3"/>
  <c r="BI90" i="3"/>
  <c r="BI91" i="3"/>
  <c r="BJ66" i="3"/>
  <c r="BI105" i="3"/>
  <c r="BI106" i="3"/>
  <c r="AU108" i="1"/>
  <c r="C56" i="1"/>
  <c r="BG345" i="4"/>
  <c r="BG349" i="4"/>
  <c r="BH85" i="6"/>
  <c r="AV139" i="1"/>
  <c r="BH16" i="6"/>
  <c r="BH18" i="6"/>
  <c r="BH333" i="4"/>
  <c r="BH340" i="4"/>
  <c r="BI109" i="3"/>
  <c r="BI110" i="3"/>
  <c r="BI17" i="3"/>
  <c r="BI26" i="5"/>
  <c r="BJ95" i="3"/>
  <c r="BJ96" i="3"/>
  <c r="N96" i="3"/>
  <c r="BJ100" i="3"/>
  <c r="BJ101" i="3"/>
  <c r="N101" i="3"/>
  <c r="BJ90" i="3"/>
  <c r="BJ91" i="3"/>
  <c r="N91" i="3"/>
  <c r="BJ85" i="3"/>
  <c r="BJ86" i="3"/>
  <c r="N86" i="3"/>
  <c r="BJ105" i="3"/>
  <c r="BJ106" i="3"/>
  <c r="BH345" i="4"/>
  <c r="BH349" i="4"/>
  <c r="AV108" i="1"/>
  <c r="BI85" i="6"/>
  <c r="AW139" i="1"/>
  <c r="BJ109" i="3"/>
  <c r="N106" i="3"/>
  <c r="BI16" i="6"/>
  <c r="BI18" i="6"/>
  <c r="BI333" i="4"/>
  <c r="BI340" i="4"/>
  <c r="C57" i="1"/>
  <c r="BI345" i="4"/>
  <c r="BI349" i="4"/>
  <c r="BJ110" i="3"/>
  <c r="N109" i="3"/>
  <c r="BJ17" i="3"/>
  <c r="N110" i="3"/>
  <c r="BJ26" i="5"/>
  <c r="N17" i="3"/>
  <c r="AW108" i="1"/>
  <c r="N26" i="5"/>
  <c r="AX139" i="1"/>
  <c r="BJ16" i="6"/>
  <c r="BJ85" i="6"/>
  <c r="BJ333" i="4"/>
  <c r="N16" i="6"/>
  <c r="BJ345" i="4"/>
  <c r="BJ340" i="4"/>
  <c r="N340" i="4"/>
  <c r="N333" i="4"/>
  <c r="N85" i="6"/>
  <c r="C58" i="1"/>
  <c r="C59" i="1"/>
  <c r="N345" i="4"/>
  <c r="L58" i="2"/>
  <c r="L62" i="2"/>
  <c r="L66" i="2"/>
  <c r="L60" i="2"/>
  <c r="L59" i="2"/>
  <c r="L63" i="2"/>
  <c r="L64" i="2"/>
  <c r="L65" i="2"/>
  <c r="L61" i="2"/>
  <c r="AK47" i="3"/>
  <c r="AG45" i="3"/>
  <c r="AI45" i="3"/>
  <c r="AK45" i="3"/>
  <c r="AH45" i="3"/>
  <c r="BI45" i="3"/>
  <c r="BB45" i="3"/>
  <c r="BE47" i="3"/>
  <c r="BE45" i="3"/>
  <c r="BA45" i="3"/>
  <c r="BC45" i="3"/>
  <c r="BD45" i="3"/>
  <c r="W45" i="3"/>
  <c r="Z45" i="3"/>
  <c r="AA45" i="3"/>
  <c r="AA47" i="3"/>
  <c r="X45" i="3"/>
  <c r="Y45" i="3"/>
  <c r="AZ47" i="3"/>
  <c r="AZ46" i="3"/>
  <c r="AZ50" i="3"/>
  <c r="AY45" i="3"/>
  <c r="AX45" i="3"/>
  <c r="AW45" i="3"/>
  <c r="AV45" i="3"/>
  <c r="AJ45" i="3"/>
  <c r="AB45" i="3"/>
  <c r="AE45" i="3"/>
  <c r="AD45" i="3"/>
  <c r="AC45" i="3"/>
  <c r="AF47" i="3"/>
  <c r="AF45" i="3"/>
  <c r="AZ45" i="3"/>
  <c r="AU45" i="3"/>
  <c r="AR45" i="3"/>
  <c r="AQ45" i="3"/>
  <c r="AU47" i="3"/>
  <c r="AU46" i="3"/>
  <c r="AU50" i="3"/>
  <c r="AT45" i="3"/>
  <c r="AS45" i="3"/>
  <c r="BJ47" i="3"/>
  <c r="BJ46" i="3"/>
  <c r="BJ50" i="3"/>
  <c r="BJ286" i="4"/>
  <c r="BJ289" i="4"/>
  <c r="BF45" i="3"/>
  <c r="BJ45" i="3"/>
  <c r="BH45" i="3"/>
  <c r="BG45" i="3"/>
  <c r="AL45" i="3"/>
  <c r="AO45" i="3"/>
  <c r="AN45" i="3"/>
  <c r="AP45" i="3"/>
  <c r="AM45" i="3"/>
  <c r="AP47" i="3"/>
  <c r="V45" i="3"/>
  <c r="U45" i="3"/>
  <c r="T45" i="3"/>
  <c r="T47" i="3"/>
  <c r="V47" i="3"/>
  <c r="U47" i="3"/>
  <c r="U46" i="3"/>
  <c r="U50" i="3"/>
  <c r="T46" i="3"/>
  <c r="AV47" i="3"/>
  <c r="BJ37" i="7"/>
  <c r="BJ19" i="3"/>
  <c r="BJ28" i="5"/>
  <c r="BJ204" i="4"/>
  <c r="BJ240" i="4"/>
  <c r="W47" i="3"/>
  <c r="V46" i="3"/>
  <c r="V50" i="3"/>
  <c r="AP46" i="3"/>
  <c r="AP50" i="3"/>
  <c r="AQ47" i="3"/>
  <c r="AA46" i="3"/>
  <c r="AA50" i="3"/>
  <c r="AB47" i="3"/>
  <c r="BE46" i="3"/>
  <c r="BE50" i="3"/>
  <c r="BE286" i="4"/>
  <c r="BF47" i="3"/>
  <c r="AU19" i="3"/>
  <c r="AU28" i="5"/>
  <c r="AU204" i="4"/>
  <c r="AU240" i="4"/>
  <c r="AU37" i="7"/>
  <c r="AU286" i="4"/>
  <c r="AZ37" i="7"/>
  <c r="AZ286" i="4"/>
  <c r="AZ204" i="4"/>
  <c r="AZ240" i="4"/>
  <c r="AZ19" i="3"/>
  <c r="AZ28" i="5"/>
  <c r="BA47" i="3"/>
  <c r="AF46" i="3"/>
  <c r="AF50" i="3"/>
  <c r="AG47" i="3"/>
  <c r="AK46" i="3"/>
  <c r="AK50" i="3"/>
  <c r="AL47" i="3"/>
  <c r="AU352" i="4"/>
  <c r="AZ352" i="4"/>
  <c r="BJ352" i="4"/>
  <c r="AM47" i="3"/>
  <c r="AL46" i="3"/>
  <c r="AL50" i="3"/>
  <c r="BB47" i="3"/>
  <c r="BA46" i="3"/>
  <c r="BA50" i="3"/>
  <c r="AZ39" i="7"/>
  <c r="AZ57" i="7"/>
  <c r="AZ46" i="7"/>
  <c r="AU88" i="6"/>
  <c r="AI141" i="1"/>
  <c r="AI160" i="1"/>
  <c r="AA286" i="4"/>
  <c r="AA19" i="3"/>
  <c r="AA28" i="5"/>
  <c r="AA204" i="4"/>
  <c r="AA240" i="4"/>
  <c r="AA37" i="7"/>
  <c r="X47" i="3"/>
  <c r="W46" i="3"/>
  <c r="W50" i="3"/>
  <c r="BJ39" i="7"/>
  <c r="BJ57" i="7"/>
  <c r="BJ46" i="7"/>
  <c r="AN141" i="1"/>
  <c r="AN160" i="1"/>
  <c r="AZ88" i="6"/>
  <c r="AQ46" i="3"/>
  <c r="AQ50" i="3"/>
  <c r="AR47" i="3"/>
  <c r="AG46" i="3"/>
  <c r="AG50" i="3"/>
  <c r="AH47" i="3"/>
  <c r="AU57" i="7"/>
  <c r="AU46" i="7"/>
  <c r="AU39" i="7"/>
  <c r="BE204" i="4"/>
  <c r="BE240" i="4"/>
  <c r="BE19" i="3"/>
  <c r="BE28" i="5"/>
  <c r="BE37" i="7"/>
  <c r="AP286" i="4"/>
  <c r="AP204" i="4"/>
  <c r="AP240" i="4"/>
  <c r="AP19" i="3"/>
  <c r="AP28" i="5"/>
  <c r="AP37" i="7"/>
  <c r="T50" i="3"/>
  <c r="AK204" i="4"/>
  <c r="AK240" i="4"/>
  <c r="AK37" i="7"/>
  <c r="AK19" i="3"/>
  <c r="AK28" i="5"/>
  <c r="AK286" i="4"/>
  <c r="BF46" i="3"/>
  <c r="BF50" i="3"/>
  <c r="BF286" i="4"/>
  <c r="BG47" i="3"/>
  <c r="AV46" i="3"/>
  <c r="AV50" i="3"/>
  <c r="AW47" i="3"/>
  <c r="AF204" i="4"/>
  <c r="AF240" i="4"/>
  <c r="AF286" i="4"/>
  <c r="AF19" i="3"/>
  <c r="AF28" i="5"/>
  <c r="AF37" i="7"/>
  <c r="AC47" i="3"/>
  <c r="AB46" i="3"/>
  <c r="AB50" i="3"/>
  <c r="V204" i="4"/>
  <c r="V240" i="4"/>
  <c r="V19" i="3"/>
  <c r="V28" i="5"/>
  <c r="V286" i="4"/>
  <c r="V37" i="7"/>
  <c r="BJ88" i="6"/>
  <c r="U204" i="4"/>
  <c r="U240" i="4"/>
  <c r="U286" i="4"/>
  <c r="U19" i="3"/>
  <c r="U28" i="5"/>
  <c r="U37" i="7"/>
  <c r="AP352" i="4"/>
  <c r="AA352" i="4"/>
  <c r="V352" i="4"/>
  <c r="U352" i="4"/>
  <c r="BE352" i="4"/>
  <c r="AF352" i="4"/>
  <c r="AK352" i="4"/>
  <c r="V57" i="7"/>
  <c r="V46" i="7"/>
  <c r="V39" i="7"/>
  <c r="AF57" i="7"/>
  <c r="AF46" i="7"/>
  <c r="AF39" i="7"/>
  <c r="BH47" i="3"/>
  <c r="BG46" i="3"/>
  <c r="BG50" i="3"/>
  <c r="BG286" i="4"/>
  <c r="T19" i="3"/>
  <c r="T286" i="4"/>
  <c r="T204" i="4"/>
  <c r="T37" i="7"/>
  <c r="AQ204" i="4"/>
  <c r="AQ240" i="4"/>
  <c r="AQ286" i="4"/>
  <c r="AQ37" i="7"/>
  <c r="AQ19" i="3"/>
  <c r="AQ28" i="5"/>
  <c r="BC47" i="3"/>
  <c r="BB46" i="3"/>
  <c r="BB50" i="3"/>
  <c r="U88" i="6"/>
  <c r="I141" i="1"/>
  <c r="I160" i="1"/>
  <c r="AP57" i="7"/>
  <c r="AP46" i="7"/>
  <c r="AP39" i="7"/>
  <c r="BE57" i="7"/>
  <c r="BE46" i="7"/>
  <c r="BE39" i="7"/>
  <c r="AR46" i="3"/>
  <c r="AR50" i="3"/>
  <c r="AS47" i="3"/>
  <c r="AA39" i="7"/>
  <c r="AA57" i="7"/>
  <c r="AA46" i="7"/>
  <c r="BA286" i="4"/>
  <c r="BA37" i="7"/>
  <c r="BA19" i="3"/>
  <c r="BA28" i="5"/>
  <c r="BA204" i="4"/>
  <c r="BA240" i="4"/>
  <c r="AB286" i="4"/>
  <c r="AB19" i="3"/>
  <c r="AB28" i="5"/>
  <c r="AB204" i="4"/>
  <c r="AB240" i="4"/>
  <c r="AB37" i="7"/>
  <c r="AW46" i="3"/>
  <c r="AW50" i="3"/>
  <c r="AX47" i="3"/>
  <c r="AD141" i="1"/>
  <c r="AD160" i="1"/>
  <c r="AP88" i="6"/>
  <c r="AL204" i="4"/>
  <c r="AL240" i="4"/>
  <c r="AL19" i="3"/>
  <c r="AL28" i="5"/>
  <c r="AL286" i="4"/>
  <c r="AL37" i="7"/>
  <c r="AD47" i="3"/>
  <c r="AC46" i="3"/>
  <c r="AC50" i="3"/>
  <c r="AF88" i="6"/>
  <c r="T141" i="1"/>
  <c r="T160" i="1"/>
  <c r="AV204" i="4"/>
  <c r="AV240" i="4"/>
  <c r="AV37" i="7"/>
  <c r="AV286" i="4"/>
  <c r="AV19" i="3"/>
  <c r="AV28" i="5"/>
  <c r="BF37" i="7"/>
  <c r="BF19" i="3"/>
  <c r="BF28" i="5"/>
  <c r="BF204" i="4"/>
  <c r="BF240" i="4"/>
  <c r="Y141" i="1"/>
  <c r="Y160" i="1"/>
  <c r="AK88" i="6"/>
  <c r="AS141" i="1"/>
  <c r="AS160" i="1"/>
  <c r="BE88" i="6"/>
  <c r="AH46" i="3"/>
  <c r="AH50" i="3"/>
  <c r="AI47" i="3"/>
  <c r="W19" i="3"/>
  <c r="W28" i="5"/>
  <c r="W204" i="4"/>
  <c r="W240" i="4"/>
  <c r="W37" i="7"/>
  <c r="W286" i="4"/>
  <c r="AA88" i="6"/>
  <c r="O141" i="1"/>
  <c r="O160" i="1"/>
  <c r="U57" i="7"/>
  <c r="U46" i="7"/>
  <c r="U39" i="7"/>
  <c r="V88" i="6"/>
  <c r="J141" i="1"/>
  <c r="J160" i="1"/>
  <c r="AK57" i="7"/>
  <c r="AK46" i="7"/>
  <c r="AK39" i="7"/>
  <c r="AG19" i="3"/>
  <c r="AG28" i="5"/>
  <c r="AG286" i="4"/>
  <c r="AG204" i="4"/>
  <c r="AG240" i="4"/>
  <c r="AG37" i="7"/>
  <c r="Y47" i="3"/>
  <c r="X46" i="3"/>
  <c r="AN47" i="3"/>
  <c r="AM46" i="3"/>
  <c r="AM50" i="3"/>
  <c r="AV352" i="4"/>
  <c r="AQ352" i="4"/>
  <c r="AG352" i="4"/>
  <c r="W352" i="4"/>
  <c r="BF352" i="4"/>
  <c r="AL352" i="4"/>
  <c r="AB352" i="4"/>
  <c r="BA352" i="4"/>
  <c r="W88" i="6"/>
  <c r="K141" i="1"/>
  <c r="K160" i="1"/>
  <c r="AT141" i="1"/>
  <c r="AT160" i="1"/>
  <c r="BF88" i="6"/>
  <c r="AY47" i="3"/>
  <c r="AY46" i="3"/>
  <c r="AY50" i="3"/>
  <c r="AX46" i="3"/>
  <c r="AX50" i="3"/>
  <c r="AB88" i="6"/>
  <c r="P141" i="1"/>
  <c r="P160" i="1"/>
  <c r="BD47" i="3"/>
  <c r="BD46" i="3"/>
  <c r="BD50" i="3"/>
  <c r="BC46" i="3"/>
  <c r="BC50" i="3"/>
  <c r="T39" i="7"/>
  <c r="T57" i="7"/>
  <c r="T46" i="7"/>
  <c r="AI46" i="3"/>
  <c r="AI50" i="3"/>
  <c r="AJ47" i="3"/>
  <c r="AJ46" i="3"/>
  <c r="AJ50" i="3"/>
  <c r="AC204" i="4"/>
  <c r="AC240" i="4"/>
  <c r="AC19" i="3"/>
  <c r="AC28" i="5"/>
  <c r="AC286" i="4"/>
  <c r="AC37" i="7"/>
  <c r="AL57" i="7"/>
  <c r="AL46" i="7"/>
  <c r="AL39" i="7"/>
  <c r="AW204" i="4"/>
  <c r="AW240" i="4"/>
  <c r="AW37" i="7"/>
  <c r="AW286" i="4"/>
  <c r="AW19" i="3"/>
  <c r="AW28" i="5"/>
  <c r="AO141" i="1"/>
  <c r="AO160" i="1"/>
  <c r="BA88" i="6"/>
  <c r="AQ88" i="6"/>
  <c r="AE141" i="1"/>
  <c r="AE160" i="1"/>
  <c r="T240" i="4"/>
  <c r="T214" i="4"/>
  <c r="AO47" i="3"/>
  <c r="AO46" i="3"/>
  <c r="AO50" i="3"/>
  <c r="AN46" i="3"/>
  <c r="AN50" i="3"/>
  <c r="Y46" i="3"/>
  <c r="Y50" i="3"/>
  <c r="Z47" i="3"/>
  <c r="Z46" i="3"/>
  <c r="Z50" i="3"/>
  <c r="U141" i="1"/>
  <c r="U160" i="1"/>
  <c r="AG88" i="6"/>
  <c r="W39" i="7"/>
  <c r="W57" i="7"/>
  <c r="W46" i="7"/>
  <c r="AH19" i="3"/>
  <c r="AH28" i="5"/>
  <c r="AH286" i="4"/>
  <c r="AH204" i="4"/>
  <c r="AH240" i="4"/>
  <c r="AH37" i="7"/>
  <c r="AD46" i="3"/>
  <c r="AD50" i="3"/>
  <c r="AE47" i="3"/>
  <c r="AE46" i="3"/>
  <c r="AE50" i="3"/>
  <c r="AB57" i="7"/>
  <c r="AB46" i="7"/>
  <c r="AB39" i="7"/>
  <c r="BA57" i="7"/>
  <c r="BA46" i="7"/>
  <c r="BA39" i="7"/>
  <c r="AT47" i="3"/>
  <c r="AT46" i="3"/>
  <c r="AT50" i="3"/>
  <c r="AS46" i="3"/>
  <c r="AS50" i="3"/>
  <c r="AQ57" i="7"/>
  <c r="AQ46" i="7"/>
  <c r="AQ39" i="7"/>
  <c r="BG204" i="4"/>
  <c r="BG240" i="4"/>
  <c r="BG19" i="3"/>
  <c r="BG28" i="5"/>
  <c r="BG37" i="7"/>
  <c r="AM37" i="7"/>
  <c r="AM204" i="4"/>
  <c r="AM240" i="4"/>
  <c r="AM286" i="4"/>
  <c r="AM19" i="3"/>
  <c r="AM28" i="5"/>
  <c r="X50" i="3"/>
  <c r="BF57" i="7"/>
  <c r="BF46" i="7"/>
  <c r="BF39" i="7"/>
  <c r="AV39" i="7"/>
  <c r="AV57" i="7"/>
  <c r="AV46" i="7"/>
  <c r="AG57" i="7"/>
  <c r="AG46" i="7"/>
  <c r="AG39" i="7"/>
  <c r="AV88" i="6"/>
  <c r="AJ141" i="1"/>
  <c r="AJ160" i="1"/>
  <c r="Z141" i="1"/>
  <c r="Z160" i="1"/>
  <c r="AL88" i="6"/>
  <c r="AR19" i="3"/>
  <c r="AR28" i="5"/>
  <c r="AR286" i="4"/>
  <c r="AR204" i="4"/>
  <c r="AR240" i="4"/>
  <c r="AR37" i="7"/>
  <c r="BB286" i="4"/>
  <c r="BB204" i="4"/>
  <c r="BB240" i="4"/>
  <c r="BB37" i="7"/>
  <c r="BB19" i="3"/>
  <c r="BB28" i="5"/>
  <c r="T28" i="5"/>
  <c r="BI47" i="3"/>
  <c r="BI46" i="3"/>
  <c r="BI50" i="3"/>
  <c r="BI286" i="4"/>
  <c r="BI289" i="4"/>
  <c r="BH46" i="3"/>
  <c r="BH50" i="3"/>
  <c r="BH286" i="4"/>
  <c r="AW352" i="4"/>
  <c r="AC352" i="4"/>
  <c r="AR352" i="4"/>
  <c r="BB352" i="4"/>
  <c r="T352" i="4"/>
  <c r="AM352" i="4"/>
  <c r="AH352" i="4"/>
  <c r="BG352" i="4"/>
  <c r="BG289" i="4"/>
  <c r="BF289" i="4"/>
  <c r="BH289" i="4"/>
  <c r="BE289" i="4"/>
  <c r="AW88" i="6"/>
  <c r="AK141" i="1"/>
  <c r="AK160" i="1"/>
  <c r="Q141" i="1"/>
  <c r="Q160" i="1"/>
  <c r="AC88" i="6"/>
  <c r="BH204" i="4"/>
  <c r="BH240" i="4"/>
  <c r="BH37" i="7"/>
  <c r="BH19" i="3"/>
  <c r="BH28" i="5"/>
  <c r="BI19" i="3"/>
  <c r="BI28" i="5"/>
  <c r="BI204" i="4"/>
  <c r="BI240" i="4"/>
  <c r="BI37" i="7"/>
  <c r="AF141" i="1"/>
  <c r="AF160" i="1"/>
  <c r="AR88" i="6"/>
  <c r="AM88" i="6"/>
  <c r="AA141" i="1"/>
  <c r="AA160" i="1"/>
  <c r="AS204" i="4"/>
  <c r="AS240" i="4"/>
  <c r="AS286" i="4"/>
  <c r="AS37" i="7"/>
  <c r="AS19" i="3"/>
  <c r="AS28" i="5"/>
  <c r="AE286" i="4"/>
  <c r="AE19" i="3"/>
  <c r="AE28" i="5"/>
  <c r="AE204" i="4"/>
  <c r="AE240" i="4"/>
  <c r="AE37" i="7"/>
  <c r="AH39" i="7"/>
  <c r="AH57" i="7"/>
  <c r="AH46" i="7"/>
  <c r="Z204" i="4"/>
  <c r="Z240" i="4"/>
  <c r="Z19" i="3"/>
  <c r="Z28" i="5"/>
  <c r="Z37" i="7"/>
  <c r="Z286" i="4"/>
  <c r="AI286" i="4"/>
  <c r="AI19" i="3"/>
  <c r="AI28" i="5"/>
  <c r="AI37" i="7"/>
  <c r="AI204" i="4"/>
  <c r="AI240" i="4"/>
  <c r="BB88" i="6"/>
  <c r="AP141" i="1"/>
  <c r="AP160" i="1"/>
  <c r="AR57" i="7"/>
  <c r="AR46" i="7"/>
  <c r="AR39" i="7"/>
  <c r="T88" i="6"/>
  <c r="H141" i="1"/>
  <c r="H160" i="1"/>
  <c r="BB57" i="7"/>
  <c r="BB46" i="7"/>
  <c r="BB39" i="7"/>
  <c r="N46" i="3"/>
  <c r="BG88" i="6"/>
  <c r="AU141" i="1"/>
  <c r="AU160" i="1"/>
  <c r="AN204" i="4"/>
  <c r="AN240" i="4"/>
  <c r="AN19" i="3"/>
  <c r="AN28" i="5"/>
  <c r="AN37" i="7"/>
  <c r="AN286" i="4"/>
  <c r="BC37" i="7"/>
  <c r="BC19" i="3"/>
  <c r="BC28" i="5"/>
  <c r="BC286" i="4"/>
  <c r="BC204" i="4"/>
  <c r="BC240" i="4"/>
  <c r="AX204" i="4"/>
  <c r="AX240" i="4"/>
  <c r="AX286" i="4"/>
  <c r="AX19" i="3"/>
  <c r="AX28" i="5"/>
  <c r="AX37" i="7"/>
  <c r="BG39" i="7"/>
  <c r="BG57" i="7"/>
  <c r="BG46" i="7"/>
  <c r="AT286" i="4"/>
  <c r="AT204" i="4"/>
  <c r="AT240" i="4"/>
  <c r="AT19" i="3"/>
  <c r="AT28" i="5"/>
  <c r="AT37" i="7"/>
  <c r="AD19" i="3"/>
  <c r="AD28" i="5"/>
  <c r="AD37" i="7"/>
  <c r="AD204" i="4"/>
  <c r="AD240" i="4"/>
  <c r="AD286" i="4"/>
  <c r="Y286" i="4"/>
  <c r="Y19" i="3"/>
  <c r="Y28" i="5"/>
  <c r="Y37" i="7"/>
  <c r="Y204" i="4"/>
  <c r="Y240" i="4"/>
  <c r="T216" i="4"/>
  <c r="T29" i="4"/>
  <c r="T33" i="4"/>
  <c r="U28" i="4"/>
  <c r="T353" i="4"/>
  <c r="X19" i="3"/>
  <c r="X286" i="4"/>
  <c r="X37" i="7"/>
  <c r="X204" i="4"/>
  <c r="N50" i="3"/>
  <c r="AM39" i="7"/>
  <c r="AM57" i="7"/>
  <c r="AM46" i="7"/>
  <c r="V141" i="1"/>
  <c r="V160" i="1"/>
  <c r="AH88" i="6"/>
  <c r="AO204" i="4"/>
  <c r="AO240" i="4"/>
  <c r="AO37" i="7"/>
  <c r="AO19" i="3"/>
  <c r="AO28" i="5"/>
  <c r="AO286" i="4"/>
  <c r="AW57" i="7"/>
  <c r="AW46" i="7"/>
  <c r="AW39" i="7"/>
  <c r="AC39" i="7"/>
  <c r="AC57" i="7"/>
  <c r="AC46" i="7"/>
  <c r="AJ37" i="7"/>
  <c r="AJ204" i="4"/>
  <c r="AJ240" i="4"/>
  <c r="AJ19" i="3"/>
  <c r="AJ28" i="5"/>
  <c r="AJ286" i="4"/>
  <c r="BD286" i="4"/>
  <c r="BD19" i="3"/>
  <c r="BD28" i="5"/>
  <c r="BD204" i="4"/>
  <c r="BD240" i="4"/>
  <c r="BD37" i="7"/>
  <c r="AY204" i="4"/>
  <c r="AY240" i="4"/>
  <c r="AY286" i="4"/>
  <c r="AY37" i="7"/>
  <c r="AY19" i="3"/>
  <c r="AY28" i="5"/>
  <c r="BD352" i="4"/>
  <c r="AJ352" i="4"/>
  <c r="AO352" i="4"/>
  <c r="AT352" i="4"/>
  <c r="AE352" i="4"/>
  <c r="BI352" i="4"/>
  <c r="Y352" i="4"/>
  <c r="BH352" i="4"/>
  <c r="AD352" i="4"/>
  <c r="AX352" i="4"/>
  <c r="AI352" i="4"/>
  <c r="Z352" i="4"/>
  <c r="AS352" i="4"/>
  <c r="AY352" i="4"/>
  <c r="BC352" i="4"/>
  <c r="AN352" i="4"/>
  <c r="BB289" i="4"/>
  <c r="AR289" i="4"/>
  <c r="AM289" i="4"/>
  <c r="AH289" i="4"/>
  <c r="AJ289" i="4"/>
  <c r="AY289" i="4"/>
  <c r="AD289" i="4"/>
  <c r="AX289" i="4"/>
  <c r="AE289" i="4"/>
  <c r="AB289" i="4"/>
  <c r="AA289" i="4"/>
  <c r="AC289" i="4"/>
  <c r="AZ289" i="4"/>
  <c r="AK289" i="4"/>
  <c r="AW289" i="4"/>
  <c r="AL289" i="4"/>
  <c r="AV289" i="4"/>
  <c r="AN289" i="4"/>
  <c r="AI289" i="4"/>
  <c r="AG289" i="4"/>
  <c r="BA289" i="4"/>
  <c r="BD289" i="4"/>
  <c r="AO289" i="4"/>
  <c r="X289" i="4"/>
  <c r="W289" i="4"/>
  <c r="T289" i="4"/>
  <c r="V289" i="4"/>
  <c r="S289" i="4"/>
  <c r="R289" i="4"/>
  <c r="R290" i="4"/>
  <c r="R292" i="4"/>
  <c r="S288" i="4"/>
  <c r="U289" i="4"/>
  <c r="Y289" i="4"/>
  <c r="AT289" i="4"/>
  <c r="BC289" i="4"/>
  <c r="Z289" i="4"/>
  <c r="AS289" i="4"/>
  <c r="AF289" i="4"/>
  <c r="AU289" i="4"/>
  <c r="AP289" i="4"/>
  <c r="AQ289" i="4"/>
  <c r="AY39" i="7"/>
  <c r="AY57" i="7"/>
  <c r="AY46" i="7"/>
  <c r="X141" i="1"/>
  <c r="X160" i="1"/>
  <c r="AJ88" i="6"/>
  <c r="AO88" i="6"/>
  <c r="AC141" i="1"/>
  <c r="AC160" i="1"/>
  <c r="BD88" i="6"/>
  <c r="AR141" i="1"/>
  <c r="AR160" i="1"/>
  <c r="AO57" i="7"/>
  <c r="AO46" i="7"/>
  <c r="AO39" i="7"/>
  <c r="AJ39" i="7"/>
  <c r="AJ57" i="7"/>
  <c r="AJ46" i="7"/>
  <c r="X39" i="7"/>
  <c r="X57" i="7"/>
  <c r="X46" i="7"/>
  <c r="N37" i="7"/>
  <c r="Y57" i="7"/>
  <c r="Y46" i="7"/>
  <c r="Y39" i="7"/>
  <c r="AT88" i="6"/>
  <c r="AH141" i="1"/>
  <c r="AH160" i="1"/>
  <c r="BC57" i="7"/>
  <c r="BC46" i="7"/>
  <c r="BC39" i="7"/>
  <c r="AM141" i="1"/>
  <c r="AM160" i="1"/>
  <c r="AY88" i="6"/>
  <c r="BD39" i="7"/>
  <c r="BD57" i="7"/>
  <c r="BD46" i="7"/>
  <c r="N286" i="4"/>
  <c r="BJ291" i="4"/>
  <c r="M141" i="1"/>
  <c r="M160" i="1"/>
  <c r="Y88" i="6"/>
  <c r="AD57" i="7"/>
  <c r="AD46" i="7"/>
  <c r="AD39" i="7"/>
  <c r="AX39" i="7"/>
  <c r="AX57" i="7"/>
  <c r="AX46" i="7"/>
  <c r="AN57" i="7"/>
  <c r="AN46" i="7"/>
  <c r="AN39" i="7"/>
  <c r="S141" i="1"/>
  <c r="S160" i="1"/>
  <c r="AE88" i="6"/>
  <c r="BH39" i="7"/>
  <c r="BH57" i="7"/>
  <c r="BH46" i="7"/>
  <c r="X240" i="4"/>
  <c r="N240" i="4"/>
  <c r="N204" i="4"/>
  <c r="AT39" i="7"/>
  <c r="AT57" i="7"/>
  <c r="AT46" i="7"/>
  <c r="BC88" i="6"/>
  <c r="AQ141" i="1"/>
  <c r="AQ160" i="1"/>
  <c r="AI39" i="7"/>
  <c r="AI57" i="7"/>
  <c r="AI46" i="7"/>
  <c r="N141" i="1"/>
  <c r="N160" i="1"/>
  <c r="Z88" i="6"/>
  <c r="AE57" i="7"/>
  <c r="AE46" i="7"/>
  <c r="AE39" i="7"/>
  <c r="AS88" i="6"/>
  <c r="AG141" i="1"/>
  <c r="AG160" i="1"/>
  <c r="AW141" i="1"/>
  <c r="AW160" i="1"/>
  <c r="BI88" i="6"/>
  <c r="BH88" i="6"/>
  <c r="AV141" i="1"/>
  <c r="AV160" i="1"/>
  <c r="X28" i="5"/>
  <c r="N19" i="3"/>
  <c r="U213" i="4"/>
  <c r="T59" i="6"/>
  <c r="AD88" i="6"/>
  <c r="R141" i="1"/>
  <c r="R160" i="1"/>
  <c r="AX88" i="6"/>
  <c r="AL141" i="1"/>
  <c r="AL160" i="1"/>
  <c r="AB141" i="1"/>
  <c r="AB160" i="1"/>
  <c r="AN88" i="6"/>
  <c r="Z39" i="7"/>
  <c r="Z57" i="7"/>
  <c r="Z46" i="7"/>
  <c r="W141" i="1"/>
  <c r="W160" i="1"/>
  <c r="AI88" i="6"/>
  <c r="AS39" i="7"/>
  <c r="AS57" i="7"/>
  <c r="AS46" i="7"/>
  <c r="BI57" i="7"/>
  <c r="BI46" i="7"/>
  <c r="BI39" i="7"/>
  <c r="X352" i="4"/>
  <c r="S290" i="4"/>
  <c r="S292" i="4"/>
  <c r="T288" i="4"/>
  <c r="T290" i="4"/>
  <c r="T292" i="4"/>
  <c r="U288" i="4"/>
  <c r="U290" i="4"/>
  <c r="U292" i="4"/>
  <c r="V288" i="4"/>
  <c r="V290" i="4"/>
  <c r="V292" i="4"/>
  <c r="W288" i="4"/>
  <c r="W290" i="4"/>
  <c r="W292" i="4"/>
  <c r="X288" i="4"/>
  <c r="X290" i="4"/>
  <c r="X292" i="4"/>
  <c r="Y288" i="4"/>
  <c r="Y290" i="4"/>
  <c r="Y292" i="4"/>
  <c r="Z288" i="4"/>
  <c r="Z290" i="4"/>
  <c r="Z292" i="4"/>
  <c r="AA288" i="4"/>
  <c r="AA290" i="4"/>
  <c r="AA292" i="4"/>
  <c r="AB288" i="4"/>
  <c r="AB290" i="4"/>
  <c r="AB292" i="4"/>
  <c r="AC288" i="4"/>
  <c r="AC290" i="4"/>
  <c r="AC292" i="4"/>
  <c r="AD288" i="4"/>
  <c r="AD290" i="4"/>
  <c r="AD292" i="4"/>
  <c r="AE288" i="4"/>
  <c r="AE290" i="4"/>
  <c r="AE292" i="4"/>
  <c r="AF288" i="4"/>
  <c r="AF290" i="4"/>
  <c r="N291" i="4"/>
  <c r="BJ31" i="5"/>
  <c r="N352" i="4"/>
  <c r="L141" i="1"/>
  <c r="L160" i="1"/>
  <c r="X88" i="6"/>
  <c r="N88" i="6"/>
  <c r="N28" i="5"/>
  <c r="U214" i="4"/>
  <c r="N289" i="4"/>
  <c r="R327" i="4"/>
  <c r="N39" i="7"/>
  <c r="S29" i="5"/>
  <c r="Z29" i="5"/>
  <c r="AA29" i="5"/>
  <c r="X29" i="5"/>
  <c r="AD29" i="5"/>
  <c r="AB29" i="5"/>
  <c r="AE29" i="5"/>
  <c r="T29" i="5"/>
  <c r="V29" i="5"/>
  <c r="AC29" i="5"/>
  <c r="W29" i="5"/>
  <c r="U29" i="5"/>
  <c r="Y29" i="5"/>
  <c r="AF292" i="4"/>
  <c r="AG288" i="4"/>
  <c r="AG290" i="4"/>
  <c r="AF29" i="5"/>
  <c r="N31" i="5"/>
  <c r="BJ17" i="6"/>
  <c r="AX141" i="1"/>
  <c r="AX160" i="1"/>
  <c r="R331" i="4"/>
  <c r="R330" i="4"/>
  <c r="U210" i="4"/>
  <c r="U353" i="4"/>
  <c r="U29" i="4"/>
  <c r="U216" i="4"/>
  <c r="H111" i="1"/>
  <c r="G111" i="1"/>
  <c r="K111" i="1"/>
  <c r="S111" i="1"/>
  <c r="J111" i="1"/>
  <c r="R111" i="1"/>
  <c r="N111" i="1"/>
  <c r="P111" i="1"/>
  <c r="O111" i="1"/>
  <c r="M111" i="1"/>
  <c r="L111" i="1"/>
  <c r="I111" i="1"/>
  <c r="Q111" i="1"/>
  <c r="F111" i="1"/>
  <c r="BJ346" i="4"/>
  <c r="N17" i="6"/>
  <c r="BJ18" i="6"/>
  <c r="N18" i="6"/>
  <c r="AG292" i="4"/>
  <c r="AH288" i="4"/>
  <c r="AH290" i="4"/>
  <c r="AG29" i="5"/>
  <c r="U31" i="4"/>
  <c r="U30" i="4"/>
  <c r="M143" i="1"/>
  <c r="Y95" i="6"/>
  <c r="Y35" i="5"/>
  <c r="AF46" i="8"/>
  <c r="L143" i="1"/>
  <c r="X95" i="6"/>
  <c r="X35" i="5"/>
  <c r="AE46" i="8"/>
  <c r="G143" i="1"/>
  <c r="S95" i="6"/>
  <c r="S41" i="6"/>
  <c r="T41" i="6"/>
  <c r="U41" i="6"/>
  <c r="V41" i="6"/>
  <c r="W41" i="6"/>
  <c r="X41" i="6"/>
  <c r="Y41" i="6"/>
  <c r="Z41" i="6"/>
  <c r="AA41" i="6"/>
  <c r="AB41" i="6"/>
  <c r="AC41" i="6"/>
  <c r="AD41" i="6"/>
  <c r="AE41" i="6"/>
  <c r="AF41" i="6"/>
  <c r="S35" i="5"/>
  <c r="J143" i="1"/>
  <c r="V95" i="6"/>
  <c r="V35" i="5"/>
  <c r="AC46" i="8"/>
  <c r="Z95" i="6"/>
  <c r="N143" i="1"/>
  <c r="Z35" i="5"/>
  <c r="AG46" i="8"/>
  <c r="AD95" i="6"/>
  <c r="R143" i="1"/>
  <c r="AD35" i="5"/>
  <c r="AK46" i="8"/>
  <c r="W95" i="6"/>
  <c r="K143" i="1"/>
  <c r="W35" i="5"/>
  <c r="AD46" i="8"/>
  <c r="T95" i="6"/>
  <c r="H143" i="1"/>
  <c r="T35" i="5"/>
  <c r="AA46" i="8"/>
  <c r="AB95" i="6"/>
  <c r="P143" i="1"/>
  <c r="AB35" i="5"/>
  <c r="AI46" i="8"/>
  <c r="AF95" i="6"/>
  <c r="T143" i="1"/>
  <c r="AF35" i="5"/>
  <c r="AM46" i="8"/>
  <c r="V213" i="4"/>
  <c r="U59" i="6"/>
  <c r="I143" i="1"/>
  <c r="U95" i="6"/>
  <c r="U35" i="5"/>
  <c r="AB46" i="8"/>
  <c r="AE95" i="6"/>
  <c r="S143" i="1"/>
  <c r="AE35" i="5"/>
  <c r="AL46" i="8"/>
  <c r="AC95" i="6"/>
  <c r="Q143" i="1"/>
  <c r="AC35" i="5"/>
  <c r="AJ46" i="8"/>
  <c r="AA95" i="6"/>
  <c r="O143" i="1"/>
  <c r="AA35" i="5"/>
  <c r="AH46" i="8"/>
  <c r="T111" i="1"/>
  <c r="AG35" i="5"/>
  <c r="AN46" i="8"/>
  <c r="AG95" i="6"/>
  <c r="AG41" i="6"/>
  <c r="U143" i="1"/>
  <c r="AH292" i="4"/>
  <c r="AI288" i="4"/>
  <c r="AI290" i="4"/>
  <c r="AH29" i="5"/>
  <c r="N346" i="4"/>
  <c r="BJ349" i="4"/>
  <c r="N349" i="4"/>
  <c r="U33" i="4"/>
  <c r="V28" i="4"/>
  <c r="V220" i="4"/>
  <c r="V214" i="4"/>
  <c r="V216" i="4"/>
  <c r="F17" i="1"/>
  <c r="H112" i="1"/>
  <c r="G17" i="1"/>
  <c r="F24" i="1"/>
  <c r="O112" i="1"/>
  <c r="G24" i="1"/>
  <c r="F26" i="1"/>
  <c r="Q112" i="1"/>
  <c r="G26" i="1"/>
  <c r="F18" i="1"/>
  <c r="I112" i="1"/>
  <c r="G18" i="1"/>
  <c r="F21" i="1"/>
  <c r="L112" i="1"/>
  <c r="G21" i="1"/>
  <c r="R71" i="4"/>
  <c r="R72" i="4"/>
  <c r="F29" i="1"/>
  <c r="T112" i="1"/>
  <c r="G29" i="1"/>
  <c r="F23" i="1"/>
  <c r="N112" i="1"/>
  <c r="G23" i="1"/>
  <c r="F25" i="1"/>
  <c r="P112" i="1"/>
  <c r="G25" i="1"/>
  <c r="F22" i="1"/>
  <c r="M112" i="1"/>
  <c r="G22" i="1"/>
  <c r="F27" i="1"/>
  <c r="R112" i="1"/>
  <c r="G27" i="1"/>
  <c r="F16" i="1"/>
  <c r="G112" i="1"/>
  <c r="G16" i="1"/>
  <c r="F28" i="1"/>
  <c r="S112" i="1"/>
  <c r="G28" i="1"/>
  <c r="F19" i="1"/>
  <c r="J112" i="1"/>
  <c r="G19" i="1"/>
  <c r="Z46" i="8"/>
  <c r="F15" i="1"/>
  <c r="F112" i="1"/>
  <c r="G15" i="1"/>
  <c r="F20" i="1"/>
  <c r="K112" i="1"/>
  <c r="G20" i="1"/>
  <c r="U111" i="1"/>
  <c r="AH41" i="6"/>
  <c r="V143" i="1"/>
  <c r="AH35" i="5"/>
  <c r="AO46" i="8"/>
  <c r="AH95" i="6"/>
  <c r="AI292" i="4"/>
  <c r="AJ288" i="4"/>
  <c r="AJ290" i="4"/>
  <c r="AI29" i="5"/>
  <c r="S327" i="4"/>
  <c r="V210" i="4"/>
  <c r="V29" i="4"/>
  <c r="V353" i="4"/>
  <c r="W213" i="4"/>
  <c r="V59" i="6"/>
  <c r="V25" i="9"/>
  <c r="V111" i="1"/>
  <c r="AI95" i="6"/>
  <c r="AI35" i="5"/>
  <c r="AP46" i="8"/>
  <c r="W143" i="1"/>
  <c r="AJ292" i="4"/>
  <c r="AK288" i="4"/>
  <c r="AK290" i="4"/>
  <c r="AJ29" i="5"/>
  <c r="F30" i="1"/>
  <c r="U112" i="1"/>
  <c r="G30" i="1"/>
  <c r="AI41" i="6"/>
  <c r="W214" i="4"/>
  <c r="W216" i="4"/>
  <c r="W220" i="4"/>
  <c r="V30" i="4"/>
  <c r="V31" i="4"/>
  <c r="S71" i="4"/>
  <c r="W111" i="1"/>
  <c r="AJ41" i="6"/>
  <c r="X143" i="1"/>
  <c r="AJ95" i="6"/>
  <c r="AJ35" i="5"/>
  <c r="AQ46" i="8"/>
  <c r="AK292" i="4"/>
  <c r="AL288" i="4"/>
  <c r="AL290" i="4"/>
  <c r="AK29" i="5"/>
  <c r="F31" i="1"/>
  <c r="V112" i="1"/>
  <c r="G31" i="1"/>
  <c r="V33" i="4"/>
  <c r="W28" i="4"/>
  <c r="W59" i="6"/>
  <c r="X213" i="4"/>
  <c r="T327" i="4"/>
  <c r="W210" i="4"/>
  <c r="W29" i="4"/>
  <c r="W353" i="4"/>
  <c r="W25" i="9"/>
  <c r="X111" i="1"/>
  <c r="AK35" i="5"/>
  <c r="AR46" i="8"/>
  <c r="Y143" i="1"/>
  <c r="AK95" i="6"/>
  <c r="AL292" i="4"/>
  <c r="AM288" i="4"/>
  <c r="AM290" i="4"/>
  <c r="AL29" i="5"/>
  <c r="F32" i="1"/>
  <c r="W112" i="1"/>
  <c r="G32" i="1"/>
  <c r="AK41" i="6"/>
  <c r="W31" i="4"/>
  <c r="W30" i="4"/>
  <c r="X214" i="4"/>
  <c r="X220" i="4"/>
  <c r="T71" i="4"/>
  <c r="Y111" i="1"/>
  <c r="AL41" i="6"/>
  <c r="W33" i="4"/>
  <c r="X28" i="4"/>
  <c r="AL95" i="6"/>
  <c r="AL35" i="5"/>
  <c r="AS46" i="8"/>
  <c r="Z143" i="1"/>
  <c r="F33" i="1"/>
  <c r="X112" i="1"/>
  <c r="G33" i="1"/>
  <c r="AM292" i="4"/>
  <c r="AN288" i="4"/>
  <c r="AN290" i="4"/>
  <c r="AM29" i="5"/>
  <c r="X210" i="4"/>
  <c r="X353" i="4"/>
  <c r="X29" i="4"/>
  <c r="X216" i="4"/>
  <c r="U327" i="4"/>
  <c r="X25" i="9"/>
  <c r="Z111" i="1"/>
  <c r="AM35" i="5"/>
  <c r="AT46" i="8"/>
  <c r="AA143" i="1"/>
  <c r="AM95" i="6"/>
  <c r="F34" i="1"/>
  <c r="Y112" i="1"/>
  <c r="G34" i="1"/>
  <c r="AN292" i="4"/>
  <c r="AO288" i="4"/>
  <c r="AO290" i="4"/>
  <c r="AN29" i="5"/>
  <c r="AM41" i="6"/>
  <c r="U71" i="4"/>
  <c r="Y213" i="4"/>
  <c r="X59" i="6"/>
  <c r="X30" i="4"/>
  <c r="X31" i="4"/>
  <c r="AA111" i="1"/>
  <c r="AN41" i="6"/>
  <c r="AO292" i="4"/>
  <c r="AP288" i="4"/>
  <c r="AP290" i="4"/>
  <c r="AO29" i="5"/>
  <c r="AN35" i="5"/>
  <c r="AU46" i="8"/>
  <c r="AB143" i="1"/>
  <c r="AN95" i="6"/>
  <c r="F35" i="1"/>
  <c r="Z112" i="1"/>
  <c r="G35" i="1"/>
  <c r="X33" i="4"/>
  <c r="Y28" i="4"/>
  <c r="Y214" i="4"/>
  <c r="Y216" i="4"/>
  <c r="Y220" i="4"/>
  <c r="V327" i="4"/>
  <c r="AB111" i="1"/>
  <c r="AO41" i="6"/>
  <c r="AA112" i="1"/>
  <c r="G36" i="1"/>
  <c r="F36" i="1"/>
  <c r="AO95" i="6"/>
  <c r="AO35" i="5"/>
  <c r="AV46" i="8"/>
  <c r="AC143" i="1"/>
  <c r="AP292" i="4"/>
  <c r="AQ288" i="4"/>
  <c r="AP29" i="5"/>
  <c r="Z213" i="4"/>
  <c r="Y59" i="6"/>
  <c r="Y210" i="4"/>
  <c r="Y353" i="4"/>
  <c r="Y29" i="4"/>
  <c r="Y25" i="9"/>
  <c r="V71" i="4"/>
  <c r="AC111" i="1"/>
  <c r="AP41" i="6"/>
  <c r="F37" i="1"/>
  <c r="AB112" i="1"/>
  <c r="G37" i="1"/>
  <c r="AP35" i="5"/>
  <c r="AW46" i="8"/>
  <c r="AP95" i="6"/>
  <c r="AD143" i="1"/>
  <c r="AQ290" i="4"/>
  <c r="AQ29" i="5"/>
  <c r="Y30" i="4"/>
  <c r="Y31" i="4"/>
  <c r="W327" i="4"/>
  <c r="Z214" i="4"/>
  <c r="Z216" i="4"/>
  <c r="Z220" i="4"/>
  <c r="AD111" i="1"/>
  <c r="AQ292" i="4"/>
  <c r="AR288" i="4"/>
  <c r="AR290" i="4"/>
  <c r="AR29" i="5"/>
  <c r="Y33" i="4"/>
  <c r="Z28" i="4"/>
  <c r="AC112" i="1"/>
  <c r="G38" i="1"/>
  <c r="F38" i="1"/>
  <c r="AE143" i="1"/>
  <c r="AQ95" i="6"/>
  <c r="AQ35" i="5"/>
  <c r="AX46" i="8"/>
  <c r="AQ41" i="6"/>
  <c r="AA213" i="4"/>
  <c r="Z59" i="6"/>
  <c r="Z29" i="4"/>
  <c r="Z353" i="4"/>
  <c r="Z25" i="9"/>
  <c r="W71" i="4"/>
  <c r="Z210" i="4"/>
  <c r="AE111" i="1"/>
  <c r="AR292" i="4"/>
  <c r="AS288" i="4"/>
  <c r="AS290" i="4"/>
  <c r="AS292" i="4"/>
  <c r="AT288" i="4"/>
  <c r="AT290" i="4"/>
  <c r="AR41" i="6"/>
  <c r="F39" i="1"/>
  <c r="AD112" i="1"/>
  <c r="G39" i="1"/>
  <c r="AF143" i="1"/>
  <c r="AR95" i="6"/>
  <c r="AR35" i="5"/>
  <c r="AY46" i="8"/>
  <c r="AA214" i="4"/>
  <c r="AA210" i="4"/>
  <c r="AA220" i="4"/>
  <c r="AA25" i="9"/>
  <c r="Z30" i="4"/>
  <c r="Z31" i="4"/>
  <c r="X327" i="4"/>
  <c r="AS29" i="5"/>
  <c r="AT292" i="4"/>
  <c r="AU288" i="4"/>
  <c r="AU290" i="4"/>
  <c r="AT29" i="5"/>
  <c r="F40" i="1"/>
  <c r="AE112" i="1"/>
  <c r="G40" i="1"/>
  <c r="Z33" i="4"/>
  <c r="AA28" i="4"/>
  <c r="AA31" i="4"/>
  <c r="AA30" i="4"/>
  <c r="X71" i="4"/>
  <c r="AA216" i="4"/>
  <c r="AA353" i="4"/>
  <c r="AA29" i="4"/>
  <c r="AS41" i="6"/>
  <c r="AT41" i="6"/>
  <c r="AF111" i="1"/>
  <c r="F41" i="1"/>
  <c r="AS95" i="6"/>
  <c r="AG143" i="1"/>
  <c r="AS35" i="5"/>
  <c r="AZ46" i="8"/>
  <c r="AG111" i="1"/>
  <c r="AA33" i="4"/>
  <c r="AB28" i="4"/>
  <c r="AT95" i="6"/>
  <c r="AH143" i="1"/>
  <c r="AT35" i="5"/>
  <c r="BA46" i="8"/>
  <c r="AU292" i="4"/>
  <c r="AV288" i="4"/>
  <c r="AV290" i="4"/>
  <c r="AU29" i="5"/>
  <c r="Y327" i="4"/>
  <c r="AB213" i="4"/>
  <c r="AA59" i="6"/>
  <c r="AF112" i="1"/>
  <c r="G41" i="1"/>
  <c r="AH111" i="1"/>
  <c r="AU41" i="6"/>
  <c r="AV292" i="4"/>
  <c r="AW288" i="4"/>
  <c r="AW290" i="4"/>
  <c r="AV29" i="5"/>
  <c r="AI143" i="1"/>
  <c r="AU35" i="5"/>
  <c r="BB46" i="8"/>
  <c r="AU95" i="6"/>
  <c r="F42" i="1"/>
  <c r="AG112" i="1"/>
  <c r="G42" i="1"/>
  <c r="AB214" i="4"/>
  <c r="AB210" i="4"/>
  <c r="AB220" i="4"/>
  <c r="AB25" i="9"/>
  <c r="Y71" i="4"/>
  <c r="AI111" i="1"/>
  <c r="F43" i="1"/>
  <c r="AH112" i="1"/>
  <c r="G43" i="1"/>
  <c r="AV95" i="6"/>
  <c r="AJ143" i="1"/>
  <c r="AV35" i="5"/>
  <c r="BC46" i="8"/>
  <c r="AW292" i="4"/>
  <c r="AX288" i="4"/>
  <c r="AX290" i="4"/>
  <c r="AW29" i="5"/>
  <c r="AV41" i="6"/>
  <c r="AB30" i="4"/>
  <c r="AB31" i="4"/>
  <c r="Z327" i="4"/>
  <c r="AB216" i="4"/>
  <c r="AB353" i="4"/>
  <c r="AB29" i="4"/>
  <c r="AJ111" i="1"/>
  <c r="AW41" i="6"/>
  <c r="AX292" i="4"/>
  <c r="AY288" i="4"/>
  <c r="AY290" i="4"/>
  <c r="AX29" i="5"/>
  <c r="F44" i="1"/>
  <c r="AI112" i="1"/>
  <c r="G44" i="1"/>
  <c r="AW95" i="6"/>
  <c r="AW35" i="5"/>
  <c r="BD46" i="8"/>
  <c r="AK143" i="1"/>
  <c r="AB33" i="4"/>
  <c r="AC28" i="4"/>
  <c r="Z71" i="4"/>
  <c r="AC213" i="4"/>
  <c r="AB59" i="6"/>
  <c r="AK111" i="1"/>
  <c r="AJ112" i="1"/>
  <c r="G45" i="1"/>
  <c r="F45" i="1"/>
  <c r="AX35" i="5"/>
  <c r="BE46" i="8"/>
  <c r="AL143" i="1"/>
  <c r="AX95" i="6"/>
  <c r="AY292" i="4"/>
  <c r="AZ288" i="4"/>
  <c r="AZ290" i="4"/>
  <c r="AY29" i="5"/>
  <c r="AX41" i="6"/>
  <c r="AA327" i="4"/>
  <c r="AC214" i="4"/>
  <c r="AC220" i="4"/>
  <c r="AC25" i="9"/>
  <c r="AL111" i="1"/>
  <c r="AY41" i="6"/>
  <c r="AZ292" i="4"/>
  <c r="BA288" i="4"/>
  <c r="BA290" i="4"/>
  <c r="AZ29" i="5"/>
  <c r="AK112" i="1"/>
  <c r="G46" i="1"/>
  <c r="F46" i="1"/>
  <c r="AM143" i="1"/>
  <c r="AY95" i="6"/>
  <c r="AY35" i="5"/>
  <c r="BF46" i="8"/>
  <c r="AC216" i="4"/>
  <c r="AC29" i="4"/>
  <c r="AC353" i="4"/>
  <c r="AC210" i="4"/>
  <c r="AA71" i="4"/>
  <c r="AM111" i="1"/>
  <c r="AZ41" i="6"/>
  <c r="F47" i="1"/>
  <c r="AL112" i="1"/>
  <c r="G47" i="1"/>
  <c r="AZ95" i="6"/>
  <c r="AN143" i="1"/>
  <c r="AZ35" i="5"/>
  <c r="BG46" i="8"/>
  <c r="BA292" i="4"/>
  <c r="BB288" i="4"/>
  <c r="BB290" i="4"/>
  <c r="BA29" i="5"/>
  <c r="AC31" i="4"/>
  <c r="AC30" i="4"/>
  <c r="AB327" i="4"/>
  <c r="AD213" i="4"/>
  <c r="AC59" i="6"/>
  <c r="AN111" i="1"/>
  <c r="AC33" i="4"/>
  <c r="AD28" i="4"/>
  <c r="BA95" i="6"/>
  <c r="BA35" i="5"/>
  <c r="BH46" i="8"/>
  <c r="AO143" i="1"/>
  <c r="F48" i="1"/>
  <c r="AM112" i="1"/>
  <c r="G48" i="1"/>
  <c r="BB292" i="4"/>
  <c r="BC288" i="4"/>
  <c r="BB29" i="5"/>
  <c r="BA41" i="6"/>
  <c r="AD220" i="4"/>
  <c r="AD25" i="9"/>
  <c r="AD214" i="4"/>
  <c r="AD210" i="4"/>
  <c r="AB71" i="4"/>
  <c r="BB41" i="6"/>
  <c r="AO111" i="1"/>
  <c r="BB95" i="6"/>
  <c r="AP143" i="1"/>
  <c r="BB35" i="5"/>
  <c r="BI46" i="8"/>
  <c r="F49" i="1"/>
  <c r="AN112" i="1"/>
  <c r="G49" i="1"/>
  <c r="BC290" i="4"/>
  <c r="BC29" i="5"/>
  <c r="AD30" i="4"/>
  <c r="AD31" i="4"/>
  <c r="AD215" i="4"/>
  <c r="AD29" i="4"/>
  <c r="AD353" i="4"/>
  <c r="AC327" i="4"/>
  <c r="AP111" i="1"/>
  <c r="BC292" i="4"/>
  <c r="BD288" i="4"/>
  <c r="BD290" i="4"/>
  <c r="BD29" i="5"/>
  <c r="AQ143" i="1"/>
  <c r="BC95" i="6"/>
  <c r="BC35" i="5"/>
  <c r="BJ46" i="8"/>
  <c r="F50" i="1"/>
  <c r="AO112" i="1"/>
  <c r="G50" i="1"/>
  <c r="BC41" i="6"/>
  <c r="AD184" i="4"/>
  <c r="AD32" i="4"/>
  <c r="AD216" i="4"/>
  <c r="AC71" i="4"/>
  <c r="AQ111" i="1"/>
  <c r="BD292" i="4"/>
  <c r="BD41" i="6"/>
  <c r="AR143" i="1"/>
  <c r="BD35" i="5"/>
  <c r="BK46" i="8"/>
  <c r="BD95" i="6"/>
  <c r="F51" i="1"/>
  <c r="AP112" i="1"/>
  <c r="G51" i="1"/>
  <c r="AD50" i="4"/>
  <c r="AD358" i="4"/>
  <c r="AD327" i="4"/>
  <c r="AD59" i="6"/>
  <c r="AE213" i="4"/>
  <c r="AD33" i="4"/>
  <c r="AE28" i="4"/>
  <c r="F52" i="1"/>
  <c r="AQ112" i="1"/>
  <c r="G52" i="1"/>
  <c r="AE214" i="4"/>
  <c r="AD71" i="4"/>
  <c r="AE216" i="4"/>
  <c r="AE29" i="4"/>
  <c r="AE353" i="4"/>
  <c r="AE210" i="4"/>
  <c r="AE327" i="4"/>
  <c r="AE31" i="4"/>
  <c r="AE30" i="4"/>
  <c r="AE71" i="4"/>
  <c r="AF213" i="4"/>
  <c r="AE59" i="6"/>
  <c r="AE33" i="4"/>
  <c r="AF28" i="4"/>
  <c r="AF214" i="4"/>
  <c r="AF210" i="4"/>
  <c r="AF220" i="4"/>
  <c r="AF25" i="9"/>
  <c r="AF327" i="4"/>
  <c r="AF30" i="4"/>
  <c r="AF31" i="4"/>
  <c r="AF71" i="4"/>
  <c r="AF216" i="4"/>
  <c r="AF29" i="4"/>
  <c r="AF353" i="4"/>
  <c r="AF33" i="4"/>
  <c r="AG28" i="4"/>
  <c r="AG327" i="4"/>
  <c r="AG213" i="4"/>
  <c r="AF59" i="6"/>
  <c r="AG214" i="4"/>
  <c r="AG216" i="4"/>
  <c r="AG220" i="4"/>
  <c r="AG25" i="9"/>
  <c r="AG71" i="4"/>
  <c r="AH213" i="4"/>
  <c r="AG59" i="6"/>
  <c r="AH327" i="4"/>
  <c r="AG210" i="4"/>
  <c r="AG353" i="4"/>
  <c r="AG29" i="4"/>
  <c r="AH71" i="4"/>
  <c r="AG31" i="4"/>
  <c r="AG30" i="4"/>
  <c r="AH220" i="4"/>
  <c r="AH25" i="9"/>
  <c r="AH214" i="4"/>
  <c r="AG33" i="4"/>
  <c r="AH28" i="4"/>
  <c r="AH353" i="4"/>
  <c r="AH29" i="4"/>
  <c r="AH210" i="4"/>
  <c r="AH216" i="4"/>
  <c r="AI327" i="4"/>
  <c r="AI71" i="4"/>
  <c r="AH30" i="4"/>
  <c r="AH31" i="4"/>
  <c r="AI213" i="4"/>
  <c r="AH59" i="6"/>
  <c r="AH33" i="4"/>
  <c r="AI28" i="4"/>
  <c r="AJ327" i="4"/>
  <c r="AI220" i="4"/>
  <c r="AI25" i="9"/>
  <c r="AI214" i="4"/>
  <c r="AI210" i="4"/>
  <c r="AI216" i="4"/>
  <c r="AJ213" i="4"/>
  <c r="AI31" i="4"/>
  <c r="AI30" i="4"/>
  <c r="AJ71" i="4"/>
  <c r="AI353" i="4"/>
  <c r="AI29" i="4"/>
  <c r="AI59" i="6"/>
  <c r="AI33" i="4"/>
  <c r="AJ28" i="4"/>
  <c r="AJ220" i="4"/>
  <c r="AJ25" i="9"/>
  <c r="AJ214" i="4"/>
  <c r="AJ216" i="4"/>
  <c r="AK327" i="4"/>
  <c r="AK213" i="4"/>
  <c r="AJ59" i="6"/>
  <c r="AJ210" i="4"/>
  <c r="AJ353" i="4"/>
  <c r="AJ29" i="4"/>
  <c r="AK71" i="4"/>
  <c r="AJ30" i="4"/>
  <c r="AJ31" i="4"/>
  <c r="AL327" i="4"/>
  <c r="AK214" i="4"/>
  <c r="AK210" i="4"/>
  <c r="AK220" i="4"/>
  <c r="AK25" i="9"/>
  <c r="AJ33" i="4"/>
  <c r="AK28" i="4"/>
  <c r="AK30" i="4"/>
  <c r="AK31" i="4"/>
  <c r="AK216" i="4"/>
  <c r="AK353" i="4"/>
  <c r="AK29" i="4"/>
  <c r="AL71" i="4"/>
  <c r="AK33" i="4"/>
  <c r="AL28" i="4"/>
  <c r="AM327" i="4"/>
  <c r="AK59" i="6"/>
  <c r="AL213" i="4"/>
  <c r="AM71" i="4"/>
  <c r="AL220" i="4"/>
  <c r="AL25" i="9"/>
  <c r="AL214" i="4"/>
  <c r="AL216" i="4"/>
  <c r="AL353" i="4"/>
  <c r="AL29" i="4"/>
  <c r="AL210" i="4"/>
  <c r="AN327" i="4"/>
  <c r="AL30" i="4"/>
  <c r="AL31" i="4"/>
  <c r="AN71" i="4"/>
  <c r="AL59" i="6"/>
  <c r="AM213" i="4"/>
  <c r="AL33" i="4"/>
  <c r="AM28" i="4"/>
  <c r="AM214" i="4"/>
  <c r="AM210" i="4"/>
  <c r="AM220" i="4"/>
  <c r="AM25" i="9"/>
  <c r="AO327" i="4"/>
  <c r="AM31" i="4"/>
  <c r="AM30" i="4"/>
  <c r="AM353" i="4"/>
  <c r="AM29" i="4"/>
  <c r="AO71" i="4"/>
  <c r="AM216" i="4"/>
  <c r="AM33" i="4"/>
  <c r="AN28" i="4"/>
  <c r="AN213" i="4"/>
  <c r="AM59" i="6"/>
  <c r="AP327" i="4"/>
  <c r="AN220" i="4"/>
  <c r="AN25" i="9"/>
  <c r="AN214" i="4"/>
  <c r="AN210" i="4"/>
  <c r="AP71" i="4"/>
  <c r="AN31" i="4"/>
  <c r="AN30" i="4"/>
  <c r="AQ327" i="4"/>
  <c r="AN215" i="4"/>
  <c r="AN216" i="4"/>
  <c r="AN29" i="4"/>
  <c r="AN353" i="4"/>
  <c r="AO213" i="4"/>
  <c r="AN59" i="6"/>
  <c r="AQ71" i="4"/>
  <c r="AN32" i="4"/>
  <c r="AN184" i="4"/>
  <c r="AN50" i="4"/>
  <c r="AN358" i="4"/>
  <c r="AR327" i="4"/>
  <c r="AN33" i="4"/>
  <c r="AO28" i="4"/>
  <c r="AO214" i="4"/>
  <c r="AO210" i="4"/>
  <c r="AO30" i="4"/>
  <c r="AO31" i="4"/>
  <c r="AO216" i="4"/>
  <c r="AO29" i="4"/>
  <c r="AO353" i="4"/>
  <c r="AR71" i="4"/>
  <c r="AO33" i="4"/>
  <c r="AP28" i="4"/>
  <c r="AS327" i="4"/>
  <c r="AP213" i="4"/>
  <c r="AO59" i="6"/>
  <c r="AP214" i="4"/>
  <c r="AP216" i="4"/>
  <c r="AP220" i="4"/>
  <c r="AP25" i="9"/>
  <c r="AS71" i="4"/>
  <c r="AP59" i="6"/>
  <c r="AQ213" i="4"/>
  <c r="AT327" i="4"/>
  <c r="AP210" i="4"/>
  <c r="AP29" i="4"/>
  <c r="AP353" i="4"/>
  <c r="AQ220" i="4"/>
  <c r="AQ25" i="9"/>
  <c r="AQ214" i="4"/>
  <c r="AQ216" i="4"/>
  <c r="AT71" i="4"/>
  <c r="AP30" i="4"/>
  <c r="AP31" i="4"/>
  <c r="AP33" i="4"/>
  <c r="AQ28" i="4"/>
  <c r="AR213" i="4"/>
  <c r="AQ59" i="6"/>
  <c r="AQ29" i="4"/>
  <c r="AQ353" i="4"/>
  <c r="AU327" i="4"/>
  <c r="AQ210" i="4"/>
  <c r="AQ30" i="4"/>
  <c r="AQ31" i="4"/>
  <c r="AU71" i="4"/>
  <c r="AR214" i="4"/>
  <c r="AR210" i="4"/>
  <c r="AR220" i="4"/>
  <c r="AR25" i="9"/>
  <c r="AV327" i="4"/>
  <c r="AR31" i="4"/>
  <c r="AR30" i="4"/>
  <c r="AR216" i="4"/>
  <c r="AR353" i="4"/>
  <c r="AR29" i="4"/>
  <c r="AQ33" i="4"/>
  <c r="AR28" i="4"/>
  <c r="AR33" i="4"/>
  <c r="AS28" i="4"/>
  <c r="AV71" i="4"/>
  <c r="AS213" i="4"/>
  <c r="AR59" i="6"/>
  <c r="AW327" i="4"/>
  <c r="AS220" i="4"/>
  <c r="AS25" i="9"/>
  <c r="AS214" i="4"/>
  <c r="AS29" i="4"/>
  <c r="AS353" i="4"/>
  <c r="AW71" i="4"/>
  <c r="AS216" i="4"/>
  <c r="AS210" i="4"/>
  <c r="AX327" i="4"/>
  <c r="AS30" i="4"/>
  <c r="AS31" i="4"/>
  <c r="AT213" i="4"/>
  <c r="AS59" i="6"/>
  <c r="AS33" i="4"/>
  <c r="AT28" i="4"/>
  <c r="AT214" i="4"/>
  <c r="AT210" i="4"/>
  <c r="AT220" i="4"/>
  <c r="AT25" i="9"/>
  <c r="AX71" i="4"/>
  <c r="AT30" i="4"/>
  <c r="AT31" i="4"/>
  <c r="AT216" i="4"/>
  <c r="AT353" i="4"/>
  <c r="AT29" i="4"/>
  <c r="AY327" i="4"/>
  <c r="AT59" i="6"/>
  <c r="AU213" i="4"/>
  <c r="AY71" i="4"/>
  <c r="AT33" i="4"/>
  <c r="AU28" i="4"/>
  <c r="AZ327" i="4"/>
  <c r="AU214" i="4"/>
  <c r="AU220" i="4"/>
  <c r="AU25" i="9"/>
  <c r="AU216" i="4"/>
  <c r="AU353" i="4"/>
  <c r="AU29" i="4"/>
  <c r="AU210" i="4"/>
  <c r="AZ71" i="4"/>
  <c r="AU31" i="4"/>
  <c r="AU30" i="4"/>
  <c r="BA327" i="4"/>
  <c r="AV213" i="4"/>
  <c r="AU59" i="6"/>
  <c r="AU33" i="4"/>
  <c r="AV28" i="4"/>
  <c r="BA71" i="4"/>
  <c r="AV214" i="4"/>
  <c r="AV220" i="4"/>
  <c r="AV25" i="9"/>
  <c r="AV216" i="4"/>
  <c r="AV29" i="4"/>
  <c r="AV353" i="4"/>
  <c r="AV210" i="4"/>
  <c r="BB327" i="4"/>
  <c r="BB71" i="4"/>
  <c r="AV30" i="4"/>
  <c r="AV31" i="4"/>
  <c r="AW213" i="4"/>
  <c r="AV59" i="6"/>
  <c r="AV33" i="4"/>
  <c r="AW28" i="4"/>
  <c r="AW220" i="4"/>
  <c r="AW25" i="9"/>
  <c r="AW214" i="4"/>
  <c r="AW216" i="4"/>
  <c r="BC327" i="4"/>
  <c r="AW59" i="6"/>
  <c r="AX213" i="4"/>
  <c r="AW210" i="4"/>
  <c r="AW29" i="4"/>
  <c r="AW353" i="4"/>
  <c r="BC71" i="4"/>
  <c r="BE288" i="4"/>
  <c r="BE290" i="4"/>
  <c r="BE29" i="5"/>
  <c r="BD327" i="4"/>
  <c r="AX220" i="4"/>
  <c r="AX25" i="9"/>
  <c r="AX214" i="4"/>
  <c r="AX215" i="4"/>
  <c r="AW30" i="4"/>
  <c r="AW31" i="4"/>
  <c r="AR111" i="1"/>
  <c r="BE292" i="4"/>
  <c r="BF288" i="4"/>
  <c r="AW33" i="4"/>
  <c r="AX28" i="4"/>
  <c r="AX216" i="4"/>
  <c r="AY213" i="4"/>
  <c r="AX32" i="4"/>
  <c r="AX184" i="4"/>
  <c r="N215" i="4"/>
  <c r="BD71" i="4"/>
  <c r="AX210" i="4"/>
  <c r="AX353" i="4"/>
  <c r="AX29" i="4"/>
  <c r="BF290" i="4"/>
  <c r="BE95" i="6"/>
  <c r="AS143" i="1"/>
  <c r="BE35" i="5"/>
  <c r="BL46" i="8"/>
  <c r="BE41" i="6"/>
  <c r="AX59" i="6"/>
  <c r="AX50" i="4"/>
  <c r="N50" i="4"/>
  <c r="N184" i="4"/>
  <c r="BE327" i="4"/>
  <c r="N32" i="4"/>
  <c r="AY214" i="4"/>
  <c r="AY216" i="4"/>
  <c r="AX30" i="4"/>
  <c r="AX31" i="4"/>
  <c r="BF292" i="4"/>
  <c r="BG288" i="4"/>
  <c r="BG290" i="4"/>
  <c r="BF29" i="5"/>
  <c r="F53" i="1"/>
  <c r="AR112" i="1"/>
  <c r="G53" i="1"/>
  <c r="AX33" i="4"/>
  <c r="AY28" i="4"/>
  <c r="AY59" i="6"/>
  <c r="AZ213" i="4"/>
  <c r="BE71" i="4"/>
  <c r="AY210" i="4"/>
  <c r="AY353" i="4"/>
  <c r="AY29" i="4"/>
  <c r="BF41" i="6"/>
  <c r="AS111" i="1"/>
  <c r="BG292" i="4"/>
  <c r="BH288" i="4"/>
  <c r="BH290" i="4"/>
  <c r="BG29" i="5"/>
  <c r="BF35" i="5"/>
  <c r="BM46" i="8"/>
  <c r="BF95" i="6"/>
  <c r="AT143" i="1"/>
  <c r="BF327" i="4"/>
  <c r="AZ220" i="4"/>
  <c r="AZ25" i="9"/>
  <c r="AZ214" i="4"/>
  <c r="AZ216" i="4"/>
  <c r="AY31" i="4"/>
  <c r="AY30" i="4"/>
  <c r="AT111" i="1"/>
  <c r="BH292" i="4"/>
  <c r="BI288" i="4"/>
  <c r="BI290" i="4"/>
  <c r="BH29" i="5"/>
  <c r="F54" i="1"/>
  <c r="AS112" i="1"/>
  <c r="G54" i="1"/>
  <c r="AY33" i="4"/>
  <c r="AZ28" i="4"/>
  <c r="BA213" i="4"/>
  <c r="AZ59" i="6"/>
  <c r="AZ210" i="4"/>
  <c r="BF71" i="4"/>
  <c r="AZ353" i="4"/>
  <c r="AZ29" i="4"/>
  <c r="AU111" i="1"/>
  <c r="BI292" i="4"/>
  <c r="BJ288" i="4"/>
  <c r="BJ290" i="4"/>
  <c r="BI29" i="5"/>
  <c r="BG35" i="5"/>
  <c r="BN46" i="8"/>
  <c r="AU143" i="1"/>
  <c r="BG95" i="6"/>
  <c r="BG41" i="6"/>
  <c r="AZ31" i="4"/>
  <c r="AZ30" i="4"/>
  <c r="BA220" i="4"/>
  <c r="BA25" i="9"/>
  <c r="BA214" i="4"/>
  <c r="BA210" i="4"/>
  <c r="BG327" i="4"/>
  <c r="AV111" i="1"/>
  <c r="BJ292" i="4"/>
  <c r="BJ29" i="5"/>
  <c r="F55" i="1"/>
  <c r="AT112" i="1"/>
  <c r="G55" i="1"/>
  <c r="AZ33" i="4"/>
  <c r="BA28" i="4"/>
  <c r="BA216" i="4"/>
  <c r="BB213" i="4"/>
  <c r="BA31" i="4"/>
  <c r="BA30" i="4"/>
  <c r="BG71" i="4"/>
  <c r="BA29" i="4"/>
  <c r="BA353" i="4"/>
  <c r="AW111" i="1"/>
  <c r="AV143" i="1"/>
  <c r="BH95" i="6"/>
  <c r="BH35" i="5"/>
  <c r="BO46" i="8"/>
  <c r="BH41" i="6"/>
  <c r="BA59" i="6"/>
  <c r="BA33" i="4"/>
  <c r="BB28" i="4"/>
  <c r="BB214" i="4"/>
  <c r="BB216" i="4"/>
  <c r="BB220" i="4"/>
  <c r="BB25" i="9"/>
  <c r="BH327" i="4"/>
  <c r="F56" i="1"/>
  <c r="AU112" i="1"/>
  <c r="G56" i="1"/>
  <c r="BI41" i="6"/>
  <c r="BB59" i="6"/>
  <c r="BC213" i="4"/>
  <c r="BB210" i="4"/>
  <c r="BB29" i="4"/>
  <c r="BB353" i="4"/>
  <c r="BH71" i="4"/>
  <c r="AW143" i="1"/>
  <c r="BI35" i="5"/>
  <c r="BP46" i="8"/>
  <c r="BI95" i="6"/>
  <c r="BI327" i="4"/>
  <c r="BC214" i="4"/>
  <c r="BC210" i="4"/>
  <c r="BC220" i="4"/>
  <c r="BC25" i="9"/>
  <c r="BB31" i="4"/>
  <c r="BB30" i="4"/>
  <c r="F57" i="1"/>
  <c r="AV112" i="1"/>
  <c r="G57" i="1"/>
  <c r="BB33" i="4"/>
  <c r="BC28" i="4"/>
  <c r="BC30" i="4"/>
  <c r="BC31" i="4"/>
  <c r="BI71" i="4"/>
  <c r="BC216" i="4"/>
  <c r="BC29" i="4"/>
  <c r="BC353" i="4"/>
  <c r="BC33" i="4"/>
  <c r="BD28" i="4"/>
  <c r="BD213" i="4"/>
  <c r="BC59" i="6"/>
  <c r="BJ327" i="4"/>
  <c r="BJ71" i="4"/>
  <c r="N290" i="4"/>
  <c r="BD220" i="4"/>
  <c r="BD25" i="9"/>
  <c r="BD214" i="4"/>
  <c r="BD210" i="4"/>
  <c r="N293" i="4"/>
  <c r="L184" i="2"/>
  <c r="BD31" i="4"/>
  <c r="BD30" i="4"/>
  <c r="BJ95" i="6"/>
  <c r="N95" i="6"/>
  <c r="AX143" i="1"/>
  <c r="BJ35" i="5"/>
  <c r="N29" i="5"/>
  <c r="BJ41" i="6"/>
  <c r="BD216" i="4"/>
  <c r="BD353" i="4"/>
  <c r="BD29" i="4"/>
  <c r="BD33" i="4"/>
  <c r="BE28" i="4"/>
  <c r="F58" i="1"/>
  <c r="F59" i="1"/>
  <c r="AW112" i="1"/>
  <c r="G58" i="1"/>
  <c r="G59" i="1"/>
  <c r="BD59" i="6"/>
  <c r="BE213" i="4"/>
  <c r="BQ46" i="8"/>
  <c r="N35" i="5"/>
  <c r="BE214" i="4"/>
  <c r="BE216" i="4"/>
  <c r="BE220" i="4"/>
  <c r="BE25" i="9"/>
  <c r="BF213" i="4"/>
  <c r="BE59" i="6"/>
  <c r="BE210" i="4"/>
  <c r="BE353" i="4"/>
  <c r="BE29" i="4"/>
  <c r="BE30" i="4"/>
  <c r="BE31" i="4"/>
  <c r="BF214" i="4"/>
  <c r="BF216" i="4"/>
  <c r="BF220" i="4"/>
  <c r="BF25" i="9"/>
  <c r="BE33" i="4"/>
  <c r="BF28" i="4"/>
  <c r="BG213" i="4"/>
  <c r="BF59" i="6"/>
  <c r="BF353" i="4"/>
  <c r="BF29" i="4"/>
  <c r="BF210" i="4"/>
  <c r="BF30" i="4"/>
  <c r="BF31" i="4"/>
  <c r="BG220" i="4"/>
  <c r="BG25" i="9"/>
  <c r="BG214" i="4"/>
  <c r="BG210" i="4"/>
  <c r="BG216" i="4"/>
  <c r="BH213" i="4"/>
  <c r="BF33" i="4"/>
  <c r="BG28" i="4"/>
  <c r="BG31" i="4"/>
  <c r="BG30" i="4"/>
  <c r="BG29" i="4"/>
  <c r="BG353" i="4"/>
  <c r="BG59" i="6"/>
  <c r="BG33" i="4"/>
  <c r="BH28" i="4"/>
  <c r="BH220" i="4"/>
  <c r="BH25" i="9"/>
  <c r="BH214" i="4"/>
  <c r="BH216" i="4"/>
  <c r="BH353" i="4"/>
  <c r="BH29" i="4"/>
  <c r="BH210" i="4"/>
  <c r="BH31" i="4"/>
  <c r="BH30" i="4"/>
  <c r="BI213" i="4"/>
  <c r="BH59" i="6"/>
  <c r="BH33" i="4"/>
  <c r="BI28" i="4"/>
  <c r="BI220" i="4"/>
  <c r="BI25" i="9"/>
  <c r="BI214" i="4"/>
  <c r="BI210" i="4"/>
  <c r="BI29" i="4"/>
  <c r="BI353" i="4"/>
  <c r="BI216" i="4"/>
  <c r="BI59" i="6"/>
  <c r="BJ213" i="4"/>
  <c r="BI30" i="4"/>
  <c r="BI31" i="4"/>
  <c r="BI33" i="4"/>
  <c r="BJ28" i="4"/>
  <c r="BJ220" i="4"/>
  <c r="BJ214" i="4"/>
  <c r="BJ210" i="4"/>
  <c r="BJ30" i="4"/>
  <c r="N30" i="4"/>
  <c r="BJ31" i="4"/>
  <c r="N31" i="4"/>
  <c r="BJ25" i="9"/>
  <c r="N25" i="9"/>
  <c r="M25" i="9"/>
  <c r="M33" i="9"/>
  <c r="N220" i="4"/>
  <c r="BJ353" i="4"/>
  <c r="N353" i="4"/>
  <c r="BJ29" i="4"/>
  <c r="N214" i="4"/>
  <c r="BJ216" i="4"/>
  <c r="BJ59" i="6"/>
  <c r="N29" i="4"/>
  <c r="N34" i="4"/>
  <c r="BJ33" i="4"/>
  <c r="N128" i="4"/>
  <c r="R37" i="4"/>
  <c r="N37" i="4"/>
  <c r="R119" i="4"/>
  <c r="R118" i="4"/>
  <c r="R38" i="4"/>
  <c r="R132" i="4"/>
  <c r="R134" i="4"/>
  <c r="R42" i="4"/>
  <c r="R39" i="4"/>
  <c r="R135" i="4"/>
  <c r="R43" i="4"/>
  <c r="R40" i="4"/>
  <c r="R120" i="4"/>
  <c r="R262" i="4"/>
  <c r="R185" i="4"/>
  <c r="R137" i="4"/>
  <c r="R52" i="4"/>
  <c r="R44" i="4"/>
  <c r="R139" i="4"/>
  <c r="R140" i="4"/>
  <c r="R45" i="4"/>
  <c r="R141" i="4"/>
  <c r="R41" i="4"/>
  <c r="R186" i="4"/>
  <c r="L217" i="2"/>
  <c r="R143" i="4"/>
  <c r="R158" i="4"/>
  <c r="S127" i="4"/>
  <c r="R53" i="4"/>
  <c r="R187" i="4"/>
  <c r="R193" i="4"/>
  <c r="R46" i="4"/>
  <c r="R26" i="9"/>
  <c r="R188" i="4"/>
  <c r="R54" i="4"/>
  <c r="S130" i="4"/>
  <c r="S131" i="4"/>
  <c r="R159" i="4"/>
  <c r="S36" i="4"/>
  <c r="R61" i="6"/>
  <c r="R58" i="6"/>
  <c r="R64" i="6"/>
  <c r="L214" i="2"/>
  <c r="L220" i="2"/>
  <c r="R190" i="4"/>
  <c r="S182" i="4"/>
  <c r="R55" i="4"/>
  <c r="R23" i="9"/>
  <c r="L202" i="2"/>
  <c r="L205" i="2"/>
  <c r="L221" i="2"/>
  <c r="R60" i="7"/>
  <c r="R47" i="6"/>
  <c r="R46" i="6"/>
  <c r="R49" i="6"/>
  <c r="R66" i="6"/>
  <c r="S118" i="4"/>
  <c r="S119" i="4"/>
  <c r="S132" i="4"/>
  <c r="S26" i="6"/>
  <c r="S38" i="4"/>
  <c r="S56" i="7"/>
  <c r="S120" i="4"/>
  <c r="S40" i="4"/>
  <c r="R261" i="4"/>
  <c r="R57" i="4"/>
  <c r="Z52" i="8"/>
  <c r="S39" i="4"/>
  <c r="S362" i="4"/>
  <c r="E119" i="1"/>
  <c r="S134" i="4"/>
  <c r="S135" i="4"/>
  <c r="S42" i="4"/>
  <c r="S49" i="4"/>
  <c r="E120" i="1"/>
  <c r="S262" i="4"/>
  <c r="S185" i="4"/>
  <c r="S43" i="4"/>
  <c r="Y58" i="8"/>
  <c r="Y60" i="8"/>
  <c r="S137" i="4"/>
  <c r="S52" i="4"/>
  <c r="S44" i="4"/>
  <c r="S139" i="4"/>
  <c r="S41" i="4"/>
  <c r="S140" i="4"/>
  <c r="S363" i="4"/>
  <c r="S364" i="4"/>
  <c r="S45" i="4"/>
  <c r="S46" i="4"/>
  <c r="S141" i="4"/>
  <c r="S186" i="4"/>
  <c r="T127" i="4"/>
  <c r="S61" i="6"/>
  <c r="S143" i="4"/>
  <c r="S158" i="4"/>
  <c r="T36" i="4"/>
  <c r="S40" i="5"/>
  <c r="S53" i="4"/>
  <c r="S187" i="4"/>
  <c r="S193" i="4"/>
  <c r="S24" i="6"/>
  <c r="S54" i="4"/>
  <c r="S188" i="4"/>
  <c r="S89" i="6"/>
  <c r="G149" i="1"/>
  <c r="S159" i="4"/>
  <c r="S26" i="9"/>
  <c r="S37" i="5"/>
  <c r="T130" i="4"/>
  <c r="T131" i="4"/>
  <c r="S55" i="4"/>
  <c r="S190" i="4"/>
  <c r="S23" i="9"/>
  <c r="T38" i="4"/>
  <c r="T26" i="6"/>
  <c r="T118" i="4"/>
  <c r="T119" i="4"/>
  <c r="S76" i="6"/>
  <c r="G146" i="1"/>
  <c r="G162" i="1"/>
  <c r="F116" i="1"/>
  <c r="K15" i="1"/>
  <c r="S67" i="7"/>
  <c r="S72" i="7"/>
  <c r="S73" i="7"/>
  <c r="Z43" i="8"/>
  <c r="S68" i="7"/>
  <c r="S74" i="7"/>
  <c r="T120" i="4"/>
  <c r="T40" i="4"/>
  <c r="T182" i="4"/>
  <c r="S62" i="6"/>
  <c r="S58" i="6"/>
  <c r="T39" i="4"/>
  <c r="T362" i="4"/>
  <c r="F119" i="1"/>
  <c r="N15" i="1"/>
  <c r="S357" i="4"/>
  <c r="S39" i="5"/>
  <c r="S261" i="4"/>
  <c r="S57" i="4"/>
  <c r="T134" i="4"/>
  <c r="R263" i="4"/>
  <c r="S359" i="4"/>
  <c r="G148" i="1"/>
  <c r="G161" i="1"/>
  <c r="F115" i="1"/>
  <c r="S90" i="6"/>
  <c r="S41" i="5"/>
  <c r="S76" i="7"/>
  <c r="T71" i="7"/>
  <c r="T49" i="4"/>
  <c r="F120" i="1"/>
  <c r="O15" i="1"/>
  <c r="T135" i="4"/>
  <c r="T185" i="4"/>
  <c r="T42" i="4"/>
  <c r="T52" i="4"/>
  <c r="T137" i="4"/>
  <c r="T139" i="4"/>
  <c r="Z58" i="8"/>
  <c r="S45" i="5"/>
  <c r="J15" i="1"/>
  <c r="F117" i="1"/>
  <c r="T262" i="4"/>
  <c r="T43" i="4"/>
  <c r="L15" i="1"/>
  <c r="T140" i="4"/>
  <c r="T186" i="4"/>
  <c r="T41" i="4"/>
  <c r="T44" i="4"/>
  <c r="S269" i="4"/>
  <c r="S303" i="4"/>
  <c r="T45" i="4"/>
  <c r="T53" i="4"/>
  <c r="T187" i="4"/>
  <c r="T193" i="4"/>
  <c r="T363" i="4"/>
  <c r="T141" i="4"/>
  <c r="T61" i="6"/>
  <c r="U127" i="4"/>
  <c r="T143" i="4"/>
  <c r="T123" i="4"/>
  <c r="T24" i="6"/>
  <c r="T188" i="4"/>
  <c r="T190" i="4"/>
  <c r="T54" i="4"/>
  <c r="T40" i="5"/>
  <c r="T46" i="4"/>
  <c r="T26" i="9"/>
  <c r="T37" i="5"/>
  <c r="U36" i="4"/>
  <c r="T76" i="6"/>
  <c r="H146" i="1"/>
  <c r="G116" i="1"/>
  <c r="K16" i="1"/>
  <c r="H149" i="1"/>
  <c r="T89" i="6"/>
  <c r="T55" i="4"/>
  <c r="U130" i="4"/>
  <c r="U131" i="4"/>
  <c r="T361" i="4"/>
  <c r="T62" i="4"/>
  <c r="U182" i="4"/>
  <c r="T62" i="6"/>
  <c r="T58" i="6"/>
  <c r="G119" i="1"/>
  <c r="N16" i="1"/>
  <c r="T357" i="4"/>
  <c r="T261" i="4"/>
  <c r="T39" i="5"/>
  <c r="T57" i="4"/>
  <c r="T27" i="6"/>
  <c r="T38" i="5"/>
  <c r="U26" i="6"/>
  <c r="U38" i="4"/>
  <c r="U119" i="4"/>
  <c r="U132" i="4"/>
  <c r="U118" i="4"/>
  <c r="T364" i="4"/>
  <c r="H162" i="1"/>
  <c r="U120" i="4"/>
  <c r="U40" i="4"/>
  <c r="T91" i="6"/>
  <c r="H147" i="1"/>
  <c r="G115" i="1"/>
  <c r="T41" i="5"/>
  <c r="U49" i="4"/>
  <c r="G120" i="1"/>
  <c r="O16" i="1"/>
  <c r="T359" i="4"/>
  <c r="T67" i="7"/>
  <c r="T72" i="7"/>
  <c r="AA52" i="8"/>
  <c r="AA43" i="8"/>
  <c r="H148" i="1"/>
  <c r="T90" i="6"/>
  <c r="U39" i="4"/>
  <c r="U362" i="4"/>
  <c r="S263" i="4"/>
  <c r="U134" i="4"/>
  <c r="H161" i="1"/>
  <c r="G117" i="1"/>
  <c r="J16" i="1"/>
  <c r="AA58" i="8"/>
  <c r="U135" i="4"/>
  <c r="U185" i="4"/>
  <c r="U42" i="4"/>
  <c r="T73" i="7"/>
  <c r="U137" i="4"/>
  <c r="U52" i="4"/>
  <c r="T68" i="7"/>
  <c r="T74" i="7"/>
  <c r="U262" i="4"/>
  <c r="U43" i="4"/>
  <c r="L16" i="1"/>
  <c r="T76" i="7"/>
  <c r="U71" i="7"/>
  <c r="U139" i="4"/>
  <c r="U44" i="4"/>
  <c r="U41" i="4"/>
  <c r="U140" i="4"/>
  <c r="U186" i="4"/>
  <c r="U363" i="4"/>
  <c r="U53" i="4"/>
  <c r="U193" i="4"/>
  <c r="U187" i="4"/>
  <c r="U45" i="4"/>
  <c r="U141" i="4"/>
  <c r="U46" i="4"/>
  <c r="U40" i="5"/>
  <c r="V127" i="4"/>
  <c r="U61" i="6"/>
  <c r="U143" i="4"/>
  <c r="U123" i="4"/>
  <c r="U26" i="9"/>
  <c r="U24" i="6"/>
  <c r="U188" i="4"/>
  <c r="U54" i="4"/>
  <c r="U37" i="5"/>
  <c r="I146" i="1"/>
  <c r="U76" i="6"/>
  <c r="H116" i="1"/>
  <c r="K17" i="1"/>
  <c r="U55" i="4"/>
  <c r="H119" i="1"/>
  <c r="N17" i="1"/>
  <c r="U361" i="4"/>
  <c r="U62" i="4"/>
  <c r="I149" i="1"/>
  <c r="U89" i="6"/>
  <c r="V130" i="4"/>
  <c r="V131" i="4"/>
  <c r="V36" i="4"/>
  <c r="U190" i="4"/>
  <c r="U357" i="4"/>
  <c r="U39" i="5"/>
  <c r="U261" i="4"/>
  <c r="U57" i="4"/>
  <c r="U195" i="4"/>
  <c r="U62" i="6"/>
  <c r="U58" i="6"/>
  <c r="V182" i="4"/>
  <c r="U27" i="6"/>
  <c r="U38" i="5"/>
  <c r="I162" i="1"/>
  <c r="V119" i="4"/>
  <c r="V118" i="4"/>
  <c r="V132" i="4"/>
  <c r="V38" i="4"/>
  <c r="V26" i="6"/>
  <c r="U364" i="4"/>
  <c r="V39" i="4"/>
  <c r="V120" i="4"/>
  <c r="V362" i="4"/>
  <c r="U67" i="7"/>
  <c r="U72" i="7"/>
  <c r="AB52" i="8"/>
  <c r="AB43" i="8"/>
  <c r="V49" i="4"/>
  <c r="H120" i="1"/>
  <c r="O17" i="1"/>
  <c r="U359" i="4"/>
  <c r="T263" i="4"/>
  <c r="I147" i="1"/>
  <c r="U91" i="6"/>
  <c r="H115" i="1"/>
  <c r="U41" i="5"/>
  <c r="V40" i="4"/>
  <c r="U90" i="6"/>
  <c r="I148" i="1"/>
  <c r="V134" i="4"/>
  <c r="U45" i="5"/>
  <c r="V42" i="4"/>
  <c r="AB58" i="8"/>
  <c r="U73" i="7"/>
  <c r="H117" i="1"/>
  <c r="J17" i="1"/>
  <c r="I161" i="1"/>
  <c r="V135" i="4"/>
  <c r="U68" i="7"/>
  <c r="U74" i="7"/>
  <c r="V262" i="4"/>
  <c r="U303" i="4"/>
  <c r="U269" i="4"/>
  <c r="V185" i="4"/>
  <c r="V43" i="4"/>
  <c r="L17" i="1"/>
  <c r="V137" i="4"/>
  <c r="V52" i="4"/>
  <c r="U76" i="7"/>
  <c r="V71" i="7"/>
  <c r="V44" i="4"/>
  <c r="V139" i="4"/>
  <c r="V140" i="4"/>
  <c r="V186" i="4"/>
  <c r="V41" i="4"/>
  <c r="V363" i="4"/>
  <c r="V53" i="4"/>
  <c r="V187" i="4"/>
  <c r="V193" i="4"/>
  <c r="V45" i="4"/>
  <c r="V40" i="5"/>
  <c r="V141" i="4"/>
  <c r="V89" i="6"/>
  <c r="J149" i="1"/>
  <c r="V24" i="6"/>
  <c r="V188" i="4"/>
  <c r="V54" i="4"/>
  <c r="V46" i="4"/>
  <c r="W127" i="4"/>
  <c r="V61" i="6"/>
  <c r="V143" i="4"/>
  <c r="V123" i="4"/>
  <c r="V26" i="9"/>
  <c r="V37" i="5"/>
  <c r="V62" i="4"/>
  <c r="V361" i="4"/>
  <c r="W36" i="4"/>
  <c r="J146" i="1"/>
  <c r="J162" i="1"/>
  <c r="I116" i="1"/>
  <c r="K18" i="1"/>
  <c r="V76" i="6"/>
  <c r="W130" i="4"/>
  <c r="W131" i="4"/>
  <c r="V55" i="4"/>
  <c r="V190" i="4"/>
  <c r="V357" i="4"/>
  <c r="V261" i="4"/>
  <c r="U263" i="4"/>
  <c r="V39" i="5"/>
  <c r="V57" i="4"/>
  <c r="I119" i="1"/>
  <c r="N18" i="1"/>
  <c r="W118" i="4"/>
  <c r="W38" i="4"/>
  <c r="W132" i="4"/>
  <c r="W26" i="6"/>
  <c r="W119" i="4"/>
  <c r="W182" i="4"/>
  <c r="V62" i="6"/>
  <c r="V58" i="6"/>
  <c r="V195" i="4"/>
  <c r="V364" i="4"/>
  <c r="V38" i="5"/>
  <c r="V27" i="6"/>
  <c r="V91" i="6"/>
  <c r="J147" i="1"/>
  <c r="V41" i="5"/>
  <c r="W39" i="4"/>
  <c r="W362" i="4"/>
  <c r="W49" i="4"/>
  <c r="AC58" i="8"/>
  <c r="I120" i="1"/>
  <c r="O18" i="1"/>
  <c r="V359" i="4"/>
  <c r="AC43" i="8"/>
  <c r="AC52" i="8"/>
  <c r="V67" i="7"/>
  <c r="V72" i="7"/>
  <c r="V73" i="7"/>
  <c r="W120" i="4"/>
  <c r="W40" i="4"/>
  <c r="I115" i="1"/>
  <c r="V90" i="6"/>
  <c r="J148" i="1"/>
  <c r="W134" i="4"/>
  <c r="W42" i="4"/>
  <c r="J18" i="1"/>
  <c r="I117" i="1"/>
  <c r="V68" i="7"/>
  <c r="V74" i="7"/>
  <c r="V45" i="5"/>
  <c r="J161" i="1"/>
  <c r="W135" i="4"/>
  <c r="W43" i="4"/>
  <c r="W185" i="4"/>
  <c r="V76" i="7"/>
  <c r="W71" i="7"/>
  <c r="V269" i="4"/>
  <c r="V303" i="4"/>
  <c r="W262" i="4"/>
  <c r="L18" i="1"/>
  <c r="W137" i="4"/>
  <c r="W52" i="4"/>
  <c r="W44" i="4"/>
  <c r="W139" i="4"/>
  <c r="W140" i="4"/>
  <c r="W186" i="4"/>
  <c r="W41" i="4"/>
  <c r="W53" i="4"/>
  <c r="W37" i="5"/>
  <c r="W187" i="4"/>
  <c r="W193" i="4"/>
  <c r="W26" i="9"/>
  <c r="W363" i="4"/>
  <c r="W45" i="4"/>
  <c r="W40" i="5"/>
  <c r="W141" i="4"/>
  <c r="W46" i="4"/>
  <c r="X36" i="4"/>
  <c r="W61" i="6"/>
  <c r="X127" i="4"/>
  <c r="W143" i="4"/>
  <c r="W123" i="4"/>
  <c r="W89" i="6"/>
  <c r="K149" i="1"/>
  <c r="W54" i="4"/>
  <c r="W24" i="6"/>
  <c r="W188" i="4"/>
  <c r="W55" i="4"/>
  <c r="W76" i="6"/>
  <c r="J116" i="1"/>
  <c r="K19" i="1"/>
  <c r="K146" i="1"/>
  <c r="J119" i="1"/>
  <c r="N19" i="1"/>
  <c r="K162" i="1"/>
  <c r="W361" i="4"/>
  <c r="W62" i="4"/>
  <c r="W57" i="4"/>
  <c r="W357" i="4"/>
  <c r="W39" i="5"/>
  <c r="W261" i="4"/>
  <c r="V263" i="4"/>
  <c r="X130" i="4"/>
  <c r="X131" i="4"/>
  <c r="W190" i="4"/>
  <c r="K148" i="1"/>
  <c r="W90" i="6"/>
  <c r="W27" i="6"/>
  <c r="W38" i="5"/>
  <c r="W359" i="4"/>
  <c r="W364" i="4"/>
  <c r="X182" i="4"/>
  <c r="W62" i="6"/>
  <c r="W58" i="6"/>
  <c r="W195" i="4"/>
  <c r="X26" i="6"/>
  <c r="X118" i="4"/>
  <c r="X119" i="4"/>
  <c r="X132" i="4"/>
  <c r="X38" i="4"/>
  <c r="X49" i="4"/>
  <c r="J120" i="1"/>
  <c r="O19" i="1"/>
  <c r="AD58" i="8"/>
  <c r="X39" i="4"/>
  <c r="W91" i="6"/>
  <c r="J115" i="1"/>
  <c r="K147" i="1"/>
  <c r="K161" i="1"/>
  <c r="W41" i="5"/>
  <c r="AD43" i="8"/>
  <c r="AD52" i="8"/>
  <c r="W67" i="7"/>
  <c r="W72" i="7"/>
  <c r="X40" i="4"/>
  <c r="X362" i="4"/>
  <c r="J117" i="1"/>
  <c r="J19" i="1"/>
  <c r="X134" i="4"/>
  <c r="W45" i="5"/>
  <c r="X120" i="4"/>
  <c r="W269" i="4"/>
  <c r="W303" i="4"/>
  <c r="L19" i="1"/>
  <c r="X42" i="4"/>
  <c r="X135" i="4"/>
  <c r="X185" i="4"/>
  <c r="X52" i="4"/>
  <c r="X137" i="4"/>
  <c r="X262" i="4"/>
  <c r="X43" i="4"/>
  <c r="X44" i="4"/>
  <c r="X139" i="4"/>
  <c r="X41" i="4"/>
  <c r="X140" i="4"/>
  <c r="X363" i="4"/>
  <c r="X45" i="4"/>
  <c r="X40" i="5"/>
  <c r="X141" i="4"/>
  <c r="X186" i="4"/>
  <c r="X46" i="4"/>
  <c r="Y36" i="4"/>
  <c r="Y127" i="4"/>
  <c r="X61" i="6"/>
  <c r="X143" i="4"/>
  <c r="X123" i="4"/>
  <c r="X89" i="6"/>
  <c r="L149" i="1"/>
  <c r="X53" i="4"/>
  <c r="X193" i="4"/>
  <c r="X26" i="9"/>
  <c r="X187" i="4"/>
  <c r="X62" i="4"/>
  <c r="X361" i="4"/>
  <c r="X37" i="5"/>
  <c r="X188" i="4"/>
  <c r="X55" i="4"/>
  <c r="X24" i="6"/>
  <c r="X54" i="4"/>
  <c r="Y130" i="4"/>
  <c r="Y131" i="4"/>
  <c r="K119" i="1"/>
  <c r="N20" i="1"/>
  <c r="Y118" i="4"/>
  <c r="Y119" i="4"/>
  <c r="Y26" i="6"/>
  <c r="Y132" i="4"/>
  <c r="Y38" i="4"/>
  <c r="X357" i="4"/>
  <c r="X359" i="4"/>
  <c r="X39" i="5"/>
  <c r="X261" i="4"/>
  <c r="W263" i="4"/>
  <c r="X364" i="4"/>
  <c r="X76" i="6"/>
  <c r="L146" i="1"/>
  <c r="L162" i="1"/>
  <c r="K116" i="1"/>
  <c r="K20" i="1"/>
  <c r="X57" i="4"/>
  <c r="X27" i="6"/>
  <c r="AE43" i="8"/>
  <c r="X38" i="5"/>
  <c r="X190" i="4"/>
  <c r="X67" i="7"/>
  <c r="X72" i="7"/>
  <c r="Y39" i="4"/>
  <c r="K115" i="1"/>
  <c r="X91" i="6"/>
  <c r="L147" i="1"/>
  <c r="X41" i="5"/>
  <c r="X45" i="5"/>
  <c r="X90" i="6"/>
  <c r="L148" i="1"/>
  <c r="AE52" i="8"/>
  <c r="Y362" i="4"/>
  <c r="X62" i="6"/>
  <c r="X58" i="6"/>
  <c r="Y182" i="4"/>
  <c r="X195" i="4"/>
  <c r="Y49" i="4"/>
  <c r="K120" i="1"/>
  <c r="O20" i="1"/>
  <c r="Y134" i="4"/>
  <c r="X269" i="4"/>
  <c r="X303" i="4"/>
  <c r="J20" i="1"/>
  <c r="K117" i="1"/>
  <c r="AE58" i="8"/>
  <c r="Y120" i="4"/>
  <c r="Y40" i="4"/>
  <c r="L161" i="1"/>
  <c r="Y42" i="4"/>
  <c r="Y135" i="4"/>
  <c r="Y43" i="4"/>
  <c r="L20" i="1"/>
  <c r="Y185" i="4"/>
  <c r="Y262" i="4"/>
  <c r="Y137" i="4"/>
  <c r="Y52" i="4"/>
  <c r="Y44" i="4"/>
  <c r="Y139" i="4"/>
  <c r="Y140" i="4"/>
  <c r="Y186" i="4"/>
  <c r="Y41" i="4"/>
  <c r="Y53" i="4"/>
  <c r="Y193" i="4"/>
  <c r="Y26" i="9"/>
  <c r="Y187" i="4"/>
  <c r="Y45" i="4"/>
  <c r="Y40" i="5"/>
  <c r="Y141" i="4"/>
  <c r="Y363" i="4"/>
  <c r="Y46" i="4"/>
  <c r="Z36" i="4"/>
  <c r="Y188" i="4"/>
  <c r="Y55" i="4"/>
  <c r="Y54" i="4"/>
  <c r="Y24" i="6"/>
  <c r="Z127" i="4"/>
  <c r="Y61" i="6"/>
  <c r="Y143" i="4"/>
  <c r="Y123" i="4"/>
  <c r="M149" i="1"/>
  <c r="Y89" i="6"/>
  <c r="Y190" i="4"/>
  <c r="Y37" i="5"/>
  <c r="L119" i="1"/>
  <c r="N21" i="1"/>
  <c r="Y57" i="4"/>
  <c r="Z49" i="4"/>
  <c r="AF58" i="8"/>
  <c r="Z130" i="4"/>
  <c r="Z131" i="4"/>
  <c r="Z182" i="4"/>
  <c r="Y62" i="6"/>
  <c r="Y58" i="6"/>
  <c r="Y195" i="4"/>
  <c r="Y62" i="4"/>
  <c r="Y361" i="4"/>
  <c r="Y364" i="4"/>
  <c r="Y76" i="6"/>
  <c r="L116" i="1"/>
  <c r="K21" i="1"/>
  <c r="M146" i="1"/>
  <c r="M162" i="1"/>
  <c r="Y357" i="4"/>
  <c r="Y359" i="4"/>
  <c r="Y261" i="4"/>
  <c r="X263" i="4"/>
  <c r="Y39" i="5"/>
  <c r="L120" i="1"/>
  <c r="O21" i="1"/>
  <c r="Z38" i="4"/>
  <c r="Z132" i="4"/>
  <c r="Z26" i="6"/>
  <c r="Z119" i="4"/>
  <c r="Z118" i="4"/>
  <c r="Y38" i="5"/>
  <c r="Y27" i="6"/>
  <c r="Y90" i="6"/>
  <c r="M148" i="1"/>
  <c r="AF52" i="8"/>
  <c r="Y67" i="7"/>
  <c r="Y72" i="7"/>
  <c r="AF43" i="8"/>
  <c r="Z362" i="4"/>
  <c r="Z40" i="4"/>
  <c r="Y91" i="6"/>
  <c r="M147" i="1"/>
  <c r="M161" i="1"/>
  <c r="L115" i="1"/>
  <c r="Y41" i="5"/>
  <c r="Y45" i="5"/>
  <c r="Z39" i="4"/>
  <c r="Z120" i="4"/>
  <c r="Z134" i="4"/>
  <c r="Z135" i="4"/>
  <c r="Z43" i="4"/>
  <c r="Y269" i="4"/>
  <c r="Y303" i="4"/>
  <c r="J21" i="1"/>
  <c r="L117" i="1"/>
  <c r="Z42" i="4"/>
  <c r="Z185" i="4"/>
  <c r="Z137" i="4"/>
  <c r="Z52" i="4"/>
  <c r="Z262" i="4"/>
  <c r="L21" i="1"/>
  <c r="Z44" i="4"/>
  <c r="Z139" i="4"/>
  <c r="Z41" i="4"/>
  <c r="Z140" i="4"/>
  <c r="Z363" i="4"/>
  <c r="Z45" i="4"/>
  <c r="Z186" i="4"/>
  <c r="Z141" i="4"/>
  <c r="Z61" i="6"/>
  <c r="AA127" i="4"/>
  <c r="Z143" i="4"/>
  <c r="Z123" i="4"/>
  <c r="Z53" i="4"/>
  <c r="Z193" i="4"/>
  <c r="Z26" i="9"/>
  <c r="Z187" i="4"/>
  <c r="Z46" i="4"/>
  <c r="Z40" i="5"/>
  <c r="Z188" i="4"/>
  <c r="Z55" i="4"/>
  <c r="Z54" i="4"/>
  <c r="Z24" i="6"/>
  <c r="Z62" i="4"/>
  <c r="Z361" i="4"/>
  <c r="Z364" i="4"/>
  <c r="N149" i="1"/>
  <c r="Z89" i="6"/>
  <c r="AA36" i="4"/>
  <c r="Z37" i="5"/>
  <c r="AA130" i="4"/>
  <c r="AA131" i="4"/>
  <c r="Z57" i="4"/>
  <c r="AA49" i="4"/>
  <c r="AG58" i="8"/>
  <c r="Z190" i="4"/>
  <c r="AA182" i="4"/>
  <c r="M119" i="1"/>
  <c r="N22" i="1"/>
  <c r="Z76" i="6"/>
  <c r="M116" i="1"/>
  <c r="K22" i="1"/>
  <c r="N146" i="1"/>
  <c r="N162" i="1"/>
  <c r="Z27" i="6"/>
  <c r="AG52" i="8"/>
  <c r="Z38" i="5"/>
  <c r="AA119" i="4"/>
  <c r="AA38" i="4"/>
  <c r="AA132" i="4"/>
  <c r="AA118" i="4"/>
  <c r="AA26" i="6"/>
  <c r="Z357" i="4"/>
  <c r="Z359" i="4"/>
  <c r="Z39" i="5"/>
  <c r="Z261" i="4"/>
  <c r="Y263" i="4"/>
  <c r="M120" i="1"/>
  <c r="O22" i="1"/>
  <c r="AA40" i="4"/>
  <c r="Z62" i="6"/>
  <c r="Z58" i="6"/>
  <c r="Z195" i="4"/>
  <c r="Z67" i="7"/>
  <c r="Z72" i="7"/>
  <c r="Z41" i="5"/>
  <c r="Z45" i="5"/>
  <c r="Z269" i="4"/>
  <c r="Z90" i="6"/>
  <c r="N148" i="1"/>
  <c r="AA39" i="4"/>
  <c r="AA362" i="4"/>
  <c r="AA120" i="4"/>
  <c r="AG43" i="8"/>
  <c r="M115" i="1"/>
  <c r="N147" i="1"/>
  <c r="Z91" i="6"/>
  <c r="AA134" i="4"/>
  <c r="N161" i="1"/>
  <c r="Z303" i="4"/>
  <c r="AA135" i="4"/>
  <c r="AA43" i="4"/>
  <c r="AA42" i="4"/>
  <c r="J22" i="1"/>
  <c r="M117" i="1"/>
  <c r="AA185" i="4"/>
  <c r="AA137" i="4"/>
  <c r="L22" i="1"/>
  <c r="AA262" i="4"/>
  <c r="AA52" i="4"/>
  <c r="AA44" i="4"/>
  <c r="AA139" i="4"/>
  <c r="AA140" i="4"/>
  <c r="AA186" i="4"/>
  <c r="AA41" i="4"/>
  <c r="AA363" i="4"/>
  <c r="AA53" i="4"/>
  <c r="AA187" i="4"/>
  <c r="AA193" i="4"/>
  <c r="AA26" i="9"/>
  <c r="AA45" i="4"/>
  <c r="AA40" i="5"/>
  <c r="AA141" i="4"/>
  <c r="AB127" i="4"/>
  <c r="AA61" i="6"/>
  <c r="AA143" i="4"/>
  <c r="AA123" i="4"/>
  <c r="AA89" i="6"/>
  <c r="O149" i="1"/>
  <c r="AA24" i="6"/>
  <c r="AA54" i="4"/>
  <c r="AA188" i="4"/>
  <c r="AA55" i="4"/>
  <c r="AA46" i="4"/>
  <c r="AA37" i="5"/>
  <c r="AB36" i="4"/>
  <c r="N116" i="1"/>
  <c r="K23" i="1"/>
  <c r="AA76" i="6"/>
  <c r="O146" i="1"/>
  <c r="O162" i="1"/>
  <c r="AA62" i="4"/>
  <c r="AA361" i="4"/>
  <c r="AA364" i="4"/>
  <c r="AA357" i="4"/>
  <c r="AA359" i="4"/>
  <c r="AA261" i="4"/>
  <c r="Z263" i="4"/>
  <c r="AA39" i="5"/>
  <c r="AA57" i="4"/>
  <c r="AB49" i="4"/>
  <c r="N119" i="1"/>
  <c r="N23" i="1"/>
  <c r="AB130" i="4"/>
  <c r="AB131" i="4"/>
  <c r="AA190" i="4"/>
  <c r="AA90" i="6"/>
  <c r="O148" i="1"/>
  <c r="AA38" i="5"/>
  <c r="AA27" i="6"/>
  <c r="N120" i="1"/>
  <c r="O23" i="1"/>
  <c r="AA195" i="4"/>
  <c r="AB182" i="4"/>
  <c r="AA62" i="6"/>
  <c r="AA58" i="6"/>
  <c r="AB119" i="4"/>
  <c r="AB38" i="4"/>
  <c r="AB26" i="6"/>
  <c r="AB118" i="4"/>
  <c r="AH58" i="8"/>
  <c r="AB132" i="4"/>
  <c r="AB40" i="4"/>
  <c r="AH52" i="8"/>
  <c r="AH43" i="8"/>
  <c r="AA67" i="7"/>
  <c r="AA72" i="7"/>
  <c r="AA91" i="6"/>
  <c r="O147" i="1"/>
  <c r="O161" i="1"/>
  <c r="N115" i="1"/>
  <c r="AA41" i="5"/>
  <c r="AA45" i="5"/>
  <c r="AB39" i="4"/>
  <c r="AB362" i="4"/>
  <c r="AB134" i="4"/>
  <c r="AB42" i="4"/>
  <c r="AB262" i="4"/>
  <c r="AB120" i="4"/>
  <c r="AA303" i="4"/>
  <c r="AA269" i="4"/>
  <c r="N117" i="1"/>
  <c r="J23" i="1"/>
  <c r="AB135" i="4"/>
  <c r="AB43" i="4"/>
  <c r="L23" i="1"/>
  <c r="AB185" i="4"/>
  <c r="AB52" i="4"/>
  <c r="AB137" i="4"/>
  <c r="AB44" i="4"/>
  <c r="AB139" i="4"/>
  <c r="AB41" i="4"/>
  <c r="AB140" i="4"/>
  <c r="AB45" i="4"/>
  <c r="AB186" i="4"/>
  <c r="AB53" i="4"/>
  <c r="AB40" i="5"/>
  <c r="P149" i="1"/>
  <c r="AB46" i="4"/>
  <c r="AC36" i="4"/>
  <c r="AB141" i="4"/>
  <c r="AB61" i="6"/>
  <c r="AB363" i="4"/>
  <c r="AB187" i="4"/>
  <c r="AC127" i="4"/>
  <c r="AC130" i="4"/>
  <c r="AC131" i="4"/>
  <c r="AB89" i="6"/>
  <c r="AB193" i="4"/>
  <c r="AB26" i="9"/>
  <c r="AB143" i="4"/>
  <c r="AB123" i="4"/>
  <c r="AB62" i="4"/>
  <c r="AB24" i="6"/>
  <c r="AB54" i="4"/>
  <c r="AB188" i="4"/>
  <c r="AB55" i="4"/>
  <c r="AB37" i="5"/>
  <c r="AB361" i="4"/>
  <c r="AB364" i="4"/>
  <c r="O119" i="1"/>
  <c r="N24" i="1"/>
  <c r="AB190" i="4"/>
  <c r="AC182" i="4"/>
  <c r="AB57" i="4"/>
  <c r="AC49" i="4"/>
  <c r="O116" i="1"/>
  <c r="K24" i="1"/>
  <c r="P146" i="1"/>
  <c r="P162" i="1"/>
  <c r="AB76" i="6"/>
  <c r="AC38" i="4"/>
  <c r="AC118" i="4"/>
  <c r="AC119" i="4"/>
  <c r="AC132" i="4"/>
  <c r="AC26" i="6"/>
  <c r="AB357" i="4"/>
  <c r="AB359" i="4"/>
  <c r="AB261" i="4"/>
  <c r="AA263" i="4"/>
  <c r="AB39" i="5"/>
  <c r="AB38" i="5"/>
  <c r="AB27" i="6"/>
  <c r="AI52" i="8"/>
  <c r="AB62" i="6"/>
  <c r="AB58" i="6"/>
  <c r="AB195" i="4"/>
  <c r="O120" i="1"/>
  <c r="O24" i="1"/>
  <c r="AB41" i="5"/>
  <c r="AB45" i="5"/>
  <c r="AB303" i="4"/>
  <c r="AC39" i="4"/>
  <c r="P147" i="1"/>
  <c r="O115" i="1"/>
  <c r="AB91" i="6"/>
  <c r="AB67" i="7"/>
  <c r="AB72" i="7"/>
  <c r="P148" i="1"/>
  <c r="AB90" i="6"/>
  <c r="AI58" i="8"/>
  <c r="AC40" i="4"/>
  <c r="AI43" i="8"/>
  <c r="AB269" i="4"/>
  <c r="O117" i="1"/>
  <c r="J24" i="1"/>
  <c r="P161" i="1"/>
  <c r="AC120" i="4"/>
  <c r="AC362" i="4"/>
  <c r="AC134" i="4"/>
  <c r="AC135" i="4"/>
  <c r="AC43" i="4"/>
  <c r="AC42" i="4"/>
  <c r="AC262" i="4"/>
  <c r="L24" i="1"/>
  <c r="AC185" i="4"/>
  <c r="AC137" i="4"/>
  <c r="AC52" i="4"/>
  <c r="AC44" i="4"/>
  <c r="AC139" i="4"/>
  <c r="AC41" i="4"/>
  <c r="AC140" i="4"/>
  <c r="AC186" i="4"/>
  <c r="AC53" i="4"/>
  <c r="AC193" i="4"/>
  <c r="AC26" i="9"/>
  <c r="AC187" i="4"/>
  <c r="AC363" i="4"/>
  <c r="AC45" i="4"/>
  <c r="AC40" i="5"/>
  <c r="AC141" i="4"/>
  <c r="Q149" i="1"/>
  <c r="AC89" i="6"/>
  <c r="AC188" i="4"/>
  <c r="AC55" i="4"/>
  <c r="AC54" i="4"/>
  <c r="AC24" i="6"/>
  <c r="AC46" i="4"/>
  <c r="AC61" i="6"/>
  <c r="AD127" i="4"/>
  <c r="AC143" i="4"/>
  <c r="AC123" i="4"/>
  <c r="AC37" i="5"/>
  <c r="AC57" i="4"/>
  <c r="AD49" i="4"/>
  <c r="AC190" i="4"/>
  <c r="AC195" i="4"/>
  <c r="P116" i="1"/>
  <c r="K25" i="1"/>
  <c r="AC76" i="6"/>
  <c r="Q146" i="1"/>
  <c r="Q162" i="1"/>
  <c r="AC361" i="4"/>
  <c r="AC364" i="4"/>
  <c r="AC62" i="4"/>
  <c r="AD36" i="4"/>
  <c r="P119" i="1"/>
  <c r="N25" i="1"/>
  <c r="AC357" i="4"/>
  <c r="AC359" i="4"/>
  <c r="AC39" i="5"/>
  <c r="AC261" i="4"/>
  <c r="AB263" i="4"/>
  <c r="AD130" i="4"/>
  <c r="AD131" i="4"/>
  <c r="P120" i="1"/>
  <c r="O25" i="1"/>
  <c r="AC62" i="6"/>
  <c r="AC58" i="6"/>
  <c r="AD182" i="4"/>
  <c r="AC90" i="6"/>
  <c r="Q148" i="1"/>
  <c r="AJ58" i="8"/>
  <c r="AC27" i="6"/>
  <c r="AC38" i="5"/>
  <c r="AD119" i="4"/>
  <c r="AD38" i="4"/>
  <c r="AD132" i="4"/>
  <c r="AD118" i="4"/>
  <c r="AD26" i="6"/>
  <c r="P115" i="1"/>
  <c r="P117" i="1"/>
  <c r="AD40" i="4"/>
  <c r="AD39" i="4"/>
  <c r="AJ52" i="8"/>
  <c r="AC67" i="7"/>
  <c r="AC72" i="7"/>
  <c r="AJ43" i="8"/>
  <c r="Q147" i="1"/>
  <c r="Q161" i="1"/>
  <c r="AC91" i="6"/>
  <c r="AC41" i="5"/>
  <c r="AC45" i="5"/>
  <c r="J25" i="1"/>
  <c r="AD134" i="4"/>
  <c r="AD135" i="4"/>
  <c r="AD362" i="4"/>
  <c r="AC303" i="4"/>
  <c r="AC269" i="4"/>
  <c r="AD120" i="4"/>
  <c r="L25" i="1"/>
  <c r="AD42" i="4"/>
  <c r="AD262" i="4"/>
  <c r="AD43" i="4"/>
  <c r="AD185" i="4"/>
  <c r="AD52" i="4"/>
  <c r="AD137" i="4"/>
  <c r="AD44" i="4"/>
  <c r="AD139" i="4"/>
  <c r="AD140" i="4"/>
  <c r="AD363" i="4"/>
  <c r="AD41" i="4"/>
  <c r="AD141" i="4"/>
  <c r="AD61" i="6"/>
  <c r="AD45" i="4"/>
  <c r="AD40" i="5"/>
  <c r="AD186" i="4"/>
  <c r="AD53" i="4"/>
  <c r="AD89" i="6"/>
  <c r="AD143" i="4"/>
  <c r="AD123" i="4"/>
  <c r="AD361" i="4"/>
  <c r="AD364" i="4"/>
  <c r="AE127" i="4"/>
  <c r="AE130" i="4"/>
  <c r="AE131" i="4"/>
  <c r="AD46" i="4"/>
  <c r="AE36" i="4"/>
  <c r="AD187" i="4"/>
  <c r="AD188" i="4"/>
  <c r="R149" i="1"/>
  <c r="AD193" i="4"/>
  <c r="AD26" i="9"/>
  <c r="AD37" i="5"/>
  <c r="AD62" i="4"/>
  <c r="AD38" i="5"/>
  <c r="AD54" i="4"/>
  <c r="AD24" i="6"/>
  <c r="AD55" i="4"/>
  <c r="AD190" i="4"/>
  <c r="AE118" i="4"/>
  <c r="AE132" i="4"/>
  <c r="AE119" i="4"/>
  <c r="AE38" i="4"/>
  <c r="AE26" i="6"/>
  <c r="AD76" i="6"/>
  <c r="Q116" i="1"/>
  <c r="K26" i="1"/>
  <c r="R146" i="1"/>
  <c r="R162" i="1"/>
  <c r="AD27" i="6"/>
  <c r="AK52" i="8"/>
  <c r="AD195" i="4"/>
  <c r="AE182" i="4"/>
  <c r="AD62" i="6"/>
  <c r="AD58" i="6"/>
  <c r="AE362" i="4"/>
  <c r="AE39" i="4"/>
  <c r="Q119" i="1"/>
  <c r="N26" i="1"/>
  <c r="AD357" i="4"/>
  <c r="AD359" i="4"/>
  <c r="AD39" i="5"/>
  <c r="AD261" i="4"/>
  <c r="AC263" i="4"/>
  <c r="AD57" i="4"/>
  <c r="AK43" i="8"/>
  <c r="AD91" i="6"/>
  <c r="R147" i="1"/>
  <c r="AE134" i="4"/>
  <c r="AD67" i="7"/>
  <c r="AD72" i="7"/>
  <c r="AE120" i="4"/>
  <c r="Q115" i="1"/>
  <c r="R148" i="1"/>
  <c r="R161" i="1"/>
  <c r="AD90" i="6"/>
  <c r="AD41" i="5"/>
  <c r="AD45" i="5"/>
  <c r="AE42" i="4"/>
  <c r="AE262" i="4"/>
  <c r="AE49" i="4"/>
  <c r="AK58" i="8"/>
  <c r="Q120" i="1"/>
  <c r="O26" i="1"/>
  <c r="AE40" i="4"/>
  <c r="AE135" i="4"/>
  <c r="AE43" i="4"/>
  <c r="AE185" i="4"/>
  <c r="AD303" i="4"/>
  <c r="AD269" i="4"/>
  <c r="Q117" i="1"/>
  <c r="J26" i="1"/>
  <c r="L26" i="1"/>
  <c r="AE137" i="4"/>
  <c r="AE52" i="4"/>
  <c r="AE44" i="4"/>
  <c r="AE139" i="4"/>
  <c r="AE140" i="4"/>
  <c r="AE45" i="4"/>
  <c r="AE141" i="4"/>
  <c r="AE363" i="4"/>
  <c r="AE41" i="4"/>
  <c r="AE186" i="4"/>
  <c r="AE46" i="4"/>
  <c r="AF36" i="4"/>
  <c r="AE53" i="4"/>
  <c r="AE37" i="5"/>
  <c r="AE193" i="4"/>
  <c r="AE26" i="9"/>
  <c r="AE187" i="4"/>
  <c r="AF127" i="4"/>
  <c r="AE61" i="6"/>
  <c r="AE143" i="4"/>
  <c r="AE123" i="4"/>
  <c r="AE40" i="5"/>
  <c r="S149" i="1"/>
  <c r="AE89" i="6"/>
  <c r="AE188" i="4"/>
  <c r="AE55" i="4"/>
  <c r="AE54" i="4"/>
  <c r="AE24" i="6"/>
  <c r="AF130" i="4"/>
  <c r="AF131" i="4"/>
  <c r="AE76" i="6"/>
  <c r="R116" i="1"/>
  <c r="K27" i="1"/>
  <c r="S146" i="1"/>
  <c r="S162" i="1"/>
  <c r="AE62" i="4"/>
  <c r="AE361" i="4"/>
  <c r="AE364" i="4"/>
  <c r="AE190" i="4"/>
  <c r="AE62" i="6"/>
  <c r="AE58" i="6"/>
  <c r="R119" i="1"/>
  <c r="N27" i="1"/>
  <c r="AE57" i="4"/>
  <c r="AE357" i="4"/>
  <c r="AE359" i="4"/>
  <c r="AE261" i="4"/>
  <c r="AD263" i="4"/>
  <c r="AE39" i="5"/>
  <c r="AE38" i="5"/>
  <c r="AE27" i="6"/>
  <c r="AL52" i="8"/>
  <c r="AE195" i="4"/>
  <c r="AF38" i="4"/>
  <c r="AF118" i="4"/>
  <c r="AF119" i="4"/>
  <c r="AF26" i="6"/>
  <c r="AF132" i="4"/>
  <c r="AF182" i="4"/>
  <c r="AL43" i="8"/>
  <c r="AF39" i="4"/>
  <c r="S147" i="1"/>
  <c r="AE91" i="6"/>
  <c r="R115" i="1"/>
  <c r="AF49" i="4"/>
  <c r="R120" i="1"/>
  <c r="O27" i="1"/>
  <c r="AE67" i="7"/>
  <c r="AE72" i="7"/>
  <c r="AE41" i="5"/>
  <c r="AE45" i="5"/>
  <c r="S148" i="1"/>
  <c r="AE90" i="6"/>
  <c r="AF40" i="4"/>
  <c r="S161" i="1"/>
  <c r="AE303" i="4"/>
  <c r="AE269" i="4"/>
  <c r="R117" i="1"/>
  <c r="J27" i="1"/>
  <c r="AF120" i="4"/>
  <c r="AF134" i="4"/>
  <c r="AF362" i="4"/>
  <c r="AL58" i="8"/>
  <c r="AF135" i="4"/>
  <c r="AF185" i="4"/>
  <c r="AF42" i="4"/>
  <c r="AF262" i="4"/>
  <c r="L27" i="1"/>
  <c r="AF52" i="4"/>
  <c r="AF137" i="4"/>
  <c r="AF43" i="4"/>
  <c r="AF44" i="4"/>
  <c r="AF139" i="4"/>
  <c r="AF140" i="4"/>
  <c r="AF186" i="4"/>
  <c r="AF45" i="4"/>
  <c r="AF363" i="4"/>
  <c r="AF41" i="4"/>
  <c r="AF141" i="4"/>
  <c r="AF40" i="5"/>
  <c r="AG127" i="4"/>
  <c r="AF61" i="6"/>
  <c r="AF143" i="4"/>
  <c r="AF123" i="4"/>
  <c r="AF53" i="4"/>
  <c r="AF187" i="4"/>
  <c r="AF193" i="4"/>
  <c r="AF26" i="9"/>
  <c r="AF46" i="4"/>
  <c r="AF89" i="6"/>
  <c r="T149" i="1"/>
  <c r="AF62" i="4"/>
  <c r="AF361" i="4"/>
  <c r="AF364" i="4"/>
  <c r="AF24" i="6"/>
  <c r="AF188" i="4"/>
  <c r="AF54" i="4"/>
  <c r="AG36" i="4"/>
  <c r="AF37" i="5"/>
  <c r="AG130" i="4"/>
  <c r="AG131" i="4"/>
  <c r="AG118" i="4"/>
  <c r="AG26" i="6"/>
  <c r="AG38" i="4"/>
  <c r="AG119" i="4"/>
  <c r="AG132" i="4"/>
  <c r="AF38" i="5"/>
  <c r="AF27" i="6"/>
  <c r="AM52" i="8"/>
  <c r="T146" i="1"/>
  <c r="T162" i="1"/>
  <c r="S116" i="1"/>
  <c r="K28" i="1"/>
  <c r="AF76" i="6"/>
  <c r="AF55" i="4"/>
  <c r="S119" i="1"/>
  <c r="N28" i="1"/>
  <c r="AF190" i="4"/>
  <c r="AG120" i="4"/>
  <c r="AG39" i="4"/>
  <c r="AF67" i="7"/>
  <c r="AF72" i="7"/>
  <c r="AG182" i="4"/>
  <c r="AF62" i="6"/>
  <c r="AF58" i="6"/>
  <c r="AF195" i="4"/>
  <c r="AF357" i="4"/>
  <c r="AF359" i="4"/>
  <c r="AF261" i="4"/>
  <c r="AE263" i="4"/>
  <c r="AF39" i="5"/>
  <c r="AF57" i="4"/>
  <c r="AM43" i="8"/>
  <c r="AF91" i="6"/>
  <c r="T147" i="1"/>
  <c r="AG134" i="4"/>
  <c r="S115" i="1"/>
  <c r="S117" i="1"/>
  <c r="AG42" i="4"/>
  <c r="AG262" i="4"/>
  <c r="AG49" i="4"/>
  <c r="S120" i="1"/>
  <c r="O28" i="1"/>
  <c r="AF90" i="6"/>
  <c r="T148" i="1"/>
  <c r="T161" i="1"/>
  <c r="AF41" i="5"/>
  <c r="AF45" i="5"/>
  <c r="AG40" i="4"/>
  <c r="AG135" i="4"/>
  <c r="AG43" i="4"/>
  <c r="AG362" i="4"/>
  <c r="J28" i="1"/>
  <c r="AF303" i="4"/>
  <c r="AF269" i="4"/>
  <c r="AG185" i="4"/>
  <c r="L28" i="1"/>
  <c r="AM58" i="8"/>
  <c r="AG137" i="4"/>
  <c r="AG52" i="4"/>
  <c r="AG44" i="4"/>
  <c r="AG139" i="4"/>
  <c r="AG41" i="4"/>
  <c r="AG140" i="4"/>
  <c r="AG186" i="4"/>
  <c r="AG45" i="4"/>
  <c r="AG141" i="4"/>
  <c r="AG363" i="4"/>
  <c r="AG61" i="6"/>
  <c r="AH127" i="4"/>
  <c r="AG143" i="4"/>
  <c r="AG123" i="4"/>
  <c r="AG40" i="5"/>
  <c r="AG46" i="4"/>
  <c r="AG53" i="4"/>
  <c r="AG187" i="4"/>
  <c r="AG193" i="4"/>
  <c r="AG26" i="9"/>
  <c r="AG37" i="5"/>
  <c r="AH36" i="4"/>
  <c r="AH130" i="4"/>
  <c r="AH131" i="4"/>
  <c r="AG188" i="4"/>
  <c r="AG24" i="6"/>
  <c r="AG54" i="4"/>
  <c r="U149" i="1"/>
  <c r="AG89" i="6"/>
  <c r="AG62" i="4"/>
  <c r="AG361" i="4"/>
  <c r="AG364" i="4"/>
  <c r="AG55" i="4"/>
  <c r="AG190" i="4"/>
  <c r="AH118" i="4"/>
  <c r="AH26" i="6"/>
  <c r="AH132" i="4"/>
  <c r="AH119" i="4"/>
  <c r="AH38" i="4"/>
  <c r="U146" i="1"/>
  <c r="U162" i="1"/>
  <c r="T116" i="1"/>
  <c r="K29" i="1"/>
  <c r="AG76" i="6"/>
  <c r="AG38" i="5"/>
  <c r="AG27" i="6"/>
  <c r="AN52" i="8"/>
  <c r="T119" i="1"/>
  <c r="N29" i="1"/>
  <c r="AH39" i="4"/>
  <c r="AG62" i="6"/>
  <c r="AG58" i="6"/>
  <c r="AH182" i="4"/>
  <c r="AG195" i="4"/>
  <c r="AN43" i="8"/>
  <c r="AH362" i="4"/>
  <c r="AG357" i="4"/>
  <c r="AG359" i="4"/>
  <c r="AG261" i="4"/>
  <c r="AF263" i="4"/>
  <c r="AG39" i="5"/>
  <c r="AG67" i="7"/>
  <c r="AG72" i="7"/>
  <c r="AG57" i="4"/>
  <c r="AG91" i="6"/>
  <c r="U147" i="1"/>
  <c r="T115" i="1"/>
  <c r="T117" i="1"/>
  <c r="AH134" i="4"/>
  <c r="AH40" i="4"/>
  <c r="AH49" i="4"/>
  <c r="T120" i="1"/>
  <c r="O29" i="1"/>
  <c r="U148" i="1"/>
  <c r="U161" i="1"/>
  <c r="AG90" i="6"/>
  <c r="AG41" i="5"/>
  <c r="AG45" i="5"/>
  <c r="J29" i="1"/>
  <c r="AH120" i="4"/>
  <c r="AG269" i="4"/>
  <c r="AG303" i="4"/>
  <c r="AH42" i="4"/>
  <c r="AH262" i="4"/>
  <c r="AH135" i="4"/>
  <c r="AH43" i="4"/>
  <c r="L29" i="1"/>
  <c r="AN58" i="8"/>
  <c r="AH185" i="4"/>
  <c r="AH137" i="4"/>
  <c r="AH52" i="4"/>
  <c r="AH44" i="4"/>
  <c r="AH139" i="4"/>
  <c r="AH41" i="4"/>
  <c r="AH140" i="4"/>
  <c r="AH45" i="4"/>
  <c r="AH40" i="5"/>
  <c r="AH141" i="4"/>
  <c r="AH186" i="4"/>
  <c r="AH363" i="4"/>
  <c r="AH46" i="4"/>
  <c r="AI36" i="4"/>
  <c r="AH53" i="4"/>
  <c r="AH187" i="4"/>
  <c r="AH193" i="4"/>
  <c r="AH26" i="9"/>
  <c r="AI127" i="4"/>
  <c r="AH61" i="6"/>
  <c r="AH143" i="4"/>
  <c r="AH123" i="4"/>
  <c r="AH89" i="6"/>
  <c r="V149" i="1"/>
  <c r="AH24" i="6"/>
  <c r="AH54" i="4"/>
  <c r="AH188" i="4"/>
  <c r="AH55" i="4"/>
  <c r="AI130" i="4"/>
  <c r="AI131" i="4"/>
  <c r="AH37" i="5"/>
  <c r="AH62" i="4"/>
  <c r="AH361" i="4"/>
  <c r="AH364" i="4"/>
  <c r="AH57" i="4"/>
  <c r="U119" i="1"/>
  <c r="N30" i="1"/>
  <c r="AI118" i="4"/>
  <c r="AI38" i="4"/>
  <c r="AI26" i="6"/>
  <c r="AI132" i="4"/>
  <c r="AI119" i="4"/>
  <c r="AH357" i="4"/>
  <c r="AH359" i="4"/>
  <c r="AH261" i="4"/>
  <c r="AG263" i="4"/>
  <c r="AH39" i="5"/>
  <c r="AH38" i="5"/>
  <c r="AH27" i="6"/>
  <c r="AO52" i="8"/>
  <c r="AI49" i="4"/>
  <c r="U120" i="1"/>
  <c r="O30" i="1"/>
  <c r="U116" i="1"/>
  <c r="K30" i="1"/>
  <c r="AH76" i="6"/>
  <c r="V146" i="1"/>
  <c r="V162" i="1"/>
  <c r="AH190" i="4"/>
  <c r="AH41" i="5"/>
  <c r="AH45" i="5"/>
  <c r="AH269" i="4"/>
  <c r="AH67" i="7"/>
  <c r="AH72" i="7"/>
  <c r="AO43" i="8"/>
  <c r="AO58" i="8"/>
  <c r="AI182" i="4"/>
  <c r="AH62" i="6"/>
  <c r="AH58" i="6"/>
  <c r="AH195" i="4"/>
  <c r="V147" i="1"/>
  <c r="U115" i="1"/>
  <c r="AH91" i="6"/>
  <c r="AH90" i="6"/>
  <c r="V148" i="1"/>
  <c r="AI120" i="4"/>
  <c r="AI39" i="4"/>
  <c r="AH303" i="4"/>
  <c r="AI134" i="4"/>
  <c r="AI135" i="4"/>
  <c r="AI362" i="4"/>
  <c r="U117" i="1"/>
  <c r="J30" i="1"/>
  <c r="V161" i="1"/>
  <c r="AI40" i="4"/>
  <c r="AI42" i="4"/>
  <c r="AI262" i="4"/>
  <c r="AI43" i="4"/>
  <c r="L30" i="1"/>
  <c r="AI185" i="4"/>
  <c r="AI137" i="4"/>
  <c r="AI52" i="4"/>
  <c r="AI44" i="4"/>
  <c r="AI139" i="4"/>
  <c r="AI140" i="4"/>
  <c r="AI363" i="4"/>
  <c r="AI45" i="4"/>
  <c r="AI141" i="4"/>
  <c r="AI41" i="4"/>
  <c r="AI186" i="4"/>
  <c r="AI46" i="4"/>
  <c r="AJ36" i="4"/>
  <c r="AI40" i="5"/>
  <c r="AJ127" i="4"/>
  <c r="AI61" i="6"/>
  <c r="AI143" i="4"/>
  <c r="AI123" i="4"/>
  <c r="AI53" i="4"/>
  <c r="AI187" i="4"/>
  <c r="AI193" i="4"/>
  <c r="AI26" i="9"/>
  <c r="W149" i="1"/>
  <c r="AI89" i="6"/>
  <c r="AI188" i="4"/>
  <c r="AI55" i="4"/>
  <c r="AI54" i="4"/>
  <c r="AI24" i="6"/>
  <c r="AI37" i="5"/>
  <c r="AJ130" i="4"/>
  <c r="AJ131" i="4"/>
  <c r="AI361" i="4"/>
  <c r="AI364" i="4"/>
  <c r="AI62" i="4"/>
  <c r="AI57" i="4"/>
  <c r="AJ49" i="4"/>
  <c r="AI190" i="4"/>
  <c r="AI195" i="4"/>
  <c r="V119" i="1"/>
  <c r="N31" i="1"/>
  <c r="AJ26" i="6"/>
  <c r="AJ132" i="4"/>
  <c r="AJ38" i="4"/>
  <c r="AJ119" i="4"/>
  <c r="AJ118" i="4"/>
  <c r="V120" i="1"/>
  <c r="O31" i="1"/>
  <c r="AI38" i="5"/>
  <c r="AI27" i="6"/>
  <c r="AP52" i="8"/>
  <c r="W146" i="1"/>
  <c r="W162" i="1"/>
  <c r="V116" i="1"/>
  <c r="K31" i="1"/>
  <c r="AI76" i="6"/>
  <c r="AI357" i="4"/>
  <c r="AI359" i="4"/>
  <c r="AI261" i="4"/>
  <c r="AH263" i="4"/>
  <c r="AI39" i="5"/>
  <c r="AJ182" i="4"/>
  <c r="AI62" i="6"/>
  <c r="AI58" i="6"/>
  <c r="AI41" i="5"/>
  <c r="AI45" i="5"/>
  <c r="AI269" i="4"/>
  <c r="W147" i="1"/>
  <c r="AI91" i="6"/>
  <c r="V115" i="1"/>
  <c r="AI67" i="7"/>
  <c r="AI72" i="7"/>
  <c r="AP58" i="8"/>
  <c r="AP43" i="8"/>
  <c r="AJ120" i="4"/>
  <c r="AJ39" i="4"/>
  <c r="AI90" i="6"/>
  <c r="W148" i="1"/>
  <c r="AI303" i="4"/>
  <c r="AJ362" i="4"/>
  <c r="V117" i="1"/>
  <c r="J31" i="1"/>
  <c r="AJ40" i="4"/>
  <c r="AJ134" i="4"/>
  <c r="W161" i="1"/>
  <c r="AJ135" i="4"/>
  <c r="AJ185" i="4"/>
  <c r="AJ42" i="4"/>
  <c r="AJ262" i="4"/>
  <c r="L31" i="1"/>
  <c r="AJ52" i="4"/>
  <c r="AJ137" i="4"/>
  <c r="AJ139" i="4"/>
  <c r="AJ43" i="4"/>
  <c r="AJ41" i="4"/>
  <c r="AJ44" i="4"/>
  <c r="AJ140" i="4"/>
  <c r="AJ45" i="4"/>
  <c r="AJ363" i="4"/>
  <c r="AJ186" i="4"/>
  <c r="AJ141" i="4"/>
  <c r="AJ40" i="5"/>
  <c r="AJ46" i="4"/>
  <c r="AJ61" i="6"/>
  <c r="AK127" i="4"/>
  <c r="AJ143" i="4"/>
  <c r="AJ123" i="4"/>
  <c r="AK36" i="4"/>
  <c r="AJ53" i="4"/>
  <c r="AJ193" i="4"/>
  <c r="AJ26" i="9"/>
  <c r="AJ187" i="4"/>
  <c r="AJ89" i="6"/>
  <c r="X149" i="1"/>
  <c r="AJ37" i="5"/>
  <c r="AJ54" i="4"/>
  <c r="AJ188" i="4"/>
  <c r="AJ24" i="6"/>
  <c r="AK130" i="4"/>
  <c r="AK131" i="4"/>
  <c r="AJ361" i="4"/>
  <c r="AJ364" i="4"/>
  <c r="AJ62" i="4"/>
  <c r="AJ55" i="4"/>
  <c r="AJ57" i="4"/>
  <c r="AJ190" i="4"/>
  <c r="AJ27" i="6"/>
  <c r="AQ52" i="8"/>
  <c r="AJ38" i="5"/>
  <c r="W119" i="1"/>
  <c r="N32" i="1"/>
  <c r="AK26" i="6"/>
  <c r="AK132" i="4"/>
  <c r="AK119" i="4"/>
  <c r="AK118" i="4"/>
  <c r="AK38" i="4"/>
  <c r="AJ76" i="6"/>
  <c r="X146" i="1"/>
  <c r="X162" i="1"/>
  <c r="W116" i="1"/>
  <c r="K32" i="1"/>
  <c r="AJ67" i="7"/>
  <c r="AJ72" i="7"/>
  <c r="AQ43" i="8"/>
  <c r="AJ195" i="4"/>
  <c r="AK182" i="4"/>
  <c r="AJ62" i="6"/>
  <c r="AJ58" i="6"/>
  <c r="AJ357" i="4"/>
  <c r="AJ359" i="4"/>
  <c r="AJ39" i="5"/>
  <c r="AJ261" i="4"/>
  <c r="AI263" i="4"/>
  <c r="X147" i="1"/>
  <c r="AJ91" i="6"/>
  <c r="AK49" i="4"/>
  <c r="W120" i="1"/>
  <c r="O32" i="1"/>
  <c r="AK40" i="4"/>
  <c r="AK39" i="4"/>
  <c r="W115" i="1"/>
  <c r="AK134" i="4"/>
  <c r="AK135" i="4"/>
  <c r="AK43" i="4"/>
  <c r="AK120" i="4"/>
  <c r="AK362" i="4"/>
  <c r="J32" i="1"/>
  <c r="W117" i="1"/>
  <c r="AJ90" i="6"/>
  <c r="X148" i="1"/>
  <c r="X161" i="1"/>
  <c r="AJ41" i="5"/>
  <c r="AJ45" i="5"/>
  <c r="AQ58" i="8"/>
  <c r="AK42" i="4"/>
  <c r="AK262" i="4"/>
  <c r="L32" i="1"/>
  <c r="AK185" i="4"/>
  <c r="AJ269" i="4"/>
  <c r="AJ303" i="4"/>
  <c r="AK52" i="4"/>
  <c r="AK137" i="4"/>
  <c r="AK44" i="4"/>
  <c r="AK139" i="4"/>
  <c r="AK41" i="4"/>
  <c r="AK140" i="4"/>
  <c r="AK186" i="4"/>
  <c r="AK45" i="4"/>
  <c r="AK40" i="5"/>
  <c r="AK363" i="4"/>
  <c r="AK141" i="4"/>
  <c r="AK46" i="4"/>
  <c r="AL36" i="4"/>
  <c r="AL127" i="4"/>
  <c r="AK61" i="6"/>
  <c r="AK143" i="4"/>
  <c r="AK123" i="4"/>
  <c r="AK89" i="6"/>
  <c r="Y149" i="1"/>
  <c r="AK53" i="4"/>
  <c r="AK187" i="4"/>
  <c r="AK193" i="4"/>
  <c r="AK26" i="9"/>
  <c r="AK54" i="4"/>
  <c r="AK188" i="4"/>
  <c r="AK55" i="4"/>
  <c r="AK24" i="6"/>
  <c r="AK37" i="5"/>
  <c r="AL130" i="4"/>
  <c r="AL131" i="4"/>
  <c r="AK190" i="4"/>
  <c r="AK361" i="4"/>
  <c r="AK364" i="4"/>
  <c r="AK62" i="4"/>
  <c r="AK57" i="4"/>
  <c r="AL49" i="4"/>
  <c r="AR58" i="8"/>
  <c r="X119" i="1"/>
  <c r="N33" i="1"/>
  <c r="AK195" i="4"/>
  <c r="AK62" i="6"/>
  <c r="AK58" i="6"/>
  <c r="AL182" i="4"/>
  <c r="Y146" i="1"/>
  <c r="Y162" i="1"/>
  <c r="AK76" i="6"/>
  <c r="X116" i="1"/>
  <c r="K33" i="1"/>
  <c r="AK38" i="5"/>
  <c r="AK27" i="6"/>
  <c r="AR52" i="8"/>
  <c r="AL118" i="4"/>
  <c r="AL26" i="6"/>
  <c r="AL119" i="4"/>
  <c r="AL38" i="4"/>
  <c r="AK357" i="4"/>
  <c r="AK359" i="4"/>
  <c r="AK261" i="4"/>
  <c r="AJ263" i="4"/>
  <c r="AK39" i="5"/>
  <c r="X120" i="1"/>
  <c r="O33" i="1"/>
  <c r="AL132" i="4"/>
  <c r="AL40" i="4"/>
  <c r="AK41" i="5"/>
  <c r="AK45" i="5"/>
  <c r="AK269" i="4"/>
  <c r="X115" i="1"/>
  <c r="AK91" i="6"/>
  <c r="Y147" i="1"/>
  <c r="AK67" i="7"/>
  <c r="AK72" i="7"/>
  <c r="AK90" i="6"/>
  <c r="Y148" i="1"/>
  <c r="AL39" i="4"/>
  <c r="AR43" i="8"/>
  <c r="AL362" i="4"/>
  <c r="AL120" i="4"/>
  <c r="AK303" i="4"/>
  <c r="AL134" i="4"/>
  <c r="AL135" i="4"/>
  <c r="AL43" i="4"/>
  <c r="Y161" i="1"/>
  <c r="X117" i="1"/>
  <c r="J33" i="1"/>
  <c r="AL185" i="4"/>
  <c r="AL52" i="4"/>
  <c r="AL42" i="4"/>
  <c r="AL262" i="4"/>
  <c r="L33" i="1"/>
  <c r="AL137" i="4"/>
  <c r="AL44" i="4"/>
  <c r="AL139" i="4"/>
  <c r="AL140" i="4"/>
  <c r="AL45" i="4"/>
  <c r="AL41" i="4"/>
  <c r="AL40" i="5"/>
  <c r="AL141" i="4"/>
  <c r="AL61" i="6"/>
  <c r="AL186" i="4"/>
  <c r="AL363" i="4"/>
  <c r="AL46" i="4"/>
  <c r="AL89" i="6"/>
  <c r="Z149" i="1"/>
  <c r="AL143" i="4"/>
  <c r="AM127" i="4"/>
  <c r="AM130" i="4"/>
  <c r="AM131" i="4"/>
  <c r="AM36" i="4"/>
  <c r="AL53" i="4"/>
  <c r="AL37" i="5"/>
  <c r="AL187" i="4"/>
  <c r="AL193" i="4"/>
  <c r="AL26" i="9"/>
  <c r="AL123" i="4"/>
  <c r="AL361" i="4"/>
  <c r="AL364" i="4"/>
  <c r="AL24" i="6"/>
  <c r="AL188" i="4"/>
  <c r="AL55" i="4"/>
  <c r="AL54" i="4"/>
  <c r="AL76" i="6"/>
  <c r="Y116" i="1"/>
  <c r="K34" i="1"/>
  <c r="Z146" i="1"/>
  <c r="Z162" i="1"/>
  <c r="AM118" i="4"/>
  <c r="AM119" i="4"/>
  <c r="AM38" i="4"/>
  <c r="AM26" i="6"/>
  <c r="AM132" i="4"/>
  <c r="AM40" i="4"/>
  <c r="AL62" i="4"/>
  <c r="AL27" i="6"/>
  <c r="AS52" i="8"/>
  <c r="Y119" i="1"/>
  <c r="N34" i="1"/>
  <c r="AM39" i="4"/>
  <c r="AM362" i="4"/>
  <c r="AM120" i="4"/>
  <c r="AM134" i="4"/>
  <c r="AL57" i="4"/>
  <c r="AL357" i="4"/>
  <c r="AL359" i="4"/>
  <c r="AL39" i="5"/>
  <c r="AL261" i="4"/>
  <c r="AK263" i="4"/>
  <c r="AL190" i="4"/>
  <c r="AL67" i="7"/>
  <c r="AL72" i="7"/>
  <c r="AS43" i="8"/>
  <c r="AL38" i="5"/>
  <c r="AL195" i="4"/>
  <c r="AM182" i="4"/>
  <c r="AL62" i="6"/>
  <c r="AL58" i="6"/>
  <c r="Z148" i="1"/>
  <c r="AL90" i="6"/>
  <c r="AM135" i="4"/>
  <c r="AM43" i="4"/>
  <c r="AM42" i="4"/>
  <c r="AM262" i="4"/>
  <c r="AM49" i="4"/>
  <c r="Y120" i="1"/>
  <c r="O34" i="1"/>
  <c r="Y115" i="1"/>
  <c r="Y117" i="1"/>
  <c r="AL41" i="5"/>
  <c r="AL45" i="5"/>
  <c r="AL269" i="4"/>
  <c r="AL91" i="6"/>
  <c r="Z147" i="1"/>
  <c r="Z161" i="1"/>
  <c r="AM185" i="4"/>
  <c r="AS58" i="8"/>
  <c r="J34" i="1"/>
  <c r="AL303" i="4"/>
  <c r="AM137" i="4"/>
  <c r="AM52" i="4"/>
  <c r="L34" i="1"/>
  <c r="AM44" i="4"/>
  <c r="AM139" i="4"/>
  <c r="AM41" i="4"/>
  <c r="AM140" i="4"/>
  <c r="AM186" i="4"/>
  <c r="AM45" i="4"/>
  <c r="AM363" i="4"/>
  <c r="AM141" i="4"/>
  <c r="AN127" i="4"/>
  <c r="AM61" i="6"/>
  <c r="AM143" i="4"/>
  <c r="AM123" i="4"/>
  <c r="AM40" i="5"/>
  <c r="AM46" i="4"/>
  <c r="AM53" i="4"/>
  <c r="AM187" i="4"/>
  <c r="AM193" i="4"/>
  <c r="AM26" i="9"/>
  <c r="AM188" i="4"/>
  <c r="AM55" i="4"/>
  <c r="AM24" i="6"/>
  <c r="AM54" i="4"/>
  <c r="AM361" i="4"/>
  <c r="AM364" i="4"/>
  <c r="AM62" i="4"/>
  <c r="AM37" i="5"/>
  <c r="AN36" i="4"/>
  <c r="AM190" i="4"/>
  <c r="AA149" i="1"/>
  <c r="AM89" i="6"/>
  <c r="AN130" i="4"/>
  <c r="AN131" i="4"/>
  <c r="AM57" i="4"/>
  <c r="AN49" i="4"/>
  <c r="AT58" i="8"/>
  <c r="AN26" i="6"/>
  <c r="AN118" i="4"/>
  <c r="AN119" i="4"/>
  <c r="AN38" i="4"/>
  <c r="AN182" i="4"/>
  <c r="AM195" i="4"/>
  <c r="AM62" i="6"/>
  <c r="AM58" i="6"/>
  <c r="AA146" i="1"/>
  <c r="AA162" i="1"/>
  <c r="Z116" i="1"/>
  <c r="K35" i="1"/>
  <c r="AM76" i="6"/>
  <c r="AM38" i="5"/>
  <c r="AM27" i="6"/>
  <c r="AT52" i="8"/>
  <c r="Z119" i="1"/>
  <c r="N35" i="1"/>
  <c r="AM357" i="4"/>
  <c r="AM359" i="4"/>
  <c r="AM261" i="4"/>
  <c r="AL263" i="4"/>
  <c r="AM39" i="5"/>
  <c r="Z120" i="1"/>
  <c r="O35" i="1"/>
  <c r="AM41" i="5"/>
  <c r="AM45" i="5"/>
  <c r="AM269" i="4"/>
  <c r="AM90" i="6"/>
  <c r="AA148" i="1"/>
  <c r="AM67" i="7"/>
  <c r="AM72" i="7"/>
  <c r="AM91" i="6"/>
  <c r="Z115" i="1"/>
  <c r="AA147" i="1"/>
  <c r="AA161" i="1"/>
  <c r="AT43" i="8"/>
  <c r="AM303" i="4"/>
  <c r="J35" i="1"/>
  <c r="Z117" i="1"/>
  <c r="L35" i="1"/>
  <c r="AN132" i="4"/>
  <c r="AN39" i="4"/>
  <c r="AN40" i="4"/>
  <c r="AN134" i="4"/>
  <c r="AN362" i="4"/>
  <c r="AN120" i="4"/>
  <c r="AN135" i="4"/>
  <c r="AN43" i="4"/>
  <c r="AN42" i="4"/>
  <c r="AN185" i="4"/>
  <c r="AN262" i="4"/>
  <c r="AN52" i="4"/>
  <c r="AN137" i="4"/>
  <c r="AN44" i="4"/>
  <c r="AN139" i="4"/>
  <c r="AN140" i="4"/>
  <c r="AN186" i="4"/>
  <c r="AN41" i="4"/>
  <c r="AN53" i="4"/>
  <c r="AN193" i="4"/>
  <c r="AN26" i="9"/>
  <c r="AN187" i="4"/>
  <c r="AN45" i="4"/>
  <c r="AN40" i="5"/>
  <c r="AN141" i="4"/>
  <c r="AN363" i="4"/>
  <c r="AN188" i="4"/>
  <c r="AN55" i="4"/>
  <c r="AN54" i="4"/>
  <c r="AN24" i="6"/>
  <c r="AO127" i="4"/>
  <c r="AN61" i="6"/>
  <c r="AN143" i="4"/>
  <c r="AN123" i="4"/>
  <c r="AN89" i="6"/>
  <c r="AB149" i="1"/>
  <c r="AN190" i="4"/>
  <c r="AN46" i="4"/>
  <c r="AN37" i="5"/>
  <c r="AN57" i="4"/>
  <c r="AO49" i="4"/>
  <c r="AO36" i="4"/>
  <c r="AO130" i="4"/>
  <c r="AO131" i="4"/>
  <c r="AN195" i="4"/>
  <c r="AO182" i="4"/>
  <c r="AN62" i="6"/>
  <c r="AN58" i="6"/>
  <c r="AN62" i="4"/>
  <c r="AN361" i="4"/>
  <c r="AN364" i="4"/>
  <c r="AB146" i="1"/>
  <c r="AB162" i="1"/>
  <c r="AN76" i="6"/>
  <c r="AA116" i="1"/>
  <c r="K36" i="1"/>
  <c r="AA119" i="1"/>
  <c r="N36" i="1"/>
  <c r="AN357" i="4"/>
  <c r="AN359" i="4"/>
  <c r="AN261" i="4"/>
  <c r="AM263" i="4"/>
  <c r="AN39" i="5"/>
  <c r="AA120" i="1"/>
  <c r="O36" i="1"/>
  <c r="AN90" i="6"/>
  <c r="AB148" i="1"/>
  <c r="AN38" i="5"/>
  <c r="AN27" i="6"/>
  <c r="AO119" i="4"/>
  <c r="AO26" i="6"/>
  <c r="AO38" i="4"/>
  <c r="AO118" i="4"/>
  <c r="AU58" i="8"/>
  <c r="AU52" i="8"/>
  <c r="AU43" i="8"/>
  <c r="AN67" i="7"/>
  <c r="AN72" i="7"/>
  <c r="AN91" i="6"/>
  <c r="AB147" i="1"/>
  <c r="AB161" i="1"/>
  <c r="AN41" i="5"/>
  <c r="AN45" i="5"/>
  <c r="AA115" i="1"/>
  <c r="AA117" i="1"/>
  <c r="J36" i="1"/>
  <c r="AN303" i="4"/>
  <c r="AN269" i="4"/>
  <c r="L36" i="1"/>
  <c r="AO132" i="4"/>
  <c r="AO39" i="4"/>
  <c r="AO40" i="4"/>
  <c r="AO120" i="4"/>
  <c r="AO134" i="4"/>
  <c r="AO362" i="4"/>
  <c r="AO135" i="4"/>
  <c r="AO43" i="4"/>
  <c r="AO42" i="4"/>
  <c r="AO262" i="4"/>
  <c r="AO185" i="4"/>
  <c r="AO52" i="4"/>
  <c r="AO137" i="4"/>
  <c r="AO44" i="4"/>
  <c r="AO139" i="4"/>
  <c r="AO41" i="4"/>
  <c r="AO140" i="4"/>
  <c r="AO363" i="4"/>
  <c r="AO141" i="4"/>
  <c r="AO143" i="4"/>
  <c r="AO123" i="4"/>
  <c r="AO45" i="4"/>
  <c r="AO40" i="5"/>
  <c r="AO186" i="4"/>
  <c r="AO53" i="4"/>
  <c r="AO61" i="6"/>
  <c r="AO46" i="4"/>
  <c r="AP36" i="4"/>
  <c r="AP127" i="4"/>
  <c r="AP130" i="4"/>
  <c r="AP131" i="4"/>
  <c r="AO187" i="4"/>
  <c r="AO54" i="4"/>
  <c r="AO193" i="4"/>
  <c r="AO26" i="9"/>
  <c r="AO89" i="6"/>
  <c r="AC149" i="1"/>
  <c r="AO62" i="4"/>
  <c r="AO361" i="4"/>
  <c r="AO364" i="4"/>
  <c r="AO37" i="5"/>
  <c r="AO188" i="4"/>
  <c r="AO55" i="4"/>
  <c r="AO57" i="4"/>
  <c r="AP49" i="4"/>
  <c r="AV58" i="8"/>
  <c r="AO24" i="6"/>
  <c r="AP119" i="4"/>
  <c r="AP26" i="6"/>
  <c r="AP118" i="4"/>
  <c r="AP38" i="4"/>
  <c r="AO38" i="5"/>
  <c r="AO27" i="6"/>
  <c r="AV52" i="8"/>
  <c r="AO76" i="6"/>
  <c r="AB116" i="1"/>
  <c r="K37" i="1"/>
  <c r="AC146" i="1"/>
  <c r="AC162" i="1"/>
  <c r="AO190" i="4"/>
  <c r="AP182" i="4"/>
  <c r="AO39" i="5"/>
  <c r="AO41" i="5"/>
  <c r="AO45" i="5"/>
  <c r="AO303" i="4"/>
  <c r="AB119" i="1"/>
  <c r="N37" i="1"/>
  <c r="AO357" i="4"/>
  <c r="AO359" i="4"/>
  <c r="AO261" i="4"/>
  <c r="AN263" i="4"/>
  <c r="AV43" i="8"/>
  <c r="AB120" i="1"/>
  <c r="O37" i="1"/>
  <c r="AO62" i="6"/>
  <c r="AO58" i="6"/>
  <c r="AO91" i="6"/>
  <c r="AC147" i="1"/>
  <c r="AO67" i="7"/>
  <c r="AO72" i="7"/>
  <c r="AB115" i="1"/>
  <c r="AB117" i="1"/>
  <c r="AO195" i="4"/>
  <c r="AO90" i="6"/>
  <c r="AC148" i="1"/>
  <c r="AC161" i="1"/>
  <c r="AO269" i="4"/>
  <c r="J37" i="1"/>
  <c r="L37" i="1"/>
  <c r="AP132" i="4"/>
  <c r="AP39" i="4"/>
  <c r="AP40" i="4"/>
  <c r="AP134" i="4"/>
  <c r="AP42" i="4"/>
  <c r="AP120" i="4"/>
  <c r="AP362" i="4"/>
  <c r="AP135" i="4"/>
  <c r="AP185" i="4"/>
  <c r="AP262" i="4"/>
  <c r="AP43" i="4"/>
  <c r="AP52" i="4"/>
  <c r="AP137" i="4"/>
  <c r="AP44" i="4"/>
  <c r="AP139" i="4"/>
  <c r="AP140" i="4"/>
  <c r="AP45" i="4"/>
  <c r="AP41" i="4"/>
  <c r="AP40" i="5"/>
  <c r="AD149" i="1"/>
  <c r="AP186" i="4"/>
  <c r="AP53" i="4"/>
  <c r="AP46" i="4"/>
  <c r="AQ36" i="4"/>
  <c r="AP89" i="6"/>
  <c r="AP141" i="4"/>
  <c r="AP363" i="4"/>
  <c r="AP193" i="4"/>
  <c r="AP26" i="9"/>
  <c r="AP187" i="4"/>
  <c r="AP24" i="6"/>
  <c r="AP143" i="4"/>
  <c r="AP123" i="4"/>
  <c r="AP61" i="6"/>
  <c r="AQ127" i="4"/>
  <c r="AP37" i="5"/>
  <c r="AP54" i="4"/>
  <c r="AP188" i="4"/>
  <c r="AP55" i="4"/>
  <c r="AP357" i="4"/>
  <c r="AP359" i="4"/>
  <c r="AQ130" i="4"/>
  <c r="AQ131" i="4"/>
  <c r="AC116" i="1"/>
  <c r="K38" i="1"/>
  <c r="AP76" i="6"/>
  <c r="AD146" i="1"/>
  <c r="AD162" i="1"/>
  <c r="AP62" i="4"/>
  <c r="AP361" i="4"/>
  <c r="AP364" i="4"/>
  <c r="AP39" i="5"/>
  <c r="AP57" i="4"/>
  <c r="AQ49" i="4"/>
  <c r="AW58" i="8"/>
  <c r="AC119" i="1"/>
  <c r="N38" i="1"/>
  <c r="AP190" i="4"/>
  <c r="AP195" i="4"/>
  <c r="AP261" i="4"/>
  <c r="AO263" i="4"/>
  <c r="AC120" i="1"/>
  <c r="O38" i="1"/>
  <c r="AP27" i="6"/>
  <c r="AP38" i="5"/>
  <c r="AP90" i="6"/>
  <c r="AD148" i="1"/>
  <c r="AQ38" i="4"/>
  <c r="AQ26" i="6"/>
  <c r="AQ119" i="4"/>
  <c r="AQ118" i="4"/>
  <c r="AC115" i="1"/>
  <c r="J38" i="1"/>
  <c r="AP62" i="6"/>
  <c r="AP58" i="6"/>
  <c r="AQ182" i="4"/>
  <c r="AW52" i="8"/>
  <c r="AW43" i="8"/>
  <c r="AP67" i="7"/>
  <c r="AP72" i="7"/>
  <c r="AP91" i="6"/>
  <c r="AD147" i="1"/>
  <c r="AD161" i="1"/>
  <c r="AP41" i="5"/>
  <c r="AP45" i="5"/>
  <c r="AC117" i="1"/>
  <c r="L38" i="1"/>
  <c r="AP269" i="4"/>
  <c r="AP303" i="4"/>
  <c r="AQ132" i="4"/>
  <c r="AQ39" i="4"/>
  <c r="AQ40" i="4"/>
  <c r="AQ120" i="4"/>
  <c r="AQ362" i="4"/>
  <c r="AQ134" i="4"/>
  <c r="AQ135" i="4"/>
  <c r="AQ43" i="4"/>
  <c r="AQ42" i="4"/>
  <c r="AQ185" i="4"/>
  <c r="AQ262" i="4"/>
  <c r="AQ137" i="4"/>
  <c r="AQ52" i="4"/>
  <c r="AQ44" i="4"/>
  <c r="AQ139" i="4"/>
  <c r="AQ140" i="4"/>
  <c r="AQ363" i="4"/>
  <c r="AQ45" i="4"/>
  <c r="AQ141" i="4"/>
  <c r="AQ41" i="4"/>
  <c r="AQ186" i="4"/>
  <c r="AQ46" i="4"/>
  <c r="AR36" i="4"/>
  <c r="AQ40" i="5"/>
  <c r="AQ61" i="6"/>
  <c r="AR127" i="4"/>
  <c r="AQ143" i="4"/>
  <c r="AQ123" i="4"/>
  <c r="AQ53" i="4"/>
  <c r="AQ193" i="4"/>
  <c r="AQ26" i="9"/>
  <c r="AQ187" i="4"/>
  <c r="AQ89" i="6"/>
  <c r="AE149" i="1"/>
  <c r="AR130" i="4"/>
  <c r="AR131" i="4"/>
  <c r="AQ37" i="5"/>
  <c r="AQ62" i="4"/>
  <c r="AQ361" i="4"/>
  <c r="AQ364" i="4"/>
  <c r="AQ24" i="6"/>
  <c r="AQ54" i="4"/>
  <c r="AQ188" i="4"/>
  <c r="AQ76" i="6"/>
  <c r="AE146" i="1"/>
  <c r="AE162" i="1"/>
  <c r="AD116" i="1"/>
  <c r="K39" i="1"/>
  <c r="AQ55" i="4"/>
  <c r="AD119" i="1"/>
  <c r="N39" i="1"/>
  <c r="AQ190" i="4"/>
  <c r="AQ27" i="6"/>
  <c r="AX52" i="8"/>
  <c r="AQ38" i="5"/>
  <c r="AR26" i="6"/>
  <c r="AR38" i="4"/>
  <c r="AR118" i="4"/>
  <c r="AR119" i="4"/>
  <c r="AQ91" i="6"/>
  <c r="AE147" i="1"/>
  <c r="AQ67" i="7"/>
  <c r="AQ72" i="7"/>
  <c r="AQ57" i="4"/>
  <c r="AR182" i="4"/>
  <c r="AQ195" i="4"/>
  <c r="AQ62" i="6"/>
  <c r="AQ58" i="6"/>
  <c r="AQ357" i="4"/>
  <c r="AQ359" i="4"/>
  <c r="AQ261" i="4"/>
  <c r="AP263" i="4"/>
  <c r="AQ39" i="5"/>
  <c r="AX43" i="8"/>
  <c r="AD115" i="1"/>
  <c r="AD117" i="1"/>
  <c r="L39" i="1"/>
  <c r="AQ41" i="5"/>
  <c r="AQ45" i="5"/>
  <c r="AE148" i="1"/>
  <c r="AE161" i="1"/>
  <c r="AQ90" i="6"/>
  <c r="AR49" i="4"/>
  <c r="AD120" i="1"/>
  <c r="O39" i="1"/>
  <c r="J39" i="1"/>
  <c r="AX58" i="8"/>
  <c r="AQ303" i="4"/>
  <c r="AQ269" i="4"/>
  <c r="AR132" i="4"/>
  <c r="AR39" i="4"/>
  <c r="AR40" i="4"/>
  <c r="AR134" i="4"/>
  <c r="AR42" i="4"/>
  <c r="AR262" i="4"/>
  <c r="AR362" i="4"/>
  <c r="AR120" i="4"/>
  <c r="AR135" i="4"/>
  <c r="AR185" i="4"/>
  <c r="AR43" i="4"/>
  <c r="AR137" i="4"/>
  <c r="AR52" i="4"/>
  <c r="AR44" i="4"/>
  <c r="AR139" i="4"/>
  <c r="AR140" i="4"/>
  <c r="AR363" i="4"/>
  <c r="AR45" i="4"/>
  <c r="AR141" i="4"/>
  <c r="AR41" i="4"/>
  <c r="AR186" i="4"/>
  <c r="AR46" i="4"/>
  <c r="AS36" i="4"/>
  <c r="AR40" i="5"/>
  <c r="AR61" i="6"/>
  <c r="AS127" i="4"/>
  <c r="AR143" i="4"/>
  <c r="AR123" i="4"/>
  <c r="AR53" i="4"/>
  <c r="AR193" i="4"/>
  <c r="AR26" i="9"/>
  <c r="AR187" i="4"/>
  <c r="AF149" i="1"/>
  <c r="AR89" i="6"/>
  <c r="AS130" i="4"/>
  <c r="AS131" i="4"/>
  <c r="AR37" i="5"/>
  <c r="AR62" i="4"/>
  <c r="AR361" i="4"/>
  <c r="AR364" i="4"/>
  <c r="AR188" i="4"/>
  <c r="AR24" i="6"/>
  <c r="AR54" i="4"/>
  <c r="AR27" i="6"/>
  <c r="AY52" i="8"/>
  <c r="AR38" i="5"/>
  <c r="AR55" i="4"/>
  <c r="AR190" i="4"/>
  <c r="AR76" i="6"/>
  <c r="AE116" i="1"/>
  <c r="K40" i="1"/>
  <c r="AF146" i="1"/>
  <c r="AF162" i="1"/>
  <c r="AS118" i="4"/>
  <c r="AS119" i="4"/>
  <c r="AS38" i="4"/>
  <c r="AS26" i="6"/>
  <c r="AR62" i="6"/>
  <c r="AR58" i="6"/>
  <c r="AR195" i="4"/>
  <c r="AS182" i="4"/>
  <c r="AR91" i="6"/>
  <c r="AF147" i="1"/>
  <c r="AE119" i="1"/>
  <c r="N40" i="1"/>
  <c r="AR357" i="4"/>
  <c r="AR359" i="4"/>
  <c r="AR261" i="4"/>
  <c r="AQ263" i="4"/>
  <c r="AR39" i="5"/>
  <c r="AY43" i="8"/>
  <c r="AR67" i="7"/>
  <c r="AR72" i="7"/>
  <c r="AR57" i="4"/>
  <c r="AS49" i="4"/>
  <c r="AE120" i="1"/>
  <c r="O40" i="1"/>
  <c r="AR41" i="5"/>
  <c r="AR45" i="5"/>
  <c r="AR90" i="6"/>
  <c r="AF148" i="1"/>
  <c r="AF161" i="1"/>
  <c r="AE115" i="1"/>
  <c r="J40" i="1"/>
  <c r="AE117" i="1"/>
  <c r="AR303" i="4"/>
  <c r="AR269" i="4"/>
  <c r="AY58" i="8"/>
  <c r="L40" i="1"/>
  <c r="AS132" i="4"/>
  <c r="AS39" i="4"/>
  <c r="AS40" i="4"/>
  <c r="AS134" i="4"/>
  <c r="AS135" i="4"/>
  <c r="AS43" i="4"/>
  <c r="AS120" i="4"/>
  <c r="AS362" i="4"/>
  <c r="AS42" i="4"/>
  <c r="AS185" i="4"/>
  <c r="AS137" i="4"/>
  <c r="AS52" i="4"/>
  <c r="AS262" i="4"/>
  <c r="AS44" i="4"/>
  <c r="AS139" i="4"/>
  <c r="AS140" i="4"/>
  <c r="AS186" i="4"/>
  <c r="AS41" i="4"/>
  <c r="AS363" i="4"/>
  <c r="AS53" i="4"/>
  <c r="AS187" i="4"/>
  <c r="AS193" i="4"/>
  <c r="AS26" i="9"/>
  <c r="AS45" i="4"/>
  <c r="AS40" i="5"/>
  <c r="AS141" i="4"/>
  <c r="AS89" i="6"/>
  <c r="AG149" i="1"/>
  <c r="AS61" i="6"/>
  <c r="AT127" i="4"/>
  <c r="AS143" i="4"/>
  <c r="AS123" i="4"/>
  <c r="AS188" i="4"/>
  <c r="AS55" i="4"/>
  <c r="AS54" i="4"/>
  <c r="AS24" i="6"/>
  <c r="AS46" i="4"/>
  <c r="AS37" i="5"/>
  <c r="AS57" i="4"/>
  <c r="AT49" i="4"/>
  <c r="AF119" i="1"/>
  <c r="N41" i="1"/>
  <c r="AT36" i="4"/>
  <c r="AS62" i="4"/>
  <c r="AS361" i="4"/>
  <c r="AS364" i="4"/>
  <c r="AT130" i="4"/>
  <c r="AT131" i="4"/>
  <c r="AG146" i="1"/>
  <c r="AG162" i="1"/>
  <c r="AF116" i="1"/>
  <c r="K41" i="1"/>
  <c r="AS76" i="6"/>
  <c r="AS357" i="4"/>
  <c r="AS359" i="4"/>
  <c r="AS39" i="5"/>
  <c r="AS261" i="4"/>
  <c r="AR263" i="4"/>
  <c r="AS190" i="4"/>
  <c r="AF120" i="1"/>
  <c r="O41" i="1"/>
  <c r="AS90" i="6"/>
  <c r="AG148" i="1"/>
  <c r="AS38" i="5"/>
  <c r="AS27" i="6"/>
  <c r="AS62" i="6"/>
  <c r="AS58" i="6"/>
  <c r="AT182" i="4"/>
  <c r="AS195" i="4"/>
  <c r="AT119" i="4"/>
  <c r="AT118" i="4"/>
  <c r="AT26" i="6"/>
  <c r="AT38" i="4"/>
  <c r="AT132" i="4"/>
  <c r="AZ58" i="8"/>
  <c r="AG147" i="1"/>
  <c r="AG161" i="1"/>
  <c r="AS91" i="6"/>
  <c r="AS41" i="5"/>
  <c r="AS45" i="5"/>
  <c r="AF115" i="1"/>
  <c r="AT120" i="4"/>
  <c r="AT39" i="4"/>
  <c r="AZ52" i="8"/>
  <c r="AS67" i="7"/>
  <c r="AS72" i="7"/>
  <c r="AZ43" i="8"/>
  <c r="AT134" i="4"/>
  <c r="AT42" i="4"/>
  <c r="AT40" i="4"/>
  <c r="AF117" i="1"/>
  <c r="J41" i="1"/>
  <c r="AS269" i="4"/>
  <c r="AS303" i="4"/>
  <c r="AT362" i="4"/>
  <c r="AT135" i="4"/>
  <c r="AT43" i="4"/>
  <c r="AT262" i="4"/>
  <c r="L41" i="1"/>
  <c r="AT185" i="4"/>
  <c r="AT137" i="4"/>
  <c r="AT52" i="4"/>
  <c r="AT44" i="4"/>
  <c r="AT139" i="4"/>
  <c r="AT41" i="4"/>
  <c r="AT140" i="4"/>
  <c r="AT363" i="4"/>
  <c r="AT186" i="4"/>
  <c r="AT45" i="4"/>
  <c r="AT141" i="4"/>
  <c r="AT61" i="6"/>
  <c r="AU127" i="4"/>
  <c r="AT143" i="4"/>
  <c r="AT123" i="4"/>
  <c r="AT40" i="5"/>
  <c r="AT46" i="4"/>
  <c r="AT53" i="4"/>
  <c r="AT187" i="4"/>
  <c r="AT193" i="4"/>
  <c r="AT26" i="9"/>
  <c r="AT188" i="4"/>
  <c r="AT55" i="4"/>
  <c r="AT54" i="4"/>
  <c r="AT24" i="6"/>
  <c r="AT62" i="4"/>
  <c r="AT361" i="4"/>
  <c r="AT364" i="4"/>
  <c r="AT37" i="5"/>
  <c r="AU36" i="4"/>
  <c r="AU130" i="4"/>
  <c r="AU131" i="4"/>
  <c r="AH149" i="1"/>
  <c r="AT89" i="6"/>
  <c r="AT57" i="4"/>
  <c r="AU49" i="4"/>
  <c r="BA58" i="8"/>
  <c r="AT190" i="4"/>
  <c r="AT62" i="6"/>
  <c r="AT58" i="6"/>
  <c r="AG119" i="1"/>
  <c r="N42" i="1"/>
  <c r="AT38" i="5"/>
  <c r="AT27" i="6"/>
  <c r="BA52" i="8"/>
  <c r="AU26" i="6"/>
  <c r="AU118" i="4"/>
  <c r="AU119" i="4"/>
  <c r="AU132" i="4"/>
  <c r="AU38" i="4"/>
  <c r="AT76" i="6"/>
  <c r="AG116" i="1"/>
  <c r="K42" i="1"/>
  <c r="AH146" i="1"/>
  <c r="AH162" i="1"/>
  <c r="AT357" i="4"/>
  <c r="AT359" i="4"/>
  <c r="AT261" i="4"/>
  <c r="AS263" i="4"/>
  <c r="AT39" i="5"/>
  <c r="AG120" i="1"/>
  <c r="O42" i="1"/>
  <c r="AT195" i="4"/>
  <c r="AU182" i="4"/>
  <c r="AU189" i="4"/>
  <c r="AT41" i="5"/>
  <c r="AT45" i="5"/>
  <c r="AT303" i="4"/>
  <c r="AT67" i="7"/>
  <c r="AT72" i="7"/>
  <c r="AH148" i="1"/>
  <c r="AT90" i="6"/>
  <c r="AU362" i="4"/>
  <c r="AU39" i="4"/>
  <c r="BA43" i="8"/>
  <c r="AG115" i="1"/>
  <c r="AT91" i="6"/>
  <c r="AH147" i="1"/>
  <c r="AT269" i="4"/>
  <c r="AU134" i="4"/>
  <c r="AU42" i="4"/>
  <c r="AH161" i="1"/>
  <c r="AU120" i="4"/>
  <c r="AU56" i="4"/>
  <c r="AU358" i="4"/>
  <c r="AG117" i="1"/>
  <c r="J42" i="1"/>
  <c r="AU40" i="4"/>
  <c r="AU135" i="4"/>
  <c r="AU185" i="4"/>
  <c r="L42" i="1"/>
  <c r="AU262" i="4"/>
  <c r="AU43" i="4"/>
  <c r="AU52" i="4"/>
  <c r="AU137" i="4"/>
  <c r="AU139" i="4"/>
  <c r="AU140" i="4"/>
  <c r="AU45" i="4"/>
  <c r="AU44" i="4"/>
  <c r="AU141" i="4"/>
  <c r="AU363" i="4"/>
  <c r="AU41" i="4"/>
  <c r="AU46" i="4"/>
  <c r="AU186" i="4"/>
  <c r="AU40" i="5"/>
  <c r="AV36" i="4"/>
  <c r="AU53" i="4"/>
  <c r="AU187" i="4"/>
  <c r="AU193" i="4"/>
  <c r="AU26" i="9"/>
  <c r="AU61" i="6"/>
  <c r="AV127" i="4"/>
  <c r="AU143" i="4"/>
  <c r="AU123" i="4"/>
  <c r="AU89" i="6"/>
  <c r="AI149" i="1"/>
  <c r="AU54" i="4"/>
  <c r="AU188" i="4"/>
  <c r="AU55" i="4"/>
  <c r="AU24" i="6"/>
  <c r="AU37" i="5"/>
  <c r="AV130" i="4"/>
  <c r="AV131" i="4"/>
  <c r="AU62" i="4"/>
  <c r="AU361" i="4"/>
  <c r="AU364" i="4"/>
  <c r="AU57" i="4"/>
  <c r="AU190" i="4"/>
  <c r="AU62" i="6"/>
  <c r="AU58" i="6"/>
  <c r="AH119" i="1"/>
  <c r="N43" i="1"/>
  <c r="AH116" i="1"/>
  <c r="K43" i="1"/>
  <c r="AU76" i="6"/>
  <c r="AI146" i="1"/>
  <c r="AI162" i="1"/>
  <c r="AU38" i="5"/>
  <c r="AU27" i="6"/>
  <c r="BB52" i="8"/>
  <c r="AV119" i="4"/>
  <c r="AV26" i="6"/>
  <c r="AV38" i="4"/>
  <c r="AV118" i="4"/>
  <c r="AV132" i="4"/>
  <c r="AU39" i="5"/>
  <c r="AU357" i="4"/>
  <c r="AU359" i="4"/>
  <c r="AU261" i="4"/>
  <c r="AT263" i="4"/>
  <c r="AV49" i="4"/>
  <c r="AH120" i="1"/>
  <c r="O43" i="1"/>
  <c r="AU195" i="4"/>
  <c r="AV182" i="4"/>
  <c r="AU41" i="5"/>
  <c r="AU45" i="5"/>
  <c r="AU269" i="4"/>
  <c r="BB43" i="8"/>
  <c r="AU67" i="7"/>
  <c r="AU72" i="7"/>
  <c r="AV362" i="4"/>
  <c r="AV40" i="4"/>
  <c r="AI148" i="1"/>
  <c r="AU90" i="6"/>
  <c r="AV189" i="4"/>
  <c r="BB58" i="8"/>
  <c r="AV39" i="4"/>
  <c r="AV120" i="4"/>
  <c r="AV134" i="4"/>
  <c r="AV135" i="4"/>
  <c r="AH115" i="1"/>
  <c r="AU91" i="6"/>
  <c r="AI147" i="1"/>
  <c r="AU303" i="4"/>
  <c r="AI161" i="1"/>
  <c r="AV43" i="4"/>
  <c r="J43" i="1"/>
  <c r="AH117" i="1"/>
  <c r="AV56" i="4"/>
  <c r="AV358" i="4"/>
  <c r="AV42" i="4"/>
  <c r="AV185" i="4"/>
  <c r="AV137" i="4"/>
  <c r="AV52" i="4"/>
  <c r="L43" i="1"/>
  <c r="AV262" i="4"/>
  <c r="AV44" i="4"/>
  <c r="AV139" i="4"/>
  <c r="AV140" i="4"/>
  <c r="AV45" i="4"/>
  <c r="AV41" i="4"/>
  <c r="AV40" i="5"/>
  <c r="AV141" i="4"/>
  <c r="AW127" i="4"/>
  <c r="AV186" i="4"/>
  <c r="AV53" i="4"/>
  <c r="AV363" i="4"/>
  <c r="AJ149" i="1"/>
  <c r="AV89" i="6"/>
  <c r="AV46" i="4"/>
  <c r="AV143" i="4"/>
  <c r="AV123" i="4"/>
  <c r="AV361" i="4"/>
  <c r="AV364" i="4"/>
  <c r="AV187" i="4"/>
  <c r="AV188" i="4"/>
  <c r="AV55" i="4"/>
  <c r="AV193" i="4"/>
  <c r="AV26" i="9"/>
  <c r="AV61" i="6"/>
  <c r="AV62" i="4"/>
  <c r="AW36" i="4"/>
  <c r="AV37" i="5"/>
  <c r="AW130" i="4"/>
  <c r="AW131" i="4"/>
  <c r="AV24" i="6"/>
  <c r="AV54" i="4"/>
  <c r="AI119" i="1"/>
  <c r="N44" i="1"/>
  <c r="AW38" i="4"/>
  <c r="AW132" i="4"/>
  <c r="AW118" i="4"/>
  <c r="AW119" i="4"/>
  <c r="AW26" i="6"/>
  <c r="AV357" i="4"/>
  <c r="AV359" i="4"/>
  <c r="AV39" i="5"/>
  <c r="AV261" i="4"/>
  <c r="AU263" i="4"/>
  <c r="AV190" i="4"/>
  <c r="AV38" i="5"/>
  <c r="AV27" i="6"/>
  <c r="BC52" i="8"/>
  <c r="AI116" i="1"/>
  <c r="K44" i="1"/>
  <c r="AJ146" i="1"/>
  <c r="AJ162" i="1"/>
  <c r="AV76" i="6"/>
  <c r="AV41" i="5"/>
  <c r="AV45" i="5"/>
  <c r="AV269" i="4"/>
  <c r="AV57" i="4"/>
  <c r="AW49" i="4"/>
  <c r="AW182" i="4"/>
  <c r="AV62" i="6"/>
  <c r="AV58" i="6"/>
  <c r="AV195" i="4"/>
  <c r="AJ148" i="1"/>
  <c r="AV90" i="6"/>
  <c r="AV67" i="7"/>
  <c r="AV72" i="7"/>
  <c r="AV91" i="6"/>
  <c r="AI115" i="1"/>
  <c r="AJ147" i="1"/>
  <c r="AW120" i="4"/>
  <c r="AW40" i="4"/>
  <c r="AW39" i="4"/>
  <c r="AW362" i="4"/>
  <c r="AW134" i="4"/>
  <c r="BC43" i="8"/>
  <c r="AV303" i="4"/>
  <c r="AI120" i="1"/>
  <c r="O44" i="1"/>
  <c r="AJ161" i="1"/>
  <c r="BC58" i="8"/>
  <c r="J44" i="1"/>
  <c r="AI117" i="1"/>
  <c r="AW42" i="4"/>
  <c r="AW135" i="4"/>
  <c r="AW189" i="4"/>
  <c r="AW43" i="4"/>
  <c r="L44" i="1"/>
  <c r="AW56" i="4"/>
  <c r="AW358" i="4"/>
  <c r="AW185" i="4"/>
  <c r="AW262" i="4"/>
  <c r="AW52" i="4"/>
  <c r="AW137" i="4"/>
  <c r="AW44" i="4"/>
  <c r="AW139" i="4"/>
  <c r="AW140" i="4"/>
  <c r="AW186" i="4"/>
  <c r="AW41" i="4"/>
  <c r="AW53" i="4"/>
  <c r="AW193" i="4"/>
  <c r="AW26" i="9"/>
  <c r="AW187" i="4"/>
  <c r="AW45" i="4"/>
  <c r="AW40" i="5"/>
  <c r="AW141" i="4"/>
  <c r="AW363" i="4"/>
  <c r="AW61" i="6"/>
  <c r="AX127" i="4"/>
  <c r="AW143" i="4"/>
  <c r="AW123" i="4"/>
  <c r="AW54" i="4"/>
  <c r="AW24" i="6"/>
  <c r="AW188" i="4"/>
  <c r="AW55" i="4"/>
  <c r="AK149" i="1"/>
  <c r="AW89" i="6"/>
  <c r="AW46" i="4"/>
  <c r="AW37" i="5"/>
  <c r="AJ119" i="1"/>
  <c r="N45" i="1"/>
  <c r="AW57" i="4"/>
  <c r="AX49" i="4"/>
  <c r="AJ116" i="1"/>
  <c r="K45" i="1"/>
  <c r="AW76" i="6"/>
  <c r="AK146" i="1"/>
  <c r="AK162" i="1"/>
  <c r="AX36" i="4"/>
  <c r="BD58" i="8"/>
  <c r="AW357" i="4"/>
  <c r="AW359" i="4"/>
  <c r="AW39" i="5"/>
  <c r="AW261" i="4"/>
  <c r="AV263" i="4"/>
  <c r="AW62" i="4"/>
  <c r="AW361" i="4"/>
  <c r="AW364" i="4"/>
  <c r="AX130" i="4"/>
  <c r="AX131" i="4"/>
  <c r="AW190" i="4"/>
  <c r="AJ120" i="1"/>
  <c r="O45" i="1"/>
  <c r="AW195" i="4"/>
  <c r="AW62" i="6"/>
  <c r="AW58" i="6"/>
  <c r="AX182" i="4"/>
  <c r="AX118" i="4"/>
  <c r="AX132" i="4"/>
  <c r="AX119" i="4"/>
  <c r="AX38" i="4"/>
  <c r="AX26" i="6"/>
  <c r="AW27" i="6"/>
  <c r="AW38" i="5"/>
  <c r="AW90" i="6"/>
  <c r="AK148" i="1"/>
  <c r="AJ115" i="1"/>
  <c r="AW91" i="6"/>
  <c r="AK147" i="1"/>
  <c r="AK161" i="1"/>
  <c r="AW41" i="5"/>
  <c r="AW45" i="5"/>
  <c r="AX189" i="4"/>
  <c r="BD52" i="8"/>
  <c r="BD43" i="8"/>
  <c r="AW67" i="7"/>
  <c r="AW72" i="7"/>
  <c r="AX362" i="4"/>
  <c r="AX40" i="4"/>
  <c r="AX39" i="4"/>
  <c r="AX120" i="4"/>
  <c r="AX134" i="4"/>
  <c r="AX135" i="4"/>
  <c r="AX43" i="4"/>
  <c r="AX42" i="4"/>
  <c r="AX185" i="4"/>
  <c r="AX56" i="4"/>
  <c r="AX358" i="4"/>
  <c r="AJ117" i="1"/>
  <c r="J45" i="1"/>
  <c r="AW269" i="4"/>
  <c r="AW303" i="4"/>
  <c r="L45" i="1"/>
  <c r="AX52" i="4"/>
  <c r="AX137" i="4"/>
  <c r="AX262" i="4"/>
  <c r="AX44" i="4"/>
  <c r="AX139" i="4"/>
  <c r="AX140" i="4"/>
  <c r="AX186" i="4"/>
  <c r="AX41" i="4"/>
  <c r="AX53" i="4"/>
  <c r="AX187" i="4"/>
  <c r="AX193" i="4"/>
  <c r="AX26" i="9"/>
  <c r="AX45" i="4"/>
  <c r="AX40" i="5"/>
  <c r="AX141" i="4"/>
  <c r="AX363" i="4"/>
  <c r="AY127" i="4"/>
  <c r="AX61" i="6"/>
  <c r="AX143" i="4"/>
  <c r="AX123" i="4"/>
  <c r="AX24" i="6"/>
  <c r="AX188" i="4"/>
  <c r="AX55" i="4"/>
  <c r="AX54" i="4"/>
  <c r="AL149" i="1"/>
  <c r="AX89" i="6"/>
  <c r="AX46" i="4"/>
  <c r="AX37" i="5"/>
  <c r="AX57" i="4"/>
  <c r="AY49" i="4"/>
  <c r="AK119" i="1"/>
  <c r="N46" i="1"/>
  <c r="AX361" i="4"/>
  <c r="AX364" i="4"/>
  <c r="AX62" i="4"/>
  <c r="AY36" i="4"/>
  <c r="AK116" i="1"/>
  <c r="K46" i="1"/>
  <c r="AL146" i="1"/>
  <c r="AL162" i="1"/>
  <c r="AX76" i="6"/>
  <c r="AX357" i="4"/>
  <c r="AX359" i="4"/>
  <c r="AX261" i="4"/>
  <c r="AW263" i="4"/>
  <c r="AX39" i="5"/>
  <c r="AY130" i="4"/>
  <c r="AY131" i="4"/>
  <c r="AX190" i="4"/>
  <c r="AK120" i="1"/>
  <c r="O46" i="1"/>
  <c r="AX27" i="6"/>
  <c r="AX38" i="5"/>
  <c r="AX195" i="4"/>
  <c r="AY182" i="4"/>
  <c r="AX62" i="6"/>
  <c r="AX58" i="6"/>
  <c r="AL148" i="1"/>
  <c r="AX90" i="6"/>
  <c r="AY38" i="4"/>
  <c r="AY118" i="4"/>
  <c r="AY119" i="4"/>
  <c r="AY26" i="6"/>
  <c r="AY132" i="4"/>
  <c r="BE58" i="8"/>
  <c r="AY40" i="4"/>
  <c r="AY39" i="4"/>
  <c r="AX91" i="6"/>
  <c r="AK115" i="1"/>
  <c r="AL147" i="1"/>
  <c r="AL161" i="1"/>
  <c r="AX41" i="5"/>
  <c r="AX45" i="5"/>
  <c r="BE52" i="8"/>
  <c r="BE43" i="8"/>
  <c r="AX67" i="7"/>
  <c r="AX72" i="7"/>
  <c r="AY189" i="4"/>
  <c r="AY134" i="4"/>
  <c r="AY135" i="4"/>
  <c r="AY43" i="4"/>
  <c r="AY362" i="4"/>
  <c r="AY120" i="4"/>
  <c r="J46" i="1"/>
  <c r="AK117" i="1"/>
  <c r="AY56" i="4"/>
  <c r="AY358" i="4"/>
  <c r="AX303" i="4"/>
  <c r="AX269" i="4"/>
  <c r="AY42" i="4"/>
  <c r="AY185" i="4"/>
  <c r="AY262" i="4"/>
  <c r="AY137" i="4"/>
  <c r="AY52" i="4"/>
  <c r="L46" i="1"/>
  <c r="AY44" i="4"/>
  <c r="AY139" i="4"/>
  <c r="AY41" i="4"/>
  <c r="AY140" i="4"/>
  <c r="AY363" i="4"/>
  <c r="AY45" i="4"/>
  <c r="AY40" i="5"/>
  <c r="AY141" i="4"/>
  <c r="AY186" i="4"/>
  <c r="AY46" i="4"/>
  <c r="AZ36" i="4"/>
  <c r="AY187" i="4"/>
  <c r="AY53" i="4"/>
  <c r="AY193" i="4"/>
  <c r="AY26" i="9"/>
  <c r="AZ127" i="4"/>
  <c r="AY61" i="6"/>
  <c r="AY143" i="4"/>
  <c r="AY123" i="4"/>
  <c r="AY89" i="6"/>
  <c r="AM149" i="1"/>
  <c r="AY158" i="4"/>
  <c r="AY159" i="4"/>
  <c r="AY23" i="9"/>
  <c r="AY37" i="5"/>
  <c r="AZ130" i="4"/>
  <c r="AZ131" i="4"/>
  <c r="AY54" i="4"/>
  <c r="AY188" i="4"/>
  <c r="AY55" i="4"/>
  <c r="AY24" i="6"/>
  <c r="AL119" i="1"/>
  <c r="N47" i="1"/>
  <c r="AZ132" i="4"/>
  <c r="AZ119" i="4"/>
  <c r="AZ26" i="6"/>
  <c r="AZ118" i="4"/>
  <c r="AZ38" i="4"/>
  <c r="AY361" i="4"/>
  <c r="AY364" i="4"/>
  <c r="AY62" i="4"/>
  <c r="AY357" i="4"/>
  <c r="AY359" i="4"/>
  <c r="AY261" i="4"/>
  <c r="AX263" i="4"/>
  <c r="AY39" i="5"/>
  <c r="AY57" i="4"/>
  <c r="AY76" i="6"/>
  <c r="AM146" i="1"/>
  <c r="AM162" i="1"/>
  <c r="AL116" i="1"/>
  <c r="K47" i="1"/>
  <c r="AY190" i="4"/>
  <c r="AZ40" i="4"/>
  <c r="AZ49" i="4"/>
  <c r="AL120" i="1"/>
  <c r="O47" i="1"/>
  <c r="AZ39" i="4"/>
  <c r="AZ120" i="4"/>
  <c r="AZ362" i="4"/>
  <c r="AZ134" i="4"/>
  <c r="AZ135" i="4"/>
  <c r="AZ43" i="4"/>
  <c r="AY38" i="5"/>
  <c r="AY27" i="6"/>
  <c r="AY195" i="4"/>
  <c r="AY62" i="6"/>
  <c r="AY58" i="6"/>
  <c r="AZ182" i="4"/>
  <c r="AM148" i="1"/>
  <c r="AY90" i="6"/>
  <c r="BF58" i="8"/>
  <c r="BF52" i="8"/>
  <c r="AY67" i="7"/>
  <c r="AY72" i="7"/>
  <c r="BF43" i="8"/>
  <c r="AZ42" i="4"/>
  <c r="AZ185" i="4"/>
  <c r="AZ189" i="4"/>
  <c r="AZ56" i="4"/>
  <c r="AZ358" i="4"/>
  <c r="AY91" i="6"/>
  <c r="AM147" i="1"/>
  <c r="AM161" i="1"/>
  <c r="AL115" i="1"/>
  <c r="AY41" i="5"/>
  <c r="AY45" i="5"/>
  <c r="AL117" i="1"/>
  <c r="J47" i="1"/>
  <c r="AZ137" i="4"/>
  <c r="AZ52" i="4"/>
  <c r="AZ262" i="4"/>
  <c r="AY303" i="4"/>
  <c r="AY269" i="4"/>
  <c r="AZ44" i="4"/>
  <c r="AZ139" i="4"/>
  <c r="L47" i="1"/>
  <c r="AZ41" i="4"/>
  <c r="AZ140" i="4"/>
  <c r="AZ363" i="4"/>
  <c r="AZ45" i="4"/>
  <c r="AZ40" i="5"/>
  <c r="AZ186" i="4"/>
  <c r="AZ141" i="4"/>
  <c r="AZ46" i="4"/>
  <c r="BA36" i="4"/>
  <c r="AZ53" i="4"/>
  <c r="AZ187" i="4"/>
  <c r="AZ193" i="4"/>
  <c r="AZ26" i="9"/>
  <c r="AZ89" i="6"/>
  <c r="AN149" i="1"/>
  <c r="BA127" i="4"/>
  <c r="AZ61" i="6"/>
  <c r="AZ143" i="4"/>
  <c r="AZ123" i="4"/>
  <c r="AZ188" i="4"/>
  <c r="AZ55" i="4"/>
  <c r="AZ24" i="6"/>
  <c r="AZ54" i="4"/>
  <c r="AZ37" i="5"/>
  <c r="BA130" i="4"/>
  <c r="BA131" i="4"/>
  <c r="AZ158" i="4"/>
  <c r="AZ159" i="4"/>
  <c r="AZ23" i="9"/>
  <c r="AZ57" i="4"/>
  <c r="BA49" i="4"/>
  <c r="AZ190" i="4"/>
  <c r="AZ195" i="4"/>
  <c r="AM116" i="1"/>
  <c r="K48" i="1"/>
  <c r="AZ76" i="6"/>
  <c r="AN146" i="1"/>
  <c r="AN162" i="1"/>
  <c r="AZ361" i="4"/>
  <c r="AZ364" i="4"/>
  <c r="AZ62" i="4"/>
  <c r="BA118" i="4"/>
  <c r="BA132" i="4"/>
  <c r="BA26" i="6"/>
  <c r="BA38" i="4"/>
  <c r="BA119" i="4"/>
  <c r="AM119" i="1"/>
  <c r="N48" i="1"/>
  <c r="AZ357" i="4"/>
  <c r="AZ359" i="4"/>
  <c r="AZ261" i="4"/>
  <c r="AY263" i="4"/>
  <c r="AZ39" i="5"/>
  <c r="AM120" i="1"/>
  <c r="O48" i="1"/>
  <c r="AZ62" i="6"/>
  <c r="AZ58" i="6"/>
  <c r="BA182" i="4"/>
  <c r="BA189" i="4"/>
  <c r="BA56" i="4"/>
  <c r="BA358" i="4"/>
  <c r="BA40" i="4"/>
  <c r="BA39" i="4"/>
  <c r="AZ90" i="6"/>
  <c r="AN148" i="1"/>
  <c r="AZ27" i="6"/>
  <c r="AZ38" i="5"/>
  <c r="BG58" i="8"/>
  <c r="BA120" i="4"/>
  <c r="BA362" i="4"/>
  <c r="AN147" i="1"/>
  <c r="AN161" i="1"/>
  <c r="AM115" i="1"/>
  <c r="AZ91" i="6"/>
  <c r="AZ41" i="5"/>
  <c r="AZ45" i="5"/>
  <c r="BG52" i="8"/>
  <c r="BG43" i="8"/>
  <c r="AZ67" i="7"/>
  <c r="AZ72" i="7"/>
  <c r="BA134" i="4"/>
  <c r="BA135" i="4"/>
  <c r="BA43" i="4"/>
  <c r="BA42" i="4"/>
  <c r="AZ303" i="4"/>
  <c r="AZ269" i="4"/>
  <c r="J48" i="1"/>
  <c r="AM117" i="1"/>
  <c r="BA185" i="4"/>
  <c r="BA137" i="4"/>
  <c r="L48" i="1"/>
  <c r="BA262" i="4"/>
  <c r="BA52" i="4"/>
  <c r="BA44" i="4"/>
  <c r="BA139" i="4"/>
  <c r="BA140" i="4"/>
  <c r="BA363" i="4"/>
  <c r="BA41" i="4"/>
  <c r="BA186" i="4"/>
  <c r="BA53" i="4"/>
  <c r="BA45" i="4"/>
  <c r="BA40" i="5"/>
  <c r="BA141" i="4"/>
  <c r="BA193" i="4"/>
  <c r="BA26" i="9"/>
  <c r="BA187" i="4"/>
  <c r="BA188" i="4"/>
  <c r="BA55" i="4"/>
  <c r="BA61" i="6"/>
  <c r="BB127" i="4"/>
  <c r="BA143" i="4"/>
  <c r="BA123" i="4"/>
  <c r="AO149" i="1"/>
  <c r="BA89" i="6"/>
  <c r="BA46" i="4"/>
  <c r="BA37" i="5"/>
  <c r="BA190" i="4"/>
  <c r="BA62" i="6"/>
  <c r="BA58" i="6"/>
  <c r="BA54" i="4"/>
  <c r="BA57" i="4"/>
  <c r="BB49" i="4"/>
  <c r="BA24" i="6"/>
  <c r="BB36" i="4"/>
  <c r="BA158" i="4"/>
  <c r="BA159" i="4"/>
  <c r="BA23" i="9"/>
  <c r="AO146" i="1"/>
  <c r="AO162" i="1"/>
  <c r="BA76" i="6"/>
  <c r="AN116" i="1"/>
  <c r="K49" i="1"/>
  <c r="BB130" i="4"/>
  <c r="BB131" i="4"/>
  <c r="BA357" i="4"/>
  <c r="BA359" i="4"/>
  <c r="BA261" i="4"/>
  <c r="AZ263" i="4"/>
  <c r="BA39" i="5"/>
  <c r="BB182" i="4"/>
  <c r="BB189" i="4"/>
  <c r="BB56" i="4"/>
  <c r="BB358" i="4"/>
  <c r="BA195" i="4"/>
  <c r="AN120" i="1"/>
  <c r="O49" i="1"/>
  <c r="AN119" i="1"/>
  <c r="N49" i="1"/>
  <c r="BA90" i="6"/>
  <c r="AO148" i="1"/>
  <c r="BB119" i="4"/>
  <c r="BB38" i="4"/>
  <c r="BB26" i="6"/>
  <c r="BB118" i="4"/>
  <c r="BA62" i="4"/>
  <c r="BA361" i="4"/>
  <c r="BA364" i="4"/>
  <c r="BH58" i="8"/>
  <c r="BB132" i="4"/>
  <c r="BB40" i="4"/>
  <c r="BA27" i="6"/>
  <c r="BA38" i="5"/>
  <c r="BB39" i="4"/>
  <c r="BB362" i="4"/>
  <c r="BB134" i="4"/>
  <c r="BB42" i="4"/>
  <c r="BB262" i="4"/>
  <c r="BB120" i="4"/>
  <c r="AN115" i="1"/>
  <c r="AO147" i="1"/>
  <c r="AO161" i="1"/>
  <c r="BA91" i="6"/>
  <c r="BA41" i="5"/>
  <c r="BA45" i="5"/>
  <c r="BH52" i="8"/>
  <c r="BA67" i="7"/>
  <c r="BA72" i="7"/>
  <c r="BH43" i="8"/>
  <c r="BB135" i="4"/>
  <c r="BB43" i="4"/>
  <c r="BA303" i="4"/>
  <c r="BA269" i="4"/>
  <c r="J49" i="1"/>
  <c r="AN117" i="1"/>
  <c r="BB185" i="4"/>
  <c r="BB137" i="4"/>
  <c r="L49" i="1"/>
  <c r="BB52" i="4"/>
  <c r="BB44" i="4"/>
  <c r="BB139" i="4"/>
  <c r="BB140" i="4"/>
  <c r="BB363" i="4"/>
  <c r="BB45" i="4"/>
  <c r="BB41" i="4"/>
  <c r="BB186" i="4"/>
  <c r="BB141" i="4"/>
  <c r="BB46" i="4"/>
  <c r="BC36" i="4"/>
  <c r="BB53" i="4"/>
  <c r="BB193" i="4"/>
  <c r="BB26" i="9"/>
  <c r="BB187" i="4"/>
  <c r="BB40" i="5"/>
  <c r="BC127" i="4"/>
  <c r="BB61" i="6"/>
  <c r="BB143" i="4"/>
  <c r="BB123" i="4"/>
  <c r="BB158" i="4"/>
  <c r="BB159" i="4"/>
  <c r="BB23" i="9"/>
  <c r="BC130" i="4"/>
  <c r="BC131" i="4"/>
  <c r="BB54" i="4"/>
  <c r="BB24" i="6"/>
  <c r="BB188" i="4"/>
  <c r="BB55" i="4"/>
  <c r="BB89" i="6"/>
  <c r="AP149" i="1"/>
  <c r="BB37" i="5"/>
  <c r="AO119" i="1"/>
  <c r="N50" i="1"/>
  <c r="BB357" i="4"/>
  <c r="BB359" i="4"/>
  <c r="BB39" i="5"/>
  <c r="BB261" i="4"/>
  <c r="BA263" i="4"/>
  <c r="BC118" i="4"/>
  <c r="BC119" i="4"/>
  <c r="BC26" i="6"/>
  <c r="BC38" i="4"/>
  <c r="BC132" i="4"/>
  <c r="AP146" i="1"/>
  <c r="AP162" i="1"/>
  <c r="BB76" i="6"/>
  <c r="AO116" i="1"/>
  <c r="K50" i="1"/>
  <c r="BB57" i="4"/>
  <c r="BB361" i="4"/>
  <c r="BB364" i="4"/>
  <c r="BB62" i="4"/>
  <c r="BB190" i="4"/>
  <c r="BC40" i="4"/>
  <c r="BC39" i="4"/>
  <c r="BB195" i="4"/>
  <c r="BC182" i="4"/>
  <c r="BB62" i="6"/>
  <c r="BB58" i="6"/>
  <c r="BB38" i="5"/>
  <c r="BB27" i="6"/>
  <c r="BC49" i="4"/>
  <c r="AO120" i="1"/>
  <c r="O50" i="1"/>
  <c r="AP148" i="1"/>
  <c r="BB90" i="6"/>
  <c r="BC134" i="4"/>
  <c r="BC135" i="4"/>
  <c r="BC120" i="4"/>
  <c r="BC362" i="4"/>
  <c r="BI52" i="8"/>
  <c r="BB67" i="7"/>
  <c r="BB72" i="7"/>
  <c r="BI43" i="8"/>
  <c r="BB91" i="6"/>
  <c r="AO115" i="1"/>
  <c r="AP147" i="1"/>
  <c r="AP161" i="1"/>
  <c r="BB41" i="5"/>
  <c r="BB45" i="5"/>
  <c r="BC189" i="4"/>
  <c r="BC56" i="4"/>
  <c r="BC358" i="4"/>
  <c r="BI58" i="8"/>
  <c r="BC42" i="4"/>
  <c r="BC262" i="4"/>
  <c r="J50" i="1"/>
  <c r="AO117" i="1"/>
  <c r="BB303" i="4"/>
  <c r="BB269" i="4"/>
  <c r="BC185" i="4"/>
  <c r="BC43" i="4"/>
  <c r="BC137" i="4"/>
  <c r="BC52" i="4"/>
  <c r="L50" i="1"/>
  <c r="BC44" i="4"/>
  <c r="BC139" i="4"/>
  <c r="BC41" i="4"/>
  <c r="BC140" i="4"/>
  <c r="BC363" i="4"/>
  <c r="BC186" i="4"/>
  <c r="BC45" i="4"/>
  <c r="BC141" i="4"/>
  <c r="BC61" i="6"/>
  <c r="BD127" i="4"/>
  <c r="BC143" i="4"/>
  <c r="BC123" i="4"/>
  <c r="BC40" i="5"/>
  <c r="BC46" i="4"/>
  <c r="BC53" i="4"/>
  <c r="BC187" i="4"/>
  <c r="BC193" i="4"/>
  <c r="BC26" i="9"/>
  <c r="BC54" i="4"/>
  <c r="BC188" i="4"/>
  <c r="BC55" i="4"/>
  <c r="BC24" i="6"/>
  <c r="BC158" i="4"/>
  <c r="BC159" i="4"/>
  <c r="BC23" i="9"/>
  <c r="BC37" i="5"/>
  <c r="BD36" i="4"/>
  <c r="BD130" i="4"/>
  <c r="BD131" i="4"/>
  <c r="AQ149" i="1"/>
  <c r="BC89" i="6"/>
  <c r="BC57" i="4"/>
  <c r="BD49" i="4"/>
  <c r="BJ58" i="8"/>
  <c r="BC190" i="4"/>
  <c r="BD182" i="4"/>
  <c r="AP119" i="1"/>
  <c r="N51" i="1"/>
  <c r="BD38" i="4"/>
  <c r="BD118" i="4"/>
  <c r="BD119" i="4"/>
  <c r="BD132" i="4"/>
  <c r="BD26" i="6"/>
  <c r="BC76" i="6"/>
  <c r="AP116" i="1"/>
  <c r="K51" i="1"/>
  <c r="AQ146" i="1"/>
  <c r="AQ162" i="1"/>
  <c r="BC357" i="4"/>
  <c r="BC359" i="4"/>
  <c r="BC39" i="5"/>
  <c r="BC261" i="4"/>
  <c r="BB263" i="4"/>
  <c r="BC62" i="4"/>
  <c r="BC361" i="4"/>
  <c r="BC364" i="4"/>
  <c r="AP120" i="1"/>
  <c r="O51" i="1"/>
  <c r="BC62" i="6"/>
  <c r="BC58" i="6"/>
  <c r="BC195" i="4"/>
  <c r="BD189" i="4"/>
  <c r="BD56" i="4"/>
  <c r="BD358" i="4"/>
  <c r="BC27" i="6"/>
  <c r="BC38" i="5"/>
  <c r="BD39" i="4"/>
  <c r="AQ148" i="1"/>
  <c r="BC90" i="6"/>
  <c r="BD134" i="4"/>
  <c r="BD120" i="4"/>
  <c r="BD40" i="4"/>
  <c r="AQ147" i="1"/>
  <c r="AQ161" i="1"/>
  <c r="BC91" i="6"/>
  <c r="AP115" i="1"/>
  <c r="BC41" i="5"/>
  <c r="BC45" i="5"/>
  <c r="BD362" i="4"/>
  <c r="BJ52" i="8"/>
  <c r="BJ43" i="8"/>
  <c r="BC67" i="7"/>
  <c r="BC72" i="7"/>
  <c r="BC303" i="4"/>
  <c r="BC269" i="4"/>
  <c r="BD42" i="4"/>
  <c r="BD262" i="4"/>
  <c r="AP117" i="1"/>
  <c r="J51" i="1"/>
  <c r="BD135" i="4"/>
  <c r="BD185" i="4"/>
  <c r="BD43" i="4"/>
  <c r="L51" i="1"/>
  <c r="BD52" i="4"/>
  <c r="BD137" i="4"/>
  <c r="BD44" i="4"/>
  <c r="BD139" i="4"/>
  <c r="BD41" i="4"/>
  <c r="BD140" i="4"/>
  <c r="BD141" i="4"/>
  <c r="BD45" i="4"/>
  <c r="BD40" i="5"/>
  <c r="BD363" i="4"/>
  <c r="BD186" i="4"/>
  <c r="BD46" i="4"/>
  <c r="BE36" i="4"/>
  <c r="BD53" i="4"/>
  <c r="BD37" i="5"/>
  <c r="BD193" i="4"/>
  <c r="BD26" i="9"/>
  <c r="BD187" i="4"/>
  <c r="AR149" i="1"/>
  <c r="BD89" i="6"/>
  <c r="BE127" i="4"/>
  <c r="BD61" i="6"/>
  <c r="BD143" i="4"/>
  <c r="BD123" i="4"/>
  <c r="BD54" i="4"/>
  <c r="BD24" i="6"/>
  <c r="BD188" i="4"/>
  <c r="BD55" i="4"/>
  <c r="BE130" i="4"/>
  <c r="BE131" i="4"/>
  <c r="BD158" i="4"/>
  <c r="BD159" i="4"/>
  <c r="BD23" i="9"/>
  <c r="AQ116" i="1"/>
  <c r="K52" i="1"/>
  <c r="AR146" i="1"/>
  <c r="AR162" i="1"/>
  <c r="BD76" i="6"/>
  <c r="BD190" i="4"/>
  <c r="BE182" i="4"/>
  <c r="BD62" i="4"/>
  <c r="BD361" i="4"/>
  <c r="BD364" i="4"/>
  <c r="BD57" i="4"/>
  <c r="BD357" i="4"/>
  <c r="BD359" i="4"/>
  <c r="BD261" i="4"/>
  <c r="BC263" i="4"/>
  <c r="BD39" i="5"/>
  <c r="AQ119" i="1"/>
  <c r="N52" i="1"/>
  <c r="BE119" i="4"/>
  <c r="BE26" i="6"/>
  <c r="BE118" i="4"/>
  <c r="BE38" i="4"/>
  <c r="BE132" i="4"/>
  <c r="BD195" i="4"/>
  <c r="BE189" i="4"/>
  <c r="BE56" i="4"/>
  <c r="BE358" i="4"/>
  <c r="BD62" i="6"/>
  <c r="BD58" i="6"/>
  <c r="BE49" i="4"/>
  <c r="AQ120" i="1"/>
  <c r="O52" i="1"/>
  <c r="BE40" i="4"/>
  <c r="BE39" i="4"/>
  <c r="AR148" i="1"/>
  <c r="BD90" i="6"/>
  <c r="BD38" i="5"/>
  <c r="BD27" i="6"/>
  <c r="BE120" i="4"/>
  <c r="BK52" i="8"/>
  <c r="BD67" i="7"/>
  <c r="BD72" i="7"/>
  <c r="BK43" i="8"/>
  <c r="BD91" i="6"/>
  <c r="AR147" i="1"/>
  <c r="AR161" i="1"/>
  <c r="AQ115" i="1"/>
  <c r="BD41" i="5"/>
  <c r="BD45" i="5"/>
  <c r="BK58" i="8"/>
  <c r="BE134" i="4"/>
  <c r="BE362" i="4"/>
  <c r="BD269" i="4"/>
  <c r="BD303" i="4"/>
  <c r="J52" i="1"/>
  <c r="AQ117" i="1"/>
  <c r="BE42" i="4"/>
  <c r="BE262" i="4"/>
  <c r="BE135" i="4"/>
  <c r="BE43" i="4"/>
  <c r="BE185" i="4"/>
  <c r="L52" i="1"/>
  <c r="BE52" i="4"/>
  <c r="BE137" i="4"/>
  <c r="BE44" i="4"/>
  <c r="BE139" i="4"/>
  <c r="BE41" i="4"/>
  <c r="BE140" i="4"/>
  <c r="BE186" i="4"/>
  <c r="BE141" i="4"/>
  <c r="BE143" i="4"/>
  <c r="BE123" i="4"/>
  <c r="BE363" i="4"/>
  <c r="BE45" i="4"/>
  <c r="BE53" i="4"/>
  <c r="BE193" i="4"/>
  <c r="BE26" i="9"/>
  <c r="BE187" i="4"/>
  <c r="BE61" i="6"/>
  <c r="BF127" i="4"/>
  <c r="BF130" i="4"/>
  <c r="BF131" i="4"/>
  <c r="BE40" i="5"/>
  <c r="BE46" i="4"/>
  <c r="BF36" i="4"/>
  <c r="BE158" i="4"/>
  <c r="BE159" i="4"/>
  <c r="BE23" i="9"/>
  <c r="BE54" i="4"/>
  <c r="BE188" i="4"/>
  <c r="BE55" i="4"/>
  <c r="BE24" i="6"/>
  <c r="BE37" i="5"/>
  <c r="AS149" i="1"/>
  <c r="BE89" i="6"/>
  <c r="AR116" i="1"/>
  <c r="K53" i="1"/>
  <c r="AS146" i="1"/>
  <c r="BE76" i="6"/>
  <c r="BE361" i="4"/>
  <c r="BE364" i="4"/>
  <c r="BE62" i="4"/>
  <c r="BF118" i="4"/>
  <c r="BF38" i="4"/>
  <c r="BF119" i="4"/>
  <c r="BF26" i="6"/>
  <c r="BF132" i="4"/>
  <c r="AR119" i="1"/>
  <c r="N53" i="1"/>
  <c r="BE357" i="4"/>
  <c r="BE359" i="4"/>
  <c r="BE261" i="4"/>
  <c r="BD263" i="4"/>
  <c r="BE39" i="5"/>
  <c r="BE57" i="4"/>
  <c r="BE190" i="4"/>
  <c r="AS162" i="1"/>
  <c r="BE195" i="4"/>
  <c r="BE62" i="6"/>
  <c r="BE58" i="6"/>
  <c r="BF182" i="4"/>
  <c r="BF189" i="4"/>
  <c r="BF56" i="4"/>
  <c r="BF358" i="4"/>
  <c r="BE27" i="6"/>
  <c r="BE38" i="5"/>
  <c r="BF49" i="4"/>
  <c r="AR120" i="1"/>
  <c r="O53" i="1"/>
  <c r="AS148" i="1"/>
  <c r="BE90" i="6"/>
  <c r="BF362" i="4"/>
  <c r="BF39" i="4"/>
  <c r="BF120" i="4"/>
  <c r="BF134" i="4"/>
  <c r="BF42" i="4"/>
  <c r="BF262" i="4"/>
  <c r="BL58" i="8"/>
  <c r="AR115" i="1"/>
  <c r="AS147" i="1"/>
  <c r="AS161" i="1"/>
  <c r="BE91" i="6"/>
  <c r="BE41" i="5"/>
  <c r="BE45" i="5"/>
  <c r="BF40" i="4"/>
  <c r="BL52" i="8"/>
  <c r="BL43" i="8"/>
  <c r="BE67" i="7"/>
  <c r="BE72" i="7"/>
  <c r="BF135" i="4"/>
  <c r="BF43" i="4"/>
  <c r="BE303" i="4"/>
  <c r="BE269" i="4"/>
  <c r="J53" i="1"/>
  <c r="AR117" i="1"/>
  <c r="BF185" i="4"/>
  <c r="BF52" i="4"/>
  <c r="L53" i="1"/>
  <c r="BF137" i="4"/>
  <c r="BF44" i="4"/>
  <c r="BF139" i="4"/>
  <c r="BF140" i="4"/>
  <c r="BF141" i="4"/>
  <c r="BF61" i="6"/>
  <c r="BF363" i="4"/>
  <c r="BF143" i="4"/>
  <c r="BF186" i="4"/>
  <c r="BF193" i="4"/>
  <c r="BF26" i="9"/>
  <c r="BF41" i="4"/>
  <c r="BG127" i="4"/>
  <c r="BG130" i="4"/>
  <c r="BG131" i="4"/>
  <c r="BF45" i="4"/>
  <c r="BF158" i="4"/>
  <c r="BF159" i="4"/>
  <c r="BF23" i="9"/>
  <c r="BF123" i="4"/>
  <c r="BF361" i="4"/>
  <c r="BF364" i="4"/>
  <c r="BF46" i="4"/>
  <c r="BG36" i="4"/>
  <c r="BF40" i="5"/>
  <c r="BF53" i="4"/>
  <c r="BF37" i="5"/>
  <c r="BF187" i="4"/>
  <c r="BF54" i="4"/>
  <c r="BG38" i="4"/>
  <c r="BG26" i="6"/>
  <c r="BG119" i="4"/>
  <c r="BG118" i="4"/>
  <c r="BG132" i="4"/>
  <c r="BG40" i="4"/>
  <c r="BF89" i="6"/>
  <c r="BF62" i="4"/>
  <c r="BF38" i="5"/>
  <c r="AT149" i="1"/>
  <c r="BF24" i="6"/>
  <c r="BF188" i="4"/>
  <c r="BF55" i="4"/>
  <c r="BF39" i="5"/>
  <c r="BF27" i="6"/>
  <c r="BM52" i="8"/>
  <c r="AT146" i="1"/>
  <c r="AS116" i="1"/>
  <c r="K54" i="1"/>
  <c r="BF76" i="6"/>
  <c r="BG39" i="4"/>
  <c r="BG134" i="4"/>
  <c r="BG135" i="4"/>
  <c r="BG43" i="4"/>
  <c r="BG362" i="4"/>
  <c r="BG120" i="4"/>
  <c r="AT162" i="1"/>
  <c r="BF261" i="4"/>
  <c r="BE263" i="4"/>
  <c r="AS119" i="1"/>
  <c r="N54" i="1"/>
  <c r="BF357" i="4"/>
  <c r="BF359" i="4"/>
  <c r="BF57" i="4"/>
  <c r="BF190" i="4"/>
  <c r="BG189" i="4"/>
  <c r="BG56" i="4"/>
  <c r="BG358" i="4"/>
  <c r="BF67" i="7"/>
  <c r="BF72" i="7"/>
  <c r="BM43" i="8"/>
  <c r="AT148" i="1"/>
  <c r="BF90" i="6"/>
  <c r="BF41" i="5"/>
  <c r="BF45" i="5"/>
  <c r="BF91" i="6"/>
  <c r="AS115" i="1"/>
  <c r="AT147" i="1"/>
  <c r="BG42" i="4"/>
  <c r="BG185" i="4"/>
  <c r="BG262" i="4"/>
  <c r="BG182" i="4"/>
  <c r="BF195" i="4"/>
  <c r="BG49" i="4"/>
  <c r="BM58" i="8"/>
  <c r="AS120" i="1"/>
  <c r="O54" i="1"/>
  <c r="BF62" i="6"/>
  <c r="BF58" i="6"/>
  <c r="AT161" i="1"/>
  <c r="BF269" i="4"/>
  <c r="BF303" i="4"/>
  <c r="J54" i="1"/>
  <c r="AS117" i="1"/>
  <c r="BG137" i="4"/>
  <c r="BG52" i="4"/>
  <c r="BG139" i="4"/>
  <c r="BG44" i="4"/>
  <c r="L54" i="1"/>
  <c r="BG41" i="4"/>
  <c r="BG140" i="4"/>
  <c r="BG363" i="4"/>
  <c r="BG45" i="4"/>
  <c r="BG40" i="5"/>
  <c r="BG141" i="4"/>
  <c r="BG186" i="4"/>
  <c r="BG46" i="4"/>
  <c r="BH36" i="4"/>
  <c r="BG53" i="4"/>
  <c r="BG187" i="4"/>
  <c r="BG193" i="4"/>
  <c r="BG26" i="9"/>
  <c r="BH127" i="4"/>
  <c r="BG61" i="6"/>
  <c r="BG143" i="4"/>
  <c r="BG123" i="4"/>
  <c r="BG89" i="6"/>
  <c r="AU149" i="1"/>
  <c r="BG188" i="4"/>
  <c r="BG55" i="4"/>
  <c r="BG24" i="6"/>
  <c r="BG54" i="4"/>
  <c r="BH130" i="4"/>
  <c r="BH131" i="4"/>
  <c r="BG37" i="5"/>
  <c r="BG158" i="4"/>
  <c r="BG159" i="4"/>
  <c r="BG23" i="9"/>
  <c r="BG190" i="4"/>
  <c r="BH189" i="4"/>
  <c r="BH56" i="4"/>
  <c r="BH358" i="4"/>
  <c r="BG57" i="4"/>
  <c r="AT120" i="1"/>
  <c r="O55" i="1"/>
  <c r="AT119" i="1"/>
  <c r="N55" i="1"/>
  <c r="BG62" i="4"/>
  <c r="BG361" i="4"/>
  <c r="BG364" i="4"/>
  <c r="BH118" i="4"/>
  <c r="BH119" i="4"/>
  <c r="BH26" i="6"/>
  <c r="BH38" i="4"/>
  <c r="AT116" i="1"/>
  <c r="K55" i="1"/>
  <c r="BG76" i="6"/>
  <c r="AU146" i="1"/>
  <c r="AU162" i="1"/>
  <c r="BG357" i="4"/>
  <c r="BG359" i="4"/>
  <c r="BG39" i="5"/>
  <c r="BG261" i="4"/>
  <c r="BF263" i="4"/>
  <c r="BG62" i="6"/>
  <c r="BG58" i="6"/>
  <c r="BH132" i="4"/>
  <c r="BH134" i="4"/>
  <c r="BH49" i="4"/>
  <c r="BN58" i="8"/>
  <c r="BG195" i="4"/>
  <c r="BH182" i="4"/>
  <c r="BH39" i="4"/>
  <c r="BG90" i="6"/>
  <c r="AU148" i="1"/>
  <c r="BG27" i="6"/>
  <c r="BG38" i="5"/>
  <c r="BH120" i="4"/>
  <c r="BH40" i="4"/>
  <c r="BH362" i="4"/>
  <c r="BH135" i="4"/>
  <c r="BH43" i="4"/>
  <c r="BH42" i="4"/>
  <c r="AU147" i="1"/>
  <c r="AU161" i="1"/>
  <c r="BG91" i="6"/>
  <c r="AT115" i="1"/>
  <c r="BG41" i="5"/>
  <c r="BG45" i="5"/>
  <c r="BN52" i="8"/>
  <c r="BN43" i="8"/>
  <c r="BG67" i="7"/>
  <c r="BG72" i="7"/>
  <c r="BH262" i="4"/>
  <c r="BH185" i="4"/>
  <c r="BH52" i="4"/>
  <c r="AT117" i="1"/>
  <c r="J55" i="1"/>
  <c r="BG303" i="4"/>
  <c r="BG269" i="4"/>
  <c r="BH137" i="4"/>
  <c r="BH44" i="4"/>
  <c r="L55" i="1"/>
  <c r="BH139" i="4"/>
  <c r="BH140" i="4"/>
  <c r="BH41" i="4"/>
  <c r="BH141" i="4"/>
  <c r="BH45" i="4"/>
  <c r="BH186" i="4"/>
  <c r="BH363" i="4"/>
  <c r="BH40" i="5"/>
  <c r="BH89" i="6"/>
  <c r="BH46" i="4"/>
  <c r="BI36" i="4"/>
  <c r="BH53" i="4"/>
  <c r="BH193" i="4"/>
  <c r="BH26" i="9"/>
  <c r="BH187" i="4"/>
  <c r="BI127" i="4"/>
  <c r="BH61" i="6"/>
  <c r="BH143" i="4"/>
  <c r="BH123" i="4"/>
  <c r="AV149" i="1"/>
  <c r="BH158" i="4"/>
  <c r="BH159" i="4"/>
  <c r="BH23" i="9"/>
  <c r="BH24" i="6"/>
  <c r="BH188" i="4"/>
  <c r="BH55" i="4"/>
  <c r="BH54" i="4"/>
  <c r="BI130" i="4"/>
  <c r="BI131" i="4"/>
  <c r="BH37" i="5"/>
  <c r="BH190" i="4"/>
  <c r="BI189" i="4"/>
  <c r="BI56" i="4"/>
  <c r="BI358" i="4"/>
  <c r="BH57" i="4"/>
  <c r="BI49" i="4"/>
  <c r="AV146" i="1"/>
  <c r="AV162" i="1"/>
  <c r="BH76" i="6"/>
  <c r="AU116" i="1"/>
  <c r="K56" i="1"/>
  <c r="BI119" i="4"/>
  <c r="BI118" i="4"/>
  <c r="BI38" i="4"/>
  <c r="BI26" i="6"/>
  <c r="BI132" i="4"/>
  <c r="AU119" i="1"/>
  <c r="N56" i="1"/>
  <c r="BH357" i="4"/>
  <c r="BH359" i="4"/>
  <c r="BH261" i="4"/>
  <c r="BG263" i="4"/>
  <c r="BH39" i="5"/>
  <c r="BH62" i="4"/>
  <c r="BH361" i="4"/>
  <c r="BH364" i="4"/>
  <c r="BH195" i="4"/>
  <c r="BH62" i="6"/>
  <c r="BH58" i="6"/>
  <c r="BI182" i="4"/>
  <c r="AU120" i="1"/>
  <c r="O56" i="1"/>
  <c r="BH90" i="6"/>
  <c r="AV148" i="1"/>
  <c r="BI362" i="4"/>
  <c r="BI39" i="4"/>
  <c r="BO58" i="8"/>
  <c r="BH27" i="6"/>
  <c r="BH38" i="5"/>
  <c r="BI134" i="4"/>
  <c r="BI135" i="4"/>
  <c r="BI43" i="4"/>
  <c r="BH91" i="6"/>
  <c r="AV147" i="1"/>
  <c r="AV161" i="1"/>
  <c r="BH41" i="5"/>
  <c r="BH45" i="5"/>
  <c r="BO52" i="8"/>
  <c r="BH67" i="7"/>
  <c r="BH72" i="7"/>
  <c r="BO43" i="8"/>
  <c r="BI40" i="4"/>
  <c r="BI120" i="4"/>
  <c r="AU115" i="1"/>
  <c r="BI42" i="4"/>
  <c r="BI262" i="4"/>
  <c r="BI185" i="4"/>
  <c r="AU117" i="1"/>
  <c r="L56" i="1"/>
  <c r="J56" i="1"/>
  <c r="BH269" i="4"/>
  <c r="BH303" i="4"/>
  <c r="BI137" i="4"/>
  <c r="BI52" i="4"/>
  <c r="BI44" i="4"/>
  <c r="BI139" i="4"/>
  <c r="BI140" i="4"/>
  <c r="BI186" i="4"/>
  <c r="BI41" i="4"/>
  <c r="BI363" i="4"/>
  <c r="BI53" i="4"/>
  <c r="BI193" i="4"/>
  <c r="BI26" i="9"/>
  <c r="BI187" i="4"/>
  <c r="BI45" i="4"/>
  <c r="BI40" i="5"/>
  <c r="BI141" i="4"/>
  <c r="BI188" i="4"/>
  <c r="BI55" i="4"/>
  <c r="BI24" i="6"/>
  <c r="BI54" i="4"/>
  <c r="BI61" i="6"/>
  <c r="BJ127" i="4"/>
  <c r="BI143" i="4"/>
  <c r="BI123" i="4"/>
  <c r="BI89" i="6"/>
  <c r="AW149" i="1"/>
  <c r="BI190" i="4"/>
  <c r="BI46" i="4"/>
  <c r="BI37" i="5"/>
  <c r="AV119" i="1"/>
  <c r="N57" i="1"/>
  <c r="BI57" i="4"/>
  <c r="BJ49" i="4"/>
  <c r="BJ36" i="4"/>
  <c r="BI62" i="6"/>
  <c r="BI58" i="6"/>
  <c r="BI195" i="4"/>
  <c r="BJ189" i="4"/>
  <c r="BJ182" i="4"/>
  <c r="BI158" i="4"/>
  <c r="BI159" i="4"/>
  <c r="BI23" i="9"/>
  <c r="BI76" i="6"/>
  <c r="AV116" i="1"/>
  <c r="K57" i="1"/>
  <c r="AW146" i="1"/>
  <c r="AW162" i="1"/>
  <c r="BJ130" i="4"/>
  <c r="BJ131" i="4"/>
  <c r="BI357" i="4"/>
  <c r="BI359" i="4"/>
  <c r="BI261" i="4"/>
  <c r="BH263" i="4"/>
  <c r="BI39" i="5"/>
  <c r="AV120" i="1"/>
  <c r="O57" i="1"/>
  <c r="BP58" i="8"/>
  <c r="BI62" i="4"/>
  <c r="BI361" i="4"/>
  <c r="BI364" i="4"/>
  <c r="AW148" i="1"/>
  <c r="BI90" i="6"/>
  <c r="BJ26" i="6"/>
  <c r="BJ118" i="4"/>
  <c r="N118" i="4"/>
  <c r="BJ132" i="4"/>
  <c r="BJ38" i="4"/>
  <c r="BJ119" i="4"/>
  <c r="N119" i="4"/>
  <c r="N130" i="4"/>
  <c r="BJ56" i="4"/>
  <c r="BJ358" i="4"/>
  <c r="N189" i="4"/>
  <c r="N26" i="6"/>
  <c r="N358" i="4"/>
  <c r="N56" i="4"/>
  <c r="N38" i="4"/>
  <c r="BJ39" i="4"/>
  <c r="BJ362" i="4"/>
  <c r="N362" i="4"/>
  <c r="BJ120" i="4"/>
  <c r="N120" i="4"/>
  <c r="N131" i="4"/>
  <c r="BJ134" i="4"/>
  <c r="BJ40" i="4"/>
  <c r="N40" i="4"/>
  <c r="N132" i="4"/>
  <c r="BI38" i="5"/>
  <c r="BI27" i="6"/>
  <c r="BJ135" i="4"/>
  <c r="BJ185" i="4"/>
  <c r="BJ42" i="4"/>
  <c r="N134" i="4"/>
  <c r="N39" i="4"/>
  <c r="BP52" i="8"/>
  <c r="BI67" i="7"/>
  <c r="BI72" i="7"/>
  <c r="BP43" i="8"/>
  <c r="K43" i="8"/>
  <c r="BI91" i="6"/>
  <c r="AV115" i="1"/>
  <c r="AW147" i="1"/>
  <c r="AW161" i="1"/>
  <c r="BI41" i="5"/>
  <c r="BI45" i="5"/>
  <c r="BJ52" i="4"/>
  <c r="BJ137" i="4"/>
  <c r="N185" i="4"/>
  <c r="AV117" i="1"/>
  <c r="J57" i="1"/>
  <c r="BI303" i="4"/>
  <c r="BI269" i="4"/>
  <c r="BJ262" i="4"/>
  <c r="N262" i="4"/>
  <c r="N42" i="4"/>
  <c r="BJ43" i="4"/>
  <c r="N43" i="4"/>
  <c r="N135" i="4"/>
  <c r="L57" i="1"/>
  <c r="BJ44" i="4"/>
  <c r="N44" i="4"/>
  <c r="N137" i="4"/>
  <c r="BJ139" i="4"/>
  <c r="N52" i="4"/>
  <c r="BJ41" i="4"/>
  <c r="N41" i="4"/>
  <c r="N139" i="4"/>
  <c r="BJ140" i="4"/>
  <c r="BJ186" i="4"/>
  <c r="BJ53" i="4"/>
  <c r="N186" i="4"/>
  <c r="BJ187" i="4"/>
  <c r="BJ193" i="4"/>
  <c r="BJ141" i="4"/>
  <c r="BJ363" i="4"/>
  <c r="N363" i="4"/>
  <c r="BJ45" i="4"/>
  <c r="N140" i="4"/>
  <c r="N141" i="4"/>
  <c r="BJ46" i="4"/>
  <c r="N45" i="4"/>
  <c r="N47" i="4"/>
  <c r="BJ40" i="5"/>
  <c r="BJ188" i="4"/>
  <c r="BJ54" i="4"/>
  <c r="BJ24" i="6"/>
  <c r="N187" i="4"/>
  <c r="BJ61" i="6"/>
  <c r="BJ143" i="4"/>
  <c r="BJ123" i="4"/>
  <c r="BJ26" i="9"/>
  <c r="N26" i="9"/>
  <c r="M26" i="9"/>
  <c r="M34" i="9"/>
  <c r="N193" i="4"/>
  <c r="N53" i="4"/>
  <c r="BJ37" i="5"/>
  <c r="BJ89" i="6"/>
  <c r="AX149" i="1"/>
  <c r="N40" i="5"/>
  <c r="N24" i="6"/>
  <c r="BJ55" i="4"/>
  <c r="AW119" i="1"/>
  <c r="N58" i="1"/>
  <c r="N59" i="1"/>
  <c r="N188" i="4"/>
  <c r="N190" i="4"/>
  <c r="BJ76" i="6"/>
  <c r="AW116" i="1"/>
  <c r="K58" i="1"/>
  <c r="K59" i="1"/>
  <c r="AX146" i="1"/>
  <c r="N37" i="5"/>
  <c r="BJ158" i="4"/>
  <c r="BJ159" i="4"/>
  <c r="BJ23" i="9"/>
  <c r="N54" i="4"/>
  <c r="BJ190" i="4"/>
  <c r="AX162" i="1"/>
  <c r="BJ195" i="4"/>
  <c r="L195" i="4" a="1"/>
  <c r="L195" i="4"/>
  <c r="M233" i="4"/>
  <c r="BJ62" i="6"/>
  <c r="BJ58" i="6"/>
  <c r="BJ62" i="4"/>
  <c r="N62" i="4"/>
  <c r="BJ361" i="4"/>
  <c r="N123" i="4"/>
  <c r="BJ357" i="4"/>
  <c r="N55" i="4"/>
  <c r="N58" i="4"/>
  <c r="L176" i="2"/>
  <c r="BJ39" i="5"/>
  <c r="BJ261" i="4"/>
  <c r="BJ57" i="4"/>
  <c r="AW120" i="1"/>
  <c r="O58" i="1"/>
  <c r="N76" i="6"/>
  <c r="N89" i="6"/>
  <c r="BJ90" i="6"/>
  <c r="AX148" i="1"/>
  <c r="N39" i="5"/>
  <c r="BJ364" i="4"/>
  <c r="N364" i="4"/>
  <c r="N361" i="4"/>
  <c r="BJ38" i="5"/>
  <c r="BJ27" i="6"/>
  <c r="BJ359" i="4"/>
  <c r="N357" i="4"/>
  <c r="BI263" i="4"/>
  <c r="N263" i="4"/>
  <c r="N261" i="4"/>
  <c r="BA233" i="4"/>
  <c r="AF233" i="4"/>
  <c r="X233" i="4"/>
  <c r="AT233" i="4"/>
  <c r="AB233" i="4"/>
  <c r="AU233" i="4"/>
  <c r="Y233" i="4"/>
  <c r="R233" i="4"/>
  <c r="R235" i="4"/>
  <c r="AM233" i="4"/>
  <c r="M257" i="4"/>
  <c r="AD233" i="4"/>
  <c r="AQ233" i="4"/>
  <c r="BD233" i="4"/>
  <c r="AA233" i="4"/>
  <c r="AS233" i="4"/>
  <c r="AR233" i="4"/>
  <c r="Z233" i="4"/>
  <c r="AK233" i="4"/>
  <c r="BC233" i="4"/>
  <c r="BH233" i="4"/>
  <c r="AV233" i="4"/>
  <c r="U233" i="4"/>
  <c r="AO233" i="4"/>
  <c r="M234" i="4"/>
  <c r="BG233" i="4"/>
  <c r="AE233" i="4"/>
  <c r="AG233" i="4"/>
  <c r="AP233" i="4"/>
  <c r="S233" i="4"/>
  <c r="AN233" i="4"/>
  <c r="AC233" i="4"/>
  <c r="AL233" i="4"/>
  <c r="T233" i="4"/>
  <c r="AZ233" i="4"/>
  <c r="BF233" i="4"/>
  <c r="AY233" i="4"/>
  <c r="BB233" i="4"/>
  <c r="BI233" i="4"/>
  <c r="AH233" i="4"/>
  <c r="AW233" i="4"/>
  <c r="W233" i="4"/>
  <c r="BE233" i="4"/>
  <c r="AJ233" i="4"/>
  <c r="V233" i="4"/>
  <c r="BJ233" i="4"/>
  <c r="AX233" i="4"/>
  <c r="AI233" i="4"/>
  <c r="N27" i="6"/>
  <c r="BQ52" i="8"/>
  <c r="Y54" i="8"/>
  <c r="BQ43" i="8"/>
  <c r="BJ67" i="7"/>
  <c r="BJ72" i="7"/>
  <c r="N72" i="7"/>
  <c r="BI257" i="4"/>
  <c r="AH257" i="4"/>
  <c r="AX257" i="4"/>
  <c r="T257" i="4"/>
  <c r="AT257" i="4"/>
  <c r="AJ257" i="4"/>
  <c r="AQ257" i="4"/>
  <c r="AE257" i="4"/>
  <c r="AK257" i="4"/>
  <c r="Y257" i="4"/>
  <c r="AR257" i="4"/>
  <c r="AV257" i="4"/>
  <c r="AZ257" i="4"/>
  <c r="U257" i="4"/>
  <c r="AI257" i="4"/>
  <c r="AS257" i="4"/>
  <c r="X257" i="4"/>
  <c r="AC257" i="4"/>
  <c r="AL257" i="4"/>
  <c r="AU257" i="4"/>
  <c r="BG257" i="4"/>
  <c r="BA257" i="4"/>
  <c r="BC257" i="4"/>
  <c r="V257" i="4"/>
  <c r="R257" i="4"/>
  <c r="R276" i="4"/>
  <c r="BB257" i="4"/>
  <c r="AY257" i="4"/>
  <c r="S257" i="4"/>
  <c r="AD257" i="4"/>
  <c r="Z257" i="4"/>
  <c r="AN257" i="4"/>
  <c r="W257" i="4"/>
  <c r="BF257" i="4"/>
  <c r="BE257" i="4"/>
  <c r="AW257" i="4"/>
  <c r="AF257" i="4"/>
  <c r="BJ257" i="4"/>
  <c r="AP257" i="4"/>
  <c r="BH257" i="4"/>
  <c r="AA257" i="4"/>
  <c r="AO257" i="4"/>
  <c r="AB257" i="4"/>
  <c r="AM257" i="4"/>
  <c r="BD257" i="4"/>
  <c r="AG257" i="4"/>
  <c r="AW115" i="1"/>
  <c r="BJ91" i="6"/>
  <c r="N91" i="6"/>
  <c r="AX147" i="1"/>
  <c r="AX161" i="1"/>
  <c r="N38" i="5"/>
  <c r="BJ41" i="5"/>
  <c r="BJ366" i="4"/>
  <c r="N359" i="4"/>
  <c r="N90" i="6"/>
  <c r="X234" i="4"/>
  <c r="AI234" i="4"/>
  <c r="AZ234" i="4"/>
  <c r="AR234" i="4"/>
  <c r="BA234" i="4"/>
  <c r="AO234" i="4"/>
  <c r="BH234" i="4"/>
  <c r="AL234" i="4"/>
  <c r="BB234" i="4"/>
  <c r="AB234" i="4"/>
  <c r="AP234" i="4"/>
  <c r="Y234" i="4"/>
  <c r="T234" i="4"/>
  <c r="AD234" i="4"/>
  <c r="M258" i="4"/>
  <c r="AS234" i="4"/>
  <c r="AT234" i="4"/>
  <c r="BF234" i="4"/>
  <c r="S234" i="4"/>
  <c r="AJ234" i="4"/>
  <c r="AQ234" i="4"/>
  <c r="AK234" i="4"/>
  <c r="AY234" i="4"/>
  <c r="AV234" i="4"/>
  <c r="BI234" i="4"/>
  <c r="Z234" i="4"/>
  <c r="AF234" i="4"/>
  <c r="AU234" i="4"/>
  <c r="BG234" i="4"/>
  <c r="AX234" i="4"/>
  <c r="U234" i="4"/>
  <c r="W234" i="4"/>
  <c r="BD234" i="4"/>
  <c r="AA234" i="4"/>
  <c r="V234" i="4"/>
  <c r="AN234" i="4"/>
  <c r="AE234" i="4"/>
  <c r="AM234" i="4"/>
  <c r="R234" i="4"/>
  <c r="R243" i="4"/>
  <c r="BJ234" i="4"/>
  <c r="AH234" i="4"/>
  <c r="BC234" i="4"/>
  <c r="AC234" i="4"/>
  <c r="AW234" i="4"/>
  <c r="AG234" i="4"/>
  <c r="BE234" i="4"/>
  <c r="R236" i="4"/>
  <c r="S235" i="4"/>
  <c r="AR243" i="4"/>
  <c r="BH243" i="4"/>
  <c r="AT243" i="4"/>
  <c r="AQ243" i="4"/>
  <c r="BA243" i="4"/>
  <c r="Z243" i="4"/>
  <c r="T243" i="4"/>
  <c r="BJ45" i="5"/>
  <c r="N41" i="5"/>
  <c r="AW117" i="1"/>
  <c r="J58" i="1"/>
  <c r="J59" i="1"/>
  <c r="AE243" i="4"/>
  <c r="BE243" i="4"/>
  <c r="AD243" i="4"/>
  <c r="AG243" i="4"/>
  <c r="AJ243" i="4"/>
  <c r="AP243" i="4"/>
  <c r="AB243" i="4"/>
  <c r="AV243" i="4"/>
  <c r="BB243" i="4"/>
  <c r="AA243" i="4"/>
  <c r="AN243" i="4"/>
  <c r="AX243" i="4"/>
  <c r="AS243" i="4"/>
  <c r="AC243" i="4"/>
  <c r="AI243" i="4"/>
  <c r="S236" i="4"/>
  <c r="S251" i="4"/>
  <c r="T235" i="4"/>
  <c r="BG258" i="4"/>
  <c r="AA258" i="4"/>
  <c r="BA258" i="4"/>
  <c r="S258" i="4"/>
  <c r="T258" i="4"/>
  <c r="AW258" i="4"/>
  <c r="AI258" i="4"/>
  <c r="AP258" i="4"/>
  <c r="AU258" i="4"/>
  <c r="AK258" i="4"/>
  <c r="BB258" i="4"/>
  <c r="AQ258" i="4"/>
  <c r="R258" i="4"/>
  <c r="R277" i="4"/>
  <c r="R242" i="4"/>
  <c r="AH258" i="4"/>
  <c r="BC258" i="4"/>
  <c r="AS258" i="4"/>
  <c r="AD258" i="4"/>
  <c r="BE258" i="4"/>
  <c r="AY258" i="4"/>
  <c r="W258" i="4"/>
  <c r="AO258" i="4"/>
  <c r="V258" i="4"/>
  <c r="X258" i="4"/>
  <c r="AZ258" i="4"/>
  <c r="BI258" i="4"/>
  <c r="Z258" i="4"/>
  <c r="AJ258" i="4"/>
  <c r="AV258" i="4"/>
  <c r="AR258" i="4"/>
  <c r="AC258" i="4"/>
  <c r="AX258" i="4"/>
  <c r="BH258" i="4"/>
  <c r="Y258" i="4"/>
  <c r="AG258" i="4"/>
  <c r="AE258" i="4"/>
  <c r="AM258" i="4"/>
  <c r="BJ258" i="4"/>
  <c r="BF258" i="4"/>
  <c r="AB258" i="4"/>
  <c r="AT258" i="4"/>
  <c r="AL258" i="4"/>
  <c r="BD258" i="4"/>
  <c r="AF258" i="4"/>
  <c r="AN258" i="4"/>
  <c r="U258" i="4"/>
  <c r="AY243" i="4"/>
  <c r="AM243" i="4"/>
  <c r="BG243" i="4"/>
  <c r="W243" i="4"/>
  <c r="AF243" i="4"/>
  <c r="AK243" i="4"/>
  <c r="AZ243" i="4"/>
  <c r="X243" i="4"/>
  <c r="BC243" i="4"/>
  <c r="BF243" i="4"/>
  <c r="AL243" i="4"/>
  <c r="R251" i="4"/>
  <c r="V243" i="4"/>
  <c r="BD243" i="4"/>
  <c r="S243" i="4"/>
  <c r="BJ243" i="4"/>
  <c r="AU243" i="4"/>
  <c r="U243" i="4"/>
  <c r="BI243" i="4"/>
  <c r="Y243" i="4"/>
  <c r="AO243" i="4"/>
  <c r="AH243" i="4"/>
  <c r="AW243" i="4"/>
  <c r="N243" i="4"/>
  <c r="S272" i="4"/>
  <c r="S276" i="4"/>
  <c r="L58" i="1"/>
  <c r="L59" i="1"/>
  <c r="R252" i="4"/>
  <c r="R302" i="4"/>
  <c r="T236" i="4"/>
  <c r="U235" i="4"/>
  <c r="BJ269" i="4"/>
  <c r="BJ303" i="4"/>
  <c r="S252" i="4"/>
  <c r="S47" i="5"/>
  <c r="S351" i="4"/>
  <c r="S277" i="4"/>
  <c r="S278" i="4"/>
  <c r="G151" i="1"/>
  <c r="F123" i="1"/>
  <c r="Q15" i="1"/>
  <c r="S354" i="4"/>
  <c r="S366" i="4"/>
  <c r="S38" i="6"/>
  <c r="T272" i="4"/>
  <c r="S253" i="4"/>
  <c r="V235" i="4"/>
  <c r="U236" i="4"/>
  <c r="S242" i="4"/>
  <c r="S302" i="4"/>
  <c r="S306" i="4"/>
  <c r="S307" i="4"/>
  <c r="S49" i="5"/>
  <c r="S48" i="5"/>
  <c r="T249" i="4"/>
  <c r="S67" i="4"/>
  <c r="S68" i="4"/>
  <c r="T274" i="4"/>
  <c r="U272" i="4"/>
  <c r="W235" i="4"/>
  <c r="V236" i="4"/>
  <c r="S92" i="6"/>
  <c r="G152" i="1"/>
  <c r="F124" i="1"/>
  <c r="S39" i="6"/>
  <c r="G153" i="1"/>
  <c r="F126" i="1"/>
  <c r="U15" i="1"/>
  <c r="S42" i="6"/>
  <c r="S54" i="5"/>
  <c r="S51" i="5"/>
  <c r="V272" i="4"/>
  <c r="S15" i="1"/>
  <c r="S308" i="4"/>
  <c r="X235" i="4"/>
  <c r="W236" i="4"/>
  <c r="T324" i="4"/>
  <c r="S78" i="6"/>
  <c r="T325" i="4"/>
  <c r="G157" i="1"/>
  <c r="G163" i="1"/>
  <c r="F130" i="1"/>
  <c r="W15" i="1"/>
  <c r="W272" i="4"/>
  <c r="Y235" i="4"/>
  <c r="X236" i="4"/>
  <c r="Z15" i="8"/>
  <c r="G154" i="1"/>
  <c r="G164" i="1"/>
  <c r="S94" i="6"/>
  <c r="S157" i="4"/>
  <c r="T305" i="4"/>
  <c r="S69" i="4"/>
  <c r="S72" i="4"/>
  <c r="T23" i="5"/>
  <c r="S328" i="4"/>
  <c r="S43" i="6"/>
  <c r="S37" i="6"/>
  <c r="Z59" i="8"/>
  <c r="Z60" i="8"/>
  <c r="N54" i="5"/>
  <c r="N57" i="5"/>
  <c r="L185" i="2"/>
  <c r="S79" i="6"/>
  <c r="S81" i="6"/>
  <c r="G166" i="1"/>
  <c r="S330" i="4"/>
  <c r="S331" i="4"/>
  <c r="Z22" i="8"/>
  <c r="Z17" i="8"/>
  <c r="X272" i="4"/>
  <c r="Y236" i="4"/>
  <c r="Z235" i="4"/>
  <c r="S97" i="6"/>
  <c r="N23" i="5"/>
  <c r="T79" i="6"/>
  <c r="N79" i="6"/>
  <c r="T45" i="5"/>
  <c r="T326" i="4"/>
  <c r="T331" i="4"/>
  <c r="T330" i="4"/>
  <c r="S100" i="6"/>
  <c r="T303" i="4"/>
  <c r="T269" i="4"/>
  <c r="N45" i="5"/>
  <c r="Z236" i="4"/>
  <c r="AA235" i="4"/>
  <c r="Y272" i="4"/>
  <c r="T339" i="4"/>
  <c r="T341" i="4"/>
  <c r="N269" i="4"/>
  <c r="T276" i="4"/>
  <c r="AA236" i="4"/>
  <c r="AB235" i="4"/>
  <c r="Z272" i="4"/>
  <c r="T24" i="9"/>
  <c r="T74" i="4"/>
  <c r="AC235" i="4"/>
  <c r="AB236" i="4"/>
  <c r="AA272" i="4"/>
  <c r="T277" i="4"/>
  <c r="T48" i="5"/>
  <c r="T242" i="4"/>
  <c r="AC236" i="4"/>
  <c r="AD235" i="4"/>
  <c r="H152" i="1"/>
  <c r="G124" i="1"/>
  <c r="T39" i="6"/>
  <c r="T278" i="4"/>
  <c r="AB272" i="4"/>
  <c r="AD236" i="4"/>
  <c r="AE235" i="4"/>
  <c r="U274" i="4"/>
  <c r="T68" i="4"/>
  <c r="S16" i="1"/>
  <c r="AC272" i="4"/>
  <c r="T251" i="4"/>
  <c r="AE236" i="4"/>
  <c r="AF235" i="4"/>
  <c r="AD272" i="4"/>
  <c r="T252" i="4"/>
  <c r="T47" i="5"/>
  <c r="U325" i="4"/>
  <c r="U276" i="4"/>
  <c r="T351" i="4"/>
  <c r="T354" i="4"/>
  <c r="T366" i="4"/>
  <c r="G123" i="1"/>
  <c r="H151" i="1"/>
  <c r="T38" i="6"/>
  <c r="T253" i="4"/>
  <c r="AG235" i="4"/>
  <c r="AF236" i="4"/>
  <c r="U277" i="4"/>
  <c r="U48" i="5"/>
  <c r="AE272" i="4"/>
  <c r="T302" i="4"/>
  <c r="T306" i="4"/>
  <c r="U278" i="4"/>
  <c r="U68" i="4"/>
  <c r="U242" i="4"/>
  <c r="T307" i="4"/>
  <c r="T308" i="4"/>
  <c r="T92" i="6"/>
  <c r="I152" i="1"/>
  <c r="H124" i="1"/>
  <c r="U39" i="6"/>
  <c r="U249" i="4"/>
  <c r="T67" i="4"/>
  <c r="AF272" i="4"/>
  <c r="Q16" i="1"/>
  <c r="AH235" i="4"/>
  <c r="AG236" i="4"/>
  <c r="AG272" i="4"/>
  <c r="V274" i="4"/>
  <c r="V276" i="4"/>
  <c r="U305" i="4"/>
  <c r="T69" i="4"/>
  <c r="T72" i="4"/>
  <c r="S17" i="1"/>
  <c r="U324" i="4"/>
  <c r="U251" i="4"/>
  <c r="T78" i="6"/>
  <c r="AH236" i="4"/>
  <c r="AI235" i="4"/>
  <c r="T49" i="5"/>
  <c r="V325" i="4"/>
  <c r="AH272" i="4"/>
  <c r="V277" i="4"/>
  <c r="V278" i="4"/>
  <c r="H153" i="1"/>
  <c r="H157" i="1"/>
  <c r="G126" i="1"/>
  <c r="T42" i="6"/>
  <c r="T51" i="5"/>
  <c r="U252" i="4"/>
  <c r="U302" i="4"/>
  <c r="U306" i="4"/>
  <c r="AJ235" i="4"/>
  <c r="AI236" i="4"/>
  <c r="T81" i="6"/>
  <c r="U326" i="4"/>
  <c r="U331" i="4"/>
  <c r="U330" i="4"/>
  <c r="U339" i="4"/>
  <c r="U307" i="4"/>
  <c r="U78" i="6"/>
  <c r="AA15" i="8"/>
  <c r="T157" i="4"/>
  <c r="T158" i="4"/>
  <c r="T94" i="6"/>
  <c r="H154" i="1"/>
  <c r="H164" i="1"/>
  <c r="H163" i="1"/>
  <c r="V48" i="5"/>
  <c r="V68" i="4"/>
  <c r="W274" i="4"/>
  <c r="AI272" i="4"/>
  <c r="AK235" i="4"/>
  <c r="AJ236" i="4"/>
  <c r="U92" i="6"/>
  <c r="T37" i="6"/>
  <c r="AA59" i="8"/>
  <c r="AA60" i="8"/>
  <c r="U253" i="4"/>
  <c r="U47" i="5"/>
  <c r="U16" i="1"/>
  <c r="G130" i="1"/>
  <c r="W16" i="1"/>
  <c r="V242" i="4"/>
  <c r="U351" i="4"/>
  <c r="U354" i="4"/>
  <c r="U366" i="4"/>
  <c r="U308" i="4"/>
  <c r="V305" i="4"/>
  <c r="H166" i="1"/>
  <c r="U81" i="6"/>
  <c r="T97" i="6"/>
  <c r="V249" i="4"/>
  <c r="U67" i="4"/>
  <c r="AJ272" i="4"/>
  <c r="W325" i="4"/>
  <c r="W276" i="4"/>
  <c r="T159" i="4"/>
  <c r="U341" i="4"/>
  <c r="AK236" i="4"/>
  <c r="AL235" i="4"/>
  <c r="AA17" i="8"/>
  <c r="AA22" i="8"/>
  <c r="H123" i="1"/>
  <c r="I151" i="1"/>
  <c r="U38" i="6"/>
  <c r="I124" i="1"/>
  <c r="J152" i="1"/>
  <c r="V39" i="6"/>
  <c r="U49" i="5"/>
  <c r="U69" i="4"/>
  <c r="U72" i="4"/>
  <c r="U51" i="5"/>
  <c r="AB15" i="8"/>
  <c r="W277" i="4"/>
  <c r="W278" i="4"/>
  <c r="H126" i="1"/>
  <c r="U17" i="1"/>
  <c r="I153" i="1"/>
  <c r="I157" i="1"/>
  <c r="U42" i="6"/>
  <c r="U37" i="6"/>
  <c r="AB59" i="8"/>
  <c r="AB60" i="8"/>
  <c r="S18" i="1"/>
  <c r="Q17" i="1"/>
  <c r="U24" i="9"/>
  <c r="U74" i="4"/>
  <c r="V324" i="4"/>
  <c r="V251" i="4"/>
  <c r="AL236" i="4"/>
  <c r="AM235" i="4"/>
  <c r="V326" i="4"/>
  <c r="T100" i="6"/>
  <c r="AK272" i="4"/>
  <c r="T23" i="9"/>
  <c r="I154" i="1"/>
  <c r="I164" i="1"/>
  <c r="U157" i="4"/>
  <c r="U158" i="4"/>
  <c r="U159" i="4"/>
  <c r="U94" i="6"/>
  <c r="U97" i="6"/>
  <c r="H130" i="1"/>
  <c r="W17" i="1"/>
  <c r="W242" i="4"/>
  <c r="W48" i="5"/>
  <c r="AM236" i="4"/>
  <c r="AN235" i="4"/>
  <c r="AL272" i="4"/>
  <c r="I163" i="1"/>
  <c r="I166" i="1"/>
  <c r="AB22" i="8"/>
  <c r="AB17" i="8"/>
  <c r="V252" i="4"/>
  <c r="X274" i="4"/>
  <c r="W68" i="4"/>
  <c r="V330" i="4"/>
  <c r="V331" i="4"/>
  <c r="W39" i="6"/>
  <c r="K152" i="1"/>
  <c r="J124" i="1"/>
  <c r="S19" i="1"/>
  <c r="V47" i="5"/>
  <c r="V253" i="4"/>
  <c r="AN236" i="4"/>
  <c r="AO235" i="4"/>
  <c r="V339" i="4"/>
  <c r="AM272" i="4"/>
  <c r="U100" i="6"/>
  <c r="X325" i="4"/>
  <c r="X276" i="4"/>
  <c r="V302" i="4"/>
  <c r="V306" i="4"/>
  <c r="U23" i="9"/>
  <c r="V351" i="4"/>
  <c r="V354" i="4"/>
  <c r="V366" i="4"/>
  <c r="V307" i="4"/>
  <c r="V308" i="4"/>
  <c r="V92" i="6"/>
  <c r="V341" i="4"/>
  <c r="AO236" i="4"/>
  <c r="AP235" i="4"/>
  <c r="V67" i="4"/>
  <c r="W249" i="4"/>
  <c r="X277" i="4"/>
  <c r="X278" i="4"/>
  <c r="AN272" i="4"/>
  <c r="I123" i="1"/>
  <c r="J151" i="1"/>
  <c r="V38" i="6"/>
  <c r="W305" i="4"/>
  <c r="V69" i="4"/>
  <c r="V72" i="4"/>
  <c r="X48" i="5"/>
  <c r="Q18" i="1"/>
  <c r="AP236" i="4"/>
  <c r="AQ235" i="4"/>
  <c r="V78" i="6"/>
  <c r="Y274" i="4"/>
  <c r="X68" i="4"/>
  <c r="AO272" i="4"/>
  <c r="V24" i="9"/>
  <c r="V74" i="4"/>
  <c r="W324" i="4"/>
  <c r="W251" i="4"/>
  <c r="X242" i="4"/>
  <c r="V49" i="5"/>
  <c r="V42" i="6"/>
  <c r="I126" i="1"/>
  <c r="J153" i="1"/>
  <c r="J157" i="1"/>
  <c r="V51" i="5"/>
  <c r="Y325" i="4"/>
  <c r="Y276" i="4"/>
  <c r="AP272" i="4"/>
  <c r="V81" i="6"/>
  <c r="W252" i="4"/>
  <c r="W47" i="5"/>
  <c r="AR235" i="4"/>
  <c r="AQ236" i="4"/>
  <c r="K124" i="1"/>
  <c r="L152" i="1"/>
  <c r="X39" i="6"/>
  <c r="W326" i="4"/>
  <c r="W331" i="4"/>
  <c r="W351" i="4"/>
  <c r="W354" i="4"/>
  <c r="W366" i="4"/>
  <c r="K151" i="1"/>
  <c r="J123" i="1"/>
  <c r="W38" i="6"/>
  <c r="AR236" i="4"/>
  <c r="AS235" i="4"/>
  <c r="AQ272" i="4"/>
  <c r="W330" i="4"/>
  <c r="U18" i="1"/>
  <c r="I130" i="1"/>
  <c r="W18" i="1"/>
  <c r="V157" i="4"/>
  <c r="V158" i="4"/>
  <c r="J154" i="1"/>
  <c r="J164" i="1"/>
  <c r="AC15" i="8"/>
  <c r="V94" i="6"/>
  <c r="V37" i="6"/>
  <c r="AC59" i="8"/>
  <c r="AC60" i="8"/>
  <c r="S20" i="1"/>
  <c r="W302" i="4"/>
  <c r="W306" i="4"/>
  <c r="Y277" i="4"/>
  <c r="Y278" i="4"/>
  <c r="J163" i="1"/>
  <c r="W253" i="4"/>
  <c r="Y48" i="5"/>
  <c r="Y242" i="4"/>
  <c r="V159" i="4"/>
  <c r="AR272" i="4"/>
  <c r="W67" i="4"/>
  <c r="X249" i="4"/>
  <c r="V97" i="6"/>
  <c r="Q19" i="1"/>
  <c r="Z274" i="4"/>
  <c r="Y68" i="4"/>
  <c r="AC17" i="8"/>
  <c r="AC22" i="8"/>
  <c r="J166" i="1"/>
  <c r="W92" i="6"/>
  <c r="W307" i="4"/>
  <c r="W308" i="4"/>
  <c r="W339" i="4"/>
  <c r="AS236" i="4"/>
  <c r="AT235" i="4"/>
  <c r="M152" i="1"/>
  <c r="Y39" i="6"/>
  <c r="L124" i="1"/>
  <c r="AT236" i="4"/>
  <c r="AU235" i="4"/>
  <c r="V100" i="6"/>
  <c r="AS272" i="4"/>
  <c r="W49" i="5"/>
  <c r="W78" i="6"/>
  <c r="W81" i="6"/>
  <c r="X324" i="4"/>
  <c r="X251" i="4"/>
  <c r="W341" i="4"/>
  <c r="Z325" i="4"/>
  <c r="Z276" i="4"/>
  <c r="Z277" i="4"/>
  <c r="Z278" i="4"/>
  <c r="S21" i="1"/>
  <c r="V23" i="9"/>
  <c r="W69" i="4"/>
  <c r="W72" i="4"/>
  <c r="X305" i="4"/>
  <c r="X326" i="4"/>
  <c r="X331" i="4"/>
  <c r="AA274" i="4"/>
  <c r="Z68" i="4"/>
  <c r="J126" i="1"/>
  <c r="K153" i="1"/>
  <c r="K157" i="1"/>
  <c r="W51" i="5"/>
  <c r="W42" i="6"/>
  <c r="AV235" i="4"/>
  <c r="AU236" i="4"/>
  <c r="Z48" i="5"/>
  <c r="Z242" i="4"/>
  <c r="W74" i="4"/>
  <c r="W24" i="9"/>
  <c r="X252" i="4"/>
  <c r="X47" i="5"/>
  <c r="AT272" i="4"/>
  <c r="X351" i="4"/>
  <c r="X354" i="4"/>
  <c r="X366" i="4"/>
  <c r="X330" i="4"/>
  <c r="X339" i="4"/>
  <c r="X341" i="4"/>
  <c r="X302" i="4"/>
  <c r="X306" i="4"/>
  <c r="X307" i="4"/>
  <c r="X78" i="6"/>
  <c r="X81" i="6"/>
  <c r="L151" i="1"/>
  <c r="K123" i="1"/>
  <c r="X38" i="6"/>
  <c r="N152" i="1"/>
  <c r="M124" i="1"/>
  <c r="Z39" i="6"/>
  <c r="W37" i="6"/>
  <c r="AD59" i="8"/>
  <c r="AD60" i="8"/>
  <c r="U19" i="1"/>
  <c r="J130" i="1"/>
  <c r="W19" i="1"/>
  <c r="AU272" i="4"/>
  <c r="W157" i="4"/>
  <c r="W158" i="4"/>
  <c r="W159" i="4"/>
  <c r="W23" i="9"/>
  <c r="W94" i="6"/>
  <c r="AD15" i="8"/>
  <c r="K154" i="1"/>
  <c r="K164" i="1"/>
  <c r="AA325" i="4"/>
  <c r="AA276" i="4"/>
  <c r="AA277" i="4"/>
  <c r="AA48" i="5"/>
  <c r="AV236" i="4"/>
  <c r="AW235" i="4"/>
  <c r="X253" i="4"/>
  <c r="K163" i="1"/>
  <c r="X92" i="6"/>
  <c r="X308" i="4"/>
  <c r="Y305" i="4"/>
  <c r="AW236" i="4"/>
  <c r="AX235" i="4"/>
  <c r="AA242" i="4"/>
  <c r="Q20" i="1"/>
  <c r="AV272" i="4"/>
  <c r="AA39" i="6"/>
  <c r="N124" i="1"/>
  <c r="O152" i="1"/>
  <c r="K166" i="1"/>
  <c r="X67" i="4"/>
  <c r="Y249" i="4"/>
  <c r="X24" i="9"/>
  <c r="X74" i="4"/>
  <c r="AA278" i="4"/>
  <c r="AD17" i="8"/>
  <c r="AD22" i="8"/>
  <c r="X49" i="5"/>
  <c r="W97" i="6"/>
  <c r="S22" i="1"/>
  <c r="X69" i="4"/>
  <c r="X72" i="4"/>
  <c r="K126" i="1"/>
  <c r="L153" i="1"/>
  <c r="L157" i="1"/>
  <c r="X51" i="5"/>
  <c r="X42" i="6"/>
  <c r="AB274" i="4"/>
  <c r="AA68" i="4"/>
  <c r="Y324" i="4"/>
  <c r="Y251" i="4"/>
  <c r="Y252" i="4"/>
  <c r="S23" i="1"/>
  <c r="AX236" i="4"/>
  <c r="AY235" i="4"/>
  <c r="AW272" i="4"/>
  <c r="Y326" i="4"/>
  <c r="W100" i="6"/>
  <c r="Y330" i="4"/>
  <c r="Y331" i="4"/>
  <c r="X94" i="6"/>
  <c r="X97" i="6"/>
  <c r="X100" i="6"/>
  <c r="X157" i="4"/>
  <c r="X158" i="4"/>
  <c r="X159" i="4"/>
  <c r="X23" i="9"/>
  <c r="L154" i="1"/>
  <c r="L164" i="1"/>
  <c r="AE15" i="8"/>
  <c r="L163" i="1"/>
  <c r="AY236" i="4"/>
  <c r="AZ235" i="4"/>
  <c r="Y47" i="5"/>
  <c r="Y302" i="4"/>
  <c r="Y306" i="4"/>
  <c r="Y92" i="6"/>
  <c r="AB325" i="4"/>
  <c r="AB276" i="4"/>
  <c r="AB277" i="4"/>
  <c r="U20" i="1"/>
  <c r="K130" i="1"/>
  <c r="W20" i="1"/>
  <c r="AX272" i="4"/>
  <c r="Y253" i="4"/>
  <c r="X37" i="6"/>
  <c r="AE59" i="8"/>
  <c r="AE60" i="8"/>
  <c r="Y351" i="4"/>
  <c r="Y354" i="4"/>
  <c r="Y366" i="4"/>
  <c r="L166" i="1"/>
  <c r="Y339" i="4"/>
  <c r="Y341" i="4"/>
  <c r="Y24" i="9"/>
  <c r="Z249" i="4"/>
  <c r="Y67" i="4"/>
  <c r="BA235" i="4"/>
  <c r="AZ236" i="4"/>
  <c r="AE17" i="8"/>
  <c r="AE22" i="8"/>
  <c r="AB48" i="5"/>
  <c r="AB242" i="4"/>
  <c r="Y307" i="4"/>
  <c r="Y78" i="6"/>
  <c r="Y81" i="6"/>
  <c r="AY272" i="4"/>
  <c r="AB278" i="4"/>
  <c r="M151" i="1"/>
  <c r="L123" i="1"/>
  <c r="Y38" i="6"/>
  <c r="Y74" i="4"/>
  <c r="Y308" i="4"/>
  <c r="Y69" i="4"/>
  <c r="Y72" i="4"/>
  <c r="Y49" i="5"/>
  <c r="BB235" i="4"/>
  <c r="BA236" i="4"/>
  <c r="O124" i="1"/>
  <c r="P152" i="1"/>
  <c r="AB39" i="6"/>
  <c r="AZ272" i="4"/>
  <c r="Q21" i="1"/>
  <c r="AB68" i="4"/>
  <c r="AC274" i="4"/>
  <c r="Z324" i="4"/>
  <c r="Z251" i="4"/>
  <c r="Z305" i="4"/>
  <c r="Z326" i="4"/>
  <c r="Z330" i="4"/>
  <c r="BB236" i="4"/>
  <c r="BC235" i="4"/>
  <c r="S24" i="1"/>
  <c r="L126" i="1"/>
  <c r="M153" i="1"/>
  <c r="M157" i="1"/>
  <c r="Y42" i="6"/>
  <c r="Y51" i="5"/>
  <c r="Z252" i="4"/>
  <c r="Z253" i="4"/>
  <c r="AC325" i="4"/>
  <c r="AC276" i="4"/>
  <c r="BA272" i="4"/>
  <c r="Z302" i="4"/>
  <c r="Z306" i="4"/>
  <c r="Z307" i="4"/>
  <c r="Z78" i="6"/>
  <c r="Z81" i="6"/>
  <c r="Z331" i="4"/>
  <c r="Z339" i="4"/>
  <c r="Z341" i="4"/>
  <c r="Z47" i="5"/>
  <c r="M163" i="1"/>
  <c r="AA249" i="4"/>
  <c r="Z67" i="4"/>
  <c r="U21" i="1"/>
  <c r="L130" i="1"/>
  <c r="W21" i="1"/>
  <c r="Y94" i="6"/>
  <c r="Y97" i="6"/>
  <c r="Y100" i="6"/>
  <c r="M154" i="1"/>
  <c r="M164" i="1"/>
  <c r="AF15" i="8"/>
  <c r="Y157" i="4"/>
  <c r="Y158" i="4"/>
  <c r="Y159" i="4"/>
  <c r="Y23" i="9"/>
  <c r="BC236" i="4"/>
  <c r="BD235" i="4"/>
  <c r="AC277" i="4"/>
  <c r="AC242" i="4"/>
  <c r="Y37" i="6"/>
  <c r="AF59" i="8"/>
  <c r="AF60" i="8"/>
  <c r="BB272" i="4"/>
  <c r="Z351" i="4"/>
  <c r="Z354" i="4"/>
  <c r="Z366" i="4"/>
  <c r="Z92" i="6"/>
  <c r="N151" i="1"/>
  <c r="Z74" i="4"/>
  <c r="Z24" i="9"/>
  <c r="Z38" i="6"/>
  <c r="M123" i="1"/>
  <c r="Q22" i="1"/>
  <c r="AC48" i="5"/>
  <c r="AA324" i="4"/>
  <c r="AA251" i="4"/>
  <c r="AF17" i="8"/>
  <c r="AF22" i="8"/>
  <c r="M166" i="1"/>
  <c r="Z308" i="4"/>
  <c r="BC272" i="4"/>
  <c r="BE235" i="4"/>
  <c r="BD236" i="4"/>
  <c r="Z49" i="5"/>
  <c r="AC278" i="4"/>
  <c r="Q152" i="1"/>
  <c r="AC39" i="6"/>
  <c r="P124" i="1"/>
  <c r="S25" i="1"/>
  <c r="AA305" i="4"/>
  <c r="Z69" i="4"/>
  <c r="Z72" i="4"/>
  <c r="N153" i="1"/>
  <c r="N157" i="1"/>
  <c r="M126" i="1"/>
  <c r="Z51" i="5"/>
  <c r="Z42" i="6"/>
  <c r="AD274" i="4"/>
  <c r="AC68" i="4"/>
  <c r="BD272" i="4"/>
  <c r="AA252" i="4"/>
  <c r="AA253" i="4"/>
  <c r="BF235" i="4"/>
  <c r="BE236" i="4"/>
  <c r="AA302" i="4"/>
  <c r="AA306" i="4"/>
  <c r="AA307" i="4"/>
  <c r="AA78" i="6"/>
  <c r="AA81" i="6"/>
  <c r="AA47" i="5"/>
  <c r="N163" i="1"/>
  <c r="BE272" i="4"/>
  <c r="AB249" i="4"/>
  <c r="AA67" i="4"/>
  <c r="Z37" i="6"/>
  <c r="AG59" i="8"/>
  <c r="AG60" i="8"/>
  <c r="BG235" i="4"/>
  <c r="BF236" i="4"/>
  <c r="AD325" i="4"/>
  <c r="AD276" i="4"/>
  <c r="N154" i="1"/>
  <c r="N164" i="1"/>
  <c r="Z157" i="4"/>
  <c r="Z158" i="4"/>
  <c r="Z159" i="4"/>
  <c r="Z23" i="9"/>
  <c r="Z94" i="6"/>
  <c r="Z97" i="6"/>
  <c r="Z100" i="6"/>
  <c r="AG15" i="8"/>
  <c r="AA326" i="4"/>
  <c r="AA308" i="4"/>
  <c r="U22" i="1"/>
  <c r="M130" i="1"/>
  <c r="W22" i="1"/>
  <c r="AA351" i="4"/>
  <c r="AA354" i="4"/>
  <c r="AA366" i="4"/>
  <c r="N123" i="1"/>
  <c r="Q23" i="1"/>
  <c r="AA38" i="6"/>
  <c r="O151" i="1"/>
  <c r="N166" i="1"/>
  <c r="AA49" i="5"/>
  <c r="AA92" i="6"/>
  <c r="AA69" i="4"/>
  <c r="AA72" i="4"/>
  <c r="AB305" i="4"/>
  <c r="BF272" i="4"/>
  <c r="AA330" i="4"/>
  <c r="AA331" i="4"/>
  <c r="AD277" i="4"/>
  <c r="AD48" i="5"/>
  <c r="BH235" i="4"/>
  <c r="BG236" i="4"/>
  <c r="AB324" i="4"/>
  <c r="AB251" i="4"/>
  <c r="AG22" i="8"/>
  <c r="AG17" i="8"/>
  <c r="AA51" i="5"/>
  <c r="AA94" i="6"/>
  <c r="AA97" i="6"/>
  <c r="AA100" i="6"/>
  <c r="N126" i="1"/>
  <c r="U23" i="1"/>
  <c r="O153" i="1"/>
  <c r="O163" i="1"/>
  <c r="AA42" i="6"/>
  <c r="AA37" i="6"/>
  <c r="AH59" i="8"/>
  <c r="AH60" i="8"/>
  <c r="R152" i="1"/>
  <c r="Q124" i="1"/>
  <c r="AD39" i="6"/>
  <c r="AB252" i="4"/>
  <c r="AB47" i="5"/>
  <c r="BI235" i="4"/>
  <c r="BH236" i="4"/>
  <c r="BH272" i="4"/>
  <c r="AD242" i="4"/>
  <c r="AD278" i="4"/>
  <c r="AB326" i="4"/>
  <c r="AB330" i="4"/>
  <c r="BG272" i="4"/>
  <c r="AA339" i="4"/>
  <c r="AA341" i="4"/>
  <c r="O154" i="1"/>
  <c r="O164" i="1"/>
  <c r="AH15" i="8"/>
  <c r="AH17" i="8"/>
  <c r="AA157" i="4"/>
  <c r="AA158" i="4"/>
  <c r="AA159" i="4"/>
  <c r="AA23" i="9"/>
  <c r="AB351" i="4"/>
  <c r="AB354" i="4"/>
  <c r="AB366" i="4"/>
  <c r="N130" i="1"/>
  <c r="W23" i="1"/>
  <c r="O157" i="1"/>
  <c r="AB331" i="4"/>
  <c r="AB339" i="4"/>
  <c r="AB341" i="4"/>
  <c r="AB302" i="4"/>
  <c r="AB306" i="4"/>
  <c r="AB92" i="6"/>
  <c r="BI236" i="4"/>
  <c r="BJ235" i="4"/>
  <c r="AH22" i="8"/>
  <c r="S26" i="1"/>
  <c r="AA24" i="9"/>
  <c r="AA74" i="4"/>
  <c r="AD68" i="4"/>
  <c r="AE274" i="4"/>
  <c r="AB38" i="6"/>
  <c r="P151" i="1"/>
  <c r="O123" i="1"/>
  <c r="AB253" i="4"/>
  <c r="O166" i="1"/>
  <c r="AB307" i="4"/>
  <c r="AB308" i="4"/>
  <c r="AB69" i="4"/>
  <c r="AB24" i="9"/>
  <c r="AB74" i="4"/>
  <c r="BI272" i="4"/>
  <c r="Q24" i="1"/>
  <c r="AC249" i="4"/>
  <c r="AB67" i="4"/>
  <c r="AE325" i="4"/>
  <c r="AE276" i="4"/>
  <c r="BJ236" i="4"/>
  <c r="N235" i="4"/>
  <c r="AB78" i="6"/>
  <c r="AB81" i="6"/>
  <c r="AB49" i="5"/>
  <c r="AC305" i="4"/>
  <c r="AC326" i="4"/>
  <c r="AE277" i="4"/>
  <c r="AE278" i="4"/>
  <c r="AC324" i="4"/>
  <c r="AC251" i="4"/>
  <c r="BJ272" i="4"/>
  <c r="N236" i="4"/>
  <c r="AB72" i="4"/>
  <c r="AB42" i="6"/>
  <c r="AB37" i="6"/>
  <c r="AI59" i="8"/>
  <c r="AI60" i="8"/>
  <c r="AB51" i="5"/>
  <c r="P153" i="1"/>
  <c r="P157" i="1"/>
  <c r="O126" i="1"/>
  <c r="U24" i="1"/>
  <c r="AE242" i="4"/>
  <c r="AC331" i="4"/>
  <c r="AC330" i="4"/>
  <c r="AE48" i="5"/>
  <c r="AC252" i="4"/>
  <c r="AC47" i="5"/>
  <c r="AF274" i="4"/>
  <c r="AE68" i="4"/>
  <c r="AC351" i="4"/>
  <c r="AC354" i="4"/>
  <c r="AC366" i="4"/>
  <c r="P154" i="1"/>
  <c r="P164" i="1"/>
  <c r="AB157" i="4"/>
  <c r="AB158" i="4"/>
  <c r="AB159" i="4"/>
  <c r="AB23" i="9"/>
  <c r="AB94" i="6"/>
  <c r="AB97" i="6"/>
  <c r="AB100" i="6"/>
  <c r="AI15" i="8"/>
  <c r="AI17" i="8"/>
  <c r="O130" i="1"/>
  <c r="W24" i="1"/>
  <c r="P163" i="1"/>
  <c r="S152" i="1"/>
  <c r="R124" i="1"/>
  <c r="AE39" i="6"/>
  <c r="AC253" i="4"/>
  <c r="AF325" i="4"/>
  <c r="AF276" i="4"/>
  <c r="AC302" i="4"/>
  <c r="AC306" i="4"/>
  <c r="AC339" i="4"/>
  <c r="AC341" i="4"/>
  <c r="P123" i="1"/>
  <c r="Q151" i="1"/>
  <c r="AC38" i="6"/>
  <c r="P166" i="1"/>
  <c r="AI22" i="8"/>
  <c r="AC307" i="4"/>
  <c r="AC78" i="6"/>
  <c r="AC81" i="6"/>
  <c r="AC92" i="6"/>
  <c r="Q25" i="1"/>
  <c r="AC67" i="4"/>
  <c r="AD249" i="4"/>
  <c r="S27" i="1"/>
  <c r="AF277" i="4"/>
  <c r="AC74" i="4"/>
  <c r="AC24" i="9"/>
  <c r="AD324" i="4"/>
  <c r="AD251" i="4"/>
  <c r="AC308" i="4"/>
  <c r="AF242" i="4"/>
  <c r="AF278" i="4"/>
  <c r="AF48" i="5"/>
  <c r="AC49" i="5"/>
  <c r="AF39" i="6"/>
  <c r="T152" i="1"/>
  <c r="S124" i="1"/>
  <c r="AF68" i="4"/>
  <c r="AG274" i="4"/>
  <c r="AD252" i="4"/>
  <c r="AD47" i="5"/>
  <c r="P126" i="1"/>
  <c r="Q153" i="1"/>
  <c r="Q157" i="1"/>
  <c r="AC42" i="6"/>
  <c r="AC51" i="5"/>
  <c r="AD305" i="4"/>
  <c r="AC69" i="4"/>
  <c r="AC72" i="4"/>
  <c r="AD351" i="4"/>
  <c r="AD354" i="4"/>
  <c r="AD366" i="4"/>
  <c r="AD326" i="4"/>
  <c r="U25" i="1"/>
  <c r="P130" i="1"/>
  <c r="W25" i="1"/>
  <c r="AG325" i="4"/>
  <c r="AG276" i="4"/>
  <c r="S28" i="1"/>
  <c r="Q154" i="1"/>
  <c r="Q164" i="1"/>
  <c r="AC94" i="6"/>
  <c r="AC97" i="6"/>
  <c r="AC100" i="6"/>
  <c r="AC157" i="4"/>
  <c r="AC158" i="4"/>
  <c r="AC159" i="4"/>
  <c r="AC23" i="9"/>
  <c r="AJ15" i="8"/>
  <c r="AC37" i="6"/>
  <c r="AJ59" i="8"/>
  <c r="AJ60" i="8"/>
  <c r="Q123" i="1"/>
  <c r="R151" i="1"/>
  <c r="AD38" i="6"/>
  <c r="AD302" i="4"/>
  <c r="AD306" i="4"/>
  <c r="Q163" i="1"/>
  <c r="AD253" i="4"/>
  <c r="AD67" i="4"/>
  <c r="AE249" i="4"/>
  <c r="Q26" i="1"/>
  <c r="AJ22" i="8"/>
  <c r="AJ17" i="8"/>
  <c r="AG277" i="4"/>
  <c r="AG242" i="4"/>
  <c r="Q166" i="1"/>
  <c r="AD92" i="6"/>
  <c r="AD307" i="4"/>
  <c r="AD78" i="6"/>
  <c r="AD81" i="6"/>
  <c r="AD330" i="4"/>
  <c r="AD331" i="4"/>
  <c r="AG48" i="5"/>
  <c r="AD339" i="4"/>
  <c r="AD341" i="4"/>
  <c r="AD74" i="4"/>
  <c r="AG278" i="4"/>
  <c r="AG68" i="4"/>
  <c r="AD49" i="5"/>
  <c r="AE324" i="4"/>
  <c r="AE251" i="4"/>
  <c r="AD308" i="4"/>
  <c r="U152" i="1"/>
  <c r="AG39" i="6"/>
  <c r="T124" i="1"/>
  <c r="S29" i="1"/>
  <c r="AD24" i="9"/>
  <c r="AH274" i="4"/>
  <c r="AH325" i="4"/>
  <c r="AE305" i="4"/>
  <c r="AD69" i="4"/>
  <c r="AD72" i="4"/>
  <c r="AE252" i="4"/>
  <c r="AE253" i="4"/>
  <c r="Q126" i="1"/>
  <c r="R153" i="1"/>
  <c r="R157" i="1"/>
  <c r="AD42" i="6"/>
  <c r="AD51" i="5"/>
  <c r="AH276" i="4"/>
  <c r="AH277" i="4"/>
  <c r="AH278" i="4"/>
  <c r="AE302" i="4"/>
  <c r="AE306" i="4"/>
  <c r="AE92" i="6"/>
  <c r="AE47" i="5"/>
  <c r="U26" i="1"/>
  <c r="Q130" i="1"/>
  <c r="W26" i="1"/>
  <c r="AD94" i="6"/>
  <c r="AD97" i="6"/>
  <c r="AD100" i="6"/>
  <c r="AD157" i="4"/>
  <c r="AD158" i="4"/>
  <c r="AD159" i="4"/>
  <c r="AD23" i="9"/>
  <c r="R154" i="1"/>
  <c r="R164" i="1"/>
  <c r="AK15" i="8"/>
  <c r="AE307" i="4"/>
  <c r="AE78" i="6"/>
  <c r="AE81" i="6"/>
  <c r="AD37" i="6"/>
  <c r="AK59" i="8"/>
  <c r="AK60" i="8"/>
  <c r="AF249" i="4"/>
  <c r="AE67" i="4"/>
  <c r="R163" i="1"/>
  <c r="AE326" i="4"/>
  <c r="AE351" i="4"/>
  <c r="AE354" i="4"/>
  <c r="AE366" i="4"/>
  <c r="AE38" i="6"/>
  <c r="S151" i="1"/>
  <c r="R123" i="1"/>
  <c r="Q27" i="1"/>
  <c r="AE308" i="4"/>
  <c r="AF305" i="4"/>
  <c r="AH48" i="5"/>
  <c r="AE331" i="4"/>
  <c r="AE330" i="4"/>
  <c r="AE49" i="5"/>
  <c r="AH68" i="4"/>
  <c r="AI274" i="4"/>
  <c r="AF324" i="4"/>
  <c r="AF251" i="4"/>
  <c r="R166" i="1"/>
  <c r="AK17" i="8"/>
  <c r="AK22" i="8"/>
  <c r="AH242" i="4"/>
  <c r="AE69" i="4"/>
  <c r="AE72" i="4"/>
  <c r="AE339" i="4"/>
  <c r="AE341" i="4"/>
  <c r="AE24" i="9"/>
  <c r="AF326" i="4"/>
  <c r="AF331" i="4"/>
  <c r="AI325" i="4"/>
  <c r="AI276" i="4"/>
  <c r="AF252" i="4"/>
  <c r="AE51" i="5"/>
  <c r="R126" i="1"/>
  <c r="S153" i="1"/>
  <c r="S157" i="1"/>
  <c r="AE42" i="6"/>
  <c r="AE37" i="6"/>
  <c r="AL59" i="8"/>
  <c r="AL60" i="8"/>
  <c r="V152" i="1"/>
  <c r="U124" i="1"/>
  <c r="AH39" i="6"/>
  <c r="AE74" i="4"/>
  <c r="AF330" i="4"/>
  <c r="AF339" i="4"/>
  <c r="AF341" i="4"/>
  <c r="AF74" i="4"/>
  <c r="AF302" i="4"/>
  <c r="AF306" i="4"/>
  <c r="AF253" i="4"/>
  <c r="AI277" i="4"/>
  <c r="AI278" i="4"/>
  <c r="AL15" i="8"/>
  <c r="AE157" i="4"/>
  <c r="AE158" i="4"/>
  <c r="AE159" i="4"/>
  <c r="AE23" i="9"/>
  <c r="S154" i="1"/>
  <c r="S164" i="1"/>
  <c r="AE94" i="6"/>
  <c r="AE97" i="6"/>
  <c r="AE100" i="6"/>
  <c r="S30" i="1"/>
  <c r="S163" i="1"/>
  <c r="U27" i="1"/>
  <c r="R130" i="1"/>
  <c r="W27" i="1"/>
  <c r="AF47" i="5"/>
  <c r="AF351" i="4"/>
  <c r="AF354" i="4"/>
  <c r="AF366" i="4"/>
  <c r="AF24" i="9"/>
  <c r="S166" i="1"/>
  <c r="AI48" i="5"/>
  <c r="AL17" i="8"/>
  <c r="AL22" i="8"/>
  <c r="AI68" i="4"/>
  <c r="AJ274" i="4"/>
  <c r="AG249" i="4"/>
  <c r="AF67" i="4"/>
  <c r="AF38" i="6"/>
  <c r="T151" i="1"/>
  <c r="S123" i="1"/>
  <c r="AI242" i="4"/>
  <c r="AF307" i="4"/>
  <c r="AF78" i="6"/>
  <c r="AF81" i="6"/>
  <c r="AF92" i="6"/>
  <c r="AF49" i="5"/>
  <c r="AF308" i="4"/>
  <c r="AF69" i="4"/>
  <c r="AF72" i="4"/>
  <c r="AG324" i="4"/>
  <c r="AG251" i="4"/>
  <c r="AJ325" i="4"/>
  <c r="AJ276" i="4"/>
  <c r="Q28" i="1"/>
  <c r="W152" i="1"/>
  <c r="V124" i="1"/>
  <c r="AI39" i="6"/>
  <c r="AF51" i="5"/>
  <c r="T154" i="1"/>
  <c r="T164" i="1"/>
  <c r="AG305" i="4"/>
  <c r="AG326" i="4"/>
  <c r="AG331" i="4"/>
  <c r="S126" i="1"/>
  <c r="U28" i="1"/>
  <c r="T153" i="1"/>
  <c r="AF42" i="6"/>
  <c r="AF37" i="6"/>
  <c r="AM59" i="8"/>
  <c r="AM60" i="8"/>
  <c r="S31" i="1"/>
  <c r="AJ277" i="4"/>
  <c r="AJ278" i="4"/>
  <c r="AG252" i="4"/>
  <c r="AG253" i="4"/>
  <c r="S130" i="1"/>
  <c r="W28" i="1"/>
  <c r="AM15" i="8"/>
  <c r="AM22" i="8"/>
  <c r="AF94" i="6"/>
  <c r="AF97" i="6"/>
  <c r="AF100" i="6"/>
  <c r="AF157" i="4"/>
  <c r="AF158" i="4"/>
  <c r="AF159" i="4"/>
  <c r="AF23" i="9"/>
  <c r="T163" i="1"/>
  <c r="T157" i="1"/>
  <c r="AG47" i="5"/>
  <c r="AG67" i="4"/>
  <c r="AH249" i="4"/>
  <c r="AJ242" i="4"/>
  <c r="AG302" i="4"/>
  <c r="AG306" i="4"/>
  <c r="AJ48" i="5"/>
  <c r="AG330" i="4"/>
  <c r="AG339" i="4"/>
  <c r="AG341" i="4"/>
  <c r="AK274" i="4"/>
  <c r="AJ68" i="4"/>
  <c r="AM17" i="8"/>
  <c r="AG351" i="4"/>
  <c r="AG354" i="4"/>
  <c r="AG366" i="4"/>
  <c r="T166" i="1"/>
  <c r="T123" i="1"/>
  <c r="Q29" i="1"/>
  <c r="U151" i="1"/>
  <c r="AG38" i="6"/>
  <c r="AG74" i="4"/>
  <c r="AG24" i="9"/>
  <c r="W124" i="1"/>
  <c r="X152" i="1"/>
  <c r="AJ39" i="6"/>
  <c r="AK325" i="4"/>
  <c r="AK276" i="4"/>
  <c r="AG92" i="6"/>
  <c r="AG307" i="4"/>
  <c r="AG78" i="6"/>
  <c r="AG81" i="6"/>
  <c r="AH324" i="4"/>
  <c r="AH251" i="4"/>
  <c r="AG308" i="4"/>
  <c r="AH305" i="4"/>
  <c r="AK277" i="4"/>
  <c r="AK278" i="4"/>
  <c r="S32" i="1"/>
  <c r="AH252" i="4"/>
  <c r="AH47" i="5"/>
  <c r="AG49" i="5"/>
  <c r="AH351" i="4"/>
  <c r="AH354" i="4"/>
  <c r="AH366" i="4"/>
  <c r="AG69" i="4"/>
  <c r="AG72" i="4"/>
  <c r="AK48" i="5"/>
  <c r="AL274" i="4"/>
  <c r="AK68" i="4"/>
  <c r="AG51" i="5"/>
  <c r="U153" i="1"/>
  <c r="U157" i="1"/>
  <c r="T126" i="1"/>
  <c r="AG42" i="6"/>
  <c r="AH326" i="4"/>
  <c r="V151" i="1"/>
  <c r="U123" i="1"/>
  <c r="AH38" i="6"/>
  <c r="AH302" i="4"/>
  <c r="AH306" i="4"/>
  <c r="AK242" i="4"/>
  <c r="AH253" i="4"/>
  <c r="AG37" i="6"/>
  <c r="AN59" i="8"/>
  <c r="AN60" i="8"/>
  <c r="AG94" i="6"/>
  <c r="AG97" i="6"/>
  <c r="AG100" i="6"/>
  <c r="AG157" i="4"/>
  <c r="AG158" i="4"/>
  <c r="AG159" i="4"/>
  <c r="AG23" i="9"/>
  <c r="U154" i="1"/>
  <c r="U164" i="1"/>
  <c r="AN15" i="8"/>
  <c r="AH67" i="4"/>
  <c r="AI249" i="4"/>
  <c r="U29" i="1"/>
  <c r="T130" i="1"/>
  <c r="W29" i="1"/>
  <c r="Q30" i="1"/>
  <c r="U163" i="1"/>
  <c r="AL325" i="4"/>
  <c r="AL276" i="4"/>
  <c r="AH92" i="6"/>
  <c r="AH307" i="4"/>
  <c r="AH78" i="6"/>
  <c r="AH81" i="6"/>
  <c r="AH331" i="4"/>
  <c r="AH330" i="4"/>
  <c r="X124" i="1"/>
  <c r="Y152" i="1"/>
  <c r="AK39" i="6"/>
  <c r="AH339" i="4"/>
  <c r="AH341" i="4"/>
  <c r="AH24" i="9"/>
  <c r="S33" i="1"/>
  <c r="AH49" i="5"/>
  <c r="U166" i="1"/>
  <c r="AL277" i="4"/>
  <c r="AL242" i="4"/>
  <c r="AN22" i="8"/>
  <c r="AN17" i="8"/>
  <c r="AI324" i="4"/>
  <c r="AI251" i="4"/>
  <c r="AH308" i="4"/>
  <c r="AH74" i="4"/>
  <c r="AI252" i="4"/>
  <c r="AI47" i="5"/>
  <c r="AL48" i="5"/>
  <c r="AL278" i="4"/>
  <c r="AI305" i="4"/>
  <c r="AH69" i="4"/>
  <c r="AH72" i="4"/>
  <c r="U126" i="1"/>
  <c r="V153" i="1"/>
  <c r="V157" i="1"/>
  <c r="AH51" i="5"/>
  <c r="AH42" i="6"/>
  <c r="AH37" i="6"/>
  <c r="AO59" i="8"/>
  <c r="AO60" i="8"/>
  <c r="AI351" i="4"/>
  <c r="AI354" i="4"/>
  <c r="AI366" i="4"/>
  <c r="AI253" i="4"/>
  <c r="AI67" i="4"/>
  <c r="AI302" i="4"/>
  <c r="AI306" i="4"/>
  <c r="AI92" i="6"/>
  <c r="V123" i="1"/>
  <c r="W151" i="1"/>
  <c r="AI38" i="6"/>
  <c r="U30" i="1"/>
  <c r="U130" i="1"/>
  <c r="W30" i="1"/>
  <c r="AI326" i="4"/>
  <c r="AM274" i="4"/>
  <c r="AL68" i="4"/>
  <c r="V154" i="1"/>
  <c r="V164" i="1"/>
  <c r="AH94" i="6"/>
  <c r="AH97" i="6"/>
  <c r="AH100" i="6"/>
  <c r="AH157" i="4"/>
  <c r="AH158" i="4"/>
  <c r="AH159" i="4"/>
  <c r="AH23" i="9"/>
  <c r="AO15" i="8"/>
  <c r="Y124" i="1"/>
  <c r="Z152" i="1"/>
  <c r="AL39" i="6"/>
  <c r="V163" i="1"/>
  <c r="AJ249" i="4"/>
  <c r="AJ324" i="4"/>
  <c r="AI307" i="4"/>
  <c r="AI78" i="6"/>
  <c r="AI81" i="6"/>
  <c r="V166" i="1"/>
  <c r="AO17" i="8"/>
  <c r="AO22" i="8"/>
  <c r="AM325" i="4"/>
  <c r="AM276" i="4"/>
  <c r="AM277" i="4"/>
  <c r="AM278" i="4"/>
  <c r="S34" i="1"/>
  <c r="AI330" i="4"/>
  <c r="AI331" i="4"/>
  <c r="Q31" i="1"/>
  <c r="AJ251" i="4"/>
  <c r="AJ252" i="4"/>
  <c r="AJ47" i="5"/>
  <c r="AI308" i="4"/>
  <c r="AI49" i="5"/>
  <c r="AI339" i="4"/>
  <c r="AI341" i="4"/>
  <c r="AI24" i="9"/>
  <c r="AM48" i="5"/>
  <c r="AM242" i="4"/>
  <c r="AN274" i="4"/>
  <c r="AM68" i="4"/>
  <c r="AJ351" i="4"/>
  <c r="AI74" i="4"/>
  <c r="AI51" i="5"/>
  <c r="V126" i="1"/>
  <c r="AI42" i="6"/>
  <c r="AI37" i="6"/>
  <c r="AP59" i="8"/>
  <c r="AP60" i="8"/>
  <c r="W153" i="1"/>
  <c r="W157" i="1"/>
  <c r="AI69" i="4"/>
  <c r="AI72" i="4"/>
  <c r="AJ305" i="4"/>
  <c r="AJ326" i="4"/>
  <c r="AJ253" i="4"/>
  <c r="AJ67" i="4"/>
  <c r="AJ302" i="4"/>
  <c r="AJ306" i="4"/>
  <c r="AJ92" i="6"/>
  <c r="X151" i="1"/>
  <c r="W123" i="1"/>
  <c r="AJ354" i="4"/>
  <c r="AJ366" i="4"/>
  <c r="AJ38" i="6"/>
  <c r="AN325" i="4"/>
  <c r="AN276" i="4"/>
  <c r="AN277" i="4"/>
  <c r="AN278" i="4"/>
  <c r="AM39" i="6"/>
  <c r="Z124" i="1"/>
  <c r="AA152" i="1"/>
  <c r="AJ307" i="4"/>
  <c r="AJ78" i="6"/>
  <c r="AJ81" i="6"/>
  <c r="AK249" i="4"/>
  <c r="AK251" i="4"/>
  <c r="W154" i="1"/>
  <c r="W164" i="1"/>
  <c r="AP15" i="8"/>
  <c r="AI157" i="4"/>
  <c r="AI158" i="4"/>
  <c r="AI159" i="4"/>
  <c r="AI23" i="9"/>
  <c r="AI94" i="6"/>
  <c r="AI97" i="6"/>
  <c r="AI100" i="6"/>
  <c r="W163" i="1"/>
  <c r="AJ330" i="4"/>
  <c r="AJ331" i="4"/>
  <c r="U31" i="1"/>
  <c r="V130" i="1"/>
  <c r="W31" i="1"/>
  <c r="AN68" i="4"/>
  <c r="AO274" i="4"/>
  <c r="Q32" i="1"/>
  <c r="S35" i="1"/>
  <c r="AN48" i="5"/>
  <c r="AN242" i="4"/>
  <c r="AK324" i="4"/>
  <c r="AJ49" i="5"/>
  <c r="AJ308" i="4"/>
  <c r="W166" i="1"/>
  <c r="AJ339" i="4"/>
  <c r="AJ341" i="4"/>
  <c r="AP17" i="8"/>
  <c r="AP22" i="8"/>
  <c r="AA124" i="1"/>
  <c r="AB152" i="1"/>
  <c r="AN39" i="6"/>
  <c r="AO325" i="4"/>
  <c r="AO276" i="4"/>
  <c r="AK252" i="4"/>
  <c r="AK302" i="4"/>
  <c r="AK306" i="4"/>
  <c r="AK305" i="4"/>
  <c r="AK326" i="4"/>
  <c r="AJ69" i="4"/>
  <c r="AJ72" i="4"/>
  <c r="AJ51" i="5"/>
  <c r="W126" i="1"/>
  <c r="X153" i="1"/>
  <c r="X157" i="1"/>
  <c r="AJ42" i="6"/>
  <c r="AJ37" i="6"/>
  <c r="AQ59" i="8"/>
  <c r="AQ60" i="8"/>
  <c r="AJ74" i="4"/>
  <c r="AJ24" i="9"/>
  <c r="AK47" i="5"/>
  <c r="AK253" i="4"/>
  <c r="AO277" i="4"/>
  <c r="AO278" i="4"/>
  <c r="AK92" i="6"/>
  <c r="AK307" i="4"/>
  <c r="AK308" i="4"/>
  <c r="S36" i="1"/>
  <c r="AK351" i="4"/>
  <c r="AK354" i="4"/>
  <c r="AK366" i="4"/>
  <c r="X123" i="1"/>
  <c r="Q33" i="1"/>
  <c r="U32" i="1"/>
  <c r="W130" i="1"/>
  <c r="W32" i="1"/>
  <c r="AJ94" i="6"/>
  <c r="AJ97" i="6"/>
  <c r="AJ100" i="6"/>
  <c r="AQ15" i="8"/>
  <c r="AJ157" i="4"/>
  <c r="AJ158" i="4"/>
  <c r="AJ159" i="4"/>
  <c r="AJ23" i="9"/>
  <c r="X154" i="1"/>
  <c r="X164" i="1"/>
  <c r="X163" i="1"/>
  <c r="AK330" i="4"/>
  <c r="AK331" i="4"/>
  <c r="AK38" i="6"/>
  <c r="Y151" i="1"/>
  <c r="AO242" i="4"/>
  <c r="AO48" i="5"/>
  <c r="AK49" i="5"/>
  <c r="AK78" i="6"/>
  <c r="AK81" i="6"/>
  <c r="AK67" i="4"/>
  <c r="AL249" i="4"/>
  <c r="AK69" i="4"/>
  <c r="AL305" i="4"/>
  <c r="AP274" i="4"/>
  <c r="AO68" i="4"/>
  <c r="AC152" i="1"/>
  <c r="AK339" i="4"/>
  <c r="AK341" i="4"/>
  <c r="AK24" i="9"/>
  <c r="X166" i="1"/>
  <c r="AQ22" i="8"/>
  <c r="AQ17" i="8"/>
  <c r="AB124" i="1"/>
  <c r="S37" i="1"/>
  <c r="AK72" i="4"/>
  <c r="AO39" i="6"/>
  <c r="AL326" i="4"/>
  <c r="AL324" i="4"/>
  <c r="AL251" i="4"/>
  <c r="AP325" i="4"/>
  <c r="AP276" i="4"/>
  <c r="AK51" i="5"/>
  <c r="X126" i="1"/>
  <c r="Y153" i="1"/>
  <c r="Y157" i="1"/>
  <c r="AK42" i="6"/>
  <c r="AK74" i="4"/>
  <c r="AK37" i="6"/>
  <c r="AR59" i="8"/>
  <c r="AR60" i="8"/>
  <c r="AK157" i="4"/>
  <c r="AK158" i="4"/>
  <c r="AK159" i="4"/>
  <c r="AK23" i="9"/>
  <c r="AK94" i="6"/>
  <c r="AK97" i="6"/>
  <c r="AK100" i="6"/>
  <c r="AR15" i="8"/>
  <c r="Y154" i="1"/>
  <c r="Y164" i="1"/>
  <c r="AL330" i="4"/>
  <c r="AL331" i="4"/>
  <c r="Y163" i="1"/>
  <c r="U33" i="1"/>
  <c r="X130" i="1"/>
  <c r="W33" i="1"/>
  <c r="AP277" i="4"/>
  <c r="AP278" i="4"/>
  <c r="AL252" i="4"/>
  <c r="AL253" i="4"/>
  <c r="AL339" i="4"/>
  <c r="AL341" i="4"/>
  <c r="AL74" i="4"/>
  <c r="AL302" i="4"/>
  <c r="AL306" i="4"/>
  <c r="AL307" i="4"/>
  <c r="AL78" i="6"/>
  <c r="AL81" i="6"/>
  <c r="Y166" i="1"/>
  <c r="AR17" i="8"/>
  <c r="AR22" i="8"/>
  <c r="AL47" i="5"/>
  <c r="AP242" i="4"/>
  <c r="AL67" i="4"/>
  <c r="AM249" i="4"/>
  <c r="AP68" i="4"/>
  <c r="AQ274" i="4"/>
  <c r="AP48" i="5"/>
  <c r="AL351" i="4"/>
  <c r="AL354" i="4"/>
  <c r="AL366" i="4"/>
  <c r="AL92" i="6"/>
  <c r="AL24" i="9"/>
  <c r="AQ325" i="4"/>
  <c r="AQ276" i="4"/>
  <c r="Y123" i="1"/>
  <c r="Z151" i="1"/>
  <c r="AL38" i="6"/>
  <c r="AL308" i="4"/>
  <c r="AM324" i="4"/>
  <c r="AM251" i="4"/>
  <c r="AC124" i="1"/>
  <c r="AD152" i="1"/>
  <c r="AP39" i="6"/>
  <c r="AL49" i="5"/>
  <c r="S38" i="1"/>
  <c r="AL69" i="4"/>
  <c r="AL72" i="4"/>
  <c r="AM305" i="4"/>
  <c r="Q34" i="1"/>
  <c r="AQ277" i="4"/>
  <c r="AQ278" i="4"/>
  <c r="Z153" i="1"/>
  <c r="Z163" i="1"/>
  <c r="Y126" i="1"/>
  <c r="U34" i="1"/>
  <c r="AL42" i="6"/>
  <c r="AL37" i="6"/>
  <c r="AS59" i="8"/>
  <c r="AS60" i="8"/>
  <c r="AM252" i="4"/>
  <c r="AM253" i="4"/>
  <c r="AL51" i="5"/>
  <c r="Z157" i="1"/>
  <c r="AM302" i="4"/>
  <c r="AM306" i="4"/>
  <c r="AM326" i="4"/>
  <c r="AM47" i="5"/>
  <c r="AR274" i="4"/>
  <c r="AQ68" i="4"/>
  <c r="AQ242" i="4"/>
  <c r="AN249" i="4"/>
  <c r="AM67" i="4"/>
  <c r="Y130" i="1"/>
  <c r="W34" i="1"/>
  <c r="AQ48" i="5"/>
  <c r="AL157" i="4"/>
  <c r="AL158" i="4"/>
  <c r="AL159" i="4"/>
  <c r="AL23" i="9"/>
  <c r="Z154" i="1"/>
  <c r="Z164" i="1"/>
  <c r="AS15" i="8"/>
  <c r="AL94" i="6"/>
  <c r="AL97" i="6"/>
  <c r="AL100" i="6"/>
  <c r="AM351" i="4"/>
  <c r="AM354" i="4"/>
  <c r="AM366" i="4"/>
  <c r="Z166" i="1"/>
  <c r="AN324" i="4"/>
  <c r="AN251" i="4"/>
  <c r="AM38" i="6"/>
  <c r="AA151" i="1"/>
  <c r="Z123" i="1"/>
  <c r="AQ39" i="6"/>
  <c r="AE152" i="1"/>
  <c r="AD124" i="1"/>
  <c r="S39" i="1"/>
  <c r="AM330" i="4"/>
  <c r="AM331" i="4"/>
  <c r="AS22" i="8"/>
  <c r="AS17" i="8"/>
  <c r="AR325" i="4"/>
  <c r="AR276" i="4"/>
  <c r="AR277" i="4"/>
  <c r="AR278" i="4"/>
  <c r="AM92" i="6"/>
  <c r="AM307" i="4"/>
  <c r="AM78" i="6"/>
  <c r="AM81" i="6"/>
  <c r="AM339" i="4"/>
  <c r="AM341" i="4"/>
  <c r="AM24" i="9"/>
  <c r="AN252" i="4"/>
  <c r="AN253" i="4"/>
  <c r="AR48" i="5"/>
  <c r="AR242" i="4"/>
  <c r="AS274" i="4"/>
  <c r="AR68" i="4"/>
  <c r="AM49" i="5"/>
  <c r="Q35" i="1"/>
  <c r="AM308" i="4"/>
  <c r="AR39" i="6"/>
  <c r="AM74" i="4"/>
  <c r="AN302" i="4"/>
  <c r="AN306" i="4"/>
  <c r="AN307" i="4"/>
  <c r="AN78" i="6"/>
  <c r="AN81" i="6"/>
  <c r="AN47" i="5"/>
  <c r="AM69" i="4"/>
  <c r="AM72" i="4"/>
  <c r="AN305" i="4"/>
  <c r="Z126" i="1"/>
  <c r="AA153" i="1"/>
  <c r="AA157" i="1"/>
  <c r="AM42" i="6"/>
  <c r="AM51" i="5"/>
  <c r="AE124" i="1"/>
  <c r="AF152" i="1"/>
  <c r="AN67" i="4"/>
  <c r="AO249" i="4"/>
  <c r="AS325" i="4"/>
  <c r="AS276" i="4"/>
  <c r="AS277" i="4"/>
  <c r="AS48" i="5"/>
  <c r="AN351" i="4"/>
  <c r="AN354" i="4"/>
  <c r="AN366" i="4"/>
  <c r="AN49" i="5"/>
  <c r="AN92" i="6"/>
  <c r="AS39" i="6"/>
  <c r="AG152" i="1"/>
  <c r="AF124" i="1"/>
  <c r="AS242" i="4"/>
  <c r="S40" i="1"/>
  <c r="AA163" i="1"/>
  <c r="U35" i="1"/>
  <c r="Z130" i="1"/>
  <c r="W35" i="1"/>
  <c r="AB151" i="1"/>
  <c r="AA123" i="1"/>
  <c r="AN38" i="6"/>
  <c r="AO324" i="4"/>
  <c r="AO251" i="4"/>
  <c r="AO252" i="4"/>
  <c r="AO253" i="4"/>
  <c r="AS278" i="4"/>
  <c r="AM157" i="4"/>
  <c r="AM158" i="4"/>
  <c r="AM159" i="4"/>
  <c r="AM23" i="9"/>
  <c r="AT15" i="8"/>
  <c r="AM94" i="6"/>
  <c r="AM97" i="6"/>
  <c r="AM100" i="6"/>
  <c r="AA154" i="1"/>
  <c r="AA164" i="1"/>
  <c r="AM37" i="6"/>
  <c r="AT59" i="8"/>
  <c r="AT60" i="8"/>
  <c r="AN308" i="4"/>
  <c r="AN326" i="4"/>
  <c r="AN51" i="5"/>
  <c r="AU15" i="8"/>
  <c r="AB153" i="1"/>
  <c r="AB163" i="1"/>
  <c r="AA126" i="1"/>
  <c r="U36" i="1"/>
  <c r="AN42" i="6"/>
  <c r="AN37" i="6"/>
  <c r="AU59" i="8"/>
  <c r="AU60" i="8"/>
  <c r="AO67" i="4"/>
  <c r="AP249" i="4"/>
  <c r="AO302" i="4"/>
  <c r="AO306" i="4"/>
  <c r="AO92" i="6"/>
  <c r="S41" i="1"/>
  <c r="AN331" i="4"/>
  <c r="AN330" i="4"/>
  <c r="AN157" i="4"/>
  <c r="AN158" i="4"/>
  <c r="AN159" i="4"/>
  <c r="AN23" i="9"/>
  <c r="AA166" i="1"/>
  <c r="AN69" i="4"/>
  <c r="AN72" i="4"/>
  <c r="AO305" i="4"/>
  <c r="AO47" i="5"/>
  <c r="AT17" i="8"/>
  <c r="AT22" i="8"/>
  <c r="AT274" i="4"/>
  <c r="AS68" i="4"/>
  <c r="Q36" i="1"/>
  <c r="AN94" i="6"/>
  <c r="AN97" i="6"/>
  <c r="AN100" i="6"/>
  <c r="AB154" i="1"/>
  <c r="AB164" i="1"/>
  <c r="AO351" i="4"/>
  <c r="AO354" i="4"/>
  <c r="AO366" i="4"/>
  <c r="AA130" i="1"/>
  <c r="W36" i="1"/>
  <c r="AB157" i="1"/>
  <c r="AB166" i="1"/>
  <c r="AO307" i="4"/>
  <c r="AO49" i="5"/>
  <c r="AN339" i="4"/>
  <c r="AN341" i="4"/>
  <c r="AN24" i="9"/>
  <c r="AT325" i="4"/>
  <c r="AT276" i="4"/>
  <c r="AO38" i="6"/>
  <c r="AC151" i="1"/>
  <c r="AB123" i="1"/>
  <c r="AP324" i="4"/>
  <c r="AP251" i="4"/>
  <c r="AP252" i="4"/>
  <c r="AO326" i="4"/>
  <c r="AU17" i="8"/>
  <c r="AU22" i="8"/>
  <c r="AB126" i="1"/>
  <c r="U37" i="1"/>
  <c r="AO308" i="4"/>
  <c r="AO69" i="4"/>
  <c r="AO72" i="4"/>
  <c r="AO42" i="6"/>
  <c r="AO37" i="6"/>
  <c r="AV59" i="8"/>
  <c r="AV60" i="8"/>
  <c r="AC153" i="1"/>
  <c r="AC157" i="1"/>
  <c r="AO51" i="5"/>
  <c r="AO78" i="6"/>
  <c r="AO81" i="6"/>
  <c r="AN74" i="4"/>
  <c r="AP47" i="5"/>
  <c r="AP253" i="4"/>
  <c r="AO331" i="4"/>
  <c r="AO330" i="4"/>
  <c r="Q37" i="1"/>
  <c r="AB130" i="1"/>
  <c r="W37" i="1"/>
  <c r="AP302" i="4"/>
  <c r="AP306" i="4"/>
  <c r="AT277" i="4"/>
  <c r="AT48" i="5"/>
  <c r="AP351" i="4"/>
  <c r="AP354" i="4"/>
  <c r="AP366" i="4"/>
  <c r="AP305" i="4"/>
  <c r="AV15" i="8"/>
  <c r="AV17" i="8"/>
  <c r="AP38" i="6"/>
  <c r="AC163" i="1"/>
  <c r="AO157" i="4"/>
  <c r="AO158" i="4"/>
  <c r="AO159" i="4"/>
  <c r="AO23" i="9"/>
  <c r="AO94" i="6"/>
  <c r="AO97" i="6"/>
  <c r="AO100" i="6"/>
  <c r="AC154" i="1"/>
  <c r="AC164" i="1"/>
  <c r="AT242" i="4"/>
  <c r="AO339" i="4"/>
  <c r="AO341" i="4"/>
  <c r="AO24" i="9"/>
  <c r="AV22" i="8"/>
  <c r="AT278" i="4"/>
  <c r="AQ249" i="4"/>
  <c r="AP67" i="4"/>
  <c r="AG124" i="1"/>
  <c r="AH152" i="1"/>
  <c r="AT39" i="6"/>
  <c r="AP326" i="4"/>
  <c r="AP307" i="4"/>
  <c r="AP78" i="6"/>
  <c r="AP81" i="6"/>
  <c r="AP92" i="6"/>
  <c r="AD151" i="1"/>
  <c r="AC123" i="1"/>
  <c r="AC166" i="1"/>
  <c r="AO74" i="4"/>
  <c r="AP49" i="5"/>
  <c r="Q38" i="1"/>
  <c r="AP330" i="4"/>
  <c r="AP331" i="4"/>
  <c r="AT68" i="4"/>
  <c r="AU274" i="4"/>
  <c r="AQ324" i="4"/>
  <c r="AQ251" i="4"/>
  <c r="AP308" i="4"/>
  <c r="S42" i="1"/>
  <c r="AD153" i="1"/>
  <c r="AD163" i="1"/>
  <c r="AP51" i="5"/>
  <c r="AP42" i="6"/>
  <c r="AP37" i="6"/>
  <c r="AW59" i="8"/>
  <c r="AW60" i="8"/>
  <c r="AC126" i="1"/>
  <c r="U38" i="1"/>
  <c r="AP339" i="4"/>
  <c r="AP341" i="4"/>
  <c r="AP24" i="9"/>
  <c r="AP69" i="4"/>
  <c r="AP72" i="4"/>
  <c r="AQ305" i="4"/>
  <c r="AU325" i="4"/>
  <c r="AU276" i="4"/>
  <c r="AU277" i="4"/>
  <c r="AU278" i="4"/>
  <c r="AQ252" i="4"/>
  <c r="AQ47" i="5"/>
  <c r="AD157" i="1"/>
  <c r="AQ351" i="4"/>
  <c r="AQ354" i="4"/>
  <c r="AQ366" i="4"/>
  <c r="AP94" i="6"/>
  <c r="AP97" i="6"/>
  <c r="AP100" i="6"/>
  <c r="AP157" i="4"/>
  <c r="AP158" i="4"/>
  <c r="AP159" i="4"/>
  <c r="AP23" i="9"/>
  <c r="AD154" i="1"/>
  <c r="AD164" i="1"/>
  <c r="AW15" i="8"/>
  <c r="AW22" i="8"/>
  <c r="AC130" i="1"/>
  <c r="W38" i="1"/>
  <c r="AP74" i="4"/>
  <c r="AU48" i="5"/>
  <c r="AU242" i="4"/>
  <c r="AQ326" i="4"/>
  <c r="AQ302" i="4"/>
  <c r="AQ306" i="4"/>
  <c r="AV274" i="4"/>
  <c r="AU68" i="4"/>
  <c r="AE151" i="1"/>
  <c r="AD123" i="1"/>
  <c r="Q39" i="1"/>
  <c r="AQ38" i="6"/>
  <c r="AQ253" i="4"/>
  <c r="AD166" i="1"/>
  <c r="AW17" i="8"/>
  <c r="AQ67" i="4"/>
  <c r="AR249" i="4"/>
  <c r="AV325" i="4"/>
  <c r="AV276" i="4"/>
  <c r="AV277" i="4"/>
  <c r="AV278" i="4"/>
  <c r="AQ307" i="4"/>
  <c r="AQ78" i="6"/>
  <c r="AQ81" i="6"/>
  <c r="AQ92" i="6"/>
  <c r="AH124" i="1"/>
  <c r="AI152" i="1"/>
  <c r="AU39" i="6"/>
  <c r="AQ331" i="4"/>
  <c r="AQ330" i="4"/>
  <c r="AQ308" i="4"/>
  <c r="AQ69" i="4"/>
  <c r="AQ72" i="4"/>
  <c r="AQ339" i="4"/>
  <c r="AQ341" i="4"/>
  <c r="AQ74" i="4"/>
  <c r="AQ49" i="5"/>
  <c r="S43" i="1"/>
  <c r="AW274" i="4"/>
  <c r="AV68" i="4"/>
  <c r="AR324" i="4"/>
  <c r="AR251" i="4"/>
  <c r="AV48" i="5"/>
  <c r="AV242" i="4"/>
  <c r="AQ51" i="5"/>
  <c r="AE154" i="1"/>
  <c r="AE164" i="1"/>
  <c r="AR305" i="4"/>
  <c r="AR326" i="4"/>
  <c r="AR330" i="4"/>
  <c r="AQ24" i="9"/>
  <c r="AD126" i="1"/>
  <c r="AD130" i="1"/>
  <c r="W39" i="1"/>
  <c r="AE153" i="1"/>
  <c r="AE157" i="1"/>
  <c r="AQ42" i="6"/>
  <c r="AQ37" i="6"/>
  <c r="AX59" i="8"/>
  <c r="AX60" i="8"/>
  <c r="AR252" i="4"/>
  <c r="AR253" i="4"/>
  <c r="AJ152" i="1"/>
  <c r="AI124" i="1"/>
  <c r="AV39" i="6"/>
  <c r="AW325" i="4"/>
  <c r="AW276" i="4"/>
  <c r="AX15" i="8"/>
  <c r="AQ94" i="6"/>
  <c r="AQ97" i="6"/>
  <c r="AQ100" i="6"/>
  <c r="AQ157" i="4"/>
  <c r="AQ158" i="4"/>
  <c r="AQ159" i="4"/>
  <c r="AQ23" i="9"/>
  <c r="U39" i="1"/>
  <c r="AE163" i="1"/>
  <c r="AE166" i="1"/>
  <c r="AR302" i="4"/>
  <c r="AR306" i="4"/>
  <c r="AR92" i="6"/>
  <c r="AR47" i="5"/>
  <c r="AW277" i="4"/>
  <c r="AW278" i="4"/>
  <c r="AS249" i="4"/>
  <c r="AR67" i="4"/>
  <c r="AX17" i="8"/>
  <c r="AX22" i="8"/>
  <c r="AR331" i="4"/>
  <c r="AR339" i="4"/>
  <c r="AR341" i="4"/>
  <c r="S44" i="1"/>
  <c r="AR351" i="4"/>
  <c r="AR354" i="4"/>
  <c r="AR366" i="4"/>
  <c r="AE123" i="1"/>
  <c r="Q40" i="1"/>
  <c r="AF151" i="1"/>
  <c r="AR307" i="4"/>
  <c r="AR78" i="6"/>
  <c r="AR81" i="6"/>
  <c r="AR38" i="6"/>
  <c r="AW242" i="4"/>
  <c r="AR74" i="4"/>
  <c r="AR24" i="9"/>
  <c r="AS324" i="4"/>
  <c r="AS251" i="4"/>
  <c r="AW48" i="5"/>
  <c r="AX274" i="4"/>
  <c r="AW68" i="4"/>
  <c r="AR49" i="5"/>
  <c r="AR308" i="4"/>
  <c r="AS305" i="4"/>
  <c r="AX325" i="4"/>
  <c r="AX276" i="4"/>
  <c r="AS252" i="4"/>
  <c r="AW39" i="6"/>
  <c r="AK152" i="1"/>
  <c r="AJ124" i="1"/>
  <c r="AR51" i="5"/>
  <c r="AY15" i="8"/>
  <c r="AR69" i="4"/>
  <c r="AR72" i="4"/>
  <c r="AR42" i="6"/>
  <c r="AR37" i="6"/>
  <c r="AY59" i="8"/>
  <c r="AY60" i="8"/>
  <c r="AE126" i="1"/>
  <c r="U40" i="1"/>
  <c r="AF153" i="1"/>
  <c r="AF157" i="1"/>
  <c r="AS253" i="4"/>
  <c r="S45" i="1"/>
  <c r="AS302" i="4"/>
  <c r="AS306" i="4"/>
  <c r="AS326" i="4"/>
  <c r="AX277" i="4"/>
  <c r="AX278" i="4"/>
  <c r="AS47" i="5"/>
  <c r="AE130" i="1"/>
  <c r="W40" i="1"/>
  <c r="AF154" i="1"/>
  <c r="AF164" i="1"/>
  <c r="AR94" i="6"/>
  <c r="AR97" i="6"/>
  <c r="AR100" i="6"/>
  <c r="AR157" i="4"/>
  <c r="AR158" i="4"/>
  <c r="AR159" i="4"/>
  <c r="AR23" i="9"/>
  <c r="AS351" i="4"/>
  <c r="AS354" i="4"/>
  <c r="AS366" i="4"/>
  <c r="AF163" i="1"/>
  <c r="AX48" i="5"/>
  <c r="AF123" i="1"/>
  <c r="AG151" i="1"/>
  <c r="AS38" i="6"/>
  <c r="AS331" i="4"/>
  <c r="AS330" i="4"/>
  <c r="AX242" i="4"/>
  <c r="AS67" i="4"/>
  <c r="AT249" i="4"/>
  <c r="AS92" i="6"/>
  <c r="AS307" i="4"/>
  <c r="AY274" i="4"/>
  <c r="AX68" i="4"/>
  <c r="AY22" i="8"/>
  <c r="AY17" i="8"/>
  <c r="AF166" i="1"/>
  <c r="AL152" i="1"/>
  <c r="AX39" i="6"/>
  <c r="AK124" i="1"/>
  <c r="S46" i="1"/>
  <c r="AY325" i="4"/>
  <c r="AY276" i="4"/>
  <c r="AS49" i="5"/>
  <c r="AS78" i="6"/>
  <c r="AS81" i="6"/>
  <c r="AS339" i="4"/>
  <c r="AS341" i="4"/>
  <c r="Q41" i="1"/>
  <c r="AT324" i="4"/>
  <c r="AT251" i="4"/>
  <c r="AS308" i="4"/>
  <c r="AG153" i="1"/>
  <c r="AG157" i="1"/>
  <c r="AF126" i="1"/>
  <c r="AS42" i="6"/>
  <c r="AS51" i="5"/>
  <c r="AT305" i="4"/>
  <c r="AS69" i="4"/>
  <c r="AS72" i="4"/>
  <c r="AY277" i="4"/>
  <c r="AY278" i="4"/>
  <c r="AT252" i="4"/>
  <c r="AT253" i="4"/>
  <c r="AS74" i="4"/>
  <c r="AS24" i="9"/>
  <c r="AY242" i="4"/>
  <c r="AT47" i="5"/>
  <c r="AT67" i="4"/>
  <c r="AU249" i="4"/>
  <c r="AZ274" i="4"/>
  <c r="AY68" i="4"/>
  <c r="U41" i="1"/>
  <c r="AF130" i="1"/>
  <c r="W41" i="1"/>
  <c r="AT326" i="4"/>
  <c r="AG163" i="1"/>
  <c r="AS157" i="4"/>
  <c r="AS158" i="4"/>
  <c r="AS159" i="4"/>
  <c r="AS23" i="9"/>
  <c r="AG154" i="1"/>
  <c r="AG164" i="1"/>
  <c r="AZ15" i="8"/>
  <c r="AS94" i="6"/>
  <c r="AS97" i="6"/>
  <c r="AS100" i="6"/>
  <c r="AT302" i="4"/>
  <c r="AT306" i="4"/>
  <c r="AY48" i="5"/>
  <c r="AS37" i="6"/>
  <c r="AZ59" i="8"/>
  <c r="AZ60" i="8"/>
  <c r="AT351" i="4"/>
  <c r="AT354" i="4"/>
  <c r="AT366" i="4"/>
  <c r="AT38" i="6"/>
  <c r="AH151" i="1"/>
  <c r="AG123" i="1"/>
  <c r="Q42" i="1"/>
  <c r="AT92" i="6"/>
  <c r="AT307" i="4"/>
  <c r="AT78" i="6"/>
  <c r="AT81" i="6"/>
  <c r="AZ17" i="8"/>
  <c r="AZ22" i="8"/>
  <c r="AU324" i="4"/>
  <c r="AU251" i="4"/>
  <c r="AU252" i="4"/>
  <c r="AU302" i="4"/>
  <c r="AU306" i="4"/>
  <c r="AM152" i="1"/>
  <c r="AL124" i="1"/>
  <c r="AY39" i="6"/>
  <c r="AG166" i="1"/>
  <c r="AT330" i="4"/>
  <c r="AT331" i="4"/>
  <c r="AZ325" i="4"/>
  <c r="AZ276" i="4"/>
  <c r="AT308" i="4"/>
  <c r="AU305" i="4"/>
  <c r="AZ277" i="4"/>
  <c r="AZ242" i="4"/>
  <c r="AT339" i="4"/>
  <c r="AT341" i="4"/>
  <c r="AU253" i="4"/>
  <c r="AT49" i="5"/>
  <c r="S47" i="1"/>
  <c r="AU92" i="6"/>
  <c r="AU47" i="5"/>
  <c r="AT69" i="4"/>
  <c r="AT72" i="4"/>
  <c r="AU351" i="4"/>
  <c r="AU307" i="4"/>
  <c r="AU78" i="6"/>
  <c r="AU81" i="6"/>
  <c r="AT74" i="4"/>
  <c r="AT24" i="9"/>
  <c r="AU354" i="4"/>
  <c r="AU366" i="4"/>
  <c r="AH123" i="1"/>
  <c r="AI151" i="1"/>
  <c r="AU38" i="6"/>
  <c r="AH153" i="1"/>
  <c r="AH157" i="1"/>
  <c r="AG126" i="1"/>
  <c r="AT42" i="6"/>
  <c r="AT51" i="5"/>
  <c r="AZ48" i="5"/>
  <c r="AZ278" i="4"/>
  <c r="AU326" i="4"/>
  <c r="AV249" i="4"/>
  <c r="AU67" i="4"/>
  <c r="AU308" i="4"/>
  <c r="AV305" i="4"/>
  <c r="AU49" i="5"/>
  <c r="AT37" i="6"/>
  <c r="BA59" i="8"/>
  <c r="BA60" i="8"/>
  <c r="AV324" i="4"/>
  <c r="AV251" i="4"/>
  <c r="AZ68" i="4"/>
  <c r="BA274" i="4"/>
  <c r="U42" i="1"/>
  <c r="AG130" i="1"/>
  <c r="W42" i="1"/>
  <c r="AN152" i="1"/>
  <c r="AM124" i="1"/>
  <c r="AZ39" i="6"/>
  <c r="AU331" i="4"/>
  <c r="AU330" i="4"/>
  <c r="AH154" i="1"/>
  <c r="AH164" i="1"/>
  <c r="AT94" i="6"/>
  <c r="AT97" i="6"/>
  <c r="AT100" i="6"/>
  <c r="BA15" i="8"/>
  <c r="AT157" i="4"/>
  <c r="AT158" i="4"/>
  <c r="AT159" i="4"/>
  <c r="AT23" i="9"/>
  <c r="AH163" i="1"/>
  <c r="Q43" i="1"/>
  <c r="AU51" i="5"/>
  <c r="AU94" i="6"/>
  <c r="AU97" i="6"/>
  <c r="AU100" i="6"/>
  <c r="AU69" i="4"/>
  <c r="AU72" i="4"/>
  <c r="AH126" i="1"/>
  <c r="U43" i="1"/>
  <c r="AI153" i="1"/>
  <c r="AU42" i="6"/>
  <c r="AU37" i="6"/>
  <c r="BB59" i="8"/>
  <c r="BB60" i="8"/>
  <c r="AH166" i="1"/>
  <c r="AU339" i="4"/>
  <c r="AU341" i="4"/>
  <c r="AU74" i="4"/>
  <c r="BA17" i="8"/>
  <c r="BA22" i="8"/>
  <c r="S48" i="1"/>
  <c r="S59" i="1"/>
  <c r="AV326" i="4"/>
  <c r="AV330" i="4"/>
  <c r="AV252" i="4"/>
  <c r="AV253" i="4"/>
  <c r="BA325" i="4"/>
  <c r="BA276" i="4"/>
  <c r="AV331" i="4"/>
  <c r="AU157" i="4"/>
  <c r="AU158" i="4"/>
  <c r="AU159" i="4"/>
  <c r="AU23" i="9"/>
  <c r="BB15" i="8"/>
  <c r="AI154" i="1"/>
  <c r="AI164" i="1"/>
  <c r="AH130" i="1"/>
  <c r="W43" i="1"/>
  <c r="AI163" i="1"/>
  <c r="AI157" i="1"/>
  <c r="AU24" i="9"/>
  <c r="AV339" i="4"/>
  <c r="AV341" i="4"/>
  <c r="AV24" i="9"/>
  <c r="AV302" i="4"/>
  <c r="AV306" i="4"/>
  <c r="BA277" i="4"/>
  <c r="BA278" i="4"/>
  <c r="AV67" i="4"/>
  <c r="AW249" i="4"/>
  <c r="AV47" i="5"/>
  <c r="AV351" i="4"/>
  <c r="AV354" i="4"/>
  <c r="AV366" i="4"/>
  <c r="BB17" i="8"/>
  <c r="BB22" i="8"/>
  <c r="AI166" i="1"/>
  <c r="AV74" i="4"/>
  <c r="AJ151" i="1"/>
  <c r="AI123" i="1"/>
  <c r="AV38" i="6"/>
  <c r="BA68" i="4"/>
  <c r="BB274" i="4"/>
  <c r="BA242" i="4"/>
  <c r="AW324" i="4"/>
  <c r="AW251" i="4"/>
  <c r="BA48" i="5"/>
  <c r="AV307" i="4"/>
  <c r="AV78" i="6"/>
  <c r="AV81" i="6"/>
  <c r="AV92" i="6"/>
  <c r="AV49" i="5"/>
  <c r="AV308" i="4"/>
  <c r="AV69" i="4"/>
  <c r="AV72" i="4"/>
  <c r="AN124" i="1"/>
  <c r="AO152" i="1"/>
  <c r="BA39" i="6"/>
  <c r="BB325" i="4"/>
  <c r="BB276" i="4"/>
  <c r="AW252" i="4"/>
  <c r="AW47" i="5"/>
  <c r="Q44" i="1"/>
  <c r="AW351" i="4"/>
  <c r="AW354" i="4"/>
  <c r="AW366" i="4"/>
  <c r="AV51" i="5"/>
  <c r="AJ154" i="1"/>
  <c r="AJ164" i="1"/>
  <c r="AV42" i="6"/>
  <c r="AV37" i="6"/>
  <c r="BC59" i="8"/>
  <c r="BC60" i="8"/>
  <c r="AI126" i="1"/>
  <c r="U44" i="1"/>
  <c r="AW305" i="4"/>
  <c r="AW326" i="4"/>
  <c r="AJ153" i="1"/>
  <c r="AJ157" i="1"/>
  <c r="AW302" i="4"/>
  <c r="AW306" i="4"/>
  <c r="AW307" i="4"/>
  <c r="AW78" i="6"/>
  <c r="AW81" i="6"/>
  <c r="AK151" i="1"/>
  <c r="AJ123" i="1"/>
  <c r="AW253" i="4"/>
  <c r="AW38" i="6"/>
  <c r="S49" i="1"/>
  <c r="BB277" i="4"/>
  <c r="BB242" i="4"/>
  <c r="AV94" i="6"/>
  <c r="AV97" i="6"/>
  <c r="AV100" i="6"/>
  <c r="BC15" i="8"/>
  <c r="BC17" i="8"/>
  <c r="AV157" i="4"/>
  <c r="AV158" i="4"/>
  <c r="AV159" i="4"/>
  <c r="AV23" i="9"/>
  <c r="AI130" i="1"/>
  <c r="W44" i="1"/>
  <c r="AW92" i="6"/>
  <c r="AJ163" i="1"/>
  <c r="AW308" i="4"/>
  <c r="AW69" i="4"/>
  <c r="AW49" i="5"/>
  <c r="AW331" i="4"/>
  <c r="AW330" i="4"/>
  <c r="AW67" i="4"/>
  <c r="AX249" i="4"/>
  <c r="BB48" i="5"/>
  <c r="Q45" i="1"/>
  <c r="BB278" i="4"/>
  <c r="BC22" i="8"/>
  <c r="AJ126" i="1"/>
  <c r="AJ130" i="1"/>
  <c r="W45" i="1"/>
  <c r="AW339" i="4"/>
  <c r="AW341" i="4"/>
  <c r="AW74" i="4"/>
  <c r="AW42" i="6"/>
  <c r="AW37" i="6"/>
  <c r="BD59" i="8"/>
  <c r="BD60" i="8"/>
  <c r="AW51" i="5"/>
  <c r="AX305" i="4"/>
  <c r="AX326" i="4"/>
  <c r="AJ166" i="1"/>
  <c r="AK153" i="1"/>
  <c r="AK157" i="1"/>
  <c r="AW72" i="4"/>
  <c r="U45" i="1"/>
  <c r="BB68" i="4"/>
  <c r="BC274" i="4"/>
  <c r="AX324" i="4"/>
  <c r="AX251" i="4"/>
  <c r="AP152" i="1"/>
  <c r="AO124" i="1"/>
  <c r="BB39" i="6"/>
  <c r="AW24" i="9"/>
  <c r="AW157" i="4"/>
  <c r="AW158" i="4"/>
  <c r="AW159" i="4"/>
  <c r="AW23" i="9"/>
  <c r="BD15" i="8"/>
  <c r="BD22" i="8"/>
  <c r="AW94" i="6"/>
  <c r="AW97" i="6"/>
  <c r="AW100" i="6"/>
  <c r="AK154" i="1"/>
  <c r="AK164" i="1"/>
  <c r="AK163" i="1"/>
  <c r="AX331" i="4"/>
  <c r="AX330" i="4"/>
  <c r="S50" i="1"/>
  <c r="AX252" i="4"/>
  <c r="AX253" i="4"/>
  <c r="BC325" i="4"/>
  <c r="BC276" i="4"/>
  <c r="BD17" i="8"/>
  <c r="AK166" i="1"/>
  <c r="AX339" i="4"/>
  <c r="AX341" i="4"/>
  <c r="AX24" i="9"/>
  <c r="AX47" i="5"/>
  <c r="AX302" i="4"/>
  <c r="AX306" i="4"/>
  <c r="AX92" i="6"/>
  <c r="AX67" i="4"/>
  <c r="AY249" i="4"/>
  <c r="BC277" i="4"/>
  <c r="BC278" i="4"/>
  <c r="AX351" i="4"/>
  <c r="AX354" i="4"/>
  <c r="AX366" i="4"/>
  <c r="AX74" i="4"/>
  <c r="AL151" i="1"/>
  <c r="AK123" i="1"/>
  <c r="AX38" i="6"/>
  <c r="AX307" i="4"/>
  <c r="AX78" i="6"/>
  <c r="AX81" i="6"/>
  <c r="BC48" i="5"/>
  <c r="AY324" i="4"/>
  <c r="AY251" i="4"/>
  <c r="BD274" i="4"/>
  <c r="BC68" i="4"/>
  <c r="Q46" i="1"/>
  <c r="BC242" i="4"/>
  <c r="AX49" i="5"/>
  <c r="AX308" i="4"/>
  <c r="AY305" i="4"/>
  <c r="AY326" i="4"/>
  <c r="AY252" i="4"/>
  <c r="AY47" i="5"/>
  <c r="BD325" i="4"/>
  <c r="BD276" i="4"/>
  <c r="AQ152" i="1"/>
  <c r="AP124" i="1"/>
  <c r="BC39" i="6"/>
  <c r="AY351" i="4"/>
  <c r="AX42" i="6"/>
  <c r="AX37" i="6"/>
  <c r="BE59" i="8"/>
  <c r="BE60" i="8"/>
  <c r="AL153" i="1"/>
  <c r="AL157" i="1"/>
  <c r="AY330" i="4"/>
  <c r="AY331" i="4"/>
  <c r="AK126" i="1"/>
  <c r="U46" i="1"/>
  <c r="AX51" i="5"/>
  <c r="AX69" i="4"/>
  <c r="AX72" i="4"/>
  <c r="AY253" i="4"/>
  <c r="AZ249" i="4"/>
  <c r="AY302" i="4"/>
  <c r="AY306" i="4"/>
  <c r="AY92" i="6"/>
  <c r="AM151" i="1"/>
  <c r="AL123" i="1"/>
  <c r="AY354" i="4"/>
  <c r="AY366" i="4"/>
  <c r="AY38" i="6"/>
  <c r="BD277" i="4"/>
  <c r="BD278" i="4"/>
  <c r="S51" i="1"/>
  <c r="AL154" i="1"/>
  <c r="AL164" i="1"/>
  <c r="AL163" i="1"/>
  <c r="AY339" i="4"/>
  <c r="AY341" i="4"/>
  <c r="AY74" i="4"/>
  <c r="AY307" i="4"/>
  <c r="AY78" i="6"/>
  <c r="AY81" i="6"/>
  <c r="AK130" i="1"/>
  <c r="W46" i="1"/>
  <c r="AY67" i="4"/>
  <c r="BE15" i="8"/>
  <c r="BE17" i="8"/>
  <c r="AX157" i="4"/>
  <c r="AX158" i="4"/>
  <c r="AX159" i="4"/>
  <c r="AX94" i="6"/>
  <c r="AX97" i="6"/>
  <c r="AX100" i="6"/>
  <c r="BD48" i="5"/>
  <c r="AZ324" i="4"/>
  <c r="AZ251" i="4"/>
  <c r="BE274" i="4"/>
  <c r="BD68" i="4"/>
  <c r="BD242" i="4"/>
  <c r="Q47" i="1"/>
  <c r="AL166" i="1"/>
  <c r="BE22" i="8"/>
  <c r="BD39" i="6"/>
  <c r="AY308" i="4"/>
  <c r="AZ305" i="4"/>
  <c r="AY24" i="9"/>
  <c r="AY49" i="5"/>
  <c r="AY51" i="5"/>
  <c r="AQ124" i="1"/>
  <c r="S52" i="1"/>
  <c r="N158" i="4"/>
  <c r="AR152" i="1"/>
  <c r="AX23" i="9"/>
  <c r="N23" i="9"/>
  <c r="M23" i="9"/>
  <c r="N159" i="4"/>
  <c r="BE325" i="4"/>
  <c r="BE276" i="4"/>
  <c r="AZ252" i="4"/>
  <c r="AZ47" i="5"/>
  <c r="AZ351" i="4"/>
  <c r="AZ354" i="4"/>
  <c r="AZ366" i="4"/>
  <c r="AY69" i="4"/>
  <c r="AY72" i="4"/>
  <c r="AM153" i="1"/>
  <c r="AM157" i="1"/>
  <c r="AY42" i="6"/>
  <c r="AY37" i="6"/>
  <c r="BF59" i="8"/>
  <c r="BF60" i="8"/>
  <c r="AL126" i="1"/>
  <c r="U47" i="1"/>
  <c r="AZ302" i="4"/>
  <c r="AZ306" i="4"/>
  <c r="BE277" i="4"/>
  <c r="BE278" i="4"/>
  <c r="AY94" i="6"/>
  <c r="AY97" i="6"/>
  <c r="AY100" i="6"/>
  <c r="AM154" i="1"/>
  <c r="AM164" i="1"/>
  <c r="AY157" i="4"/>
  <c r="BF15" i="8"/>
  <c r="AN151" i="1"/>
  <c r="AM123" i="1"/>
  <c r="AZ38" i="6"/>
  <c r="AZ326" i="4"/>
  <c r="AZ253" i="4"/>
  <c r="M31" i="9"/>
  <c r="AL130" i="1"/>
  <c r="W47" i="1"/>
  <c r="AM163" i="1"/>
  <c r="AM166" i="1"/>
  <c r="BA249" i="4"/>
  <c r="AZ67" i="4"/>
  <c r="AZ330" i="4"/>
  <c r="AZ331" i="4"/>
  <c r="BE48" i="5"/>
  <c r="BF274" i="4"/>
  <c r="BE68" i="4"/>
  <c r="Q48" i="1"/>
  <c r="Q59" i="1"/>
  <c r="BF22" i="8"/>
  <c r="BF17" i="8"/>
  <c r="BE242" i="4"/>
  <c r="AZ92" i="6"/>
  <c r="AZ307" i="4"/>
  <c r="AZ339" i="4"/>
  <c r="AZ341" i="4"/>
  <c r="AZ74" i="4"/>
  <c r="AZ49" i="5"/>
  <c r="AZ308" i="4"/>
  <c r="AZ78" i="6"/>
  <c r="AZ81" i="6"/>
  <c r="BF325" i="4"/>
  <c r="BF276" i="4"/>
  <c r="AR124" i="1"/>
  <c r="AS152" i="1"/>
  <c r="BE39" i="6"/>
  <c r="BA324" i="4"/>
  <c r="BA251" i="4"/>
  <c r="BA252" i="4"/>
  <c r="AZ24" i="9"/>
  <c r="BF277" i="4"/>
  <c r="BF48" i="5"/>
  <c r="BA47" i="5"/>
  <c r="BA302" i="4"/>
  <c r="BA306" i="4"/>
  <c r="BA92" i="6"/>
  <c r="AZ69" i="4"/>
  <c r="AZ72" i="4"/>
  <c r="BA305" i="4"/>
  <c r="S53" i="1"/>
  <c r="BA253" i="4"/>
  <c r="AM126" i="1"/>
  <c r="AN153" i="1"/>
  <c r="AN157" i="1"/>
  <c r="AZ51" i="5"/>
  <c r="AZ42" i="6"/>
  <c r="BA351" i="4"/>
  <c r="BA354" i="4"/>
  <c r="BA366" i="4"/>
  <c r="BA307" i="4"/>
  <c r="BA78" i="6"/>
  <c r="BA81" i="6"/>
  <c r="BF278" i="4"/>
  <c r="BG274" i="4"/>
  <c r="U48" i="1"/>
  <c r="U59" i="1"/>
  <c r="AM130" i="1"/>
  <c r="W48" i="1"/>
  <c r="BA326" i="4"/>
  <c r="AN123" i="1"/>
  <c r="AO151" i="1"/>
  <c r="BA38" i="6"/>
  <c r="AZ37" i="6"/>
  <c r="BG59" i="8"/>
  <c r="BG60" i="8"/>
  <c r="BG15" i="8"/>
  <c r="AZ157" i="4"/>
  <c r="AN154" i="1"/>
  <c r="AN164" i="1"/>
  <c r="AZ94" i="6"/>
  <c r="AZ97" i="6"/>
  <c r="AZ100" i="6"/>
  <c r="BA67" i="4"/>
  <c r="BB249" i="4"/>
  <c r="BF39" i="6"/>
  <c r="AT152" i="1"/>
  <c r="AS124" i="1"/>
  <c r="AN163" i="1"/>
  <c r="BF242" i="4"/>
  <c r="BA49" i="5"/>
  <c r="BA42" i="6"/>
  <c r="BA37" i="6"/>
  <c r="BH59" i="8"/>
  <c r="BH60" i="8"/>
  <c r="BF68" i="4"/>
  <c r="BA308" i="4"/>
  <c r="BB305" i="4"/>
  <c r="AN166" i="1"/>
  <c r="BB324" i="4"/>
  <c r="BB251" i="4"/>
  <c r="BG22" i="8"/>
  <c r="BG17" i="8"/>
  <c r="Q49" i="1"/>
  <c r="BA330" i="4"/>
  <c r="BA331" i="4"/>
  <c r="S54" i="1"/>
  <c r="AN126" i="1"/>
  <c r="U49" i="1"/>
  <c r="BG325" i="4"/>
  <c r="BG276" i="4"/>
  <c r="BA51" i="5"/>
  <c r="AO153" i="1"/>
  <c r="AO157" i="1"/>
  <c r="BA69" i="4"/>
  <c r="BA72" i="4"/>
  <c r="AN130" i="1"/>
  <c r="W49" i="1"/>
  <c r="BB326" i="4"/>
  <c r="BB330" i="4"/>
  <c r="BB252" i="4"/>
  <c r="BB253" i="4"/>
  <c r="BA157" i="4"/>
  <c r="BH15" i="8"/>
  <c r="BA94" i="6"/>
  <c r="BA97" i="6"/>
  <c r="BA100" i="6"/>
  <c r="AO154" i="1"/>
  <c r="AO164" i="1"/>
  <c r="BG277" i="4"/>
  <c r="BG242" i="4"/>
  <c r="BA339" i="4"/>
  <c r="BA341" i="4"/>
  <c r="BB331" i="4"/>
  <c r="BB339" i="4"/>
  <c r="BB341" i="4"/>
  <c r="BB74" i="4"/>
  <c r="AO163" i="1"/>
  <c r="AO166" i="1"/>
  <c r="BB302" i="4"/>
  <c r="BB306" i="4"/>
  <c r="BB92" i="6"/>
  <c r="BH17" i="8"/>
  <c r="BH22" i="8"/>
  <c r="BG48" i="5"/>
  <c r="BG278" i="4"/>
  <c r="BB67" i="4"/>
  <c r="BC249" i="4"/>
  <c r="BA74" i="4"/>
  <c r="BA24" i="9"/>
  <c r="BB47" i="5"/>
  <c r="BB24" i="9"/>
  <c r="BB351" i="4"/>
  <c r="BB354" i="4"/>
  <c r="BB366" i="4"/>
  <c r="BB307" i="4"/>
  <c r="BB78" i="6"/>
  <c r="BB81" i="6"/>
  <c r="AO123" i="1"/>
  <c r="AP151" i="1"/>
  <c r="BB38" i="6"/>
  <c r="BC324" i="4"/>
  <c r="BC251" i="4"/>
  <c r="BC252" i="4"/>
  <c r="BC253" i="4"/>
  <c r="BH274" i="4"/>
  <c r="BG68" i="4"/>
  <c r="AT124" i="1"/>
  <c r="AU152" i="1"/>
  <c r="BG39" i="6"/>
  <c r="BB308" i="4"/>
  <c r="BC305" i="4"/>
  <c r="BB49" i="5"/>
  <c r="BH325" i="4"/>
  <c r="BH276" i="4"/>
  <c r="BH277" i="4"/>
  <c r="BH278" i="4"/>
  <c r="BC67" i="4"/>
  <c r="BD249" i="4"/>
  <c r="Q50" i="1"/>
  <c r="BB69" i="4"/>
  <c r="BB72" i="4"/>
  <c r="S55" i="1"/>
  <c r="BC47" i="5"/>
  <c r="BC302" i="4"/>
  <c r="BC306" i="4"/>
  <c r="BC92" i="6"/>
  <c r="BC351" i="4"/>
  <c r="BC38" i="6"/>
  <c r="AP153" i="1"/>
  <c r="AP163" i="1"/>
  <c r="AO126" i="1"/>
  <c r="BB42" i="6"/>
  <c r="BB37" i="6"/>
  <c r="BI59" i="8"/>
  <c r="BI60" i="8"/>
  <c r="BB51" i="5"/>
  <c r="BI274" i="4"/>
  <c r="BH68" i="4"/>
  <c r="BC354" i="4"/>
  <c r="BC366" i="4"/>
  <c r="AP123" i="1"/>
  <c r="AQ151" i="1"/>
  <c r="BD324" i="4"/>
  <c r="BD251" i="4"/>
  <c r="BC307" i="4"/>
  <c r="BC78" i="6"/>
  <c r="BC81" i="6"/>
  <c r="BC326" i="4"/>
  <c r="BH48" i="5"/>
  <c r="BH242" i="4"/>
  <c r="AP157" i="1"/>
  <c r="U50" i="1"/>
  <c r="AO130" i="1"/>
  <c r="W50" i="1"/>
  <c r="BB157" i="4"/>
  <c r="BB94" i="6"/>
  <c r="BB97" i="6"/>
  <c r="BB100" i="6"/>
  <c r="AP154" i="1"/>
  <c r="AP164" i="1"/>
  <c r="BI15" i="8"/>
  <c r="BC308" i="4"/>
  <c r="BD305" i="4"/>
  <c r="BC49" i="5"/>
  <c r="BC331" i="4"/>
  <c r="BC330" i="4"/>
  <c r="BD252" i="4"/>
  <c r="BD302" i="4"/>
  <c r="BD306" i="4"/>
  <c r="BD92" i="6"/>
  <c r="AU124" i="1"/>
  <c r="S56" i="1"/>
  <c r="AV152" i="1"/>
  <c r="BH39" i="6"/>
  <c r="Q51" i="1"/>
  <c r="BI325" i="4"/>
  <c r="BI276" i="4"/>
  <c r="BI277" i="4"/>
  <c r="BI278" i="4"/>
  <c r="AP166" i="1"/>
  <c r="BC51" i="5"/>
  <c r="BC157" i="4"/>
  <c r="BC69" i="4"/>
  <c r="BC72" i="4"/>
  <c r="BC339" i="4"/>
  <c r="BC341" i="4"/>
  <c r="BC74" i="4"/>
  <c r="BI22" i="8"/>
  <c r="BI17" i="8"/>
  <c r="AP126" i="1"/>
  <c r="U51" i="1"/>
  <c r="BC42" i="6"/>
  <c r="BC37" i="6"/>
  <c r="BJ59" i="8"/>
  <c r="BJ60" i="8"/>
  <c r="BD253" i="4"/>
  <c r="BE249" i="4"/>
  <c r="AP130" i="1"/>
  <c r="W51" i="1"/>
  <c r="AQ153" i="1"/>
  <c r="AQ157" i="1"/>
  <c r="BI68" i="4"/>
  <c r="BJ274" i="4"/>
  <c r="BD47" i="5"/>
  <c r="BD307" i="4"/>
  <c r="BD49" i="5"/>
  <c r="BI48" i="5"/>
  <c r="BI242" i="4"/>
  <c r="BD326" i="4"/>
  <c r="BJ15" i="8"/>
  <c r="BJ22" i="8"/>
  <c r="AQ154" i="1"/>
  <c r="AQ164" i="1"/>
  <c r="BD351" i="4"/>
  <c r="BC94" i="6"/>
  <c r="BC97" i="6"/>
  <c r="BC100" i="6"/>
  <c r="BC24" i="9"/>
  <c r="BD67" i="4"/>
  <c r="BD42" i="6"/>
  <c r="BD308" i="4"/>
  <c r="BD69" i="4"/>
  <c r="AQ163" i="1"/>
  <c r="BJ325" i="4"/>
  <c r="BJ276" i="4"/>
  <c r="AW152" i="1"/>
  <c r="AV124" i="1"/>
  <c r="BE324" i="4"/>
  <c r="BE251" i="4"/>
  <c r="AQ126" i="1"/>
  <c r="U52" i="1"/>
  <c r="AR153" i="1"/>
  <c r="BD78" i="6"/>
  <c r="BD81" i="6"/>
  <c r="BD331" i="4"/>
  <c r="BD330" i="4"/>
  <c r="BI39" i="6"/>
  <c r="AQ123" i="1"/>
  <c r="AR151" i="1"/>
  <c r="BD354" i="4"/>
  <c r="BD366" i="4"/>
  <c r="BD51" i="5"/>
  <c r="BD38" i="6"/>
  <c r="BJ17" i="8"/>
  <c r="AR157" i="1"/>
  <c r="BD72" i="4"/>
  <c r="AQ166" i="1"/>
  <c r="BE305" i="4"/>
  <c r="BE326" i="4"/>
  <c r="BE331" i="4"/>
  <c r="BK15" i="8"/>
  <c r="AR154" i="1"/>
  <c r="AR164" i="1"/>
  <c r="BD94" i="6"/>
  <c r="BD97" i="6"/>
  <c r="BD100" i="6"/>
  <c r="BD157" i="4"/>
  <c r="AR163" i="1"/>
  <c r="BD339" i="4"/>
  <c r="BD341" i="4"/>
  <c r="N276" i="4"/>
  <c r="Q52" i="1"/>
  <c r="AQ130" i="1"/>
  <c r="W52" i="1"/>
  <c r="S57" i="1"/>
  <c r="BJ277" i="4"/>
  <c r="N277" i="4"/>
  <c r="BE252" i="4"/>
  <c r="BE302" i="4"/>
  <c r="BE306" i="4"/>
  <c r="BD37" i="6"/>
  <c r="BK59" i="8"/>
  <c r="BK60" i="8"/>
  <c r="BJ278" i="4"/>
  <c r="BJ68" i="4"/>
  <c r="BE330" i="4"/>
  <c r="BE339" i="4"/>
  <c r="BE341" i="4"/>
  <c r="BE47" i="5"/>
  <c r="AR166" i="1"/>
  <c r="N278" i="4"/>
  <c r="L181" i="2"/>
  <c r="BE253" i="4"/>
  <c r="BJ242" i="4"/>
  <c r="BK17" i="8"/>
  <c r="BK22" i="8"/>
  <c r="BJ48" i="5"/>
  <c r="BE92" i="6"/>
  <c r="BE307" i="4"/>
  <c r="BE49" i="5"/>
  <c r="BD24" i="9"/>
  <c r="BD74" i="4"/>
  <c r="BE351" i="4"/>
  <c r="BE354" i="4"/>
  <c r="BE366" i="4"/>
  <c r="BE38" i="6"/>
  <c r="BE51" i="5"/>
  <c r="AS151" i="1"/>
  <c r="AR123" i="1"/>
  <c r="Q53" i="1"/>
  <c r="N242" i="4"/>
  <c r="BE78" i="6"/>
  <c r="BE81" i="6"/>
  <c r="AS153" i="1"/>
  <c r="AR126" i="1"/>
  <c r="U53" i="1"/>
  <c r="BE42" i="6"/>
  <c r="BE24" i="9"/>
  <c r="BE74" i="4"/>
  <c r="BJ39" i="6"/>
  <c r="AX152" i="1"/>
  <c r="AW124" i="1"/>
  <c r="N48" i="5"/>
  <c r="BF249" i="4"/>
  <c r="BE67" i="4"/>
  <c r="BE308" i="4"/>
  <c r="AS154" i="1"/>
  <c r="AS164" i="1"/>
  <c r="BE157" i="4"/>
  <c r="BE94" i="6"/>
  <c r="BE97" i="6"/>
  <c r="BE100" i="6"/>
  <c r="BL15" i="8"/>
  <c r="BL17" i="8"/>
  <c r="AS163" i="1"/>
  <c r="AS157" i="1"/>
  <c r="AR130" i="1"/>
  <c r="W53" i="1"/>
  <c r="BE37" i="6"/>
  <c r="BL59" i="8"/>
  <c r="BL60" i="8"/>
  <c r="BF324" i="4"/>
  <c r="BF251" i="4"/>
  <c r="BE69" i="4"/>
  <c r="BE72" i="4"/>
  <c r="BF305" i="4"/>
  <c r="S58" i="1"/>
  <c r="BL22" i="8"/>
  <c r="AS166" i="1"/>
  <c r="BF326" i="4"/>
  <c r="BF331" i="4"/>
  <c r="BF252" i="4"/>
  <c r="BF47" i="5"/>
  <c r="BF351" i="4"/>
  <c r="BF302" i="4"/>
  <c r="BF306" i="4"/>
  <c r="BF92" i="6"/>
  <c r="AT151" i="1"/>
  <c r="AS123" i="1"/>
  <c r="BF354" i="4"/>
  <c r="BF366" i="4"/>
  <c r="BF38" i="6"/>
  <c r="BF253" i="4"/>
  <c r="BF330" i="4"/>
  <c r="BF339" i="4"/>
  <c r="BF341" i="4"/>
  <c r="BF307" i="4"/>
  <c r="BF49" i="5"/>
  <c r="BG249" i="4"/>
  <c r="BF67" i="4"/>
  <c r="Q54" i="1"/>
  <c r="BF24" i="9"/>
  <c r="BF74" i="4"/>
  <c r="BF308" i="4"/>
  <c r="BG305" i="4"/>
  <c r="AT153" i="1"/>
  <c r="AT157" i="1"/>
  <c r="BF42" i="6"/>
  <c r="BF37" i="6"/>
  <c r="BM59" i="8"/>
  <c r="BM60" i="8"/>
  <c r="BF78" i="6"/>
  <c r="BF81" i="6"/>
  <c r="BF51" i="5"/>
  <c r="BF94" i="6"/>
  <c r="BF97" i="6"/>
  <c r="AS126" i="1"/>
  <c r="U54" i="1"/>
  <c r="BG324" i="4"/>
  <c r="BG251" i="4"/>
  <c r="BF69" i="4"/>
  <c r="BF72" i="4"/>
  <c r="BF100" i="6"/>
  <c r="AT163" i="1"/>
  <c r="BM15" i="8"/>
  <c r="BM22" i="8"/>
  <c r="AS130" i="1"/>
  <c r="W54" i="1"/>
  <c r="BF157" i="4"/>
  <c r="AT154" i="1"/>
  <c r="AT164" i="1"/>
  <c r="BG326" i="4"/>
  <c r="BG330" i="4"/>
  <c r="BG252" i="4"/>
  <c r="BG47" i="5"/>
  <c r="AT166" i="1"/>
  <c r="BG351" i="4"/>
  <c r="BG354" i="4"/>
  <c r="BG366" i="4"/>
  <c r="BM17" i="8"/>
  <c r="BG331" i="4"/>
  <c r="BG339" i="4"/>
  <c r="BG341" i="4"/>
  <c r="BG38" i="6"/>
  <c r="AU151" i="1"/>
  <c r="AT123" i="1"/>
  <c r="BG302" i="4"/>
  <c r="BG306" i="4"/>
  <c r="BG253" i="4"/>
  <c r="BG74" i="4"/>
  <c r="BG24" i="9"/>
  <c r="BG67" i="4"/>
  <c r="BH249" i="4"/>
  <c r="BG92" i="6"/>
  <c r="BG307" i="4"/>
  <c r="BG78" i="6"/>
  <c r="BG81" i="6"/>
  <c r="Q55" i="1"/>
  <c r="BG308" i="4"/>
  <c r="BG49" i="5"/>
  <c r="BH251" i="4"/>
  <c r="BH324" i="4"/>
  <c r="BH252" i="4"/>
  <c r="BH47" i="5"/>
  <c r="AT126" i="1"/>
  <c r="AU153" i="1"/>
  <c r="AU157" i="1"/>
  <c r="BG42" i="6"/>
  <c r="BG51" i="5"/>
  <c r="BG69" i="4"/>
  <c r="BG72" i="4"/>
  <c r="BH305" i="4"/>
  <c r="BH351" i="4"/>
  <c r="BH354" i="4"/>
  <c r="BH366" i="4"/>
  <c r="BH253" i="4"/>
  <c r="BH67" i="4"/>
  <c r="BN15" i="8"/>
  <c r="BG94" i="6"/>
  <c r="BG97" i="6"/>
  <c r="BG100" i="6"/>
  <c r="BG157" i="4"/>
  <c r="AU154" i="1"/>
  <c r="AU164" i="1"/>
  <c r="BG37" i="6"/>
  <c r="BN59" i="8"/>
  <c r="BN60" i="8"/>
  <c r="BH302" i="4"/>
  <c r="BH306" i="4"/>
  <c r="AU163" i="1"/>
  <c r="AU123" i="1"/>
  <c r="Q56" i="1"/>
  <c r="AV151" i="1"/>
  <c r="BH38" i="6"/>
  <c r="BH326" i="4"/>
  <c r="U55" i="1"/>
  <c r="AT130" i="1"/>
  <c r="W55" i="1"/>
  <c r="BI249" i="4"/>
  <c r="BI251" i="4"/>
  <c r="BH331" i="4"/>
  <c r="BH330" i="4"/>
  <c r="AU166" i="1"/>
  <c r="BN17" i="8"/>
  <c r="BN22" i="8"/>
  <c r="BH92" i="6"/>
  <c r="BH307" i="4"/>
  <c r="BI324" i="4"/>
  <c r="BH339" i="4"/>
  <c r="BH341" i="4"/>
  <c r="BH74" i="4"/>
  <c r="BH78" i="6"/>
  <c r="BH81" i="6"/>
  <c r="BH308" i="4"/>
  <c r="BH49" i="5"/>
  <c r="BI252" i="4"/>
  <c r="BI47" i="5"/>
  <c r="BI351" i="4"/>
  <c r="BI354" i="4"/>
  <c r="BI366" i="4"/>
  <c r="BH24" i="9"/>
  <c r="BI38" i="6"/>
  <c r="AW151" i="1"/>
  <c r="AV123" i="1"/>
  <c r="BI305" i="4"/>
  <c r="BH69" i="4"/>
  <c r="BH72" i="4"/>
  <c r="AV153" i="1"/>
  <c r="AV157" i="1"/>
  <c r="AU126" i="1"/>
  <c r="BH51" i="5"/>
  <c r="BH42" i="6"/>
  <c r="BI302" i="4"/>
  <c r="BI306" i="4"/>
  <c r="BI253" i="4"/>
  <c r="BI92" i="6"/>
  <c r="BH37" i="6"/>
  <c r="BO59" i="8"/>
  <c r="BO60" i="8"/>
  <c r="AV163" i="1"/>
  <c r="BI67" i="4"/>
  <c r="BJ249" i="4"/>
  <c r="AU130" i="1"/>
  <c r="W56" i="1"/>
  <c r="U56" i="1"/>
  <c r="Q57" i="1"/>
  <c r="BI326" i="4"/>
  <c r="BH94" i="6"/>
  <c r="BH97" i="6"/>
  <c r="BH100" i="6"/>
  <c r="BO15" i="8"/>
  <c r="AV154" i="1"/>
  <c r="AV164" i="1"/>
  <c r="BH157" i="4"/>
  <c r="BI307" i="4"/>
  <c r="BI78" i="6"/>
  <c r="BI81" i="6"/>
  <c r="L368" i="4"/>
  <c r="L369" i="4"/>
  <c r="L367" i="4"/>
  <c r="AV166" i="1"/>
  <c r="BJ324" i="4"/>
  <c r="BJ251" i="4"/>
  <c r="BI308" i="4"/>
  <c r="BO22" i="8"/>
  <c r="BO17" i="8"/>
  <c r="BI330" i="4"/>
  <c r="BI331" i="4"/>
  <c r="BI49" i="5"/>
  <c r="N251" i="4"/>
  <c r="AW153" i="1"/>
  <c r="AW157" i="1"/>
  <c r="AV126" i="1"/>
  <c r="BI51" i="5"/>
  <c r="BI42" i="6"/>
  <c r="BJ252" i="4"/>
  <c r="BJ253" i="4"/>
  <c r="BJ67" i="4"/>
  <c r="BI339" i="4"/>
  <c r="BI341" i="4"/>
  <c r="BJ305" i="4"/>
  <c r="BJ326" i="4"/>
  <c r="BJ330" i="4"/>
  <c r="BI69" i="4"/>
  <c r="BI72" i="4"/>
  <c r="BJ331" i="4"/>
  <c r="N331" i="4"/>
  <c r="BI37" i="6"/>
  <c r="BP59" i="8"/>
  <c r="BP60" i="8"/>
  <c r="N330" i="4"/>
  <c r="AW163" i="1"/>
  <c r="BJ302" i="4"/>
  <c r="AW154" i="1"/>
  <c r="AW164" i="1"/>
  <c r="BI94" i="6"/>
  <c r="BI97" i="6"/>
  <c r="BI100" i="6"/>
  <c r="BP15" i="8"/>
  <c r="BI157" i="4"/>
  <c r="BI24" i="9"/>
  <c r="BI74" i="4"/>
  <c r="N252" i="4"/>
  <c r="N253" i="4"/>
  <c r="L182" i="2"/>
  <c r="U57" i="1"/>
  <c r="AV130" i="1"/>
  <c r="W57" i="1"/>
  <c r="BJ47" i="5"/>
  <c r="BJ351" i="4"/>
  <c r="BJ339" i="4"/>
  <c r="BJ341" i="4"/>
  <c r="N302" i="4"/>
  <c r="BJ306" i="4"/>
  <c r="AW166" i="1"/>
  <c r="AW123" i="1"/>
  <c r="AX151" i="1"/>
  <c r="N47" i="5"/>
  <c r="BJ38" i="6"/>
  <c r="BP22" i="8"/>
  <c r="BP17" i="8"/>
  <c r="N339" i="4"/>
  <c r="Q58" i="1"/>
  <c r="BJ74" i="4"/>
  <c r="BJ24" i="9"/>
  <c r="N24" i="9"/>
  <c r="M24" i="9"/>
  <c r="N341" i="4"/>
  <c r="BJ307" i="4"/>
  <c r="BJ49" i="5"/>
  <c r="N306" i="4"/>
  <c r="BJ92" i="6"/>
  <c r="N351" i="4"/>
  <c r="BJ354" i="4"/>
  <c r="N354" i="4"/>
  <c r="AX153" i="1"/>
  <c r="AX157" i="1"/>
  <c r="AW126" i="1"/>
  <c r="N49" i="5"/>
  <c r="BJ42" i="6"/>
  <c r="BJ37" i="6"/>
  <c r="BQ59" i="8"/>
  <c r="BQ60" i="8"/>
  <c r="BJ51" i="5"/>
  <c r="BJ308" i="4"/>
  <c r="BJ69" i="4"/>
  <c r="BJ72" i="4"/>
  <c r="N307" i="4"/>
  <c r="N309" i="4"/>
  <c r="L180" i="2"/>
  <c r="BJ78" i="6"/>
  <c r="N92" i="6"/>
  <c r="M32" i="9"/>
  <c r="M21" i="9"/>
  <c r="L186" i="2"/>
  <c r="U58" i="1"/>
  <c r="AW130" i="1"/>
  <c r="W58" i="1"/>
  <c r="BJ81" i="6"/>
  <c r="N81" i="6"/>
  <c r="N78" i="6"/>
  <c r="BQ15" i="8"/>
  <c r="AX154" i="1"/>
  <c r="AX164" i="1"/>
  <c r="BJ157" i="4"/>
  <c r="N157" i="4"/>
  <c r="BJ94" i="6"/>
  <c r="N51" i="5"/>
  <c r="AX163" i="1"/>
  <c r="BQ22" i="8"/>
  <c r="BQ17" i="8"/>
  <c r="N15" i="8"/>
  <c r="N94" i="6"/>
  <c r="BJ97" i="6"/>
  <c r="AX166" i="1"/>
  <c r="D166" i="1"/>
  <c r="N19" i="8"/>
  <c r="L8" i="1"/>
  <c r="N17" i="8"/>
  <c r="BJ100" i="6"/>
  <c r="N100" i="6"/>
  <c r="L175" i="2"/>
  <c r="N97" i="6"/>
  <c r="N22" i="8"/>
  <c r="R58" i="7"/>
  <c r="R57" i="7"/>
  <c r="N57" i="7"/>
  <c r="R59" i="7"/>
  <c r="R47" i="7"/>
  <c r="S58" i="7"/>
  <c r="R46" i="7"/>
  <c r="R48" i="7"/>
  <c r="S45" i="7"/>
  <c r="N46" i="7"/>
  <c r="S59" i="7"/>
  <c r="S47" i="7"/>
  <c r="S21" i="6"/>
  <c r="S22" i="6"/>
  <c r="S60" i="7"/>
  <c r="T56" i="7"/>
  <c r="S48" i="7"/>
  <c r="T58" i="7"/>
  <c r="S47" i="6"/>
  <c r="S46" i="6"/>
  <c r="S49" i="6"/>
  <c r="T45" i="7"/>
  <c r="S78" i="7"/>
  <c r="S17" i="7"/>
  <c r="Z47" i="8"/>
  <c r="Z48" i="8"/>
  <c r="S29" i="6"/>
  <c r="S32" i="6"/>
  <c r="S25" i="7"/>
  <c r="S24" i="7"/>
  <c r="S28" i="7"/>
  <c r="T59" i="7"/>
  <c r="T47" i="7"/>
  <c r="T48" i="7"/>
  <c r="U45" i="7"/>
  <c r="T47" i="6"/>
  <c r="T46" i="6"/>
  <c r="T49" i="6"/>
  <c r="T60" i="7"/>
  <c r="U56" i="7"/>
  <c r="T21" i="6"/>
  <c r="S55" i="6"/>
  <c r="T22" i="6"/>
  <c r="U58" i="7"/>
  <c r="S53" i="6"/>
  <c r="S64" i="6"/>
  <c r="S66" i="6"/>
  <c r="U59" i="7"/>
  <c r="U60" i="7"/>
  <c r="V56" i="7"/>
  <c r="T29" i="6"/>
  <c r="AA47" i="8"/>
  <c r="AA48" i="8"/>
  <c r="T78" i="7"/>
  <c r="T17" i="7"/>
  <c r="T32" i="6"/>
  <c r="V58" i="7"/>
  <c r="V59" i="7"/>
  <c r="V47" i="7"/>
  <c r="V21" i="6"/>
  <c r="V22" i="6"/>
  <c r="T24" i="7"/>
  <c r="T28" i="7"/>
  <c r="T25" i="7"/>
  <c r="U47" i="7"/>
  <c r="V78" i="7"/>
  <c r="V17" i="7"/>
  <c r="AC47" i="8"/>
  <c r="AC48" i="8"/>
  <c r="V29" i="6"/>
  <c r="V32" i="6"/>
  <c r="V60" i="7"/>
  <c r="W56" i="7"/>
  <c r="U21" i="6"/>
  <c r="U48" i="7"/>
  <c r="T55" i="6"/>
  <c r="W58" i="7"/>
  <c r="W59" i="7"/>
  <c r="W47" i="7"/>
  <c r="W21" i="6"/>
  <c r="W22" i="6"/>
  <c r="W65" i="7"/>
  <c r="W66" i="7"/>
  <c r="W73" i="7"/>
  <c r="V45" i="7"/>
  <c r="V48" i="7"/>
  <c r="U47" i="6"/>
  <c r="U46" i="6"/>
  <c r="U49" i="6"/>
  <c r="T53" i="6"/>
  <c r="T64" i="6"/>
  <c r="T66" i="6"/>
  <c r="U22" i="6"/>
  <c r="V24" i="7"/>
  <c r="V28" i="7"/>
  <c r="V25" i="7"/>
  <c r="W74" i="7"/>
  <c r="W76" i="7"/>
  <c r="X71" i="7"/>
  <c r="W68" i="7"/>
  <c r="W78" i="7"/>
  <c r="W17" i="7"/>
  <c r="U78" i="7"/>
  <c r="U17" i="7"/>
  <c r="U29" i="6"/>
  <c r="AB47" i="8"/>
  <c r="AB48" i="8"/>
  <c r="V47" i="6"/>
  <c r="V46" i="6"/>
  <c r="V49" i="6"/>
  <c r="W45" i="7"/>
  <c r="W48" i="7"/>
  <c r="AD47" i="8"/>
  <c r="AD48" i="8"/>
  <c r="W29" i="6"/>
  <c r="W32" i="6"/>
  <c r="W60" i="7"/>
  <c r="X56" i="7"/>
  <c r="X58" i="7"/>
  <c r="X59" i="7"/>
  <c r="X47" i="7"/>
  <c r="X21" i="6"/>
  <c r="W47" i="6"/>
  <c r="W46" i="6"/>
  <c r="W49" i="6"/>
  <c r="X45" i="7"/>
  <c r="U32" i="6"/>
  <c r="U24" i="7"/>
  <c r="U28" i="7"/>
  <c r="U25" i="7"/>
  <c r="W25" i="7"/>
  <c r="W24" i="7"/>
  <c r="W28" i="7"/>
  <c r="X48" i="7"/>
  <c r="X22" i="6"/>
  <c r="U55" i="6"/>
  <c r="X60" i="7"/>
  <c r="Y56" i="7"/>
  <c r="Y58" i="7"/>
  <c r="Y59" i="7"/>
  <c r="Y47" i="7"/>
  <c r="Y21" i="6"/>
  <c r="Y22" i="6"/>
  <c r="X65" i="7"/>
  <c r="X66" i="7"/>
  <c r="X73" i="7"/>
  <c r="AE47" i="8"/>
  <c r="AE48" i="8"/>
  <c r="X29" i="6"/>
  <c r="U53" i="6"/>
  <c r="U64" i="6"/>
  <c r="U66" i="6"/>
  <c r="V55" i="6"/>
  <c r="Y45" i="7"/>
  <c r="X47" i="6"/>
  <c r="X46" i="6"/>
  <c r="X49" i="6"/>
  <c r="V53" i="6"/>
  <c r="V64" i="6"/>
  <c r="V66" i="6"/>
  <c r="W55" i="6"/>
  <c r="X68" i="7"/>
  <c r="X78" i="7"/>
  <c r="X17" i="7"/>
  <c r="X74" i="7"/>
  <c r="AF47" i="8"/>
  <c r="AF48" i="8"/>
  <c r="Y29" i="6"/>
  <c r="Y32" i="6"/>
  <c r="Y65" i="7"/>
  <c r="Y66" i="7"/>
  <c r="Y48" i="7"/>
  <c r="X32" i="6"/>
  <c r="Y60" i="7"/>
  <c r="Z56" i="7"/>
  <c r="Z58" i="7"/>
  <c r="Z59" i="7"/>
  <c r="Z47" i="7"/>
  <c r="Z21" i="6"/>
  <c r="Z22" i="6"/>
  <c r="X24" i="7"/>
  <c r="X28" i="7"/>
  <c r="X25" i="7"/>
  <c r="W53" i="6"/>
  <c r="W64" i="6"/>
  <c r="W66" i="6"/>
  <c r="X55" i="6"/>
  <c r="Y47" i="6"/>
  <c r="Y46" i="6"/>
  <c r="Y49" i="6"/>
  <c r="Z45" i="7"/>
  <c r="X76" i="7"/>
  <c r="Y71" i="7"/>
  <c r="Y73" i="7"/>
  <c r="Z48" i="7"/>
  <c r="Z65" i="7"/>
  <c r="Z66" i="7"/>
  <c r="AG47" i="8"/>
  <c r="AG48" i="8"/>
  <c r="Z29" i="6"/>
  <c r="X53" i="6"/>
  <c r="X64" i="6"/>
  <c r="X66" i="6"/>
  <c r="Y55" i="6"/>
  <c r="Y53" i="6"/>
  <c r="Y64" i="6"/>
  <c r="Y66" i="6"/>
  <c r="Z60" i="7"/>
  <c r="AA56" i="7"/>
  <c r="AA45" i="7"/>
  <c r="Z47" i="6"/>
  <c r="Z46" i="6"/>
  <c r="Z49" i="6"/>
  <c r="AA58" i="7"/>
  <c r="AA59" i="7"/>
  <c r="AA47" i="7"/>
  <c r="AA21" i="6"/>
  <c r="AA22" i="6"/>
  <c r="Z32" i="6"/>
  <c r="Z55" i="6"/>
  <c r="Z53" i="6"/>
  <c r="Z64" i="6"/>
  <c r="Y68" i="7"/>
  <c r="Y78" i="7"/>
  <c r="Y17" i="7"/>
  <c r="Y74" i="7"/>
  <c r="Z66" i="6"/>
  <c r="Y24" i="7"/>
  <c r="Y28" i="7"/>
  <c r="Y25" i="7"/>
  <c r="AA60" i="7"/>
  <c r="AB56" i="7"/>
  <c r="AA48" i="7"/>
  <c r="AA65" i="7"/>
  <c r="AA66" i="7"/>
  <c r="AH47" i="8"/>
  <c r="AH48" i="8"/>
  <c r="AA29" i="6"/>
  <c r="AA32" i="6"/>
  <c r="AA55" i="6"/>
  <c r="AA53" i="6"/>
  <c r="AA64" i="6"/>
  <c r="Y76" i="7"/>
  <c r="Z71" i="7"/>
  <c r="Z73" i="7"/>
  <c r="Z68" i="7"/>
  <c r="Z78" i="7"/>
  <c r="Z17" i="7"/>
  <c r="AB58" i="7"/>
  <c r="AB59" i="7"/>
  <c r="AB47" i="7"/>
  <c r="AB21" i="6"/>
  <c r="AB22" i="6"/>
  <c r="Z25" i="7"/>
  <c r="Z24" i="7"/>
  <c r="Z28" i="7"/>
  <c r="Z74" i="7"/>
  <c r="AB45" i="7"/>
  <c r="AA47" i="6"/>
  <c r="AA46" i="6"/>
  <c r="AA49" i="6"/>
  <c r="AA66" i="6"/>
  <c r="AB48" i="7"/>
  <c r="Z76" i="7"/>
  <c r="AA71" i="7"/>
  <c r="AB65" i="7"/>
  <c r="AB66" i="7"/>
  <c r="AI47" i="8"/>
  <c r="AI48" i="8"/>
  <c r="AB29" i="6"/>
  <c r="AB32" i="6"/>
  <c r="AB55" i="6"/>
  <c r="AB53" i="6"/>
  <c r="AB64" i="6"/>
  <c r="AB60" i="7"/>
  <c r="AC56" i="7"/>
  <c r="AC58" i="7"/>
  <c r="AC59" i="7"/>
  <c r="AC60" i="7"/>
  <c r="AD56" i="7"/>
  <c r="AA73" i="7"/>
  <c r="AC45" i="7"/>
  <c r="AB47" i="6"/>
  <c r="AB46" i="6"/>
  <c r="AB49" i="6"/>
  <c r="AB66" i="6"/>
  <c r="AD58" i="7"/>
  <c r="AD59" i="7"/>
  <c r="AD47" i="7"/>
  <c r="AD21" i="6"/>
  <c r="AD22" i="6"/>
  <c r="AA68" i="7"/>
  <c r="AA78" i="7"/>
  <c r="AA17" i="7"/>
  <c r="AA74" i="7"/>
  <c r="AC47" i="7"/>
  <c r="AC21" i="6"/>
  <c r="AC22" i="6"/>
  <c r="AC48" i="7"/>
  <c r="AD45" i="7"/>
  <c r="AD48" i="7"/>
  <c r="AC29" i="6"/>
  <c r="AC32" i="6"/>
  <c r="AC55" i="6"/>
  <c r="AJ47" i="8"/>
  <c r="AJ48" i="8"/>
  <c r="AC65" i="7"/>
  <c r="AC66" i="7"/>
  <c r="AA24" i="7"/>
  <c r="AA28" i="7"/>
  <c r="AA25" i="7"/>
  <c r="AD65" i="7"/>
  <c r="AD66" i="7"/>
  <c r="AK47" i="8"/>
  <c r="AK48" i="8"/>
  <c r="AD29" i="6"/>
  <c r="AD32" i="6"/>
  <c r="AA76" i="7"/>
  <c r="AB71" i="7"/>
  <c r="AD60" i="7"/>
  <c r="AE56" i="7"/>
  <c r="AC47" i="6"/>
  <c r="AC46" i="6"/>
  <c r="AC49" i="6"/>
  <c r="AD47" i="6"/>
  <c r="AD46" i="6"/>
  <c r="AD49" i="6"/>
  <c r="AE45" i="7"/>
  <c r="AE58" i="7"/>
  <c r="AE59" i="7"/>
  <c r="AE47" i="7"/>
  <c r="AE21" i="6"/>
  <c r="AE22" i="6"/>
  <c r="AC53" i="6"/>
  <c r="AC64" i="6"/>
  <c r="AD55" i="6"/>
  <c r="AD53" i="6"/>
  <c r="AD64" i="6"/>
  <c r="AB73" i="7"/>
  <c r="AC66" i="6"/>
  <c r="AE60" i="7"/>
  <c r="AF56" i="7"/>
  <c r="AE48" i="7"/>
  <c r="AB68" i="7"/>
  <c r="AB78" i="7"/>
  <c r="AB17" i="7"/>
  <c r="AB74" i="7"/>
  <c r="AE65" i="7"/>
  <c r="AE66" i="7"/>
  <c r="AE29" i="6"/>
  <c r="AE32" i="6"/>
  <c r="AE55" i="6"/>
  <c r="AE53" i="6"/>
  <c r="AE64" i="6"/>
  <c r="AL47" i="8"/>
  <c r="AL48" i="8"/>
  <c r="AD66" i="6"/>
  <c r="AB24" i="7"/>
  <c r="AB28" i="7"/>
  <c r="AB25" i="7"/>
  <c r="AF45" i="7"/>
  <c r="AE47" i="6"/>
  <c r="AE46" i="6"/>
  <c r="AE49" i="6"/>
  <c r="AE66" i="6"/>
  <c r="AF58" i="7"/>
  <c r="AF59" i="7"/>
  <c r="AF47" i="7"/>
  <c r="AF21" i="6"/>
  <c r="AF22" i="6"/>
  <c r="AB76" i="7"/>
  <c r="AC71" i="7"/>
  <c r="AC73" i="7"/>
  <c r="AC68" i="7"/>
  <c r="AC78" i="7"/>
  <c r="AC17" i="7"/>
  <c r="AC74" i="7"/>
  <c r="AC76" i="7"/>
  <c r="AD71" i="7"/>
  <c r="AM47" i="8"/>
  <c r="AM48" i="8"/>
  <c r="AF29" i="6"/>
  <c r="AF32" i="6"/>
  <c r="AF55" i="6"/>
  <c r="AF53" i="6"/>
  <c r="AF64" i="6"/>
  <c r="AF65" i="7"/>
  <c r="AF66" i="7"/>
  <c r="AF48" i="7"/>
  <c r="AF60" i="7"/>
  <c r="AG56" i="7"/>
  <c r="AC24" i="7"/>
  <c r="AC28" i="7"/>
  <c r="AC25" i="7"/>
  <c r="AG58" i="7"/>
  <c r="AG59" i="7"/>
  <c r="AG47" i="7"/>
  <c r="AG21" i="6"/>
  <c r="AG22" i="6"/>
  <c r="AG45" i="7"/>
  <c r="AF47" i="6"/>
  <c r="AF46" i="6"/>
  <c r="AF49" i="6"/>
  <c r="AF66" i="6"/>
  <c r="AD73" i="7"/>
  <c r="AD68" i="7"/>
  <c r="AD78" i="7"/>
  <c r="AD17" i="7"/>
  <c r="AD74" i="7"/>
  <c r="AG48" i="7"/>
  <c r="AG29" i="6"/>
  <c r="AG32" i="6"/>
  <c r="AG55" i="6"/>
  <c r="AG53" i="6"/>
  <c r="AG64" i="6"/>
  <c r="AG65" i="7"/>
  <c r="AG66" i="7"/>
  <c r="AN47" i="8"/>
  <c r="AN48" i="8"/>
  <c r="AG60" i="7"/>
  <c r="AH56" i="7"/>
  <c r="AH58" i="7"/>
  <c r="AH59" i="7"/>
  <c r="AH47" i="7"/>
  <c r="AH21" i="6"/>
  <c r="AH22" i="6"/>
  <c r="AG47" i="6"/>
  <c r="AG46" i="6"/>
  <c r="AG49" i="6"/>
  <c r="AG66" i="6"/>
  <c r="AH45" i="7"/>
  <c r="AD76" i="7"/>
  <c r="AE71" i="7"/>
  <c r="AE73" i="7"/>
  <c r="AE68" i="7"/>
  <c r="AE78" i="7"/>
  <c r="AE17" i="7"/>
  <c r="AD25" i="7"/>
  <c r="AD24" i="7"/>
  <c r="AD28" i="7"/>
  <c r="AE74" i="7"/>
  <c r="AE76" i="7"/>
  <c r="AF71" i="7"/>
  <c r="AH48" i="7"/>
  <c r="AE25" i="7"/>
  <c r="AE24" i="7"/>
  <c r="AE28" i="7"/>
  <c r="AH60" i="7"/>
  <c r="AI56" i="7"/>
  <c r="AO47" i="8"/>
  <c r="AO48" i="8"/>
  <c r="AH65" i="7"/>
  <c r="AH66" i="7"/>
  <c r="AH29" i="6"/>
  <c r="AH32" i="6"/>
  <c r="AH55" i="6"/>
  <c r="AH53" i="6"/>
  <c r="AH64" i="6"/>
  <c r="AI58" i="7"/>
  <c r="AI59" i="7"/>
  <c r="AI47" i="7"/>
  <c r="AI21" i="6"/>
  <c r="AI22" i="6"/>
  <c r="AF73" i="7"/>
  <c r="AH47" i="6"/>
  <c r="AH46" i="6"/>
  <c r="AH49" i="6"/>
  <c r="AH66" i="6"/>
  <c r="AI45" i="7"/>
  <c r="AF68" i="7"/>
  <c r="AF78" i="7"/>
  <c r="AF17" i="7"/>
  <c r="AF74" i="7"/>
  <c r="AF76" i="7"/>
  <c r="AG71" i="7"/>
  <c r="AI48" i="7"/>
  <c r="AI60" i="7"/>
  <c r="AJ56" i="7"/>
  <c r="AI29" i="6"/>
  <c r="AI32" i="6"/>
  <c r="AI55" i="6"/>
  <c r="AI53" i="6"/>
  <c r="AI64" i="6"/>
  <c r="AI65" i="7"/>
  <c r="AI66" i="7"/>
  <c r="AP47" i="8"/>
  <c r="AP48" i="8"/>
  <c r="AI47" i="6"/>
  <c r="AI46" i="6"/>
  <c r="AI49" i="6"/>
  <c r="AI66" i="6"/>
  <c r="AJ45" i="7"/>
  <c r="AG73" i="7"/>
  <c r="AG68" i="7"/>
  <c r="AG78" i="7"/>
  <c r="AG17" i="7"/>
  <c r="AJ58" i="7"/>
  <c r="AJ59" i="7"/>
  <c r="AJ47" i="7"/>
  <c r="AJ21" i="6"/>
  <c r="AJ22" i="6"/>
  <c r="AF24" i="7"/>
  <c r="AF28" i="7"/>
  <c r="AF25" i="7"/>
  <c r="AJ60" i="7"/>
  <c r="AK56" i="7"/>
  <c r="AJ29" i="6"/>
  <c r="AJ32" i="6"/>
  <c r="AJ55" i="6"/>
  <c r="AJ53" i="6"/>
  <c r="AJ64" i="6"/>
  <c r="AQ47" i="8"/>
  <c r="AQ48" i="8"/>
  <c r="AJ65" i="7"/>
  <c r="AJ66" i="7"/>
  <c r="AG25" i="7"/>
  <c r="AG24" i="7"/>
  <c r="AG28" i="7"/>
  <c r="AG74" i="7"/>
  <c r="AJ48" i="7"/>
  <c r="AG76" i="7"/>
  <c r="AH71" i="7"/>
  <c r="AH73" i="7"/>
  <c r="AH68" i="7"/>
  <c r="AH78" i="7"/>
  <c r="AH17" i="7"/>
  <c r="AJ47" i="6"/>
  <c r="AJ46" i="6"/>
  <c r="AJ49" i="6"/>
  <c r="AJ66" i="6"/>
  <c r="AK45" i="7"/>
  <c r="AK58" i="7"/>
  <c r="AK59" i="7"/>
  <c r="AK47" i="7"/>
  <c r="AK21" i="6"/>
  <c r="AK22" i="6"/>
  <c r="AK48" i="7"/>
  <c r="AK60" i="7"/>
  <c r="AL56" i="7"/>
  <c r="AH24" i="7"/>
  <c r="AH28" i="7"/>
  <c r="AH25" i="7"/>
  <c r="AK65" i="7"/>
  <c r="AK66" i="7"/>
  <c r="AK29" i="6"/>
  <c r="AK32" i="6"/>
  <c r="AK55" i="6"/>
  <c r="AK53" i="6"/>
  <c r="AK64" i="6"/>
  <c r="AR47" i="8"/>
  <c r="AR48" i="8"/>
  <c r="AH74" i="7"/>
  <c r="AH76" i="7"/>
  <c r="AI71" i="7"/>
  <c r="AL58" i="7"/>
  <c r="AL59" i="7"/>
  <c r="AL47" i="7"/>
  <c r="AL21" i="6"/>
  <c r="AL22" i="6"/>
  <c r="AL45" i="7"/>
  <c r="AK47" i="6"/>
  <c r="AK46" i="6"/>
  <c r="AK49" i="6"/>
  <c r="AK66" i="6"/>
  <c r="AL60" i="7"/>
  <c r="AM56" i="7"/>
  <c r="AS47" i="8"/>
  <c r="AS48" i="8"/>
  <c r="AL65" i="7"/>
  <c r="AL66" i="7"/>
  <c r="AL29" i="6"/>
  <c r="AL32" i="6"/>
  <c r="AL55" i="6"/>
  <c r="AL53" i="6"/>
  <c r="AL64" i="6"/>
  <c r="AL48" i="7"/>
  <c r="AI73" i="7"/>
  <c r="AI68" i="7"/>
  <c r="AI78" i="7"/>
  <c r="AI17" i="7"/>
  <c r="AI74" i="7"/>
  <c r="AM45" i="7"/>
  <c r="AL47" i="6"/>
  <c r="AL46" i="6"/>
  <c r="AL49" i="6"/>
  <c r="AL66" i="6"/>
  <c r="AM58" i="7"/>
  <c r="AM59" i="7"/>
  <c r="AM47" i="7"/>
  <c r="AM21" i="6"/>
  <c r="AM22" i="6"/>
  <c r="AM48" i="7"/>
  <c r="AM60" i="7"/>
  <c r="AN56" i="7"/>
  <c r="AI76" i="7"/>
  <c r="AJ71" i="7"/>
  <c r="AM65" i="7"/>
  <c r="AM66" i="7"/>
  <c r="AM29" i="6"/>
  <c r="AM32" i="6"/>
  <c r="AM55" i="6"/>
  <c r="AM53" i="6"/>
  <c r="AM64" i="6"/>
  <c r="AT47" i="8"/>
  <c r="AT48" i="8"/>
  <c r="AI24" i="7"/>
  <c r="AI28" i="7"/>
  <c r="AI25" i="7"/>
  <c r="AJ73" i="7"/>
  <c r="AN58" i="7"/>
  <c r="AN59" i="7"/>
  <c r="AN47" i="7"/>
  <c r="AN21" i="6"/>
  <c r="AN22" i="6"/>
  <c r="AM47" i="6"/>
  <c r="AM46" i="6"/>
  <c r="AM49" i="6"/>
  <c r="AM66" i="6"/>
  <c r="AN45" i="7"/>
  <c r="AN48" i="7"/>
  <c r="AO45" i="7"/>
  <c r="AN60" i="7"/>
  <c r="AO56" i="7"/>
  <c r="AN65" i="7"/>
  <c r="AN66" i="7"/>
  <c r="AN29" i="6"/>
  <c r="AN32" i="6"/>
  <c r="AN55" i="6"/>
  <c r="AN53" i="6"/>
  <c r="AN64" i="6"/>
  <c r="AU47" i="8"/>
  <c r="AU48" i="8"/>
  <c r="AJ68" i="7"/>
  <c r="AJ78" i="7"/>
  <c r="AJ17" i="7"/>
  <c r="AJ74" i="7"/>
  <c r="AN47" i="6"/>
  <c r="AN46" i="6"/>
  <c r="AN49" i="6"/>
  <c r="AN66" i="6"/>
  <c r="AJ76" i="7"/>
  <c r="AK71" i="7"/>
  <c r="AJ25" i="7"/>
  <c r="AJ24" i="7"/>
  <c r="AJ28" i="7"/>
  <c r="AO58" i="7"/>
  <c r="AO59" i="7"/>
  <c r="AO47" i="7"/>
  <c r="AO21" i="6"/>
  <c r="AO22" i="6"/>
  <c r="AO60" i="7"/>
  <c r="AP56" i="7"/>
  <c r="AP58" i="7"/>
  <c r="AV47" i="8"/>
  <c r="AV48" i="8"/>
  <c r="AO29" i="6"/>
  <c r="AO32" i="6"/>
  <c r="AO55" i="6"/>
  <c r="AO53" i="6"/>
  <c r="AO64" i="6"/>
  <c r="AO65" i="7"/>
  <c r="AO66" i="7"/>
  <c r="AO48" i="7"/>
  <c r="AK73" i="7"/>
  <c r="AK68" i="7"/>
  <c r="AK78" i="7"/>
  <c r="AK17" i="7"/>
  <c r="AK74" i="7"/>
  <c r="AP45" i="7"/>
  <c r="AO47" i="6"/>
  <c r="AO46" i="6"/>
  <c r="AO49" i="6"/>
  <c r="AO66" i="6"/>
  <c r="AP59" i="7"/>
  <c r="AP60" i="7"/>
  <c r="AQ56" i="7"/>
  <c r="AP47" i="7"/>
  <c r="AP21" i="6"/>
  <c r="AP22" i="6"/>
  <c r="AP65" i="7"/>
  <c r="AP66" i="7"/>
  <c r="AK76" i="7"/>
  <c r="AL71" i="7"/>
  <c r="AL73" i="7"/>
  <c r="AL68" i="7"/>
  <c r="AL78" i="7"/>
  <c r="AL17" i="7"/>
  <c r="AQ58" i="7"/>
  <c r="AQ59" i="7"/>
  <c r="AQ47" i="7"/>
  <c r="AQ21" i="6"/>
  <c r="AQ22" i="6"/>
  <c r="AK24" i="7"/>
  <c r="AK28" i="7"/>
  <c r="AK25" i="7"/>
  <c r="AW47" i="8"/>
  <c r="AW48" i="8"/>
  <c r="AP29" i="6"/>
  <c r="AP32" i="6"/>
  <c r="AP55" i="6"/>
  <c r="AP53" i="6"/>
  <c r="AP64" i="6"/>
  <c r="AP48" i="7"/>
  <c r="AP47" i="6"/>
  <c r="AP46" i="6"/>
  <c r="AP49" i="6"/>
  <c r="AQ60" i="7"/>
  <c r="AR56" i="7"/>
  <c r="AQ65" i="7"/>
  <c r="AQ66" i="7"/>
  <c r="AQ29" i="6"/>
  <c r="AQ32" i="6"/>
  <c r="AX47" i="8"/>
  <c r="AX48" i="8"/>
  <c r="AL25" i="7"/>
  <c r="AL24" i="7"/>
  <c r="AL28" i="7"/>
  <c r="AL74" i="7"/>
  <c r="AQ45" i="7"/>
  <c r="AQ48" i="7"/>
  <c r="AR45" i="7"/>
  <c r="AQ55" i="6"/>
  <c r="AQ53" i="6"/>
  <c r="AQ64" i="6"/>
  <c r="AL76" i="7"/>
  <c r="AM71" i="7"/>
  <c r="AP66" i="6"/>
  <c r="AR58" i="7"/>
  <c r="AR59" i="7"/>
  <c r="AR47" i="7"/>
  <c r="AR21" i="6"/>
  <c r="AR22" i="6"/>
  <c r="AQ47" i="6"/>
  <c r="AQ46" i="6"/>
  <c r="AQ49" i="6"/>
  <c r="AQ66" i="6"/>
  <c r="AR60" i="7"/>
  <c r="AS56" i="7"/>
  <c r="AR65" i="7"/>
  <c r="AR66" i="7"/>
  <c r="AY47" i="8"/>
  <c r="AY48" i="8"/>
  <c r="AR29" i="6"/>
  <c r="AR32" i="6"/>
  <c r="AR55" i="6"/>
  <c r="AR53" i="6"/>
  <c r="AR64" i="6"/>
  <c r="AM73" i="7"/>
  <c r="AR48" i="7"/>
  <c r="AR47" i="6"/>
  <c r="AR46" i="6"/>
  <c r="AR49" i="6"/>
  <c r="AR66" i="6"/>
  <c r="AS45" i="7"/>
  <c r="AM68" i="7"/>
  <c r="AM78" i="7"/>
  <c r="AM17" i="7"/>
  <c r="AM74" i="7"/>
  <c r="AS58" i="7"/>
  <c r="AS59" i="7"/>
  <c r="AS60" i="7"/>
  <c r="AT56" i="7"/>
  <c r="AT58" i="7"/>
  <c r="AT59" i="7"/>
  <c r="AT47" i="7"/>
  <c r="AT21" i="6"/>
  <c r="AT22" i="6"/>
  <c r="AM24" i="7"/>
  <c r="AM28" i="7"/>
  <c r="AM25" i="7"/>
  <c r="AS47" i="7"/>
  <c r="AS21" i="6"/>
  <c r="AS22" i="6"/>
  <c r="AM76" i="7"/>
  <c r="AN71" i="7"/>
  <c r="AS48" i="7"/>
  <c r="AT45" i="7"/>
  <c r="AT48" i="7"/>
  <c r="AN73" i="7"/>
  <c r="AZ47" i="8"/>
  <c r="AZ48" i="8"/>
  <c r="AS29" i="6"/>
  <c r="AS32" i="6"/>
  <c r="AS55" i="6"/>
  <c r="AS65" i="7"/>
  <c r="AS66" i="7"/>
  <c r="AT60" i="7"/>
  <c r="AU56" i="7"/>
  <c r="AT29" i="6"/>
  <c r="AT32" i="6"/>
  <c r="BA47" i="8"/>
  <c r="BA48" i="8"/>
  <c r="AT65" i="7"/>
  <c r="AT66" i="7"/>
  <c r="AS47" i="6"/>
  <c r="AS46" i="6"/>
  <c r="AS49" i="6"/>
  <c r="AU58" i="7"/>
  <c r="AU59" i="7"/>
  <c r="AU60" i="7"/>
  <c r="AV56" i="7"/>
  <c r="AV58" i="7"/>
  <c r="AU45" i="7"/>
  <c r="AT47" i="6"/>
  <c r="AT46" i="6"/>
  <c r="AT49" i="6"/>
  <c r="AS53" i="6"/>
  <c r="AS64" i="6"/>
  <c r="AS66" i="6"/>
  <c r="AT55" i="6"/>
  <c r="AT53" i="6"/>
  <c r="AT64" i="6"/>
  <c r="AN68" i="7"/>
  <c r="AN78" i="7"/>
  <c r="AN17" i="7"/>
  <c r="AN74" i="7"/>
  <c r="AV59" i="7"/>
  <c r="AV60" i="7"/>
  <c r="AW56" i="7"/>
  <c r="AT66" i="6"/>
  <c r="AU47" i="7"/>
  <c r="AU21" i="6"/>
  <c r="AU22" i="6"/>
  <c r="AN24" i="7"/>
  <c r="AN28" i="7"/>
  <c r="AN25" i="7"/>
  <c r="AN76" i="7"/>
  <c r="AO71" i="7"/>
  <c r="AU48" i="7"/>
  <c r="AU47" i="6"/>
  <c r="AU46" i="6"/>
  <c r="AU49" i="6"/>
  <c r="AV47" i="7"/>
  <c r="AV21" i="6"/>
  <c r="AV22" i="6"/>
  <c r="AV29" i="6"/>
  <c r="AV32" i="6"/>
  <c r="AO73" i="7"/>
  <c r="AU65" i="7"/>
  <c r="AU66" i="7"/>
  <c r="BB47" i="8"/>
  <c r="BB48" i="8"/>
  <c r="AU29" i="6"/>
  <c r="AU32" i="6"/>
  <c r="AU55" i="6"/>
  <c r="AU53" i="6"/>
  <c r="AU64" i="6"/>
  <c r="AW58" i="7"/>
  <c r="AW59" i="7"/>
  <c r="AW47" i="7"/>
  <c r="AW21" i="6"/>
  <c r="AW22" i="6"/>
  <c r="AV45" i="7"/>
  <c r="AV48" i="7"/>
  <c r="AW45" i="7"/>
  <c r="AW48" i="7"/>
  <c r="AU66" i="6"/>
  <c r="AV65" i="7"/>
  <c r="AV66" i="7"/>
  <c r="BC47" i="8"/>
  <c r="BC48" i="8"/>
  <c r="AW60" i="7"/>
  <c r="AX56" i="7"/>
  <c r="AW29" i="6"/>
  <c r="AW32" i="6"/>
  <c r="BD47" i="8"/>
  <c r="BD48" i="8"/>
  <c r="AW65" i="7"/>
  <c r="AW66" i="7"/>
  <c r="AO68" i="7"/>
  <c r="AO78" i="7"/>
  <c r="AO17" i="7"/>
  <c r="AO74" i="7"/>
  <c r="AV55" i="6"/>
  <c r="AV47" i="6"/>
  <c r="AV46" i="6"/>
  <c r="AV49" i="6"/>
  <c r="AX45" i="7"/>
  <c r="AW47" i="6"/>
  <c r="AW46" i="6"/>
  <c r="AW49" i="6"/>
  <c r="AV53" i="6"/>
  <c r="AV64" i="6"/>
  <c r="AW55" i="6"/>
  <c r="AW53" i="6"/>
  <c r="AW64" i="6"/>
  <c r="AO76" i="7"/>
  <c r="AP71" i="7"/>
  <c r="AO24" i="7"/>
  <c r="AO28" i="7"/>
  <c r="AO25" i="7"/>
  <c r="AX58" i="7"/>
  <c r="AX59" i="7"/>
  <c r="AX47" i="7"/>
  <c r="AX21" i="6"/>
  <c r="AX22" i="6"/>
  <c r="AV66" i="6"/>
  <c r="AW66" i="6"/>
  <c r="AX60" i="7"/>
  <c r="AY56" i="7"/>
  <c r="AP73" i="7"/>
  <c r="AX29" i="6"/>
  <c r="AX32" i="6"/>
  <c r="AX55" i="6"/>
  <c r="AX53" i="6"/>
  <c r="AX64" i="6"/>
  <c r="BE47" i="8"/>
  <c r="BE48" i="8"/>
  <c r="AX65" i="7"/>
  <c r="AX66" i="7"/>
  <c r="AX48" i="7"/>
  <c r="AY45" i="7"/>
  <c r="AX47" i="6"/>
  <c r="AX46" i="6"/>
  <c r="AX49" i="6"/>
  <c r="AX66" i="6"/>
  <c r="AP68" i="7"/>
  <c r="AP78" i="7"/>
  <c r="AP17" i="7"/>
  <c r="AP74" i="7"/>
  <c r="AY58" i="7"/>
  <c r="AY59" i="7"/>
  <c r="AY47" i="7"/>
  <c r="AY21" i="6"/>
  <c r="AY22" i="6"/>
  <c r="AY60" i="7"/>
  <c r="AZ56" i="7"/>
  <c r="BF47" i="8"/>
  <c r="BF48" i="8"/>
  <c r="AY65" i="7"/>
  <c r="AY66" i="7"/>
  <c r="AY29" i="6"/>
  <c r="AY32" i="6"/>
  <c r="AY55" i="6"/>
  <c r="AY53" i="6"/>
  <c r="AY64" i="6"/>
  <c r="AP24" i="7"/>
  <c r="AP28" i="7"/>
  <c r="AP25" i="7"/>
  <c r="AP76" i="7"/>
  <c r="AQ71" i="7"/>
  <c r="AQ73" i="7"/>
  <c r="AQ68" i="7"/>
  <c r="AQ78" i="7"/>
  <c r="AQ17" i="7"/>
  <c r="AY48" i="7"/>
  <c r="AQ25" i="7"/>
  <c r="AQ24" i="7"/>
  <c r="AQ28" i="7"/>
  <c r="AQ74" i="7"/>
  <c r="AZ45" i="7"/>
  <c r="AY47" i="6"/>
  <c r="AY46" i="6"/>
  <c r="AY49" i="6"/>
  <c r="AY66" i="6"/>
  <c r="AZ58" i="7"/>
  <c r="AZ59" i="7"/>
  <c r="AZ47" i="7"/>
  <c r="AZ21" i="6"/>
  <c r="AZ22" i="6"/>
  <c r="AZ48" i="7"/>
  <c r="AZ60" i="7"/>
  <c r="BA56" i="7"/>
  <c r="BA58" i="7"/>
  <c r="AQ76" i="7"/>
  <c r="AR71" i="7"/>
  <c r="AR73" i="7"/>
  <c r="AR68" i="7"/>
  <c r="AR78" i="7"/>
  <c r="AR17" i="7"/>
  <c r="BG47" i="8"/>
  <c r="BG48" i="8"/>
  <c r="AZ65" i="7"/>
  <c r="AZ66" i="7"/>
  <c r="AZ29" i="6"/>
  <c r="AZ32" i="6"/>
  <c r="AZ55" i="6"/>
  <c r="AZ53" i="6"/>
  <c r="AZ64" i="6"/>
  <c r="AR74" i="7"/>
  <c r="AR76" i="7"/>
  <c r="AS71" i="7"/>
  <c r="AS73" i="7"/>
  <c r="AS68" i="7"/>
  <c r="AS78" i="7"/>
  <c r="AS17" i="7"/>
  <c r="AR25" i="7"/>
  <c r="AR24" i="7"/>
  <c r="AR28" i="7"/>
  <c r="BA59" i="7"/>
  <c r="BA60" i="7"/>
  <c r="BB56" i="7"/>
  <c r="AZ47" i="6"/>
  <c r="AZ46" i="6"/>
  <c r="AZ49" i="6"/>
  <c r="AZ66" i="6"/>
  <c r="BA45" i="7"/>
  <c r="AS74" i="7"/>
  <c r="AS76" i="7"/>
  <c r="AT71" i="7"/>
  <c r="BA47" i="7"/>
  <c r="BA21" i="6"/>
  <c r="BA22" i="6"/>
  <c r="BB58" i="7"/>
  <c r="BB59" i="7"/>
  <c r="BB47" i="7"/>
  <c r="BB21" i="6"/>
  <c r="BB22" i="6"/>
  <c r="AS24" i="7"/>
  <c r="AS28" i="7"/>
  <c r="AS25" i="7"/>
  <c r="AT73" i="7"/>
  <c r="BB60" i="7"/>
  <c r="BC56" i="7"/>
  <c r="BC58" i="7"/>
  <c r="BA29" i="6"/>
  <c r="BA32" i="6"/>
  <c r="BA55" i="6"/>
  <c r="BA65" i="7"/>
  <c r="BA66" i="7"/>
  <c r="BH47" i="8"/>
  <c r="BH48" i="8"/>
  <c r="BI47" i="8"/>
  <c r="BI48" i="8"/>
  <c r="BB29" i="6"/>
  <c r="BB32" i="6"/>
  <c r="BB65" i="7"/>
  <c r="BB66" i="7"/>
  <c r="BA48" i="7"/>
  <c r="BA53" i="6"/>
  <c r="BA64" i="6"/>
  <c r="BB55" i="6"/>
  <c r="BB53" i="6"/>
  <c r="BB64" i="6"/>
  <c r="BC59" i="7"/>
  <c r="BC60" i="7"/>
  <c r="BD56" i="7"/>
  <c r="BA47" i="6"/>
  <c r="BA46" i="6"/>
  <c r="BA49" i="6"/>
  <c r="BB45" i="7"/>
  <c r="BB48" i="7"/>
  <c r="AT68" i="7"/>
  <c r="AT78" i="7"/>
  <c r="AT17" i="7"/>
  <c r="AT74" i="7"/>
  <c r="BD58" i="7"/>
  <c r="BD59" i="7"/>
  <c r="BD47" i="7"/>
  <c r="BD21" i="6"/>
  <c r="BD22" i="6"/>
  <c r="BC45" i="7"/>
  <c r="BB47" i="6"/>
  <c r="BB46" i="6"/>
  <c r="BB49" i="6"/>
  <c r="BB66" i="6"/>
  <c r="AT25" i="7"/>
  <c r="AT24" i="7"/>
  <c r="AT28" i="7"/>
  <c r="BA66" i="6"/>
  <c r="BC47" i="7"/>
  <c r="BC21" i="6"/>
  <c r="BC22" i="6"/>
  <c r="AT76" i="7"/>
  <c r="AU71" i="7"/>
  <c r="BC48" i="7"/>
  <c r="AU73" i="7"/>
  <c r="BD60" i="7"/>
  <c r="BE56" i="7"/>
  <c r="BE58" i="7"/>
  <c r="BC29" i="6"/>
  <c r="BC32" i="6"/>
  <c r="BC55" i="6"/>
  <c r="BJ47" i="8"/>
  <c r="BJ48" i="8"/>
  <c r="BC65" i="7"/>
  <c r="BC66" i="7"/>
  <c r="BD65" i="7"/>
  <c r="BD66" i="7"/>
  <c r="BD29" i="6"/>
  <c r="BD32" i="6"/>
  <c r="BK47" i="8"/>
  <c r="BK48" i="8"/>
  <c r="BE59" i="7"/>
  <c r="BE60" i="7"/>
  <c r="BF56" i="7"/>
  <c r="AU68" i="7"/>
  <c r="AU78" i="7"/>
  <c r="AU17" i="7"/>
  <c r="AU74" i="7"/>
  <c r="BD55" i="6"/>
  <c r="BD53" i="6"/>
  <c r="BD64" i="6"/>
  <c r="BC53" i="6"/>
  <c r="BC64" i="6"/>
  <c r="BC47" i="6"/>
  <c r="BC46" i="6"/>
  <c r="BC49" i="6"/>
  <c r="BD45" i="7"/>
  <c r="BD48" i="7"/>
  <c r="BC66" i="6"/>
  <c r="BE47" i="7"/>
  <c r="BE21" i="6"/>
  <c r="BE22" i="6"/>
  <c r="BL47" i="8"/>
  <c r="BL48" i="8"/>
  <c r="AU24" i="7"/>
  <c r="AU28" i="7"/>
  <c r="AU25" i="7"/>
  <c r="BF58" i="7"/>
  <c r="BF59" i="7"/>
  <c r="BF47" i="7"/>
  <c r="BF21" i="6"/>
  <c r="BF22" i="6"/>
  <c r="BD47" i="6"/>
  <c r="BD46" i="6"/>
  <c r="BD49" i="6"/>
  <c r="BD66" i="6"/>
  <c r="BE45" i="7"/>
  <c r="AU76" i="7"/>
  <c r="AV71" i="7"/>
  <c r="AV73" i="7"/>
  <c r="AV68" i="7"/>
  <c r="AV78" i="7"/>
  <c r="AV17" i="7"/>
  <c r="BE48" i="7"/>
  <c r="BF45" i="7"/>
  <c r="BF48" i="7"/>
  <c r="BE65" i="7"/>
  <c r="BE66" i="7"/>
  <c r="BE29" i="6"/>
  <c r="BE32" i="6"/>
  <c r="BE55" i="6"/>
  <c r="BE53" i="6"/>
  <c r="BE64" i="6"/>
  <c r="AV74" i="7"/>
  <c r="AV76" i="7"/>
  <c r="AW71" i="7"/>
  <c r="AW73" i="7"/>
  <c r="AW68" i="7"/>
  <c r="AW78" i="7"/>
  <c r="AW17" i="7"/>
  <c r="AV25" i="7"/>
  <c r="AV24" i="7"/>
  <c r="AV28" i="7"/>
  <c r="BF60" i="7"/>
  <c r="BG56" i="7"/>
  <c r="BM47" i="8"/>
  <c r="BM48" i="8"/>
  <c r="BF65" i="7"/>
  <c r="BF66" i="7"/>
  <c r="BF29" i="6"/>
  <c r="BF32" i="6"/>
  <c r="BE47" i="6"/>
  <c r="BE46" i="6"/>
  <c r="BE49" i="6"/>
  <c r="BE66" i="6"/>
  <c r="BF55" i="6"/>
  <c r="BF53" i="6"/>
  <c r="BF64" i="6"/>
  <c r="AW74" i="7"/>
  <c r="AW76" i="7"/>
  <c r="AX71" i="7"/>
  <c r="AW25" i="7"/>
  <c r="AW24" i="7"/>
  <c r="AW28" i="7"/>
  <c r="BG58" i="7"/>
  <c r="BG59" i="7"/>
  <c r="BG47" i="7"/>
  <c r="BG21" i="6"/>
  <c r="BG22" i="6"/>
  <c r="BG45" i="7"/>
  <c r="BF47" i="6"/>
  <c r="BF46" i="6"/>
  <c r="BF49" i="6"/>
  <c r="BF66" i="6"/>
  <c r="AX73" i="7"/>
  <c r="BN47" i="8"/>
  <c r="BN48" i="8"/>
  <c r="BG29" i="6"/>
  <c r="BG32" i="6"/>
  <c r="BG55" i="6"/>
  <c r="BG53" i="6"/>
  <c r="BG64" i="6"/>
  <c r="BG65" i="7"/>
  <c r="BG66" i="7"/>
  <c r="BG48" i="7"/>
  <c r="BG60" i="7"/>
  <c r="BH56" i="7"/>
  <c r="BH58" i="7"/>
  <c r="BH59" i="7"/>
  <c r="BH47" i="7"/>
  <c r="BH21" i="6"/>
  <c r="BH22" i="6"/>
  <c r="BG47" i="6"/>
  <c r="BG46" i="6"/>
  <c r="BG49" i="6"/>
  <c r="BG66" i="6"/>
  <c r="BH45" i="7"/>
  <c r="AX68" i="7"/>
  <c r="AX78" i="7"/>
  <c r="AX17" i="7"/>
  <c r="AX74" i="7"/>
  <c r="AX76" i="7"/>
  <c r="AY71" i="7"/>
  <c r="AY73" i="7"/>
  <c r="AY68" i="7"/>
  <c r="AY78" i="7"/>
  <c r="AY17" i="7"/>
  <c r="AY25" i="7"/>
  <c r="AY24" i="7"/>
  <c r="AY28" i="7"/>
  <c r="BH48" i="7"/>
  <c r="AY74" i="7"/>
  <c r="BH60" i="7"/>
  <c r="BI56" i="7"/>
  <c r="AX25" i="7"/>
  <c r="AX24" i="7"/>
  <c r="AX28" i="7"/>
  <c r="BH29" i="6"/>
  <c r="BH32" i="6"/>
  <c r="BH55" i="6"/>
  <c r="BH53" i="6"/>
  <c r="BH64" i="6"/>
  <c r="BO47" i="8"/>
  <c r="BO48" i="8"/>
  <c r="BH65" i="7"/>
  <c r="BH66" i="7"/>
  <c r="AY76" i="7"/>
  <c r="AZ71" i="7"/>
  <c r="BI45" i="7"/>
  <c r="BH47" i="6"/>
  <c r="BH46" i="6"/>
  <c r="BH49" i="6"/>
  <c r="BH66" i="6"/>
  <c r="BI58" i="7"/>
  <c r="BI59" i="7"/>
  <c r="BI47" i="7"/>
  <c r="BI21" i="6"/>
  <c r="BI22" i="6"/>
  <c r="BI60" i="7"/>
  <c r="BJ56" i="7"/>
  <c r="BI48" i="7"/>
  <c r="BI29" i="6"/>
  <c r="BI32" i="6"/>
  <c r="BI55" i="6"/>
  <c r="BI65" i="7"/>
  <c r="BI66" i="7"/>
  <c r="BP47" i="8"/>
  <c r="BP48" i="8"/>
  <c r="AZ73" i="7"/>
  <c r="BI53" i="6"/>
  <c r="BI64" i="6"/>
  <c r="AZ68" i="7"/>
  <c r="AZ78" i="7"/>
  <c r="AZ17" i="7"/>
  <c r="AZ74" i="7"/>
  <c r="BI47" i="6"/>
  <c r="BI46" i="6"/>
  <c r="BI49" i="6"/>
  <c r="BJ45" i="7"/>
  <c r="BJ58" i="7"/>
  <c r="N58" i="7"/>
  <c r="AZ25" i="7"/>
  <c r="AZ24" i="7"/>
  <c r="AZ28" i="7"/>
  <c r="BI66" i="6"/>
  <c r="BJ59" i="7"/>
  <c r="N59" i="7"/>
  <c r="AZ76" i="7"/>
  <c r="BA71" i="7"/>
  <c r="BA73" i="7"/>
  <c r="BJ60" i="7"/>
  <c r="G53" i="7"/>
  <c r="BJ47" i="7"/>
  <c r="BA68" i="7"/>
  <c r="BA78" i="7"/>
  <c r="BA17" i="7"/>
  <c r="BA74" i="7"/>
  <c r="BA76" i="7"/>
  <c r="BB71" i="7"/>
  <c r="BJ21" i="6"/>
  <c r="N47" i="7"/>
  <c r="N50" i="7"/>
  <c r="L177" i="2"/>
  <c r="BJ48" i="7"/>
  <c r="BJ47" i="6"/>
  <c r="BJ46" i="6"/>
  <c r="BJ49" i="6"/>
  <c r="BJ22" i="6"/>
  <c r="N21" i="6"/>
  <c r="BB73" i="7"/>
  <c r="BB68" i="7"/>
  <c r="BB78" i="7"/>
  <c r="BB17" i="7"/>
  <c r="BA25" i="7"/>
  <c r="BA24" i="7"/>
  <c r="BA28" i="7"/>
  <c r="BB74" i="7"/>
  <c r="BB76" i="7"/>
  <c r="BC71" i="7"/>
  <c r="BC73" i="7"/>
  <c r="BB24" i="7"/>
  <c r="BB28" i="7"/>
  <c r="BB25" i="7"/>
  <c r="BQ47" i="8"/>
  <c r="BQ48" i="8"/>
  <c r="Y50" i="8"/>
  <c r="Y56" i="8"/>
  <c r="Y62" i="8"/>
  <c r="BJ29" i="6"/>
  <c r="BJ65" i="7"/>
  <c r="BJ66" i="7"/>
  <c r="N22" i="6"/>
  <c r="BC68" i="7"/>
  <c r="BC78" i="7"/>
  <c r="BC17" i="7"/>
  <c r="BC24" i="7"/>
  <c r="BC28" i="7"/>
  <c r="BC74" i="7"/>
  <c r="BC76" i="7"/>
  <c r="BD71" i="7"/>
  <c r="BD73" i="7"/>
  <c r="BJ32" i="6"/>
  <c r="N29" i="6"/>
  <c r="M62" i="8"/>
  <c r="Y64" i="8"/>
  <c r="BC25" i="7"/>
  <c r="BD68" i="7"/>
  <c r="BD78" i="7"/>
  <c r="BD17" i="7"/>
  <c r="BD24" i="7"/>
  <c r="BD28" i="7"/>
  <c r="BD74" i="7"/>
  <c r="BD76" i="7"/>
  <c r="BE71" i="7"/>
  <c r="BE73" i="7"/>
  <c r="BE68" i="7"/>
  <c r="BE78" i="7"/>
  <c r="BE17" i="7"/>
  <c r="N32" i="6"/>
  <c r="BJ55" i="6"/>
  <c r="BJ53" i="6"/>
  <c r="BJ64" i="6"/>
  <c r="BJ66" i="6"/>
  <c r="N66" i="6"/>
  <c r="L174" i="2"/>
  <c r="Y65" i="8"/>
  <c r="M65" i="8"/>
  <c r="M64" i="8"/>
  <c r="BD25" i="7"/>
  <c r="BE74" i="7"/>
  <c r="BE76" i="7"/>
  <c r="BF71" i="7"/>
  <c r="BE25" i="7"/>
  <c r="BE24" i="7"/>
  <c r="BE28" i="7"/>
  <c r="BF73" i="7"/>
  <c r="BF68" i="7"/>
  <c r="BF78" i="7"/>
  <c r="BF17" i="7"/>
  <c r="BF74" i="7"/>
  <c r="BF76" i="7"/>
  <c r="BG71" i="7"/>
  <c r="BG73" i="7"/>
  <c r="BG68" i="7"/>
  <c r="BG78" i="7"/>
  <c r="BG17" i="7"/>
  <c r="BF25" i="7"/>
  <c r="BF24" i="7"/>
  <c r="BF28" i="7"/>
  <c r="BG74" i="7"/>
  <c r="BG76" i="7"/>
  <c r="BH71" i="7"/>
  <c r="BG25" i="7"/>
  <c r="BG24" i="7"/>
  <c r="BG28" i="7"/>
  <c r="BH73" i="7"/>
  <c r="BH68" i="7"/>
  <c r="BH78" i="7"/>
  <c r="BH17" i="7"/>
  <c r="BH74" i="7"/>
  <c r="BH76" i="7"/>
  <c r="BI71" i="7"/>
  <c r="BI73" i="7"/>
  <c r="BI68" i="7"/>
  <c r="BI78" i="7"/>
  <c r="BI17" i="7"/>
  <c r="BH25" i="7"/>
  <c r="BH24" i="7"/>
  <c r="BH28" i="7"/>
  <c r="BI74" i="7"/>
  <c r="BI76" i="7"/>
  <c r="BJ71" i="7"/>
  <c r="BI24" i="7"/>
  <c r="BI28" i="7"/>
  <c r="BI25" i="7"/>
  <c r="BJ73" i="7"/>
  <c r="BJ68" i="7"/>
  <c r="BJ78" i="7"/>
  <c r="BJ17" i="7"/>
  <c r="N73" i="7"/>
  <c r="BJ74" i="7"/>
  <c r="N74" i="7"/>
  <c r="N78" i="7"/>
  <c r="L178" i="2"/>
  <c r="BJ76" i="7"/>
  <c r="BJ25" i="7"/>
  <c r="BJ24" i="7"/>
  <c r="BJ28" i="7"/>
  <c r="N28" i="7"/>
  <c r="R31" i="7"/>
  <c r="S27" i="7"/>
  <c r="S29" i="7"/>
  <c r="S31" i="7"/>
  <c r="T27" i="7"/>
  <c r="T29" i="7"/>
  <c r="T31" i="7"/>
  <c r="U27" i="7"/>
  <c r="T33" i="7"/>
  <c r="T20" i="7"/>
  <c r="T13" i="7"/>
  <c r="AA23" i="8"/>
  <c r="S33" i="7"/>
  <c r="S20" i="7"/>
  <c r="S13" i="7"/>
  <c r="Z23" i="8"/>
  <c r="G128" i="1"/>
  <c r="AA25" i="8"/>
  <c r="AA73" i="8"/>
  <c r="U29" i="7"/>
  <c r="U31" i="7"/>
  <c r="V27" i="7"/>
  <c r="V29" i="7"/>
  <c r="V31" i="7"/>
  <c r="W27" i="7"/>
  <c r="V33" i="7"/>
  <c r="V20" i="7"/>
  <c r="V13" i="7"/>
  <c r="AC23" i="8"/>
  <c r="Y16" i="1"/>
  <c r="G132" i="1"/>
  <c r="G134" i="1"/>
  <c r="AA16" i="1"/>
  <c r="U33" i="7"/>
  <c r="U20" i="7"/>
  <c r="U13" i="7"/>
  <c r="F128" i="1"/>
  <c r="Z25" i="8"/>
  <c r="F132" i="1"/>
  <c r="F134" i="1"/>
  <c r="AA15" i="1"/>
  <c r="Y15" i="1"/>
  <c r="Z73" i="8"/>
  <c r="AB23" i="8"/>
  <c r="I128" i="1"/>
  <c r="AC25" i="8"/>
  <c r="AC73" i="8"/>
  <c r="W29" i="7"/>
  <c r="W31" i="7"/>
  <c r="X27" i="7"/>
  <c r="X29" i="7"/>
  <c r="X31" i="7"/>
  <c r="Y27" i="7"/>
  <c r="X33" i="7"/>
  <c r="X20" i="7"/>
  <c r="X13" i="7"/>
  <c r="AE23" i="8"/>
  <c r="I132" i="1"/>
  <c r="I134" i="1"/>
  <c r="AA18" i="1"/>
  <c r="Y18" i="1"/>
  <c r="W33" i="7"/>
  <c r="W20" i="7"/>
  <c r="W13" i="7"/>
  <c r="H128" i="1"/>
  <c r="AB25" i="8"/>
  <c r="AD23" i="8"/>
  <c r="AB73" i="8"/>
  <c r="H132" i="1"/>
  <c r="H134" i="1"/>
  <c r="AA17" i="1"/>
  <c r="Y17" i="1"/>
  <c r="K128" i="1"/>
  <c r="AE25" i="8"/>
  <c r="AE73" i="8"/>
  <c r="Y29" i="7"/>
  <c r="Y31" i="7"/>
  <c r="Z27" i="7"/>
  <c r="Z29" i="7"/>
  <c r="Z31" i="7"/>
  <c r="AA27" i="7"/>
  <c r="Z33" i="7"/>
  <c r="Z20" i="7"/>
  <c r="Z13" i="7"/>
  <c r="AG23" i="8"/>
  <c r="Y33" i="7"/>
  <c r="Y20" i="7"/>
  <c r="Y13" i="7"/>
  <c r="K132" i="1"/>
  <c r="K134" i="1"/>
  <c r="AA20" i="1"/>
  <c r="Y20" i="1"/>
  <c r="J128" i="1"/>
  <c r="AD25" i="8"/>
  <c r="AF23" i="8"/>
  <c r="AD73" i="8"/>
  <c r="M128" i="1"/>
  <c r="AG25" i="8"/>
  <c r="AG73" i="8"/>
  <c r="Y19" i="1"/>
  <c r="J132" i="1"/>
  <c r="J134" i="1"/>
  <c r="AA19" i="1"/>
  <c r="AA29" i="7"/>
  <c r="AA31" i="7"/>
  <c r="AB27" i="7"/>
  <c r="AB29" i="7"/>
  <c r="AB33" i="7"/>
  <c r="AB20" i="7"/>
  <c r="AB13" i="7"/>
  <c r="AI23" i="8"/>
  <c r="AA33" i="7"/>
  <c r="AA20" i="7"/>
  <c r="AA13" i="7"/>
  <c r="Y22" i="1"/>
  <c r="M132" i="1"/>
  <c r="M134" i="1"/>
  <c r="AA22" i="1"/>
  <c r="L128" i="1"/>
  <c r="AF25" i="8"/>
  <c r="L132" i="1"/>
  <c r="L134" i="1"/>
  <c r="AA21" i="1"/>
  <c r="Y21" i="1"/>
  <c r="AH23" i="8"/>
  <c r="AB31" i="7"/>
  <c r="AC27" i="7"/>
  <c r="AF73" i="8"/>
  <c r="O128" i="1"/>
  <c r="AI25" i="8"/>
  <c r="AI73" i="8"/>
  <c r="N128" i="1"/>
  <c r="AH25" i="8"/>
  <c r="O132" i="1"/>
  <c r="O134" i="1"/>
  <c r="AA24" i="1"/>
  <c r="Y24" i="1"/>
  <c r="AC29" i="7"/>
  <c r="AC33" i="7"/>
  <c r="AC20" i="7"/>
  <c r="AC13" i="7"/>
  <c r="AJ23" i="8"/>
  <c r="P128" i="1"/>
  <c r="AJ25" i="8"/>
  <c r="AJ73" i="8"/>
  <c r="AH73" i="8"/>
  <c r="AC31" i="7"/>
  <c r="AD27" i="7"/>
  <c r="Y23" i="1"/>
  <c r="N132" i="1"/>
  <c r="N134" i="1"/>
  <c r="AA23" i="1"/>
  <c r="AD29" i="7"/>
  <c r="AD33" i="7"/>
  <c r="AD20" i="7"/>
  <c r="AD13" i="7"/>
  <c r="AK23" i="8"/>
  <c r="Y25" i="1"/>
  <c r="P132" i="1"/>
  <c r="P134" i="1"/>
  <c r="AA25" i="1"/>
  <c r="AD31" i="7"/>
  <c r="AE27" i="7"/>
  <c r="AE29" i="7"/>
  <c r="AE33" i="7"/>
  <c r="AE20" i="7"/>
  <c r="AE13" i="7"/>
  <c r="AL23" i="8"/>
  <c r="Q128" i="1"/>
  <c r="AK25" i="8"/>
  <c r="AK73" i="8"/>
  <c r="Q132" i="1"/>
  <c r="Q134" i="1"/>
  <c r="AA26" i="1"/>
  <c r="Y26" i="1"/>
  <c r="AE31" i="7"/>
  <c r="AF27" i="7"/>
  <c r="R128" i="1"/>
  <c r="AL25" i="8"/>
  <c r="AL73" i="8"/>
  <c r="R132" i="1"/>
  <c r="R134" i="1"/>
  <c r="AA27" i="1"/>
  <c r="Y27" i="1"/>
  <c r="AF29" i="7"/>
  <c r="AF33" i="7"/>
  <c r="AF20" i="7"/>
  <c r="AF13" i="7"/>
  <c r="AM23" i="8"/>
  <c r="AF31" i="7"/>
  <c r="AG27" i="7"/>
  <c r="AG29" i="7"/>
  <c r="AG33" i="7"/>
  <c r="AG20" i="7"/>
  <c r="AG13" i="7"/>
  <c r="AN23" i="8"/>
  <c r="S128" i="1"/>
  <c r="AM25" i="8"/>
  <c r="AM73" i="8"/>
  <c r="AG31" i="7"/>
  <c r="AH27" i="7"/>
  <c r="T128" i="1"/>
  <c r="AN25" i="8"/>
  <c r="AN73" i="8"/>
  <c r="Y28" i="1"/>
  <c r="S132" i="1"/>
  <c r="S134" i="1"/>
  <c r="AA28" i="1"/>
  <c r="Y29" i="1"/>
  <c r="T132" i="1"/>
  <c r="T134" i="1"/>
  <c r="AA29" i="1"/>
  <c r="AH29" i="7"/>
  <c r="AH33" i="7"/>
  <c r="AH20" i="7"/>
  <c r="AH13" i="7"/>
  <c r="AO23" i="8"/>
  <c r="AH31" i="7"/>
  <c r="AI27" i="7"/>
  <c r="AI29" i="7"/>
  <c r="AI33" i="7"/>
  <c r="AI20" i="7"/>
  <c r="AI13" i="7"/>
  <c r="AP23" i="8"/>
  <c r="U128" i="1"/>
  <c r="AO25" i="8"/>
  <c r="AO73" i="8"/>
  <c r="AI31" i="7"/>
  <c r="AJ27" i="7"/>
  <c r="AJ29" i="7"/>
  <c r="AJ33" i="7"/>
  <c r="AJ20" i="7"/>
  <c r="AJ13" i="7"/>
  <c r="AQ23" i="8"/>
  <c r="Y30" i="1"/>
  <c r="U132" i="1"/>
  <c r="U134" i="1"/>
  <c r="AA30" i="1"/>
  <c r="V128" i="1"/>
  <c r="AP25" i="8"/>
  <c r="AP73" i="8"/>
  <c r="AJ31" i="7"/>
  <c r="AK27" i="7"/>
  <c r="AK29" i="7"/>
  <c r="AK33" i="7"/>
  <c r="AK20" i="7"/>
  <c r="AK13" i="7"/>
  <c r="AR23" i="8"/>
  <c r="W128" i="1"/>
  <c r="AQ25" i="8"/>
  <c r="AQ73" i="8"/>
  <c r="Y31" i="1"/>
  <c r="V132" i="1"/>
  <c r="V134" i="1"/>
  <c r="AA31" i="1"/>
  <c r="AK31" i="7"/>
  <c r="AL27" i="7"/>
  <c r="AL29" i="7"/>
  <c r="AL33" i="7"/>
  <c r="AL20" i="7"/>
  <c r="AL13" i="7"/>
  <c r="AS23" i="8"/>
  <c r="W132" i="1"/>
  <c r="W134" i="1"/>
  <c r="AA32" i="1"/>
  <c r="Y32" i="1"/>
  <c r="X128" i="1"/>
  <c r="AR25" i="8"/>
  <c r="AR73" i="8"/>
  <c r="AL31" i="7"/>
  <c r="AM27" i="7"/>
  <c r="AM29" i="7"/>
  <c r="AM33" i="7"/>
  <c r="AM20" i="7"/>
  <c r="AM13" i="7"/>
  <c r="AT23" i="8"/>
  <c r="X132" i="1"/>
  <c r="X134" i="1"/>
  <c r="AA33" i="1"/>
  <c r="Y33" i="1"/>
  <c r="Y128" i="1"/>
  <c r="AS25" i="8"/>
  <c r="AS73" i="8"/>
  <c r="Z128" i="1"/>
  <c r="AT25" i="8"/>
  <c r="AT73" i="8"/>
  <c r="Y132" i="1"/>
  <c r="Y134" i="1"/>
  <c r="AA34" i="1"/>
  <c r="Y34" i="1"/>
  <c r="AM31" i="7"/>
  <c r="AN27" i="7"/>
  <c r="AN29" i="7"/>
  <c r="AN33" i="7"/>
  <c r="AN20" i="7"/>
  <c r="AN13" i="7"/>
  <c r="AU23" i="8"/>
  <c r="Y35" i="1"/>
  <c r="Z132" i="1"/>
  <c r="Z134" i="1"/>
  <c r="AA35" i="1"/>
  <c r="AN31" i="7"/>
  <c r="AO27" i="7"/>
  <c r="AA128" i="1"/>
  <c r="AU25" i="8"/>
  <c r="AU73" i="8"/>
  <c r="Y36" i="1"/>
  <c r="AA132" i="1"/>
  <c r="AA134" i="1"/>
  <c r="AA36" i="1"/>
  <c r="AO29" i="7"/>
  <c r="AO33" i="7"/>
  <c r="AO20" i="7"/>
  <c r="AO13" i="7"/>
  <c r="AV23" i="8"/>
  <c r="AO31" i="7"/>
  <c r="AP27" i="7"/>
  <c r="AP29" i="7"/>
  <c r="AP33" i="7"/>
  <c r="AP20" i="7"/>
  <c r="AP13" i="7"/>
  <c r="AW23" i="8"/>
  <c r="AB128" i="1"/>
  <c r="AV25" i="8"/>
  <c r="AV73" i="8"/>
  <c r="AP31" i="7"/>
  <c r="AQ27" i="7"/>
  <c r="AQ29" i="7"/>
  <c r="AQ33" i="7"/>
  <c r="AQ20" i="7"/>
  <c r="AQ13" i="7"/>
  <c r="AX23" i="8"/>
  <c r="Y37" i="1"/>
  <c r="AB132" i="1"/>
  <c r="AB134" i="1"/>
  <c r="AA37" i="1"/>
  <c r="AC128" i="1"/>
  <c r="AW25" i="8"/>
  <c r="AW73" i="8"/>
  <c r="AQ31" i="7"/>
  <c r="AR27" i="7"/>
  <c r="AD128" i="1"/>
  <c r="AX25" i="8"/>
  <c r="AX73" i="8"/>
  <c r="AC132" i="1"/>
  <c r="AC134" i="1"/>
  <c r="AA38" i="1"/>
  <c r="Y38" i="1"/>
  <c r="AR29" i="7"/>
  <c r="AR33" i="7"/>
  <c r="AR20" i="7"/>
  <c r="AR13" i="7"/>
  <c r="AY23" i="8"/>
  <c r="AD132" i="1"/>
  <c r="AD134" i="1"/>
  <c r="AA39" i="1"/>
  <c r="Y39" i="1"/>
  <c r="AR31" i="7"/>
  <c r="AS27" i="7"/>
  <c r="AE128" i="1"/>
  <c r="AY25" i="8"/>
  <c r="AY73" i="8"/>
  <c r="AE132" i="1"/>
  <c r="AE134" i="1"/>
  <c r="AA40" i="1"/>
  <c r="Y40" i="1"/>
  <c r="AS29" i="7"/>
  <c r="AS33" i="7"/>
  <c r="AS20" i="7"/>
  <c r="AS13" i="7"/>
  <c r="AZ23" i="8"/>
  <c r="AS31" i="7"/>
  <c r="AT27" i="7"/>
  <c r="AT29" i="7"/>
  <c r="AF128" i="1"/>
  <c r="AZ25" i="8"/>
  <c r="AZ73" i="8"/>
  <c r="AT33" i="7"/>
  <c r="AT20" i="7"/>
  <c r="AT13" i="7"/>
  <c r="BA23" i="8"/>
  <c r="AG128" i="1"/>
  <c r="AT31" i="7"/>
  <c r="AU27" i="7"/>
  <c r="AU29" i="7"/>
  <c r="AU33" i="7"/>
  <c r="AU20" i="7"/>
  <c r="AU13" i="7"/>
  <c r="BB23" i="8"/>
  <c r="Y41" i="1"/>
  <c r="AF132" i="1"/>
  <c r="AF134" i="1"/>
  <c r="AA41" i="1"/>
  <c r="BA25" i="8"/>
  <c r="BA73" i="8"/>
  <c r="AU31" i="7"/>
  <c r="AV27" i="7"/>
  <c r="BB25" i="8"/>
  <c r="BB73" i="8"/>
  <c r="AH128" i="1"/>
  <c r="Y42" i="1"/>
  <c r="AG132" i="1"/>
  <c r="AG134" i="1"/>
  <c r="AA42" i="1"/>
  <c r="AV29" i="7"/>
  <c r="AV33" i="7"/>
  <c r="AV20" i="7"/>
  <c r="AV13" i="7"/>
  <c r="BC23" i="8"/>
  <c r="AH132" i="1"/>
  <c r="AH134" i="1"/>
  <c r="AA43" i="1"/>
  <c r="Y43" i="1"/>
  <c r="AI128" i="1"/>
  <c r="BC25" i="8"/>
  <c r="BC73" i="8"/>
  <c r="AV31" i="7"/>
  <c r="AW27" i="7"/>
  <c r="AW29" i="7"/>
  <c r="AW33" i="7"/>
  <c r="AW20" i="7"/>
  <c r="AW13" i="7"/>
  <c r="BD23" i="8"/>
  <c r="AI132" i="1"/>
  <c r="AI134" i="1"/>
  <c r="AA44" i="1"/>
  <c r="Y44" i="1"/>
  <c r="AW31" i="7"/>
  <c r="AX27" i="7"/>
  <c r="AJ128" i="1"/>
  <c r="BD25" i="8"/>
  <c r="BD73" i="8"/>
  <c r="Y45" i="1"/>
  <c r="AJ132" i="1"/>
  <c r="AJ134" i="1"/>
  <c r="AA45" i="1"/>
  <c r="AX29" i="7"/>
  <c r="AX33" i="7"/>
  <c r="AX20" i="7"/>
  <c r="AX13" i="7"/>
  <c r="BE23" i="8"/>
  <c r="AK128" i="1"/>
  <c r="BE25" i="8"/>
  <c r="BE73" i="8"/>
  <c r="AX31" i="7"/>
  <c r="AY27" i="7"/>
  <c r="AY29" i="7"/>
  <c r="AY33" i="7"/>
  <c r="AY20" i="7"/>
  <c r="AY13" i="7"/>
  <c r="BF23" i="8"/>
  <c r="Y46" i="1"/>
  <c r="AK132" i="1"/>
  <c r="AK134" i="1"/>
  <c r="AA46" i="1"/>
  <c r="AY31" i="7"/>
  <c r="AZ27" i="7"/>
  <c r="AL128" i="1"/>
  <c r="BF25" i="8"/>
  <c r="BF73" i="8"/>
  <c r="AL132" i="1"/>
  <c r="AL134" i="1"/>
  <c r="AA47" i="1"/>
  <c r="Y47" i="1"/>
  <c r="AZ29" i="7"/>
  <c r="AZ33" i="7"/>
  <c r="AZ20" i="7"/>
  <c r="AZ13" i="7"/>
  <c r="BG23" i="8"/>
  <c r="AM128" i="1"/>
  <c r="BG25" i="8"/>
  <c r="BG73" i="8"/>
  <c r="AZ31" i="7"/>
  <c r="BA27" i="7"/>
  <c r="BA29" i="7"/>
  <c r="BA33" i="7"/>
  <c r="BA20" i="7"/>
  <c r="BA13" i="7"/>
  <c r="BH23" i="8"/>
  <c r="AM132" i="1"/>
  <c r="AM134" i="1"/>
  <c r="AA48" i="1"/>
  <c r="Y48" i="1"/>
  <c r="BA31" i="7"/>
  <c r="BB27" i="7"/>
  <c r="AN128" i="1"/>
  <c r="BH25" i="8"/>
  <c r="BH73" i="8"/>
  <c r="Y49" i="1"/>
  <c r="AN132" i="1"/>
  <c r="AN134" i="1"/>
  <c r="AA49" i="1"/>
  <c r="BB29" i="7"/>
  <c r="BB33" i="7"/>
  <c r="BB20" i="7"/>
  <c r="BB13" i="7"/>
  <c r="BI23" i="8"/>
  <c r="BB31" i="7"/>
  <c r="BC27" i="7"/>
  <c r="BC29" i="7"/>
  <c r="AO128" i="1"/>
  <c r="BI25" i="8"/>
  <c r="BI73" i="8"/>
  <c r="BC33" i="7"/>
  <c r="BC20" i="7"/>
  <c r="BC13" i="7"/>
  <c r="BJ23" i="8"/>
  <c r="AP128" i="1"/>
  <c r="BC31" i="7"/>
  <c r="BD27" i="7"/>
  <c r="BD29" i="7"/>
  <c r="BD33" i="7"/>
  <c r="BD20" i="7"/>
  <c r="BD13" i="7"/>
  <c r="BK23" i="8"/>
  <c r="Y50" i="1"/>
  <c r="AO132" i="1"/>
  <c r="AO134" i="1"/>
  <c r="AA50" i="1"/>
  <c r="BJ25" i="8"/>
  <c r="BJ73" i="8"/>
  <c r="BD31" i="7"/>
  <c r="BE27" i="7"/>
  <c r="AQ128" i="1"/>
  <c r="BK25" i="8"/>
  <c r="BK73" i="8"/>
  <c r="AP132" i="1"/>
  <c r="AP134" i="1"/>
  <c r="AA51" i="1"/>
  <c r="Y51" i="1"/>
  <c r="BE29" i="7"/>
  <c r="BE33" i="7"/>
  <c r="BE20" i="7"/>
  <c r="BE13" i="7"/>
  <c r="BL23" i="8"/>
  <c r="AQ132" i="1"/>
  <c r="AQ134" i="1"/>
  <c r="AA52" i="1"/>
  <c r="Y52" i="1"/>
  <c r="BE31" i="7"/>
  <c r="BF27" i="7"/>
  <c r="AR128" i="1"/>
  <c r="BL25" i="8"/>
  <c r="BL73" i="8"/>
  <c r="Y53" i="1"/>
  <c r="AR132" i="1"/>
  <c r="AR134" i="1"/>
  <c r="AA53" i="1"/>
  <c r="BF29" i="7"/>
  <c r="BF33" i="7"/>
  <c r="BF20" i="7"/>
  <c r="BF13" i="7"/>
  <c r="BM23" i="8"/>
  <c r="AS128" i="1"/>
  <c r="BM25" i="8"/>
  <c r="BM73" i="8"/>
  <c r="BF31" i="7"/>
  <c r="BG27" i="7"/>
  <c r="BG29" i="7"/>
  <c r="BG33" i="7"/>
  <c r="BG20" i="7"/>
  <c r="BG13" i="7"/>
  <c r="BN23" i="8"/>
  <c r="AS132" i="1"/>
  <c r="AS134" i="1"/>
  <c r="AA54" i="1"/>
  <c r="Y54" i="1"/>
  <c r="BG31" i="7"/>
  <c r="BH27" i="7"/>
  <c r="AT128" i="1"/>
  <c r="BN25" i="8"/>
  <c r="BN73" i="8"/>
  <c r="Y55" i="1"/>
  <c r="AT132" i="1"/>
  <c r="AT134" i="1"/>
  <c r="AA55" i="1"/>
  <c r="BH29" i="7"/>
  <c r="BH33" i="7"/>
  <c r="BH20" i="7"/>
  <c r="BH13" i="7"/>
  <c r="BO23" i="8"/>
  <c r="BH31" i="7"/>
  <c r="BI27" i="7"/>
  <c r="AU128" i="1"/>
  <c r="BO25" i="8"/>
  <c r="BO73" i="8"/>
  <c r="AU132" i="1"/>
  <c r="AU134" i="1"/>
  <c r="AA56" i="1"/>
  <c r="Y56" i="1"/>
  <c r="BI29" i="7"/>
  <c r="BI33" i="7"/>
  <c r="BI20" i="7"/>
  <c r="BI13" i="7"/>
  <c r="BP23" i="8"/>
  <c r="AV128" i="1"/>
  <c r="BP25" i="8"/>
  <c r="BP73" i="8"/>
  <c r="BI31" i="7"/>
  <c r="BJ27" i="7"/>
  <c r="BJ29" i="7"/>
  <c r="BJ31" i="7"/>
  <c r="BJ33" i="7"/>
  <c r="BJ20" i="7"/>
  <c r="BJ13" i="7"/>
  <c r="N29" i="7"/>
  <c r="N32" i="7"/>
  <c r="L179" i="2"/>
  <c r="G4" i="2"/>
  <c r="Y57" i="1"/>
  <c r="AV132" i="1"/>
  <c r="AV134" i="1"/>
  <c r="AA57" i="1"/>
  <c r="F4" i="7"/>
  <c r="F4" i="3"/>
  <c r="F4" i="8"/>
  <c r="F4" i="6"/>
  <c r="F4" i="4"/>
  <c r="G4" i="9"/>
  <c r="F4" i="5"/>
  <c r="BQ23" i="8"/>
  <c r="N13" i="7"/>
  <c r="AW128" i="1"/>
  <c r="BQ25" i="8"/>
  <c r="N23" i="8"/>
  <c r="BQ73" i="8"/>
  <c r="N27" i="8"/>
  <c r="L9" i="1"/>
  <c r="N25" i="8"/>
  <c r="Y58" i="1"/>
  <c r="AW132" i="1"/>
  <c r="AW134" i="1"/>
  <c r="AA58" i="1"/>
  <c r="M69" i="8"/>
  <c r="M77" i="8"/>
  <c r="M79" i="8"/>
  <c r="M80" i="8"/>
  <c r="M33" i="8"/>
  <c r="O8" i="1"/>
  <c r="M34" i="8"/>
  <c r="O9" i="1"/>
</calcChain>
</file>

<file path=xl/sharedStrings.xml><?xml version="1.0" encoding="utf-8"?>
<sst xmlns="http://schemas.openxmlformats.org/spreadsheetml/2006/main" count="1236" uniqueCount="504">
  <si>
    <t>Toll Revenues (net of Revenue sharing)</t>
  </si>
  <si>
    <t>Distributions to Equity</t>
  </si>
  <si>
    <t>Project:</t>
  </si>
  <si>
    <t>Worksheet:</t>
  </si>
  <si>
    <t>Model Integrity :</t>
  </si>
  <si>
    <t xml:space="preserve">Concession Start </t>
  </si>
  <si>
    <t xml:space="preserve"> (1=Yes,0=No)    </t>
  </si>
  <si>
    <t>TIFIA</t>
  </si>
  <si>
    <t>Construction Start</t>
  </si>
  <si>
    <t>Base rate</t>
  </si>
  <si>
    <t>Margin</t>
  </si>
  <si>
    <t xml:space="preserve">Construction End </t>
  </si>
  <si>
    <t>Credit Spread</t>
  </si>
  <si>
    <t>Repayment start date</t>
  </si>
  <si>
    <t>Operation Start</t>
  </si>
  <si>
    <t>Repayment end date</t>
  </si>
  <si>
    <t xml:space="preserve">Concession End </t>
  </si>
  <si>
    <t xml:space="preserve">Upfront fee </t>
  </si>
  <si>
    <t>Revenue Sharing</t>
  </si>
  <si>
    <t>Year</t>
  </si>
  <si>
    <t>%</t>
  </si>
  <si>
    <t>Agency fees</t>
  </si>
  <si>
    <t>Start Date</t>
  </si>
  <si>
    <t>% to  share</t>
  </si>
  <si>
    <t>Capex Facility</t>
  </si>
  <si>
    <t>Facility 3</t>
  </si>
  <si>
    <t>% to TIFIA Refinancing</t>
  </si>
  <si>
    <t>Refinancing Facility</t>
  </si>
  <si>
    <t>Interest rate paid on negative cash balances (p.a.)</t>
  </si>
  <si>
    <t>Date</t>
  </si>
  <si>
    <t>Tail</t>
  </si>
  <si>
    <t xml:space="preserve">Repayment Period </t>
  </si>
  <si>
    <t>MMRA</t>
  </si>
  <si>
    <t>Balance Sheet</t>
  </si>
  <si>
    <t>Sources &amp; Uses ?</t>
  </si>
  <si>
    <t xml:space="preserve">Start Date </t>
  </si>
  <si>
    <t>Debt Facilities</t>
  </si>
  <si>
    <t xml:space="preserve">End Date </t>
  </si>
  <si>
    <t>Depreciation</t>
  </si>
  <si>
    <t>% of future period debt service to reserve for</t>
  </si>
  <si>
    <t>TAXES</t>
  </si>
  <si>
    <t>Cash Trapped</t>
  </si>
  <si>
    <t>DSRA</t>
  </si>
  <si>
    <t>Cash Balances</t>
  </si>
  <si>
    <t>Copy / Paste macro fully run</t>
  </si>
  <si>
    <t>Period start date</t>
  </si>
  <si>
    <t>Period end date</t>
  </si>
  <si>
    <t>Unit</t>
  </si>
  <si>
    <t>Value</t>
  </si>
  <si>
    <t>Sum</t>
  </si>
  <si>
    <t>Flag</t>
  </si>
  <si>
    <t>Concession flag</t>
  </si>
  <si>
    <t>Concession period in %</t>
  </si>
  <si>
    <t>Operation Flag</t>
  </si>
  <si>
    <t>End Project Flag</t>
  </si>
  <si>
    <t>Days in Year Assumption</t>
  </si>
  <si>
    <t>Number</t>
  </si>
  <si>
    <t xml:space="preserve">Distributions of Equity </t>
  </si>
  <si>
    <t>Cashflow waterfall</t>
  </si>
  <si>
    <t>Initial Period</t>
  </si>
  <si>
    <t>No. of Periods</t>
  </si>
  <si>
    <t>Initial Cash Balances</t>
  </si>
  <si>
    <t>$000s</t>
  </si>
  <si>
    <t>Toll Revenues</t>
  </si>
  <si>
    <t>O&amp;M</t>
  </si>
  <si>
    <t>Major Maintenance Capex</t>
  </si>
  <si>
    <t xml:space="preserve">Project Cash flow </t>
  </si>
  <si>
    <t>Debt draws</t>
  </si>
  <si>
    <t>Debt Fees</t>
  </si>
  <si>
    <t>Debt Interests</t>
  </si>
  <si>
    <t>Debt Principal Repayments</t>
  </si>
  <si>
    <t xml:space="preserve">Total Debt Cash flow </t>
  </si>
  <si>
    <t>Interest earned / (paid) on cash balances</t>
  </si>
  <si>
    <t>Cash Flow after Debt Service</t>
  </si>
  <si>
    <t>TIFIA Cash Trapped</t>
  </si>
  <si>
    <t>Cash Available for Distribution</t>
  </si>
  <si>
    <t>Final Cash Balances</t>
  </si>
  <si>
    <t>Income Statement</t>
  </si>
  <si>
    <t>O&amp;M Costs</t>
  </si>
  <si>
    <t>EBITDA</t>
  </si>
  <si>
    <t>EBIT</t>
  </si>
  <si>
    <t>Senior Debt Interests</t>
  </si>
  <si>
    <t>Bond Debt Interests</t>
  </si>
  <si>
    <t xml:space="preserve">TIFIA  Interest </t>
  </si>
  <si>
    <t xml:space="preserve">Debt Fees </t>
  </si>
  <si>
    <t>EBT</t>
  </si>
  <si>
    <t>Net Income</t>
  </si>
  <si>
    <t>Opening Balance</t>
  </si>
  <si>
    <t>Closing Balance</t>
  </si>
  <si>
    <t>Current Assets</t>
  </si>
  <si>
    <t>Cash</t>
  </si>
  <si>
    <t>Non-current assets</t>
  </si>
  <si>
    <t>Gross book value</t>
  </si>
  <si>
    <t>Total assets</t>
  </si>
  <si>
    <t>Equity</t>
  </si>
  <si>
    <t>Shared capital</t>
  </si>
  <si>
    <t>Retained earnings</t>
  </si>
  <si>
    <t>Non-current liabilities</t>
  </si>
  <si>
    <t>Capex facility outstanding</t>
  </si>
  <si>
    <t>Bond Facility  (PABs)  outstanding</t>
  </si>
  <si>
    <t>TIFIA  outstanding</t>
  </si>
  <si>
    <t>Refinance Debt  outstanding</t>
  </si>
  <si>
    <t xml:space="preserve">Total liabilities </t>
  </si>
  <si>
    <t>Balance sheet balances</t>
  </si>
  <si>
    <t>Sources &amp; Uses</t>
  </si>
  <si>
    <t>Sources</t>
  </si>
  <si>
    <t xml:space="preserve">Toll Revenues </t>
  </si>
  <si>
    <t>Senior Debt</t>
  </si>
  <si>
    <t>TIFIA Facility Draws</t>
  </si>
  <si>
    <t>Reserves Acc. Releases</t>
  </si>
  <si>
    <t>Total Sources</t>
  </si>
  <si>
    <t>Uses</t>
  </si>
  <si>
    <t>Major Maintenance</t>
  </si>
  <si>
    <t>Debt principal repayment</t>
  </si>
  <si>
    <t>Debt Interest</t>
  </si>
  <si>
    <t>Reserves Acc. Funding</t>
  </si>
  <si>
    <t>Total Uses</t>
  </si>
  <si>
    <t>Sources and uses balance ?</t>
  </si>
  <si>
    <t>Taxes</t>
  </si>
  <si>
    <t>Interest Income</t>
  </si>
  <si>
    <t>Interest paid</t>
  </si>
  <si>
    <t>Carried Forward Loss</t>
  </si>
  <si>
    <t>Taxable Income</t>
  </si>
  <si>
    <t>Tax Losses Expired</t>
  </si>
  <si>
    <t>Years</t>
  </si>
  <si>
    <t>Tax Losses</t>
  </si>
  <si>
    <t xml:space="preserve"> </t>
  </si>
  <si>
    <t>Tax Losses Accrued</t>
  </si>
  <si>
    <t>Tax Losses Used</t>
  </si>
  <si>
    <t>Loss Carried Forward to Next Period</t>
  </si>
  <si>
    <t>Use?</t>
  </si>
  <si>
    <t>Switch</t>
  </si>
  <si>
    <t>Inputs</t>
  </si>
  <si>
    <t>Facility</t>
  </si>
  <si>
    <t>Total Depreciable items</t>
  </si>
  <si>
    <t>B/F</t>
  </si>
  <si>
    <t>Depreciable costs</t>
  </si>
  <si>
    <t>Depreciation charge</t>
  </si>
  <si>
    <t>Final period write down</t>
  </si>
  <si>
    <t>C/F</t>
  </si>
  <si>
    <t>Repayment Flag</t>
  </si>
  <si>
    <t>Addition</t>
  </si>
  <si>
    <t>Tax depreciation</t>
  </si>
  <si>
    <t>Sliding schedule width</t>
  </si>
  <si>
    <t xml:space="preserve">Tax value </t>
  </si>
  <si>
    <t xml:space="preserve">Operation Flag </t>
  </si>
  <si>
    <t>Periods Remainig</t>
  </si>
  <si>
    <t>Debt Summary</t>
  </si>
  <si>
    <t>Opening balances</t>
  </si>
  <si>
    <t>Draws</t>
  </si>
  <si>
    <t>Interest due</t>
  </si>
  <si>
    <t>Amortized</t>
  </si>
  <si>
    <t>Refinanced</t>
  </si>
  <si>
    <t>Closing balances</t>
  </si>
  <si>
    <t>Mandatory Interest Paid</t>
  </si>
  <si>
    <t>TIFIA Revenue Sharing</t>
  </si>
  <si>
    <t>Mandatory Principal Paid</t>
  </si>
  <si>
    <t>Scheduled Principal Paid</t>
  </si>
  <si>
    <t>TIFIA Refi payments</t>
  </si>
  <si>
    <t>TIFIA Refi  payments from Rev Share</t>
  </si>
  <si>
    <t>Refinance</t>
  </si>
  <si>
    <t>Draws (TIFIA)</t>
  </si>
  <si>
    <t>Draws (TIFIA Rev Share)</t>
  </si>
  <si>
    <t>Fees</t>
  </si>
  <si>
    <t>Commitment Fees</t>
  </si>
  <si>
    <t>Upfront  fees</t>
  </si>
  <si>
    <t>TIFIA Mantenaince fee</t>
  </si>
  <si>
    <t>Bond Facility  (PABs)</t>
  </si>
  <si>
    <t>Setup</t>
  </si>
  <si>
    <t>Use ?</t>
  </si>
  <si>
    <t>Max</t>
  </si>
  <si>
    <t>Repayment flag</t>
  </si>
  <si>
    <t>Cumulative repayment counter</t>
  </si>
  <si>
    <t>#</t>
  </si>
  <si>
    <t>Interest</t>
  </si>
  <si>
    <t>All in interest rate</t>
  </si>
  <si>
    <t>Days of Interest</t>
  </si>
  <si>
    <t>Draw</t>
  </si>
  <si>
    <t>Commitment fee</t>
  </si>
  <si>
    <t>Ratio</t>
  </si>
  <si>
    <t xml:space="preserve">Interest due </t>
  </si>
  <si>
    <t>Amortised</t>
  </si>
  <si>
    <t>TIFIA Facility</t>
  </si>
  <si>
    <t>Interest 4 years after Flag</t>
  </si>
  <si>
    <t>TIFIA Credit Rating &amp; Mantenaince fee Flag</t>
  </si>
  <si>
    <t xml:space="preserve">Interest due after 5 year </t>
  </si>
  <si>
    <t>Interest due operation</t>
  </si>
  <si>
    <t>Drawdowns</t>
  </si>
  <si>
    <t>Scheduled Interest Paid (Net of Mandatory)</t>
  </si>
  <si>
    <t xml:space="preserve">TIFIA Repayments from Refi  </t>
  </si>
  <si>
    <t>TIFIA Repayments from Refi Rev Share</t>
  </si>
  <si>
    <t>End TIFIA debt</t>
  </si>
  <si>
    <t>TIFIA Mandatory profile</t>
  </si>
  <si>
    <t>Factor</t>
  </si>
  <si>
    <t>%  to share</t>
  </si>
  <si>
    <t>Cashflow after TIFIA Cash Trapped</t>
  </si>
  <si>
    <t>TIFIA Revenue  to share</t>
  </si>
  <si>
    <t>Total Revenue Share Repayment</t>
  </si>
  <si>
    <t>Total Revenue Share Repayment in values</t>
  </si>
  <si>
    <t>Draw Date</t>
  </si>
  <si>
    <t>Concession Periods Remaining</t>
  </si>
  <si>
    <t>Tail Flag</t>
  </si>
  <si>
    <t>Draw Bond debt</t>
  </si>
  <si>
    <t xml:space="preserve">Draws Capex </t>
  </si>
  <si>
    <t>Draws to Refi TIFIA Facility</t>
  </si>
  <si>
    <t>Draws to Refi TIFIA Rev Share Facility</t>
  </si>
  <si>
    <t>Ratios</t>
  </si>
  <si>
    <t xml:space="preserve">Operating Cash flow </t>
  </si>
  <si>
    <t>Reserves Acc. (Releases/Funding)</t>
  </si>
  <si>
    <t>Maintenance Capex</t>
  </si>
  <si>
    <t>Capex Facility Drawdowns</t>
  </si>
  <si>
    <t>Cash Flow Available for Debt Service</t>
  </si>
  <si>
    <t>Senior Debt Fees</t>
  </si>
  <si>
    <t xml:space="preserve">Senior Debt Interest </t>
  </si>
  <si>
    <t xml:space="preserve">Senior Debt Principal Repayments </t>
  </si>
  <si>
    <t>Senior Debt Service</t>
  </si>
  <si>
    <t>TIFIA Fees</t>
  </si>
  <si>
    <t>TIFIA  Interest</t>
  </si>
  <si>
    <t>TIFIA Mandatory Principal Repayments</t>
  </si>
  <si>
    <t>TIFIA Debt Service</t>
  </si>
  <si>
    <t>Min</t>
  </si>
  <si>
    <t>Average</t>
  </si>
  <si>
    <t>MMRA in use</t>
  </si>
  <si>
    <t>MMRA ends</t>
  </si>
  <si>
    <t>MMRA Counter</t>
  </si>
  <si>
    <t>Counter</t>
  </si>
  <si>
    <t>MMRA without Releases</t>
  </si>
  <si>
    <t>CF for MMRA</t>
  </si>
  <si>
    <t>Target C/F balance</t>
  </si>
  <si>
    <t>Account</t>
  </si>
  <si>
    <t>Funding in construction</t>
  </si>
  <si>
    <t>Funding  in operation</t>
  </si>
  <si>
    <t>Releases</t>
  </si>
  <si>
    <t>Debt Service Reserve Account</t>
  </si>
  <si>
    <t>DSRA in use</t>
  </si>
  <si>
    <t>DSRA ends</t>
  </si>
  <si>
    <t>A)   Senior Debt Service + Mandatory</t>
  </si>
  <si>
    <t>Amortised (including TIFIA Mandatory)</t>
  </si>
  <si>
    <t>Debt service to be reserved for</t>
  </si>
  <si>
    <t xml:space="preserve"> B)   Senior Debt balance </t>
  </si>
  <si>
    <t>Maximum CF Available for DSRA</t>
  </si>
  <si>
    <t>Funding during construction</t>
  </si>
  <si>
    <t>Funding during operation</t>
  </si>
  <si>
    <t>Release</t>
  </si>
  <si>
    <t>Cash Trapped  flag</t>
  </si>
  <si>
    <t>flag</t>
  </si>
  <si>
    <t>Cash Trapped Released  flag</t>
  </si>
  <si>
    <t>Cashflow available for TIFIA Cash Trapped</t>
  </si>
  <si>
    <t>Funding</t>
  </si>
  <si>
    <t>B/F cash balances</t>
  </si>
  <si>
    <t>Total positive balances</t>
  </si>
  <si>
    <t>Total negative balances</t>
  </si>
  <si>
    <t>Total Interest earned</t>
  </si>
  <si>
    <t>Macro</t>
  </si>
  <si>
    <t>Model Integrity</t>
  </si>
  <si>
    <t xml:space="preserve">shortcut  -------&gt;   Ctrl +q </t>
  </si>
  <si>
    <t>MacroDiff</t>
  </si>
  <si>
    <t>TIFIA Revenue Share Repayment</t>
  </si>
  <si>
    <t>PRE-SHAREHOLDER TAX EQUITY IRR</t>
  </si>
  <si>
    <t>Total Distributions to Equity</t>
  </si>
  <si>
    <t>Shareholder Pre-Tax Equity IRR</t>
  </si>
  <si>
    <t>Shareholder Post-Tax Equity IRR</t>
  </si>
  <si>
    <t>Total</t>
  </si>
  <si>
    <t>Pre-Tax Equity Cash Flows</t>
  </si>
  <si>
    <t>POST-SHAREHOLDER TAX EQUITY IRR</t>
  </si>
  <si>
    <t xml:space="preserve">Income Tax </t>
  </si>
  <si>
    <t>Post-Tax Equity Cash Flows</t>
  </si>
  <si>
    <t>Revenues</t>
  </si>
  <si>
    <t>Input Cases</t>
  </si>
  <si>
    <t>Major Maintenance Reserve Account</t>
  </si>
  <si>
    <t>State Tax</t>
  </si>
  <si>
    <t>Margin Tax</t>
  </si>
  <si>
    <t>Applicable to __% of Total Revenue</t>
  </si>
  <si>
    <t>Revenue Sharing TxDOT</t>
  </si>
  <si>
    <t>Total Revenue Payment</t>
  </si>
  <si>
    <t>Revenue Payments TxDOT</t>
  </si>
  <si>
    <t>Toll Revenues (less Revenue Sharing TxDOT)</t>
  </si>
  <si>
    <t>PABs</t>
  </si>
  <si>
    <t xml:space="preserve">Revenues </t>
  </si>
  <si>
    <t>End Date</t>
  </si>
  <si>
    <t>Federal Rate</t>
  </si>
  <si>
    <t>ERROR CHECK</t>
  </si>
  <si>
    <t>Revenue</t>
  </si>
  <si>
    <t>Revenues (NOMINAL)</t>
  </si>
  <si>
    <t xml:space="preserve">CPI </t>
  </si>
  <si>
    <t>Annual Basis</t>
  </si>
  <si>
    <t>Maintenance Fee</t>
  </si>
  <si>
    <t xml:space="preserve">Cumulative Base Case Toll Revenues </t>
  </si>
  <si>
    <t>Band 1 Floor</t>
  </si>
  <si>
    <t>Band 1 Ceiling</t>
  </si>
  <si>
    <t>Band 2 Floor</t>
  </si>
  <si>
    <t>Band 2 Ceiling</t>
  </si>
  <si>
    <t>Band 3 Floor</t>
  </si>
  <si>
    <t>Band 3 Ceilling</t>
  </si>
  <si>
    <t>Band 4 Floor</t>
  </si>
  <si>
    <t>Band 4 Ceilling</t>
  </si>
  <si>
    <t>Band 5 Floor</t>
  </si>
  <si>
    <t>Band 1</t>
  </si>
  <si>
    <t>Revenue Share %</t>
  </si>
  <si>
    <t>Revenues within Band 1</t>
  </si>
  <si>
    <t>Band 1 Revenue Share</t>
  </si>
  <si>
    <t>Band 2</t>
  </si>
  <si>
    <t>Revenues within Band 2</t>
  </si>
  <si>
    <t>Band 2 Revenue Share</t>
  </si>
  <si>
    <t>Band 3</t>
  </si>
  <si>
    <t>Revenues within Band 3</t>
  </si>
  <si>
    <t>Band 3 Revenue Share</t>
  </si>
  <si>
    <t>Band 4</t>
  </si>
  <si>
    <t>Revenues within Band 4</t>
  </si>
  <si>
    <t>Band 4 Revenue Share</t>
  </si>
  <si>
    <t>Band 5</t>
  </si>
  <si>
    <t>Working Capital</t>
  </si>
  <si>
    <t>Period Start</t>
  </si>
  <si>
    <t>Active Period</t>
  </si>
  <si>
    <t>Handback Reserve Account</t>
  </si>
  <si>
    <t>Handback Reserve</t>
  </si>
  <si>
    <t>Capex</t>
  </si>
  <si>
    <t>Handback</t>
  </si>
  <si>
    <t>Indexation</t>
  </si>
  <si>
    <t>Release to TxDOT</t>
  </si>
  <si>
    <t>Funding Target (% Capex)</t>
  </si>
  <si>
    <t>Tax Depreciation Summary</t>
  </si>
  <si>
    <t>Forecast Nominal Revenue</t>
  </si>
  <si>
    <t>Actual Nominal Revenue</t>
  </si>
  <si>
    <t>Cashflow Deficit</t>
  </si>
  <si>
    <t>Refinancing Date</t>
  </si>
  <si>
    <t>% Full Period</t>
  </si>
  <si>
    <t>CPI Factor</t>
  </si>
  <si>
    <t>% Full Period Schedule</t>
  </si>
  <si>
    <t>Net Operating Income</t>
  </si>
  <si>
    <t>Interest earned on Net Operating Income (Operations)</t>
  </si>
  <si>
    <t>Interest rate paid on Net Operating cash</t>
  </si>
  <si>
    <t>Partner's Equity IRR: Annual-Annual</t>
  </si>
  <si>
    <t>CPI Maintenance Fee</t>
  </si>
  <si>
    <t>CPI Credit Rating Fee</t>
  </si>
  <si>
    <t>Credit Rating Fee</t>
  </si>
  <si>
    <t>Scenario Description</t>
  </si>
  <si>
    <t>Scenario</t>
  </si>
  <si>
    <t>Base Case</t>
  </si>
  <si>
    <t>OPERATING SENSITIVITIES</t>
  </si>
  <si>
    <t>CPI Assumptions</t>
  </si>
  <si>
    <t>Draws (PABs)</t>
  </si>
  <si>
    <t>Cash Accounts</t>
  </si>
  <si>
    <t>CAPEX Facility</t>
  </si>
  <si>
    <t>Operating Cash Balance</t>
  </si>
  <si>
    <t>Cash Distributions</t>
  </si>
  <si>
    <t>Operating Cash Account</t>
  </si>
  <si>
    <t>Tax Summary</t>
  </si>
  <si>
    <t>Income Tax Paid</t>
  </si>
  <si>
    <t>Draws (Capex, Liq)</t>
  </si>
  <si>
    <t>Tax Asset Depreciation</t>
  </si>
  <si>
    <t>FREE CASH FLOW</t>
  </si>
  <si>
    <t>TIFIA cash trapped</t>
  </si>
  <si>
    <t>OPEX</t>
  </si>
  <si>
    <t>CAPEX</t>
  </si>
  <si>
    <t>CFADS proforma</t>
  </si>
  <si>
    <t>Interests and fees</t>
  </si>
  <si>
    <t>Repayment</t>
  </si>
  <si>
    <t>Total Debt Service</t>
  </si>
  <si>
    <t>Outstanding Debt</t>
  </si>
  <si>
    <t>MMRA net movements</t>
  </si>
  <si>
    <t>DSRA net movements</t>
  </si>
  <si>
    <t>TIFIA cash trapped net movements</t>
  </si>
  <si>
    <t>CFADS</t>
  </si>
  <si>
    <t>Debt</t>
  </si>
  <si>
    <t>MMRA movements</t>
  </si>
  <si>
    <t>DSRA movements</t>
  </si>
  <si>
    <t>Capitalized interest</t>
  </si>
  <si>
    <t>N.A</t>
  </si>
  <si>
    <t>Cash Flow available for distributions</t>
  </si>
  <si>
    <t xml:space="preserve">                                                                                         </t>
  </si>
  <si>
    <t>PROJECT CF SUMMARY</t>
  </si>
  <si>
    <t>OPERATIONS</t>
  </si>
  <si>
    <t>Major Maintenance Capex (NOMINAL)</t>
  </si>
  <si>
    <t>Interest income</t>
  </si>
  <si>
    <t>Ke</t>
  </si>
  <si>
    <t>Cintra share</t>
  </si>
  <si>
    <t>FINANCIAL ASSUMPTIONS</t>
  </si>
  <si>
    <t xml:space="preserve">TIFIA </t>
  </si>
  <si>
    <t>VALUATION</t>
  </si>
  <si>
    <t>NPV %Cintra (million $)</t>
  </si>
  <si>
    <t>NPV %Cintra (million EUR)</t>
  </si>
  <si>
    <t>Scheduled interest Paid</t>
  </si>
  <si>
    <t>OPERATING ASSUMPTIONS</t>
  </si>
  <si>
    <t>a) Current Debt Assumptions</t>
  </si>
  <si>
    <t>b) Refinancing Assumptions</t>
  </si>
  <si>
    <t>Valuation</t>
  </si>
  <si>
    <t>Balance</t>
  </si>
  <si>
    <t>O&amp;M (NOMINAL)</t>
  </si>
  <si>
    <t>Ku</t>
  </si>
  <si>
    <t>Beta unlevered</t>
  </si>
  <si>
    <t>ERP</t>
  </si>
  <si>
    <t>Exchange rate</t>
  </si>
  <si>
    <t>$</t>
  </si>
  <si>
    <t>Valuation (1. APV 2. DDM)</t>
  </si>
  <si>
    <t>Methodoly applied (1. APV 2. DDM)</t>
  </si>
  <si>
    <t>Rfr</t>
  </si>
  <si>
    <t>Project CF</t>
  </si>
  <si>
    <t>Taxes with no leverage</t>
  </si>
  <si>
    <t>Unleverage Free Cash Flow</t>
  </si>
  <si>
    <t>Tax shield</t>
  </si>
  <si>
    <t>Kd</t>
  </si>
  <si>
    <t>Discounted tax shield</t>
  </si>
  <si>
    <t>Enterprise Value</t>
  </si>
  <si>
    <t>Net debt</t>
  </si>
  <si>
    <t>Equity value</t>
  </si>
  <si>
    <t>Equity value (Cintra share)</t>
  </si>
  <si>
    <t>Valuation Cintra share</t>
  </si>
  <si>
    <t>1) APV</t>
  </si>
  <si>
    <t>2) DDM</t>
  </si>
  <si>
    <t>Beta unleverage</t>
  </si>
  <si>
    <t>Discounted unleveraged Free Cash Flow</t>
  </si>
  <si>
    <t>Net Book Value</t>
  </si>
  <si>
    <t>Tax Carry Forward Loss</t>
  </si>
  <si>
    <t>Refinance TIFIA Repayments</t>
  </si>
  <si>
    <t>Total Cash Balances</t>
  </si>
  <si>
    <t>Cash Accounts Closing Balances</t>
  </si>
  <si>
    <t>Facility size</t>
  </si>
  <si>
    <t>Capex Facility End</t>
  </si>
  <si>
    <t>Control Account</t>
  </si>
  <si>
    <t>Interest  paid</t>
  </si>
  <si>
    <t>Refinancing date 1</t>
  </si>
  <si>
    <t>Equivalent constant Ke</t>
  </si>
  <si>
    <t xml:space="preserve">Tax Depreciation </t>
  </si>
  <si>
    <t>Growth</t>
  </si>
  <si>
    <t>DEBT SERVICE &amp; INTEREST INCOME</t>
  </si>
  <si>
    <t>Draws&amp;Repayments</t>
  </si>
  <si>
    <t>NTE Express</t>
  </si>
  <si>
    <t>Used balance</t>
  </si>
  <si>
    <t>NTE EXPRESS</t>
  </si>
  <si>
    <t>TIFIA Mantenaince Fee &amp; credit rating fee</t>
  </si>
  <si>
    <t>Fin</t>
  </si>
  <si>
    <t>Oper</t>
  </si>
  <si>
    <t>CF</t>
  </si>
  <si>
    <t>Acc</t>
  </si>
  <si>
    <t>Tax</t>
  </si>
  <si>
    <t>Valuation&amp;IRR</t>
  </si>
  <si>
    <t>Mac</t>
  </si>
  <si>
    <t>Base Case Capex to Handback Reserve</t>
  </si>
  <si>
    <t>Final Handback payment to TxDOT</t>
  </si>
  <si>
    <t>CF for distribution pre-tax</t>
  </si>
  <si>
    <t>Corporate tax</t>
  </si>
  <si>
    <t>Cash Flow available for distribution post-tax</t>
  </si>
  <si>
    <t>CF for distribution post-tax</t>
  </si>
  <si>
    <t xml:space="preserve">All in interest rate </t>
  </si>
  <si>
    <t>All-in interest rate</t>
  </si>
  <si>
    <t>Cash accounts</t>
  </si>
  <si>
    <t xml:space="preserve">Major Maintenance Reserve account </t>
  </si>
  <si>
    <t>1st year</t>
  </si>
  <si>
    <t>2nd year</t>
  </si>
  <si>
    <t>3rd year</t>
  </si>
  <si>
    <t>4th year</t>
  </si>
  <si>
    <t>5th year</t>
  </si>
  <si>
    <t>Funding targget (%Capex)</t>
  </si>
  <si>
    <t>Cash Trapped Release Flag</t>
  </si>
  <si>
    <t>ANNUAL ACCOUNTS</t>
  </si>
  <si>
    <t>DISCLAIMER</t>
  </si>
  <si>
    <t>Revenues Base Case</t>
  </si>
  <si>
    <t>O&amp;M Base Case</t>
  </si>
  <si>
    <t>Major Maintenance Capex Base Case</t>
  </si>
  <si>
    <t>Interest rate earned on positive cash balances (p.a.) (LIBOR)</t>
  </si>
  <si>
    <t>Check</t>
  </si>
  <si>
    <t>Equity distribution</t>
  </si>
  <si>
    <t>Reserve Accounts</t>
  </si>
  <si>
    <t>Drawdowns/Repayments</t>
  </si>
  <si>
    <t>Financial costs</t>
  </si>
  <si>
    <t>Life Cycle CAPEX</t>
  </si>
  <si>
    <t>Operation Costs</t>
  </si>
  <si>
    <t>Forecast Revenue by financial contract</t>
  </si>
  <si>
    <t>Minimun interest deduction</t>
  </si>
  <si>
    <t>Minimum Interest Deduction Limitation</t>
  </si>
  <si>
    <t>EBIT/EBITDA</t>
  </si>
  <si>
    <t>Max Allowed Interest Used</t>
  </si>
  <si>
    <t>Interest Deduction ACCRUED</t>
  </si>
  <si>
    <t>Interest Deduction USED</t>
  </si>
  <si>
    <t>Interest Use Account</t>
  </si>
  <si>
    <t>Interest Deduction Accrued</t>
  </si>
  <si>
    <t>Interest Deduction Used</t>
  </si>
  <si>
    <t>Interests Expired</t>
  </si>
  <si>
    <t>Interest Expires</t>
  </si>
  <si>
    <t>EBT - Tax Purposes</t>
  </si>
  <si>
    <t>EBIT for Tax purpose</t>
  </si>
  <si>
    <t>Income tax rate</t>
  </si>
  <si>
    <t>Income tax payable</t>
  </si>
  <si>
    <t>Federal Tax Carried Forward Losses</t>
  </si>
  <si>
    <t>Taxable income after tax losses applied</t>
  </si>
  <si>
    <t>Financial Expenses Deducibility Limit</t>
  </si>
  <si>
    <t>Limit</t>
  </si>
  <si>
    <t>Expired</t>
  </si>
  <si>
    <t>year</t>
  </si>
  <si>
    <t>Tax Carried Forward Losses</t>
  </si>
  <si>
    <t>EUR'000s</t>
  </si>
  <si>
    <t>Construction Costs</t>
  </si>
  <si>
    <t>Construction costs</t>
  </si>
  <si>
    <t>Construction Costs Base Case</t>
  </si>
  <si>
    <t>Construction costs (NOMINAL)</t>
  </si>
  <si>
    <t>Constrcution costs</t>
  </si>
  <si>
    <t>Government Subsidy</t>
  </si>
  <si>
    <t>Government subsidy</t>
  </si>
  <si>
    <t>1st Scheduled interest payment</t>
  </si>
  <si>
    <t>First interest payment</t>
  </si>
  <si>
    <t>DSCR  for distributions purposes</t>
  </si>
  <si>
    <t>CPI (2017-2021)</t>
  </si>
  <si>
    <t>LT CPI (2022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</si>
</sst>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0\ &quot;€&quot;;[Red]\-#,##0\ &quot;€&quot;"/>
    <numFmt numFmtId="165" formatCode="#,##0.00\ &quot;€&quot;;[Red]\-#,##0.00\ &quot;€&quot;"/>
    <numFmt numFmtId="166" formatCode="_-* #,##0.00\ _€_-;\-* #,##0.00\ _€_-;_-* &quot;-&quot;??\ _€_-;_-@_-"/>
    <numFmt numFmtId="167" formatCode="&quot;$&quot;#,##0.00_);[Red]\(&quot;$&quot;#,##0.00\)"/>
    <numFmt numFmtId="168" formatCode="_(* #,##0_);_(* \(#,##0\);_(* &quot;-&quot;_);_(@_)"/>
    <numFmt numFmtId="169" formatCode="_(&quot;$&quot;* #,##0.00_);_(&quot;$&quot;* \(#,##0.00\);_(&quot;$&quot;* &quot;-&quot;??_);_(@_)"/>
    <numFmt numFmtId="170" formatCode="_(* #,##0.00_);_(* \(#,##0.00\);_(* &quot;-&quot;??_);_(@_)"/>
    <numFmt numFmtId="171" formatCode="&quot;Error&quot;;&quot;Error&quot;;&quot;OK&quot;"/>
    <numFmt numFmtId="172" formatCode="[$-409]d\-mmm\-yy;@"/>
    <numFmt numFmtId="173" formatCode="&quot;Yes&quot;;&quot;Yes&quot;;&quot;No&quot;"/>
    <numFmt numFmtId="174" formatCode="0.00%;\(0.00%\);\-\%"/>
    <numFmt numFmtId="175" formatCode="0.00&quot;x&quot;"/>
    <numFmt numFmtId="176" formatCode="0.0%"/>
    <numFmt numFmtId="177" formatCode="0\ &quot;Yr SL&quot;"/>
    <numFmt numFmtId="178" formatCode="0.00%_);\(0.00%\);0.00%_);@_)"/>
    <numFmt numFmtId="179" formatCode="&quot;Error&quot;;&quot;OK&quot;;&quot;OK&quot;"/>
    <numFmt numFmtId="180" formatCode="0\ &quot;Days&quot;"/>
    <numFmt numFmtId="181" formatCode="_(* #,##0_);_(* \(#,##0\);_(* &quot;-&quot;??_);_(@_)"/>
    <numFmt numFmtId="182" formatCode="0\ &quot;yr&quot;\ "/>
    <numFmt numFmtId="183" formatCode="_(* #,##0.0000_);_(* \(#,##0.0000\);_(* &quot;-&quot;_);_(@_)"/>
    <numFmt numFmtId="184" formatCode="0.0000"/>
    <numFmt numFmtId="185" formatCode="\ ;\ ;"/>
    <numFmt numFmtId="186" formatCode="&quot;Yes&quot;;;&quot;No&quot;"/>
    <numFmt numFmtId="187" formatCode="_(* #,##0.0_);_(* \(#,##0.0\);_(* &quot;-&quot;?_);_(@_)"/>
    <numFmt numFmtId="188" formatCode="_(* #,##0.0000_);_(* \(#,##0.0000\);_(* &quot;-&quot;??_);_(@_)"/>
    <numFmt numFmtId="189" formatCode="0.000%"/>
    <numFmt numFmtId="190" formatCode="0\ &quot;SL&quot;"/>
    <numFmt numFmtId="191" formatCode="0.0000000"/>
    <numFmt numFmtId="192" formatCode="#,##0.000"/>
    <numFmt numFmtId="193" formatCode="_(* #,##0.0_);_(* \(#,##0.0\);_(* &quot;-&quot;_);_(@_)"/>
    <numFmt numFmtId="194" formatCode="#,##0.00;\-#,##0.00;\-"/>
    <numFmt numFmtId="195" formatCode="0.0000%"/>
    <numFmt numFmtId="196" formatCode="[$-409]dd\-mmm\-yy;@"/>
    <numFmt numFmtId="197" formatCode="0.000000%"/>
    <numFmt numFmtId="198" formatCode="#,##0.0"/>
    <numFmt numFmtId="199" formatCode="0.00000"/>
    <numFmt numFmtId="200" formatCode="#,##0;\-#,##0;\-"/>
    <numFmt numFmtId="201" formatCode="_(* #,##0.0_);_(* \(#,##0.0\);_(* &quot;-&quot;??_);_(@_)"/>
  </numFmts>
  <fonts count="60" x14ac:knownFonts="1">
    <font>
      <sz val="10"/>
      <name val="Arial"/>
    </font>
    <font>
      <sz val="11"/>
      <color theme="1"/>
      <name val="Calibri"/>
      <family val="2"/>
      <scheme val="minor"/>
    </font>
    <font>
      <sz val="10"/>
      <name val="Arial"/>
      <family val="2"/>
    </font>
    <font>
      <sz val="10"/>
      <name val="Arial"/>
      <family val="2"/>
    </font>
    <font>
      <sz val="8"/>
      <name val="Arial"/>
      <family val="2"/>
    </font>
    <font>
      <sz val="10"/>
      <name val="Arial"/>
      <family val="2"/>
    </font>
    <font>
      <b/>
      <sz val="10"/>
      <name val="Arial"/>
      <family val="2"/>
    </font>
    <font>
      <b/>
      <sz val="10"/>
      <color indexed="9"/>
      <name val="Arial"/>
      <family val="2"/>
    </font>
    <font>
      <sz val="10"/>
      <color indexed="10"/>
      <name val="Arial"/>
      <family val="2"/>
    </font>
    <font>
      <b/>
      <sz val="14"/>
      <color indexed="17"/>
      <name val="Arial"/>
      <family val="2"/>
    </font>
    <font>
      <b/>
      <sz val="12"/>
      <name val="Arial"/>
      <family val="2"/>
    </font>
    <font>
      <sz val="10"/>
      <color indexed="12"/>
      <name val="Arial"/>
      <family val="2"/>
    </font>
    <font>
      <sz val="10"/>
      <color indexed="12"/>
      <name val="Arial"/>
      <family val="2"/>
    </font>
    <font>
      <u/>
      <sz val="10"/>
      <name val="Arial"/>
      <family val="2"/>
    </font>
    <font>
      <b/>
      <sz val="10"/>
      <name val="Arial"/>
      <family val="2"/>
    </font>
    <font>
      <sz val="10"/>
      <color indexed="8"/>
      <name val="Arial"/>
      <family val="2"/>
    </font>
    <font>
      <sz val="12"/>
      <name val="Arial"/>
      <family val="2"/>
    </font>
    <font>
      <b/>
      <sz val="12"/>
      <color indexed="9"/>
      <name val="Arial"/>
      <family val="2"/>
    </font>
    <font>
      <b/>
      <sz val="16"/>
      <color indexed="48"/>
      <name val="Arial"/>
      <family val="2"/>
    </font>
    <font>
      <u/>
      <sz val="10"/>
      <name val="Arial"/>
      <family val="2"/>
    </font>
    <font>
      <sz val="10"/>
      <color indexed="23"/>
      <name val="Arial"/>
      <family val="2"/>
    </font>
    <font>
      <b/>
      <sz val="11"/>
      <color indexed="9"/>
      <name val="Arial"/>
      <family val="2"/>
    </font>
    <font>
      <u/>
      <sz val="10"/>
      <color indexed="23"/>
      <name val="Arial"/>
      <family val="2"/>
    </font>
    <font>
      <b/>
      <u/>
      <sz val="12"/>
      <name val="Arial"/>
      <family val="2"/>
    </font>
    <font>
      <sz val="10"/>
      <color indexed="63"/>
      <name val="Arial"/>
      <family val="2"/>
    </font>
    <font>
      <sz val="11"/>
      <color indexed="9"/>
      <name val="Arial"/>
      <family val="2"/>
    </font>
    <font>
      <b/>
      <sz val="10"/>
      <color indexed="63"/>
      <name val="Arial"/>
      <family val="2"/>
    </font>
    <font>
      <b/>
      <u/>
      <sz val="10"/>
      <name val="Arial"/>
      <family val="2"/>
    </font>
    <font>
      <b/>
      <sz val="10"/>
      <color indexed="12"/>
      <name val="Arial"/>
      <family val="2"/>
    </font>
    <font>
      <sz val="10"/>
      <color indexed="9"/>
      <name val="Arial"/>
      <family val="2"/>
    </font>
    <font>
      <b/>
      <sz val="14"/>
      <name val="Arial"/>
      <family val="2"/>
    </font>
    <font>
      <sz val="12"/>
      <color indexed="9"/>
      <name val="Arial"/>
      <family val="2"/>
    </font>
    <font>
      <sz val="10"/>
      <color indexed="46"/>
      <name val="Arial"/>
      <family val="2"/>
    </font>
    <font>
      <sz val="10"/>
      <color rgb="FF0000FF"/>
      <name val="Arial"/>
      <family val="2"/>
    </font>
    <font>
      <b/>
      <sz val="12"/>
      <color rgb="FF000000"/>
      <name val="Arial"/>
      <family val="2"/>
    </font>
    <font>
      <b/>
      <sz val="10"/>
      <color rgb="FF0000FF"/>
      <name val="Arial"/>
      <family val="2"/>
    </font>
    <font>
      <sz val="10"/>
      <color rgb="FFFF0000"/>
      <name val="Arial"/>
      <family val="2"/>
    </font>
    <font>
      <sz val="10"/>
      <color theme="1"/>
      <name val="Arial"/>
      <family val="2"/>
    </font>
    <font>
      <sz val="10"/>
      <color theme="1" tint="0.499984740745262"/>
      <name val="Arial"/>
      <family val="2"/>
    </font>
    <font>
      <i/>
      <sz val="10"/>
      <color rgb="FF0000FF"/>
      <name val="Arial"/>
      <family val="2"/>
    </font>
    <font>
      <b/>
      <sz val="10"/>
      <color rgb="FFFF0000"/>
      <name val="Arial"/>
      <family val="2"/>
    </font>
    <font>
      <sz val="10"/>
      <name val="Arial"/>
      <family val="2"/>
    </font>
    <font>
      <b/>
      <sz val="18"/>
      <color theme="3"/>
      <name val="Cambria"/>
      <family val="2"/>
      <scheme val="major"/>
    </font>
    <font>
      <b/>
      <sz val="12"/>
      <color theme="0"/>
      <name val="Arial"/>
      <family val="2"/>
    </font>
    <font>
      <i/>
      <sz val="10"/>
      <color theme="1"/>
      <name val="Arial"/>
      <family val="2"/>
    </font>
    <font>
      <b/>
      <sz val="10"/>
      <color theme="1"/>
      <name val="Arial"/>
      <family val="2"/>
    </font>
    <font>
      <b/>
      <sz val="10"/>
      <color theme="0"/>
      <name val="Arial"/>
      <family val="2"/>
    </font>
    <font>
      <sz val="10"/>
      <color rgb="FF2414F4"/>
      <name val="Arial"/>
      <family val="2"/>
    </font>
    <font>
      <b/>
      <u/>
      <sz val="12"/>
      <color theme="1" tint="0.34998626667073579"/>
      <name val="Tahoma"/>
      <family val="2"/>
    </font>
    <font>
      <b/>
      <u/>
      <sz val="15"/>
      <color theme="1" tint="0.34998626667073579"/>
      <name val="Tahoma"/>
      <family val="2"/>
    </font>
    <font>
      <u/>
      <sz val="10"/>
      <color theme="1"/>
      <name val="Arial"/>
      <family val="2"/>
    </font>
    <font>
      <b/>
      <sz val="16"/>
      <color theme="1"/>
      <name val="Arial"/>
      <family val="2"/>
    </font>
    <font>
      <b/>
      <sz val="13"/>
      <name val="Arial"/>
      <family val="2"/>
    </font>
    <font>
      <b/>
      <sz val="12"/>
      <color theme="1"/>
      <name val="Arial"/>
      <family val="2"/>
    </font>
    <font>
      <i/>
      <sz val="10"/>
      <name val="Arial"/>
      <family val="2"/>
    </font>
    <font>
      <sz val="12"/>
      <color rgb="FFFF0000"/>
      <name val="Arial"/>
      <family val="2"/>
    </font>
    <font>
      <sz val="10"/>
      <color theme="1"/>
      <name val="Tahoma"/>
      <family val="2"/>
    </font>
    <font>
      <b/>
      <i/>
      <sz val="10"/>
      <color theme="0" tint="-0.499984740745262"/>
      <name val="Tahoma"/>
      <family val="2"/>
    </font>
    <font>
      <sz val="10"/>
      <name val="Tahoma"/>
      <family val="2"/>
    </font>
    <font>
      <b/>
      <sz val="10"/>
      <color theme="1"/>
      <name val="Tahoma"/>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1" tint="0.499984740745262"/>
        <bgColor indexed="64"/>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rgb="FF808080"/>
        <bgColor indexed="64"/>
      </patternFill>
    </fill>
    <fill>
      <patternFill patternType="solid">
        <fgColor rgb="FFD9D9D9"/>
        <bgColor indexed="64"/>
      </patternFill>
    </fill>
    <fill>
      <patternFill patternType="solid">
        <fgColor rgb="FFFF0000"/>
        <bgColor indexed="64"/>
      </patternFill>
    </fill>
    <fill>
      <patternFill patternType="solid">
        <fgColor rgb="FFC0C0C0"/>
        <bgColor indexed="64"/>
      </patternFill>
    </fill>
    <fill>
      <patternFill patternType="solid">
        <fgColor rgb="FF333333"/>
        <bgColor indexed="64"/>
      </patternFill>
    </fill>
    <fill>
      <patternFill patternType="solid">
        <fgColor rgb="FFBFBFBF"/>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style="thin">
        <color indexed="64"/>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style="hair">
        <color indexed="51"/>
      </left>
      <right/>
      <top style="hair">
        <color indexed="64"/>
      </top>
      <bottom style="hair">
        <color indexed="64"/>
      </bottom>
      <diagonal/>
    </border>
    <border>
      <left style="thin">
        <color indexed="63"/>
      </left>
      <right style="thin">
        <color indexed="63"/>
      </right>
      <top style="thin">
        <color indexed="63"/>
      </top>
      <bottom style="hair">
        <color indexed="64"/>
      </bottom>
      <diagonal/>
    </border>
    <border>
      <left style="thin">
        <color indexed="63"/>
      </left>
      <right style="thin">
        <color indexed="63"/>
      </right>
      <top style="hair">
        <color indexed="64"/>
      </top>
      <bottom style="hair">
        <color indexed="64"/>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auto="1"/>
      </left>
      <right style="thin">
        <color auto="1"/>
      </right>
      <top/>
      <bottom/>
      <diagonal/>
    </border>
    <border>
      <left/>
      <right style="medium">
        <color indexed="64"/>
      </right>
      <top/>
      <bottom/>
      <diagonal/>
    </border>
    <border>
      <left/>
      <right style="thin">
        <color auto="1"/>
      </right>
      <top/>
      <bottom/>
      <diagonal/>
    </border>
    <border>
      <left style="thin">
        <color auto="1"/>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bottom style="mediumDashed">
        <color theme="0" tint="-0.34998626667073579"/>
      </bottom>
      <diagonal/>
    </border>
    <border>
      <left style="mediumDashed">
        <color theme="0" tint="-0.34998626667073579"/>
      </left>
      <right/>
      <top/>
      <bottom style="mediumDashed">
        <color theme="0" tint="-0.34998626667073579"/>
      </bottom>
      <diagonal/>
    </border>
    <border>
      <left style="mediumDashed">
        <color theme="0" tint="-0.34998626667073579"/>
      </left>
      <right/>
      <top/>
      <bottom/>
      <diagonal/>
    </border>
    <border>
      <left/>
      <right/>
      <top style="mediumDashed">
        <color theme="0" tint="-0.34998626667073579"/>
      </top>
      <bottom/>
      <diagonal/>
    </border>
    <border>
      <left style="mediumDashed">
        <color theme="0" tint="-0.34998626667073579"/>
      </left>
      <right/>
      <top style="mediumDashed">
        <color theme="0" tint="-0.34998626667073579"/>
      </top>
      <bottom/>
      <diagonal/>
    </border>
    <border>
      <left style="medium">
        <color indexed="9"/>
      </left>
      <right style="medium">
        <color indexed="9"/>
      </right>
      <top style="medium">
        <color indexed="9"/>
      </top>
      <bottom style="medium">
        <color indexed="9"/>
      </bottom>
      <diagonal/>
    </border>
  </borders>
  <cellStyleXfs count="15">
    <xf numFmtId="0" fontId="0" fillId="0" borderId="0"/>
    <xf numFmtId="0" fontId="5" fillId="0" borderId="0" xfId="0" applyNumberFormat="1" applyFont="1" applyFill="1" applyBorder="1" applyAlignment="1"/>
    <xf numFmtId="0" fontId="6" fillId="2" borderId="0" xfId="0" applyNumberFormat="1" applyFont="1" applyFill="1" applyBorder="1" applyAlignment="1">
      <alignment horizontal="center"/>
    </xf>
    <xf numFmtId="9" fontId="2" fillId="0" borderId="0" applyFont="0" applyFill="0" applyBorder="0" applyAlignment="0" applyProtection="0"/>
    <xf numFmtId="0" fontId="2" fillId="0" borderId="0" applyProtection="0"/>
    <xf numFmtId="0" fontId="37" fillId="0" borderId="0"/>
    <xf numFmtId="0" fontId="37" fillId="0" borderId="0"/>
    <xf numFmtId="169" fontId="41" fillId="0" borderId="0" applyFont="0" applyFill="0" applyBorder="0" applyAlignment="0" applyProtection="0"/>
    <xf numFmtId="0" fontId="42" fillId="0" borderId="0" applyNumberFormat="0" applyFill="0" applyBorder="0" applyAlignment="0" applyProtection="0"/>
    <xf numFmtId="0" fontId="1"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alignment vertical="top"/>
    </xf>
  </cellStyleXfs>
  <cellXfs count="802">
    <xf numFmtId="0" fontId="0" fillId="0" borderId="0" xfId="0"/>
    <xf numFmtId="0" fontId="5" fillId="0" borderId="0" xfId="1" applyNumberFormat="1" applyFont="1" applyFill="1" applyBorder="1" applyAlignment="1"/>
    <xf numFmtId="0" fontId="5" fillId="2" borderId="0" xfId="1" applyNumberFormat="1" applyFont="1" applyFill="1" applyBorder="1" applyAlignment="1"/>
    <xf numFmtId="0" fontId="5" fillId="0" borderId="0" xfId="1" applyNumberFormat="1" applyFont="1" applyFill="1" applyBorder="1" applyAlignment="1">
      <alignment horizontal="right"/>
    </xf>
    <xf numFmtId="0" fontId="6" fillId="0" borderId="0" xfId="1" applyNumberFormat="1" applyFont="1" applyFill="1" applyBorder="1" applyAlignment="1"/>
    <xf numFmtId="0" fontId="5" fillId="0" borderId="0" xfId="1" applyNumberFormat="1" applyFont="1" applyFill="1" applyBorder="1" applyAlignment="1"/>
    <xf numFmtId="0" fontId="5" fillId="0" borderId="0" xfId="1" applyNumberFormat="1" applyFont="1" applyFill="1" applyBorder="1" applyAlignment="1"/>
    <xf numFmtId="0" fontId="5" fillId="2" borderId="0" xfId="1" applyNumberFormat="1" applyFont="1" applyFill="1" applyBorder="1" applyAlignment="1"/>
    <xf numFmtId="0" fontId="0" fillId="0" borderId="0" xfId="1" applyNumberFormat="1" applyFont="1" applyFill="1" applyBorder="1" applyAlignment="1">
      <alignment horizontal="right"/>
    </xf>
    <xf numFmtId="0" fontId="0" fillId="2" borderId="0" xfId="1" applyNumberFormat="1" applyFont="1" applyFill="1" applyBorder="1" applyAlignment="1"/>
    <xf numFmtId="0" fontId="5" fillId="2" borderId="0" xfId="1" applyNumberFormat="1" applyFont="1" applyFill="1" applyBorder="1" applyAlignment="1">
      <alignment horizontal="center"/>
    </xf>
    <xf numFmtId="178" fontId="5" fillId="2" borderId="0" xfId="1" applyNumberFormat="1" applyFont="1" applyFill="1" applyBorder="1" applyAlignment="1">
      <alignment horizontal="center"/>
    </xf>
    <xf numFmtId="179" fontId="5" fillId="0" borderId="0" xfId="1" applyNumberFormat="1" applyFont="1" applyFill="1" applyBorder="1" applyAlignment="1">
      <alignment horizontal="left"/>
    </xf>
    <xf numFmtId="168" fontId="15" fillId="2" borderId="0" xfId="1" applyNumberFormat="1" applyFont="1" applyFill="1" applyBorder="1" applyAlignment="1"/>
    <xf numFmtId="168" fontId="15" fillId="2" borderId="0" xfId="1" applyNumberFormat="1" applyFont="1" applyFill="1" applyBorder="1" applyAlignment="1"/>
    <xf numFmtId="0" fontId="5" fillId="0" borderId="0" xfId="1" applyNumberFormat="1" applyFont="1" applyFill="1" applyBorder="1" applyAlignment="1">
      <alignment horizontal="left"/>
    </xf>
    <xf numFmtId="168" fontId="5" fillId="0" borderId="0" xfId="1" applyNumberFormat="1" applyFont="1" applyFill="1" applyBorder="1" applyAlignment="1"/>
    <xf numFmtId="0" fontId="17" fillId="2" borderId="0" xfId="1" applyNumberFormat="1" applyFont="1" applyFill="1" applyBorder="1" applyAlignment="1"/>
    <xf numFmtId="168" fontId="5" fillId="2" borderId="0" xfId="1" applyNumberFormat="1" applyFont="1" applyFill="1" applyBorder="1" applyAlignment="1"/>
    <xf numFmtId="0" fontId="21" fillId="4" borderId="0" xfId="1" applyNumberFormat="1" applyFont="1" applyFill="1" applyBorder="1" applyAlignment="1"/>
    <xf numFmtId="0" fontId="6" fillId="2" borderId="0" xfId="1" applyNumberFormat="1" applyFont="1" applyFill="1" applyBorder="1" applyAlignment="1"/>
    <xf numFmtId="0" fontId="5" fillId="0" borderId="0" xfId="1" applyNumberFormat="1" applyFont="1" applyFill="1" applyBorder="1" applyAlignment="1"/>
    <xf numFmtId="173" fontId="5" fillId="0" borderId="0" xfId="1" applyNumberFormat="1" applyFont="1" applyFill="1" applyBorder="1" applyAlignment="1"/>
    <xf numFmtId="168" fontId="5" fillId="2" borderId="1" xfId="1" applyNumberFormat="1" applyFont="1" applyFill="1" applyBorder="1" applyAlignment="1"/>
    <xf numFmtId="168" fontId="5" fillId="2" borderId="0" xfId="1" applyNumberFormat="1" applyFont="1" applyFill="1" applyBorder="1" applyAlignment="1"/>
    <xf numFmtId="168" fontId="6" fillId="2" borderId="0" xfId="1" applyNumberFormat="1" applyFont="1" applyFill="1" applyBorder="1" applyAlignment="1"/>
    <xf numFmtId="0" fontId="6" fillId="3" borderId="0" xfId="1" applyNumberFormat="1" applyFont="1" applyFill="1" applyBorder="1" applyAlignment="1"/>
    <xf numFmtId="172" fontId="5" fillId="0" borderId="0" xfId="1" applyNumberFormat="1" applyFont="1" applyFill="1" applyBorder="1" applyAlignment="1"/>
    <xf numFmtId="0" fontId="5" fillId="2" borderId="0" xfId="1" applyNumberFormat="1" applyFont="1" applyFill="1" applyBorder="1" applyAlignment="1">
      <alignment horizontal="left"/>
    </xf>
    <xf numFmtId="0" fontId="6" fillId="2" borderId="0" xfId="1" applyNumberFormat="1" applyFont="1" applyFill="1" applyBorder="1" applyAlignment="1">
      <alignment horizontal="center"/>
    </xf>
    <xf numFmtId="185" fontId="5" fillId="2" borderId="0" xfId="1" applyNumberFormat="1" applyFont="1" applyFill="1" applyBorder="1" applyAlignment="1" applyProtection="1">
      <protection hidden="1"/>
    </xf>
    <xf numFmtId="1" fontId="5" fillId="2" borderId="0" xfId="1" applyNumberFormat="1" applyFont="1" applyFill="1" applyBorder="1" applyAlignment="1"/>
    <xf numFmtId="172" fontId="2" fillId="0" borderId="0" xfId="1" applyNumberFormat="1" applyFont="1" applyFill="1" applyBorder="1" applyAlignment="1"/>
    <xf numFmtId="0" fontId="5" fillId="0" borderId="0" xfId="1" applyNumberFormat="1" applyFont="1" applyFill="1" applyBorder="1" applyAlignment="1">
      <alignment horizontal="center"/>
    </xf>
    <xf numFmtId="0" fontId="11" fillId="2" borderId="0" xfId="1" applyNumberFormat="1" applyFont="1" applyFill="1" applyBorder="1" applyAlignment="1"/>
    <xf numFmtId="168" fontId="11" fillId="2" borderId="0" xfId="1" applyNumberFormat="1" applyFont="1" applyFill="1" applyBorder="1" applyAlignment="1"/>
    <xf numFmtId="0" fontId="11" fillId="2" borderId="5" xfId="1" applyNumberFormat="1" applyFont="1" applyFill="1" applyBorder="1" applyAlignment="1"/>
    <xf numFmtId="0" fontId="11" fillId="2" borderId="17" xfId="1" applyNumberFormat="1" applyFont="1" applyFill="1" applyBorder="1" applyAlignment="1"/>
    <xf numFmtId="183" fontId="5" fillId="2" borderId="0" xfId="1" applyNumberFormat="1" applyFont="1" applyFill="1" applyBorder="1" applyAlignment="1"/>
    <xf numFmtId="168" fontId="6" fillId="3" borderId="0" xfId="1" applyNumberFormat="1" applyFont="1" applyFill="1" applyBorder="1" applyAlignment="1"/>
    <xf numFmtId="0" fontId="0" fillId="0" borderId="1" xfId="1" applyNumberFormat="1" applyFont="1" applyFill="1" applyBorder="1" applyAlignment="1"/>
    <xf numFmtId="0" fontId="0" fillId="2" borderId="1" xfId="1" applyNumberFormat="1" applyFont="1" applyFill="1" applyBorder="1" applyAlignment="1"/>
    <xf numFmtId="0" fontId="6" fillId="0" borderId="1" xfId="1" applyNumberFormat="1" applyFont="1" applyFill="1" applyBorder="1" applyAlignment="1"/>
    <xf numFmtId="168" fontId="6" fillId="0" borderId="1" xfId="1" applyNumberFormat="1" applyFont="1" applyFill="1" applyBorder="1" applyAlignment="1"/>
    <xf numFmtId="172" fontId="5" fillId="2" borderId="0" xfId="1" applyNumberFormat="1" applyFont="1" applyFill="1" applyBorder="1" applyAlignment="1"/>
    <xf numFmtId="0" fontId="7" fillId="4" borderId="0" xfId="1" applyNumberFormat="1" applyFont="1" applyFill="1" applyBorder="1" applyAlignment="1"/>
    <xf numFmtId="168" fontId="7" fillId="4" borderId="0" xfId="1" applyNumberFormat="1" applyFont="1" applyFill="1" applyBorder="1" applyAlignment="1"/>
    <xf numFmtId="0" fontId="0" fillId="0" borderId="0" xfId="1" applyNumberFormat="1" applyFont="1" applyFill="1" applyBorder="1" applyAlignment="1">
      <alignment horizontal="left" indent="1"/>
    </xf>
    <xf numFmtId="168" fontId="0" fillId="0" borderId="0" xfId="1" applyNumberFormat="1" applyFont="1" applyFill="1" applyBorder="1" applyAlignment="1"/>
    <xf numFmtId="168" fontId="0" fillId="0" borderId="1" xfId="1" applyNumberFormat="1" applyFont="1" applyFill="1" applyBorder="1" applyAlignment="1"/>
    <xf numFmtId="168" fontId="0" fillId="0" borderId="0" xfId="1" applyNumberFormat="1" applyFont="1" applyFill="1" applyBorder="1" applyAlignment="1"/>
    <xf numFmtId="0" fontId="0" fillId="0" borderId="0" xfId="1" applyNumberFormat="1" applyFont="1" applyFill="1" applyBorder="1" applyAlignment="1"/>
    <xf numFmtId="0" fontId="5" fillId="0" borderId="3" xfId="1" applyNumberFormat="1" applyFont="1" applyFill="1" applyBorder="1" applyAlignment="1">
      <alignment horizontal="left"/>
    </xf>
    <xf numFmtId="168" fontId="14" fillId="3" borderId="0" xfId="1" applyNumberFormat="1" applyFont="1" applyFill="1" applyBorder="1" applyAlignment="1"/>
    <xf numFmtId="0" fontId="0" fillId="0" borderId="0" xfId="1" applyNumberFormat="1" applyFont="1" applyFill="1" applyBorder="1" applyAlignment="1"/>
    <xf numFmtId="0" fontId="0" fillId="0" borderId="9" xfId="1" applyNumberFormat="1" applyFont="1" applyFill="1" applyBorder="1" applyAlignment="1"/>
    <xf numFmtId="0" fontId="0" fillId="0" borderId="10" xfId="1" applyNumberFormat="1" applyFont="1" applyFill="1" applyBorder="1" applyAlignment="1"/>
    <xf numFmtId="0" fontId="0" fillId="2" borderId="0" xfId="1" applyNumberFormat="1" applyFont="1" applyFill="1" applyBorder="1" applyAlignment="1"/>
    <xf numFmtId="168" fontId="7" fillId="0" borderId="0" xfId="1" applyNumberFormat="1" applyFont="1" applyFill="1" applyBorder="1" applyAlignment="1"/>
    <xf numFmtId="38" fontId="7" fillId="4" borderId="0" xfId="1" applyNumberFormat="1" applyFont="1" applyFill="1" applyBorder="1" applyAlignment="1"/>
    <xf numFmtId="10" fontId="0" fillId="2" borderId="0" xfId="1" applyNumberFormat="1" applyFont="1" applyFill="1" applyBorder="1" applyAlignment="1"/>
    <xf numFmtId="0" fontId="14" fillId="2" borderId="3" xfId="1" applyNumberFormat="1" applyFont="1" applyFill="1" applyBorder="1" applyAlignment="1"/>
    <xf numFmtId="168" fontId="14" fillId="2" borderId="3" xfId="1" applyNumberFormat="1" applyFont="1" applyFill="1" applyBorder="1" applyAlignment="1"/>
    <xf numFmtId="0" fontId="31" fillId="0" borderId="0" xfId="1" applyNumberFormat="1" applyFont="1" applyFill="1" applyBorder="1" applyAlignment="1"/>
    <xf numFmtId="10" fontId="31" fillId="0" borderId="0" xfId="1" applyNumberFormat="1" applyFont="1" applyFill="1" applyBorder="1" applyAlignment="1"/>
    <xf numFmtId="0" fontId="31" fillId="0" borderId="0" xfId="1" applyNumberFormat="1" applyFont="1" applyFill="1" applyBorder="1" applyAlignment="1"/>
    <xf numFmtId="0" fontId="31" fillId="2" borderId="0" xfId="1" applyNumberFormat="1" applyFont="1" applyFill="1" applyBorder="1" applyAlignment="1"/>
    <xf numFmtId="3" fontId="5" fillId="0" borderId="0" xfId="1" applyNumberFormat="1" applyFont="1" applyFill="1" applyBorder="1" applyAlignment="1"/>
    <xf numFmtId="168" fontId="14" fillId="2" borderId="0" xfId="1" applyNumberFormat="1" applyFont="1" applyFill="1" applyBorder="1" applyAlignment="1"/>
    <xf numFmtId="0" fontId="6" fillId="0" borderId="0" xfId="0" applyFont="1"/>
    <xf numFmtId="10" fontId="0" fillId="0" borderId="0" xfId="2" applyNumberFormat="1" applyFont="1" applyFill="1" applyBorder="1" applyAlignment="1"/>
    <xf numFmtId="10" fontId="0" fillId="0" borderId="0" xfId="0" applyNumberFormat="1"/>
    <xf numFmtId="0" fontId="0" fillId="0" borderId="0" xfId="0" applyBorder="1"/>
    <xf numFmtId="0" fontId="5" fillId="0" borderId="0" xfId="1" applyNumberFormat="1" applyFont="1" applyFill="1" applyBorder="1" applyAlignment="1">
      <alignment horizontal="right"/>
    </xf>
    <xf numFmtId="171" fontId="7" fillId="0" borderId="7" xfId="1" applyNumberFormat="1" applyFont="1" applyFill="1" applyBorder="1" applyAlignment="1">
      <alignment horizontal="left"/>
    </xf>
    <xf numFmtId="0" fontId="0" fillId="0" borderId="0" xfId="0" applyFill="1"/>
    <xf numFmtId="170" fontId="5" fillId="0" borderId="0" xfId="1" applyNumberFormat="1" applyFont="1" applyFill="1" applyBorder="1" applyAlignment="1"/>
    <xf numFmtId="0" fontId="5" fillId="0" borderId="0" xfId="1" applyNumberFormat="1" applyFont="1" applyFill="1" applyBorder="1" applyAlignment="1">
      <alignment horizontal="left"/>
    </xf>
    <xf numFmtId="168" fontId="5" fillId="0" borderId="0" xfId="1" applyNumberFormat="1" applyFont="1" applyFill="1" applyBorder="1" applyAlignment="1"/>
    <xf numFmtId="168" fontId="6" fillId="0" borderId="0" xfId="1" applyNumberFormat="1" applyFont="1" applyFill="1" applyBorder="1" applyAlignment="1"/>
    <xf numFmtId="10" fontId="5" fillId="0" borderId="0" xfId="1" applyNumberFormat="1" applyFont="1" applyFill="1" applyBorder="1" applyAlignment="1"/>
    <xf numFmtId="0" fontId="16" fillId="0" borderId="0" xfId="1" applyNumberFormat="1" applyFont="1" applyFill="1" applyBorder="1" applyAlignment="1"/>
    <xf numFmtId="168" fontId="5" fillId="0" borderId="1" xfId="1" applyNumberFormat="1" applyFont="1" applyFill="1" applyBorder="1" applyAlignment="1"/>
    <xf numFmtId="173" fontId="5" fillId="0" borderId="0" xfId="1" applyNumberFormat="1" applyFont="1" applyFill="1" applyBorder="1" applyAlignment="1"/>
    <xf numFmtId="172" fontId="5" fillId="0" borderId="0" xfId="1" applyNumberFormat="1" applyFont="1" applyFill="1" applyBorder="1" applyAlignment="1"/>
    <xf numFmtId="170" fontId="5" fillId="0" borderId="0" xfId="1" applyNumberFormat="1" applyFont="1" applyFill="1" applyBorder="1" applyAlignment="1"/>
    <xf numFmtId="0" fontId="10" fillId="0" borderId="0" xfId="1" applyNumberFormat="1" applyFont="1" applyFill="1" applyBorder="1" applyAlignment="1"/>
    <xf numFmtId="0" fontId="6" fillId="0" borderId="0" xfId="1" applyNumberFormat="1" applyFont="1" applyFill="1" applyBorder="1" applyAlignment="1">
      <alignment horizontal="left"/>
    </xf>
    <xf numFmtId="0" fontId="5" fillId="0" borderId="0" xfId="1" applyNumberFormat="1" applyFont="1" applyFill="1" applyBorder="1" applyAlignment="1">
      <alignment horizontal="center"/>
    </xf>
    <xf numFmtId="178" fontId="5" fillId="0" borderId="0" xfId="1" applyNumberFormat="1" applyFont="1" applyFill="1" applyBorder="1" applyAlignment="1">
      <alignment horizontal="center"/>
    </xf>
    <xf numFmtId="0" fontId="0" fillId="0" borderId="1" xfId="1" applyNumberFormat="1" applyFont="1" applyFill="1" applyBorder="1" applyAlignment="1">
      <alignment horizontal="right"/>
    </xf>
    <xf numFmtId="10" fontId="0" fillId="0" borderId="0" xfId="1" applyNumberFormat="1" applyFont="1" applyFill="1" applyBorder="1" applyAlignment="1"/>
    <xf numFmtId="0" fontId="0" fillId="0" borderId="0" xfId="0" applyFill="1" applyBorder="1"/>
    <xf numFmtId="168" fontId="5" fillId="0" borderId="10" xfId="1" applyNumberFormat="1" applyFont="1" applyFill="1" applyBorder="1" applyAlignment="1"/>
    <xf numFmtId="0" fontId="5" fillId="0" borderId="3" xfId="1" applyNumberFormat="1" applyFont="1" applyFill="1" applyBorder="1" applyAlignment="1"/>
    <xf numFmtId="0" fontId="3" fillId="0" borderId="0" xfId="0" applyFont="1"/>
    <xf numFmtId="0" fontId="27" fillId="0" borderId="0" xfId="0" applyFont="1"/>
    <xf numFmtId="10" fontId="3" fillId="0" borderId="0" xfId="2" applyNumberFormat="1" applyFont="1" applyFill="1" applyBorder="1" applyAlignment="1"/>
    <xf numFmtId="184" fontId="0" fillId="0" borderId="0" xfId="0" applyNumberFormat="1"/>
    <xf numFmtId="168" fontId="33" fillId="0" borderId="0" xfId="1" applyNumberFormat="1" applyFont="1" applyFill="1" applyBorder="1" applyAlignment="1"/>
    <xf numFmtId="181" fontId="5" fillId="0" borderId="0" xfId="1" applyNumberFormat="1" applyFont="1" applyFill="1" applyBorder="1" applyAlignment="1"/>
    <xf numFmtId="0" fontId="3" fillId="0" borderId="0" xfId="1" applyNumberFormat="1" applyFont="1" applyFill="1" applyBorder="1" applyAlignment="1">
      <alignment horizontal="left" indent="1"/>
    </xf>
    <xf numFmtId="168" fontId="33" fillId="0" borderId="0" xfId="0" applyNumberFormat="1" applyFont="1"/>
    <xf numFmtId="168" fontId="33" fillId="0" borderId="3" xfId="0" applyNumberFormat="1" applyFont="1" applyBorder="1"/>
    <xf numFmtId="168" fontId="33" fillId="0" borderId="1" xfId="0" applyNumberFormat="1" applyFont="1" applyBorder="1"/>
    <xf numFmtId="3" fontId="0" fillId="0" borderId="0" xfId="0" applyNumberFormat="1"/>
    <xf numFmtId="168" fontId="0" fillId="0" borderId="1" xfId="0" applyNumberFormat="1" applyBorder="1"/>
    <xf numFmtId="0" fontId="0" fillId="0" borderId="2" xfId="0" applyBorder="1"/>
    <xf numFmtId="173" fontId="5" fillId="0" borderId="1" xfId="1" applyNumberFormat="1" applyFont="1" applyFill="1" applyBorder="1" applyAlignment="1"/>
    <xf numFmtId="0" fontId="0" fillId="0" borderId="1" xfId="0" applyBorder="1"/>
    <xf numFmtId="0" fontId="0" fillId="0" borderId="12" xfId="0" applyBorder="1"/>
    <xf numFmtId="173" fontId="5" fillId="0" borderId="3" xfId="1" applyNumberFormat="1" applyFont="1" applyFill="1" applyBorder="1" applyAlignment="1"/>
    <xf numFmtId="0" fontId="0" fillId="0" borderId="3" xfId="0" applyBorder="1"/>
    <xf numFmtId="0" fontId="0" fillId="0" borderId="6" xfId="0" applyBorder="1"/>
    <xf numFmtId="168" fontId="0" fillId="0" borderId="0" xfId="0" applyNumberFormat="1"/>
    <xf numFmtId="0" fontId="0" fillId="0" borderId="4" xfId="0" applyBorder="1"/>
    <xf numFmtId="168" fontId="5" fillId="0" borderId="3" xfId="1" applyNumberFormat="1" applyFont="1" applyFill="1" applyBorder="1" applyAlignment="1"/>
    <xf numFmtId="170" fontId="0" fillId="0" borderId="0" xfId="0" applyNumberFormat="1"/>
    <xf numFmtId="0" fontId="0" fillId="8" borderId="0" xfId="0" applyFill="1"/>
    <xf numFmtId="168" fontId="5" fillId="8" borderId="0" xfId="1" applyNumberFormat="1" applyFont="1" applyFill="1" applyBorder="1" applyAlignment="1"/>
    <xf numFmtId="170" fontId="0" fillId="0" borderId="0" xfId="0" applyNumberFormat="1" applyFill="1"/>
    <xf numFmtId="0" fontId="5" fillId="0" borderId="0" xfId="1" applyNumberFormat="1" applyFont="1" applyFill="1" applyBorder="1" applyAlignment="1"/>
    <xf numFmtId="177" fontId="33" fillId="0" borderId="7" xfId="1" applyNumberFormat="1" applyFont="1" applyFill="1" applyBorder="1" applyAlignment="1">
      <alignment horizontal="right"/>
    </xf>
    <xf numFmtId="168" fontId="5" fillId="5" borderId="0" xfId="1" applyNumberFormat="1" applyFont="1" applyFill="1" applyBorder="1" applyAlignment="1"/>
    <xf numFmtId="0" fontId="2" fillId="0" borderId="0" xfId="4" applyFont="1" applyFill="1"/>
    <xf numFmtId="0" fontId="39" fillId="0" borderId="0" xfId="0" applyFont="1"/>
    <xf numFmtId="3" fontId="36" fillId="0" borderId="0" xfId="0" applyNumberFormat="1" applyFont="1"/>
    <xf numFmtId="168" fontId="2" fillId="0" borderId="3" xfId="0" applyNumberFormat="1" applyFont="1" applyBorder="1"/>
    <xf numFmtId="168" fontId="2" fillId="0" borderId="2" xfId="0" applyNumberFormat="1" applyFont="1" applyBorder="1"/>
    <xf numFmtId="3" fontId="5" fillId="0" borderId="1" xfId="1" applyNumberFormat="1" applyFont="1" applyFill="1" applyBorder="1" applyAlignment="1"/>
    <xf numFmtId="3" fontId="5" fillId="0" borderId="3" xfId="1" applyNumberFormat="1" applyFont="1" applyFill="1" applyBorder="1" applyAlignment="1"/>
    <xf numFmtId="3" fontId="5" fillId="0" borderId="2" xfId="1" applyNumberFormat="1" applyFont="1" applyFill="1" applyBorder="1" applyAlignment="1"/>
    <xf numFmtId="168" fontId="2" fillId="0" borderId="0" xfId="1" applyNumberFormat="1" applyFont="1" applyFill="1" applyBorder="1" applyAlignment="1"/>
    <xf numFmtId="10" fontId="36" fillId="0" borderId="0" xfId="3" applyNumberFormat="1" applyFont="1"/>
    <xf numFmtId="10" fontId="10" fillId="0" borderId="0" xfId="1" applyNumberFormat="1" applyFont="1" applyFill="1" applyBorder="1" applyAlignment="1">
      <alignment horizontal="center"/>
    </xf>
    <xf numFmtId="0" fontId="7" fillId="0" borderId="0" xfId="1" applyNumberFormat="1" applyFont="1" applyFill="1" applyBorder="1" applyAlignment="1"/>
    <xf numFmtId="0" fontId="10" fillId="9" borderId="0" xfId="8" applyNumberFormat="1" applyFont="1" applyFill="1" applyBorder="1" applyAlignment="1"/>
    <xf numFmtId="0" fontId="43" fillId="9" borderId="0" xfId="7" applyNumberFormat="1" applyFont="1" applyFill="1" applyBorder="1" applyAlignment="1"/>
    <xf numFmtId="0" fontId="2" fillId="0" borderId="0" xfId="7" applyNumberFormat="1" applyFont="1" applyFill="1" applyBorder="1" applyAlignment="1"/>
    <xf numFmtId="0" fontId="2" fillId="5" borderId="0" xfId="7" applyNumberFormat="1" applyFont="1" applyFill="1" applyBorder="1" applyAlignment="1"/>
    <xf numFmtId="0" fontId="0" fillId="0" borderId="0" xfId="0" applyAlignment="1">
      <alignment vertical="top"/>
    </xf>
    <xf numFmtId="181" fontId="33" fillId="0" borderId="0" xfId="1" applyNumberFormat="1" applyFont="1" applyFill="1" applyBorder="1" applyAlignment="1"/>
    <xf numFmtId="168" fontId="33" fillId="0" borderId="0" xfId="1" applyNumberFormat="1" applyFont="1" applyFill="1" applyBorder="1" applyAlignment="1"/>
    <xf numFmtId="168" fontId="33" fillId="0" borderId="1" xfId="1" applyNumberFormat="1" applyFont="1" applyFill="1" applyBorder="1" applyAlignment="1"/>
    <xf numFmtId="193" fontId="5" fillId="0" borderId="0" xfId="1" applyNumberFormat="1" applyFont="1" applyFill="1" applyBorder="1" applyAlignment="1"/>
    <xf numFmtId="170" fontId="33" fillId="0" borderId="0" xfId="1" applyNumberFormat="1" applyFont="1" applyFill="1" applyBorder="1" applyAlignment="1"/>
    <xf numFmtId="168" fontId="6" fillId="6" borderId="0" xfId="1" applyNumberFormat="1" applyFont="1" applyFill="1" applyBorder="1" applyAlignment="1"/>
    <xf numFmtId="0" fontId="0" fillId="7" borderId="0" xfId="0" applyFill="1"/>
    <xf numFmtId="0" fontId="13" fillId="0" borderId="0" xfId="0" applyFont="1"/>
    <xf numFmtId="10" fontId="6" fillId="2" borderId="0" xfId="1" applyNumberFormat="1" applyFont="1" applyFill="1" applyBorder="1" applyAlignment="1"/>
    <xf numFmtId="10" fontId="6" fillId="0" borderId="0" xfId="1" applyNumberFormat="1" applyFont="1" applyFill="1" applyBorder="1" applyAlignment="1"/>
    <xf numFmtId="0" fontId="2" fillId="0" borderId="0" xfId="0" applyFont="1"/>
    <xf numFmtId="10" fontId="4" fillId="0" borderId="0" xfId="1" applyNumberFormat="1" applyFont="1" applyFill="1" applyBorder="1" applyAlignment="1"/>
    <xf numFmtId="191" fontId="39" fillId="0" borderId="0" xfId="1" applyNumberFormat="1" applyFont="1" applyFill="1" applyBorder="1" applyAlignment="1">
      <alignment horizontal="center"/>
    </xf>
    <xf numFmtId="0" fontId="6" fillId="6" borderId="0" xfId="0" applyFont="1" applyFill="1"/>
    <xf numFmtId="168" fontId="2" fillId="6" borderId="0" xfId="1" applyNumberFormat="1" applyFont="1" applyFill="1" applyBorder="1" applyAlignment="1"/>
    <xf numFmtId="168" fontId="35" fillId="6" borderId="0" xfId="1" applyNumberFormat="1" applyFont="1" applyFill="1" applyBorder="1" applyAlignment="1"/>
    <xf numFmtId="0" fontId="10" fillId="0" borderId="0" xfId="0" applyFont="1"/>
    <xf numFmtId="0" fontId="33" fillId="0" borderId="0" xfId="0" applyFont="1" applyAlignment="1">
      <alignment horizontal="center"/>
    </xf>
    <xf numFmtId="4" fontId="0" fillId="0" borderId="0" xfId="0" applyNumberFormat="1"/>
    <xf numFmtId="0" fontId="0" fillId="0" borderId="0" xfId="0" applyAlignment="1">
      <alignment horizontal="center"/>
    </xf>
    <xf numFmtId="165" fontId="0" fillId="0" borderId="0" xfId="0" applyNumberFormat="1"/>
    <xf numFmtId="168" fontId="33" fillId="0" borderId="3" xfId="1" applyNumberFormat="1" applyFont="1" applyFill="1" applyBorder="1" applyAlignment="1"/>
    <xf numFmtId="168" fontId="33" fillId="5" borderId="0" xfId="1" applyNumberFormat="1" applyFont="1" applyFill="1" applyBorder="1" applyAlignment="1"/>
    <xf numFmtId="197" fontId="0" fillId="0" borderId="0" xfId="0" applyNumberFormat="1"/>
    <xf numFmtId="195" fontId="0" fillId="0" borderId="0" xfId="1" applyNumberFormat="1" applyFont="1" applyFill="1" applyBorder="1" applyAlignment="1"/>
    <xf numFmtId="184" fontId="33" fillId="0" borderId="0" xfId="0" applyNumberFormat="1" applyFont="1"/>
    <xf numFmtId="172" fontId="33" fillId="0" borderId="0" xfId="1" applyNumberFormat="1" applyFont="1" applyFill="1" applyBorder="1" applyAlignment="1"/>
    <xf numFmtId="168" fontId="36" fillId="0" borderId="0" xfId="1" applyNumberFormat="1" applyFont="1" applyFill="1" applyBorder="1" applyAlignment="1"/>
    <xf numFmtId="0" fontId="0" fillId="0" borderId="1" xfId="0" applyFill="1" applyBorder="1"/>
    <xf numFmtId="168" fontId="36" fillId="0" borderId="1" xfId="1" applyNumberFormat="1" applyFont="1" applyFill="1" applyBorder="1" applyAlignment="1"/>
    <xf numFmtId="168" fontId="3" fillId="0" borderId="1" xfId="1" applyNumberFormat="1" applyFont="1" applyFill="1" applyBorder="1" applyAlignment="1"/>
    <xf numFmtId="0" fontId="5" fillId="0" borderId="0" xfId="1" applyNumberFormat="1" applyFont="1" applyFill="1" applyBorder="1" applyAlignment="1"/>
    <xf numFmtId="168" fontId="35" fillId="4" borderId="0" xfId="1" applyNumberFormat="1" applyFont="1" applyFill="1" applyBorder="1" applyAlignment="1"/>
    <xf numFmtId="0" fontId="52" fillId="0" borderId="0" xfId="0" applyFont="1"/>
    <xf numFmtId="4" fontId="0" fillId="0" borderId="3" xfId="0" applyNumberFormat="1" applyBorder="1"/>
    <xf numFmtId="4" fontId="6" fillId="0" borderId="0" xfId="0" applyNumberFormat="1" applyFont="1"/>
    <xf numFmtId="165" fontId="6" fillId="0" borderId="0" xfId="0" applyNumberFormat="1" applyFont="1"/>
    <xf numFmtId="0" fontId="52" fillId="0" borderId="0" xfId="0" applyFont="1" applyBorder="1"/>
    <xf numFmtId="0" fontId="2" fillId="0" borderId="6" xfId="0" applyFont="1" applyBorder="1"/>
    <xf numFmtId="0" fontId="2" fillId="0" borderId="47" xfId="0" applyFont="1" applyBorder="1"/>
    <xf numFmtId="0" fontId="6" fillId="7" borderId="4" xfId="0" applyFont="1" applyFill="1" applyBorder="1"/>
    <xf numFmtId="0" fontId="0" fillId="7" borderId="2" xfId="0" applyFill="1" applyBorder="1"/>
    <xf numFmtId="0" fontId="3" fillId="0" borderId="0" xfId="0" applyFont="1" applyFill="1"/>
    <xf numFmtId="3" fontId="6" fillId="0" borderId="0" xfId="0" applyNumberFormat="1" applyFont="1" applyAlignment="1">
      <alignment horizontal="center"/>
    </xf>
    <xf numFmtId="0" fontId="6" fillId="0" borderId="0" xfId="0" applyFont="1" applyAlignment="1">
      <alignment horizontal="center"/>
    </xf>
    <xf numFmtId="0" fontId="5" fillId="0" borderId="0" xfId="1" applyNumberFormat="1" applyFont="1" applyFill="1" applyBorder="1" applyAlignment="1"/>
    <xf numFmtId="0" fontId="0" fillId="0" borderId="0" xfId="0" applyNumberFormat="1" applyFont="1" applyFill="1" applyBorder="1" applyAlignment="1" applyProtection="1">
      <alignment horizontal="left" indent="1"/>
    </xf>
    <xf numFmtId="177" fontId="33" fillId="0" borderId="0" xfId="1" applyNumberFormat="1" applyFont="1" applyFill="1" applyBorder="1" applyAlignment="1">
      <alignment horizontal="right"/>
    </xf>
    <xf numFmtId="0" fontId="0" fillId="7" borderId="0" xfId="0" applyNumberFormat="1" applyFont="1" applyFill="1" applyBorder="1" applyAlignment="1" applyProtection="1">
      <alignment horizontal="left" indent="1"/>
    </xf>
    <xf numFmtId="168" fontId="37" fillId="7" borderId="0" xfId="1" applyNumberFormat="1" applyFont="1" applyFill="1" applyBorder="1" applyAlignment="1"/>
    <xf numFmtId="170" fontId="37" fillId="7" borderId="0" xfId="1" applyNumberFormat="1" applyFont="1" applyFill="1" applyBorder="1" applyAlignment="1"/>
    <xf numFmtId="198" fontId="0" fillId="0" borderId="0" xfId="0" applyNumberFormat="1"/>
    <xf numFmtId="0" fontId="11" fillId="0" borderId="22" xfId="1" applyNumberFormat="1" applyFont="1" applyFill="1" applyBorder="1" applyAlignment="1">
      <alignment horizontal="center" vertical="center"/>
    </xf>
    <xf numFmtId="168" fontId="45" fillId="10" borderId="0" xfId="1" applyNumberFormat="1" applyFont="1" applyFill="1" applyBorder="1" applyAlignment="1"/>
    <xf numFmtId="9" fontId="0" fillId="0" borderId="0" xfId="0" applyNumberFormat="1"/>
    <xf numFmtId="176" fontId="0" fillId="0" borderId="0" xfId="0" applyNumberFormat="1"/>
    <xf numFmtId="168" fontId="0" fillId="0" borderId="0" xfId="0" applyNumberFormat="1" applyFill="1"/>
    <xf numFmtId="189" fontId="0" fillId="0" borderId="1" xfId="1" applyNumberFormat="1" applyFont="1" applyFill="1" applyBorder="1" applyAlignment="1"/>
    <xf numFmtId="165" fontId="16" fillId="0" borderId="0" xfId="1" applyNumberFormat="1" applyFont="1" applyFill="1" applyBorder="1" applyAlignment="1"/>
    <xf numFmtId="165" fontId="2" fillId="0" borderId="0" xfId="0" applyNumberFormat="1" applyFont="1"/>
    <xf numFmtId="0" fontId="54" fillId="0" borderId="0" xfId="0" applyFont="1"/>
    <xf numFmtId="176" fontId="54" fillId="0" borderId="0" xfId="0" applyNumberFormat="1" applyFont="1"/>
    <xf numFmtId="10" fontId="54" fillId="0" borderId="0" xfId="0" applyNumberFormat="1" applyFont="1"/>
    <xf numFmtId="10" fontId="0" fillId="0" borderId="0" xfId="0" applyNumberFormat="1" applyFill="1" applyBorder="1"/>
    <xf numFmtId="4" fontId="0" fillId="0" borderId="0" xfId="0" applyNumberFormat="1" applyFill="1" applyBorder="1"/>
    <xf numFmtId="168" fontId="0" fillId="0" borderId="0" xfId="0" applyNumberFormat="1" applyFill="1" applyBorder="1"/>
    <xf numFmtId="10" fontId="2" fillId="0" borderId="0" xfId="2" applyNumberFormat="1" applyFont="1" applyFill="1" applyBorder="1" applyAlignment="1"/>
    <xf numFmtId="0" fontId="2" fillId="0" borderId="0" xfId="0" applyFont="1" applyFill="1"/>
    <xf numFmtId="167" fontId="0" fillId="0" borderId="0" xfId="0" applyNumberFormat="1"/>
    <xf numFmtId="0" fontId="0" fillId="0" borderId="0" xfId="0" applyProtection="1"/>
    <xf numFmtId="0" fontId="37" fillId="0" borderId="0" xfId="9" applyFont="1" applyAlignment="1" applyProtection="1">
      <alignment vertical="center"/>
    </xf>
    <xf numFmtId="0" fontId="36" fillId="0" borderId="0" xfId="9" applyFont="1" applyAlignment="1" applyProtection="1">
      <alignment vertical="center"/>
    </xf>
    <xf numFmtId="0" fontId="37" fillId="0" borderId="0" xfId="9" applyFont="1" applyAlignment="1" applyProtection="1">
      <alignment horizontal="right" vertical="center"/>
    </xf>
    <xf numFmtId="0" fontId="37" fillId="0" borderId="0" xfId="9" applyFont="1" applyFill="1" applyBorder="1" applyAlignment="1" applyProtection="1">
      <alignment horizontal="right" vertical="center"/>
    </xf>
    <xf numFmtId="0" fontId="3" fillId="0" borderId="0" xfId="1" applyNumberFormat="1" applyFont="1" applyFill="1" applyBorder="1" applyAlignment="1" applyProtection="1"/>
    <xf numFmtId="0" fontId="9" fillId="0" borderId="0" xfId="1" applyNumberFormat="1" applyFont="1" applyFill="1" applyBorder="1" applyAlignment="1" applyProtection="1"/>
    <xf numFmtId="0" fontId="3" fillId="0" borderId="0" xfId="1" applyNumberFormat="1" applyFont="1" applyFill="1" applyBorder="1" applyAlignment="1" applyProtection="1">
      <alignment horizontal="left"/>
    </xf>
    <xf numFmtId="0" fontId="37" fillId="0" borderId="0" xfId="9" applyFont="1" applyBorder="1" applyAlignment="1" applyProtection="1">
      <alignment horizontal="right" vertical="center"/>
    </xf>
    <xf numFmtId="14" fontId="51" fillId="0" borderId="0" xfId="9" applyNumberFormat="1" applyFont="1" applyAlignment="1" applyProtection="1">
      <alignment horizontal="center" vertical="center"/>
    </xf>
    <xf numFmtId="14" fontId="51" fillId="0" borderId="0" xfId="9" applyNumberFormat="1" applyFont="1" applyAlignment="1" applyProtection="1">
      <alignment horizontal="left" vertical="center"/>
    </xf>
    <xf numFmtId="171" fontId="7" fillId="0" borderId="7" xfId="1" applyNumberFormat="1" applyFont="1" applyFill="1" applyBorder="1" applyAlignment="1" applyProtection="1">
      <alignment horizontal="left"/>
    </xf>
    <xf numFmtId="0" fontId="2" fillId="0" borderId="0" xfId="10" applyFont="1" applyProtection="1"/>
    <xf numFmtId="0" fontId="37" fillId="0" borderId="0" xfId="9" applyFont="1" applyFill="1" applyBorder="1" applyAlignment="1" applyProtection="1">
      <alignment vertical="center"/>
    </xf>
    <xf numFmtId="0" fontId="28" fillId="0" borderId="0" xfId="9" applyFont="1" applyFill="1" applyBorder="1" applyAlignment="1" applyProtection="1">
      <alignment vertical="center"/>
    </xf>
    <xf numFmtId="0" fontId="6" fillId="0" borderId="0" xfId="0" applyNumberFormat="1" applyFont="1" applyFill="1" applyBorder="1" applyAlignment="1" applyProtection="1"/>
    <xf numFmtId="0" fontId="27" fillId="0" borderId="0" xfId="9" applyFont="1" applyFill="1" applyBorder="1" applyAlignment="1" applyProtection="1">
      <alignment vertical="center"/>
    </xf>
    <xf numFmtId="0" fontId="37" fillId="0" borderId="35" xfId="9" applyFont="1" applyFill="1" applyBorder="1" applyAlignment="1" applyProtection="1">
      <alignment vertical="center"/>
    </xf>
    <xf numFmtId="10" fontId="45" fillId="7" borderId="43" xfId="9" applyNumberFormat="1" applyFont="1" applyFill="1" applyBorder="1" applyAlignment="1" applyProtection="1">
      <alignment horizontal="center" vertical="center"/>
    </xf>
    <xf numFmtId="0" fontId="45" fillId="7" borderId="43" xfId="9" applyFont="1" applyFill="1" applyBorder="1" applyAlignment="1" applyProtection="1">
      <alignment horizontal="left" vertical="center"/>
    </xf>
    <xf numFmtId="0" fontId="37" fillId="7" borderId="43" xfId="9" applyFont="1" applyFill="1" applyBorder="1" applyAlignment="1" applyProtection="1">
      <alignment vertical="center"/>
    </xf>
    <xf numFmtId="0" fontId="48" fillId="0" borderId="0" xfId="0" applyFont="1" applyAlignment="1" applyProtection="1">
      <alignment vertical="top"/>
    </xf>
    <xf numFmtId="4" fontId="37" fillId="0" borderId="0" xfId="9" applyNumberFormat="1" applyFont="1" applyAlignment="1" applyProtection="1">
      <alignment vertical="center"/>
    </xf>
    <xf numFmtId="0" fontId="37" fillId="0" borderId="0" xfId="9" applyFont="1" applyBorder="1" applyAlignment="1" applyProtection="1">
      <alignment vertical="center"/>
    </xf>
    <xf numFmtId="2" fontId="37" fillId="0" borderId="0" xfId="9" applyNumberFormat="1" applyFont="1" applyFill="1" applyBorder="1" applyAlignment="1" applyProtection="1">
      <alignment vertical="center"/>
    </xf>
    <xf numFmtId="0" fontId="37" fillId="0" borderId="0" xfId="9" applyFont="1" applyFill="1" applyAlignment="1" applyProtection="1">
      <alignment vertical="center"/>
    </xf>
    <xf numFmtId="2" fontId="37" fillId="0" borderId="0" xfId="9" applyNumberFormat="1" applyFont="1" applyAlignment="1" applyProtection="1">
      <alignment vertical="center"/>
    </xf>
    <xf numFmtId="0" fontId="37" fillId="0" borderId="0" xfId="9" applyFont="1" applyFill="1" applyBorder="1" applyAlignment="1" applyProtection="1">
      <alignment horizontal="left" vertical="center"/>
    </xf>
    <xf numFmtId="0" fontId="37" fillId="0" borderId="0" xfId="9" applyFont="1" applyFill="1" applyBorder="1" applyAlignment="1" applyProtection="1">
      <alignment horizontal="left" vertical="center" wrapText="1"/>
    </xf>
    <xf numFmtId="0" fontId="44" fillId="0" borderId="0" xfId="9" quotePrefix="1" applyFont="1" applyFill="1" applyBorder="1" applyAlignment="1" applyProtection="1">
      <alignment horizontal="left" vertical="center"/>
    </xf>
    <xf numFmtId="0" fontId="49" fillId="0" borderId="0" xfId="0" applyFont="1" applyAlignment="1" applyProtection="1">
      <alignment vertical="top"/>
    </xf>
    <xf numFmtId="0" fontId="28" fillId="0" borderId="0" xfId="9" applyFont="1" applyAlignment="1" applyProtection="1">
      <alignment vertical="center"/>
    </xf>
    <xf numFmtId="2" fontId="37" fillId="0" borderId="0" xfId="9" applyNumberFormat="1" applyFont="1" applyFill="1" applyAlignment="1" applyProtection="1">
      <alignment vertical="center"/>
    </xf>
    <xf numFmtId="0" fontId="45" fillId="9" borderId="23" xfId="9" applyFont="1" applyFill="1" applyBorder="1" applyAlignment="1" applyProtection="1">
      <alignment horizontal="centerContinuous" vertical="center"/>
    </xf>
    <xf numFmtId="0" fontId="45" fillId="9" borderId="27" xfId="9" applyFont="1" applyFill="1" applyBorder="1" applyAlignment="1" applyProtection="1">
      <alignment horizontal="centerContinuous" vertical="center"/>
    </xf>
    <xf numFmtId="0" fontId="45" fillId="9" borderId="29" xfId="9" applyFont="1" applyFill="1" applyBorder="1" applyAlignment="1" applyProtection="1">
      <alignment horizontal="centerContinuous" vertical="center"/>
    </xf>
    <xf numFmtId="0" fontId="37" fillId="0" borderId="31" xfId="9" applyFont="1" applyFill="1" applyBorder="1" applyAlignment="1" applyProtection="1">
      <alignment horizontal="centerContinuous" vertical="center"/>
    </xf>
    <xf numFmtId="0" fontId="45" fillId="9" borderId="28" xfId="9" applyFont="1" applyFill="1" applyBorder="1" applyAlignment="1" applyProtection="1">
      <alignment horizontal="centerContinuous" vertical="center"/>
    </xf>
    <xf numFmtId="0" fontId="45" fillId="9" borderId="29" xfId="9" applyFont="1" applyFill="1" applyBorder="1" applyAlignment="1" applyProtection="1">
      <alignment horizontal="centerContinuous" vertical="center" wrapText="1"/>
    </xf>
    <xf numFmtId="0" fontId="45" fillId="9" borderId="29" xfId="9" applyFont="1" applyFill="1" applyBorder="1" applyAlignment="1" applyProtection="1">
      <alignment horizontal="center" vertical="center" wrapText="1"/>
    </xf>
    <xf numFmtId="0" fontId="45" fillId="0" borderId="0" xfId="9" applyFont="1" applyFill="1" applyBorder="1" applyAlignment="1" applyProtection="1">
      <alignment horizontal="centerContinuous" vertical="center"/>
    </xf>
    <xf numFmtId="194" fontId="2" fillId="0" borderId="0" xfId="9" applyNumberFormat="1" applyFont="1" applyFill="1" applyBorder="1" applyAlignment="1" applyProtection="1">
      <alignment horizontal="center" vertical="center"/>
    </xf>
    <xf numFmtId="4" fontId="45" fillId="0" borderId="0" xfId="9" applyNumberFormat="1" applyFont="1" applyFill="1" applyBorder="1" applyAlignment="1" applyProtection="1">
      <alignment horizontal="centerContinuous" vertical="center"/>
    </xf>
    <xf numFmtId="0" fontId="6" fillId="7" borderId="23" xfId="9" applyFont="1" applyFill="1" applyBorder="1" applyAlignment="1" applyProtection="1">
      <alignment horizontal="center" vertical="center" wrapText="1"/>
    </xf>
    <xf numFmtId="0" fontId="6" fillId="7" borderId="30" xfId="9" applyFont="1" applyFill="1" applyBorder="1" applyAlignment="1" applyProtection="1">
      <alignment horizontal="center" vertical="center" wrapText="1"/>
    </xf>
    <xf numFmtId="0" fontId="6" fillId="7" borderId="24" xfId="9" applyFont="1" applyFill="1" applyBorder="1" applyAlignment="1" applyProtection="1">
      <alignment horizontal="center" vertical="center"/>
    </xf>
    <xf numFmtId="0" fontId="6" fillId="7" borderId="24" xfId="9" applyFont="1" applyFill="1" applyBorder="1" applyAlignment="1" applyProtection="1">
      <alignment horizontal="center" vertical="center" wrapText="1"/>
    </xf>
    <xf numFmtId="0" fontId="6" fillId="7" borderId="25" xfId="9" applyFont="1" applyFill="1" applyBorder="1" applyAlignment="1" applyProtection="1">
      <alignment horizontal="center" vertical="center" wrapText="1"/>
    </xf>
    <xf numFmtId="0" fontId="6" fillId="0" borderId="0" xfId="9" applyFont="1" applyFill="1" applyBorder="1" applyAlignment="1" applyProtection="1">
      <alignment horizontal="center" vertical="center" wrapText="1"/>
    </xf>
    <xf numFmtId="0" fontId="6" fillId="7" borderId="29" xfId="9" applyFont="1" applyFill="1" applyBorder="1" applyAlignment="1" applyProtection="1">
      <alignment horizontal="center" vertical="center" wrapText="1"/>
    </xf>
    <xf numFmtId="4" fontId="6" fillId="0" borderId="0" xfId="9" applyNumberFormat="1" applyFont="1" applyFill="1" applyBorder="1" applyAlignment="1" applyProtection="1">
      <alignment horizontal="center" vertical="center" wrapText="1"/>
    </xf>
    <xf numFmtId="0" fontId="37" fillId="0" borderId="0" xfId="9" applyFont="1" applyFill="1" applyBorder="1" applyAlignment="1" applyProtection="1">
      <alignment horizontal="center" vertical="center"/>
    </xf>
    <xf numFmtId="4" fontId="37" fillId="0" borderId="0" xfId="9" applyNumberFormat="1" applyFont="1" applyFill="1" applyBorder="1" applyAlignment="1" applyProtection="1">
      <alignment horizontal="center" vertical="center"/>
    </xf>
    <xf numFmtId="175" fontId="37" fillId="0" borderId="0" xfId="9" applyNumberFormat="1" applyFont="1" applyFill="1" applyBorder="1" applyAlignment="1" applyProtection="1">
      <alignment horizontal="center" vertical="center"/>
    </xf>
    <xf numFmtId="0" fontId="6" fillId="0" borderId="31" xfId="9" applyFont="1" applyFill="1" applyBorder="1" applyAlignment="1" applyProtection="1">
      <alignment horizontal="center" vertical="center"/>
    </xf>
    <xf numFmtId="0" fontId="6" fillId="0" borderId="32" xfId="9" applyFont="1" applyFill="1" applyBorder="1" applyAlignment="1" applyProtection="1">
      <alignment horizontal="center" vertical="center"/>
    </xf>
    <xf numFmtId="0" fontId="6" fillId="0" borderId="0" xfId="9" applyFont="1" applyBorder="1" applyAlignment="1" applyProtection="1">
      <alignment horizontal="center" vertical="center"/>
    </xf>
    <xf numFmtId="4" fontId="45" fillId="0" borderId="29" xfId="9" quotePrefix="1" applyNumberFormat="1" applyFont="1" applyBorder="1" applyAlignment="1" applyProtection="1">
      <alignment horizontal="center" vertical="center"/>
    </xf>
    <xf numFmtId="4" fontId="45" fillId="0" borderId="0" xfId="9" quotePrefix="1" applyNumberFormat="1" applyFont="1" applyFill="1" applyBorder="1" applyAlignment="1" applyProtection="1">
      <alignment horizontal="center" vertical="center"/>
    </xf>
    <xf numFmtId="4" fontId="37" fillId="0" borderId="0" xfId="9" quotePrefix="1" applyNumberFormat="1" applyFont="1" applyBorder="1" applyAlignment="1" applyProtection="1">
      <alignment horizontal="center" vertical="center"/>
    </xf>
    <xf numFmtId="0" fontId="37" fillId="0" borderId="0" xfId="9" quotePrefix="1" applyFont="1" applyAlignment="1" applyProtection="1">
      <alignment vertical="center"/>
    </xf>
    <xf numFmtId="0" fontId="37" fillId="0" borderId="0" xfId="9" quotePrefix="1" applyFont="1" applyAlignment="1" applyProtection="1">
      <alignment horizontal="right" vertical="center"/>
    </xf>
    <xf numFmtId="4" fontId="37" fillId="0" borderId="0" xfId="9" applyNumberFormat="1" applyFont="1" applyAlignment="1" applyProtection="1">
      <alignment horizontal="center" vertical="center"/>
    </xf>
    <xf numFmtId="0" fontId="6" fillId="0" borderId="0" xfId="9" quotePrefix="1" applyFont="1" applyFill="1" applyBorder="1" applyAlignment="1" applyProtection="1">
      <alignment vertical="center"/>
    </xf>
    <xf numFmtId="9" fontId="6" fillId="0" borderId="0" xfId="11" applyNumberFormat="1" applyFont="1" applyFill="1" applyBorder="1" applyAlignment="1" applyProtection="1">
      <alignment vertical="center"/>
    </xf>
    <xf numFmtId="0" fontId="45" fillId="0" borderId="0" xfId="9" applyFont="1" applyFill="1" applyBorder="1" applyAlignment="1" applyProtection="1">
      <alignment horizontal="center" vertical="center"/>
    </xf>
    <xf numFmtId="0" fontId="6" fillId="0" borderId="0" xfId="9" applyFont="1" applyFill="1" applyBorder="1" applyAlignment="1" applyProtection="1">
      <alignment horizontal="center" vertical="center"/>
    </xf>
    <xf numFmtId="170" fontId="37" fillId="0" borderId="0" xfId="9" applyNumberFormat="1" applyFont="1" applyFill="1" applyBorder="1" applyAlignment="1" applyProtection="1">
      <alignment vertical="center"/>
    </xf>
    <xf numFmtId="2" fontId="45" fillId="0" borderId="0" xfId="9" applyNumberFormat="1" applyFont="1" applyFill="1" applyBorder="1" applyAlignment="1" applyProtection="1">
      <alignment vertical="center"/>
    </xf>
    <xf numFmtId="9" fontId="37" fillId="0" borderId="0" xfId="9" applyNumberFormat="1" applyFont="1" applyFill="1" applyBorder="1" applyAlignment="1" applyProtection="1">
      <alignment vertical="center"/>
    </xf>
    <xf numFmtId="0" fontId="6" fillId="0" borderId="0" xfId="9" applyFont="1" applyFill="1" applyBorder="1" applyAlignment="1" applyProtection="1">
      <alignment vertical="center"/>
    </xf>
    <xf numFmtId="2" fontId="46" fillId="0" borderId="0" xfId="9" applyNumberFormat="1" applyFont="1" applyFill="1" applyBorder="1" applyAlignment="1" applyProtection="1">
      <alignment vertical="center"/>
    </xf>
    <xf numFmtId="0" fontId="46" fillId="0" borderId="0" xfId="9" applyFont="1" applyFill="1" applyBorder="1" applyAlignment="1" applyProtection="1">
      <alignment vertical="center"/>
    </xf>
    <xf numFmtId="194" fontId="2" fillId="0" borderId="0" xfId="9" applyNumberFormat="1" applyFont="1" applyFill="1" applyBorder="1" applyAlignment="1" applyProtection="1">
      <alignment vertical="center"/>
    </xf>
    <xf numFmtId="0" fontId="50" fillId="0" borderId="0" xfId="9" applyFont="1" applyAlignment="1" applyProtection="1">
      <alignment vertical="center"/>
    </xf>
    <xf numFmtId="0" fontId="45" fillId="0" borderId="0" xfId="9" applyFont="1" applyFill="1" applyBorder="1" applyAlignment="1" applyProtection="1">
      <alignment vertical="center"/>
    </xf>
    <xf numFmtId="4" fontId="47" fillId="0" borderId="0" xfId="9" applyNumberFormat="1" applyFont="1" applyAlignment="1" applyProtection="1">
      <alignment vertical="center"/>
    </xf>
    <xf numFmtId="4" fontId="37" fillId="0" borderId="0" xfId="9" applyNumberFormat="1" applyFont="1" applyAlignment="1" applyProtection="1">
      <alignment horizontal="right" vertical="center"/>
    </xf>
    <xf numFmtId="4" fontId="37" fillId="0" borderId="0" xfId="9" applyNumberFormat="1" applyFont="1" applyFill="1" applyBorder="1" applyAlignment="1" applyProtection="1">
      <alignment horizontal="left" vertical="center" wrapText="1"/>
    </xf>
    <xf numFmtId="4" fontId="44" fillId="0" borderId="0" xfId="9" quotePrefix="1" applyNumberFormat="1" applyFont="1" applyFill="1" applyBorder="1" applyAlignment="1" applyProtection="1">
      <alignment horizontal="left" vertical="center"/>
    </xf>
    <xf numFmtId="4" fontId="37" fillId="0" borderId="0" xfId="9" applyNumberFormat="1" applyFont="1" applyFill="1" applyBorder="1" applyAlignment="1" applyProtection="1">
      <alignment vertical="center"/>
    </xf>
    <xf numFmtId="4" fontId="37" fillId="0" borderId="0" xfId="9" applyNumberFormat="1" applyFont="1" applyFill="1" applyBorder="1" applyAlignment="1" applyProtection="1">
      <alignment horizontal="right" vertical="center"/>
    </xf>
    <xf numFmtId="0" fontId="45" fillId="0" borderId="0" xfId="9" applyFont="1" applyAlignment="1" applyProtection="1">
      <alignment vertical="center"/>
    </xf>
    <xf numFmtId="4" fontId="47" fillId="0" borderId="0" xfId="9" applyNumberFormat="1" applyFont="1" applyFill="1" applyBorder="1" applyAlignment="1" applyProtection="1">
      <alignment horizontal="right" vertical="center"/>
    </xf>
    <xf numFmtId="4" fontId="2" fillId="0" borderId="0" xfId="9" applyNumberFormat="1" applyFont="1" applyAlignment="1" applyProtection="1">
      <alignment vertical="center"/>
    </xf>
    <xf numFmtId="0" fontId="2" fillId="0" borderId="0" xfId="9" applyFont="1" applyFill="1" applyAlignment="1" applyProtection="1">
      <alignment vertical="center"/>
    </xf>
    <xf numFmtId="0" fontId="47" fillId="0" borderId="0" xfId="9" applyFont="1" applyAlignment="1" applyProtection="1">
      <alignment vertical="center"/>
    </xf>
    <xf numFmtId="0" fontId="47" fillId="0" borderId="0" xfId="9" applyFont="1" applyAlignment="1" applyProtection="1">
      <alignment horizontal="right" vertical="center"/>
    </xf>
    <xf numFmtId="0" fontId="47" fillId="0" borderId="0" xfId="9" applyFont="1" applyFill="1" applyBorder="1" applyAlignment="1" applyProtection="1">
      <alignment horizontal="right" vertical="center"/>
    </xf>
    <xf numFmtId="0" fontId="5" fillId="0" borderId="0" xfId="1" applyNumberFormat="1" applyFont="1" applyFill="1" applyBorder="1" applyAlignment="1" applyProtection="1"/>
    <xf numFmtId="0" fontId="5" fillId="0" borderId="0" xfId="1" applyNumberFormat="1" applyFont="1" applyFill="1" applyBorder="1" applyAlignment="1" applyProtection="1">
      <alignment horizontal="right"/>
    </xf>
    <xf numFmtId="0" fontId="8" fillId="0" borderId="0" xfId="1" applyNumberFormat="1" applyFont="1" applyFill="1" applyBorder="1" applyAlignment="1" applyProtection="1"/>
    <xf numFmtId="0" fontId="2" fillId="0" borderId="0" xfId="4" applyFont="1" applyFill="1" applyProtection="1"/>
    <xf numFmtId="189" fontId="8" fillId="0" borderId="0" xfId="1" applyNumberFormat="1" applyFont="1" applyFill="1" applyBorder="1" applyAlignment="1" applyProtection="1">
      <alignment horizontal="center"/>
    </xf>
    <xf numFmtId="198" fontId="5" fillId="0" borderId="0" xfId="1" applyNumberFormat="1" applyFont="1" applyFill="1" applyBorder="1" applyAlignment="1" applyProtection="1"/>
    <xf numFmtId="171" fontId="6" fillId="0" borderId="7" xfId="1" applyNumberFormat="1" applyFont="1" applyFill="1" applyBorder="1" applyAlignment="1" applyProtection="1">
      <alignment horizontal="left"/>
    </xf>
    <xf numFmtId="10" fontId="5" fillId="0" borderId="0" xfId="1" applyNumberFormat="1" applyFont="1" applyFill="1" applyBorder="1" applyAlignment="1" applyProtection="1">
      <alignment horizontal="right"/>
    </xf>
    <xf numFmtId="189" fontId="5" fillId="0" borderId="0" xfId="1" applyNumberFormat="1" applyFont="1" applyFill="1" applyBorder="1" applyAlignment="1" applyProtection="1"/>
    <xf numFmtId="0" fontId="0" fillId="0" borderId="0" xfId="0" applyFill="1" applyProtection="1"/>
    <xf numFmtId="0" fontId="8" fillId="0" borderId="0" xfId="1" applyNumberFormat="1" applyFont="1" applyFill="1" applyBorder="1" applyAlignment="1" applyProtection="1">
      <alignment horizontal="center"/>
    </xf>
    <xf numFmtId="189" fontId="0" fillId="0" borderId="0" xfId="0" applyNumberFormat="1" applyFill="1" applyProtection="1"/>
    <xf numFmtId="10" fontId="5" fillId="0" borderId="0" xfId="1" applyNumberFormat="1" applyFont="1" applyFill="1" applyBorder="1" applyAlignment="1" applyProtection="1"/>
    <xf numFmtId="10" fontId="0" fillId="0" borderId="0" xfId="0" applyNumberFormat="1" applyFill="1" applyAlignment="1" applyProtection="1">
      <alignment horizontal="center"/>
    </xf>
    <xf numFmtId="0" fontId="2" fillId="0" borderId="0" xfId="8" applyNumberFormat="1" applyFont="1" applyFill="1" applyBorder="1" applyAlignment="1" applyProtection="1"/>
    <xf numFmtId="0" fontId="2" fillId="0" borderId="0" xfId="8" applyNumberFormat="1" applyFont="1" applyFill="1" applyBorder="1" applyAlignment="1" applyProtection="1">
      <alignment horizontal="center"/>
    </xf>
    <xf numFmtId="4" fontId="0" fillId="0" borderId="0" xfId="0" applyNumberFormat="1" applyFill="1" applyProtection="1"/>
    <xf numFmtId="4" fontId="2" fillId="0" borderId="0" xfId="8" applyNumberFormat="1" applyFont="1" applyFill="1" applyBorder="1" applyAlignment="1" applyProtection="1">
      <alignment horizontal="center"/>
    </xf>
    <xf numFmtId="0" fontId="3" fillId="0" borderId="0" xfId="0" quotePrefix="1" applyFont="1" applyProtection="1"/>
    <xf numFmtId="0" fontId="3" fillId="0" borderId="0" xfId="1" applyNumberFormat="1" applyFont="1" applyFill="1" applyBorder="1" applyAlignment="1" applyProtection="1">
      <alignment horizontal="right"/>
    </xf>
    <xf numFmtId="172" fontId="11" fillId="7" borderId="0" xfId="0" applyNumberFormat="1" applyFont="1" applyFill="1" applyBorder="1" applyAlignment="1" applyProtection="1">
      <alignment horizontal="center" vertical="center" wrapText="1"/>
    </xf>
    <xf numFmtId="0" fontId="9" fillId="0" borderId="0" xfId="1" applyNumberFormat="1" applyFont="1" applyFill="1" applyBorder="1" applyAlignment="1" applyProtection="1">
      <alignment horizontal="center"/>
    </xf>
    <xf numFmtId="0" fontId="30" fillId="0" borderId="0" xfId="1" applyNumberFormat="1" applyFont="1" applyFill="1" applyBorder="1" applyAlignment="1" applyProtection="1">
      <alignment horizontal="left"/>
    </xf>
    <xf numFmtId="0" fontId="9" fillId="0" borderId="0" xfId="1" applyNumberFormat="1" applyFont="1" applyFill="1" applyBorder="1" applyAlignment="1" applyProtection="1">
      <alignment horizontal="right"/>
    </xf>
    <xf numFmtId="0" fontId="53" fillId="9" borderId="0" xfId="8" applyNumberFormat="1" applyFont="1" applyFill="1" applyBorder="1" applyAlignment="1" applyProtection="1"/>
    <xf numFmtId="0" fontId="0" fillId="7" borderId="0" xfId="0" applyFill="1" applyProtection="1"/>
    <xf numFmtId="0" fontId="8" fillId="7" borderId="0" xfId="1" applyNumberFormat="1" applyFont="1" applyFill="1" applyBorder="1" applyAlignment="1" applyProtection="1"/>
    <xf numFmtId="0" fontId="9" fillId="7" borderId="0" xfId="1" applyNumberFormat="1" applyFont="1" applyFill="1" applyBorder="1" applyAlignment="1" applyProtection="1">
      <alignment horizontal="center"/>
    </xf>
    <xf numFmtId="0" fontId="30" fillId="7" borderId="0" xfId="1" applyNumberFormat="1" applyFont="1" applyFill="1" applyBorder="1" applyAlignment="1" applyProtection="1">
      <alignment horizontal="left"/>
    </xf>
    <xf numFmtId="0" fontId="6" fillId="7" borderId="0" xfId="1" applyNumberFormat="1" applyFont="1" applyFill="1" applyBorder="1" applyAlignment="1" applyProtection="1"/>
    <xf numFmtId="0" fontId="3" fillId="7" borderId="0" xfId="1" applyNumberFormat="1" applyFont="1" applyFill="1" applyBorder="1" applyAlignment="1" applyProtection="1">
      <alignment horizontal="left"/>
    </xf>
    <xf numFmtId="0" fontId="33" fillId="7" borderId="0" xfId="1" applyNumberFormat="1" applyFont="1" applyFill="1" applyBorder="1" applyAlignment="1" applyProtection="1"/>
    <xf numFmtId="0" fontId="33" fillId="0" borderId="0" xfId="1" applyNumberFormat="1" applyFont="1" applyFill="1" applyBorder="1" applyAlignment="1" applyProtection="1"/>
    <xf numFmtId="0" fontId="3" fillId="7" borderId="0" xfId="1" applyNumberFormat="1" applyFont="1" applyFill="1" applyBorder="1" applyAlignment="1" applyProtection="1"/>
    <xf numFmtId="0" fontId="5" fillId="7" borderId="0" xfId="1" applyNumberFormat="1" applyFont="1" applyFill="1" applyBorder="1" applyAlignment="1" applyProtection="1"/>
    <xf numFmtId="186" fontId="5" fillId="7" borderId="0" xfId="1" applyNumberFormat="1" applyFont="1" applyFill="1" applyBorder="1" applyAlignment="1" applyProtection="1"/>
    <xf numFmtId="186" fontId="3" fillId="7" borderId="0" xfId="1" applyNumberFormat="1" applyFont="1" applyFill="1" applyBorder="1" applyAlignment="1" applyProtection="1">
      <alignment horizontal="left"/>
    </xf>
    <xf numFmtId="10" fontId="3" fillId="7" borderId="0" xfId="1" applyNumberFormat="1" applyFont="1" applyFill="1" applyBorder="1" applyAlignment="1" applyProtection="1">
      <alignment horizontal="left"/>
    </xf>
    <xf numFmtId="10" fontId="33" fillId="0" borderId="0" xfId="1" applyNumberFormat="1" applyFont="1" applyFill="1" applyBorder="1" applyAlignment="1" applyProtection="1">
      <alignment horizontal="right"/>
    </xf>
    <xf numFmtId="10" fontId="11" fillId="7" borderId="0" xfId="1" applyNumberFormat="1" applyFont="1" applyFill="1" applyBorder="1" applyAlignment="1" applyProtection="1">
      <alignment horizontal="right"/>
    </xf>
    <xf numFmtId="10" fontId="11" fillId="0" borderId="0" xfId="8" applyNumberFormat="1" applyFont="1" applyFill="1" applyBorder="1" applyAlignment="1" applyProtection="1">
      <alignment horizontal="right" vertical="top"/>
    </xf>
    <xf numFmtId="0" fontId="5" fillId="7" borderId="0" xfId="1" applyNumberFormat="1" applyFont="1" applyFill="1" applyBorder="1" applyAlignment="1" applyProtection="1">
      <alignment horizontal="left" vertical="center"/>
    </xf>
    <xf numFmtId="0" fontId="13" fillId="7" borderId="0" xfId="1" applyNumberFormat="1" applyFont="1" applyFill="1" applyBorder="1" applyAlignment="1" applyProtection="1"/>
    <xf numFmtId="3" fontId="5" fillId="0" borderId="0" xfId="1" applyNumberFormat="1" applyFont="1" applyFill="1" applyBorder="1" applyAlignment="1" applyProtection="1"/>
    <xf numFmtId="3" fontId="0" fillId="0" borderId="0" xfId="0" applyNumberFormat="1" applyFill="1" applyProtection="1"/>
    <xf numFmtId="3" fontId="5" fillId="0" borderId="0" xfId="1" applyNumberFormat="1" applyFont="1" applyFill="1" applyBorder="1" applyAlignment="1" applyProtection="1">
      <alignment horizontal="right"/>
    </xf>
    <xf numFmtId="186" fontId="5" fillId="0" borderId="0" xfId="1" applyNumberFormat="1" applyFont="1" applyFill="1" applyBorder="1" applyAlignment="1" applyProtection="1"/>
    <xf numFmtId="10" fontId="3" fillId="0" borderId="0" xfId="1" applyNumberFormat="1" applyFont="1" applyFill="1" applyBorder="1" applyAlignment="1" applyProtection="1">
      <alignment horizontal="left"/>
    </xf>
    <xf numFmtId="10" fontId="11" fillId="7" borderId="0" xfId="8" applyNumberFormat="1" applyFont="1" applyFill="1" applyBorder="1" applyAlignment="1" applyProtection="1"/>
    <xf numFmtId="173" fontId="2" fillId="0" borderId="0" xfId="1" applyNumberFormat="1" applyFont="1" applyFill="1" applyBorder="1" applyAlignment="1" applyProtection="1">
      <alignment horizontal="right"/>
    </xf>
    <xf numFmtId="0" fontId="5" fillId="7" borderId="0" xfId="1" applyNumberFormat="1" applyFont="1" applyFill="1" applyBorder="1" applyAlignment="1" applyProtection="1">
      <alignment horizontal="left"/>
    </xf>
    <xf numFmtId="0" fontId="10" fillId="0" borderId="0" xfId="1" applyNumberFormat="1" applyFont="1" applyFill="1" applyBorder="1" applyAlignment="1" applyProtection="1"/>
    <xf numFmtId="0" fontId="6" fillId="7" borderId="0" xfId="0" applyFont="1" applyFill="1" applyProtection="1"/>
    <xf numFmtId="1" fontId="11" fillId="0" borderId="0" xfId="8" applyNumberFormat="1" applyFont="1" applyFill="1" applyBorder="1" applyAlignment="1" applyProtection="1">
      <alignment horizontal="right" vertical="top"/>
    </xf>
    <xf numFmtId="10" fontId="11" fillId="0" borderId="0" xfId="8" applyNumberFormat="1" applyFont="1" applyFill="1" applyBorder="1" applyAlignment="1" applyProtection="1"/>
    <xf numFmtId="0" fontId="2" fillId="7" borderId="0" xfId="0" applyFont="1" applyFill="1" applyAlignment="1" applyProtection="1">
      <alignment horizontal="left" indent="1"/>
    </xf>
    <xf numFmtId="0" fontId="2" fillId="0" borderId="0" xfId="1" applyNumberFormat="1" applyFont="1" applyFill="1" applyBorder="1" applyAlignment="1" applyProtection="1"/>
    <xf numFmtId="3" fontId="2" fillId="0" borderId="0" xfId="1" applyNumberFormat="1" applyFont="1" applyFill="1" applyBorder="1" applyAlignment="1" applyProtection="1"/>
    <xf numFmtId="0" fontId="6" fillId="7" borderId="0" xfId="1" applyNumberFormat="1" applyFont="1" applyFill="1" applyBorder="1" applyAlignment="1" applyProtection="1">
      <alignment horizontal="left"/>
    </xf>
    <xf numFmtId="172" fontId="2" fillId="0" borderId="0" xfId="1" applyNumberFormat="1" applyFont="1" applyFill="1" applyBorder="1" applyAlignment="1" applyProtection="1"/>
    <xf numFmtId="174" fontId="2" fillId="7" borderId="0" xfId="1" applyNumberFormat="1" applyFont="1" applyFill="1" applyBorder="1" applyAlignment="1" applyProtection="1"/>
    <xf numFmtId="0" fontId="2" fillId="7" borderId="0" xfId="1" applyNumberFormat="1" applyFont="1" applyFill="1" applyBorder="1" applyAlignment="1" applyProtection="1">
      <alignment horizontal="left"/>
    </xf>
    <xf numFmtId="0" fontId="3" fillId="7" borderId="0" xfId="0" applyFont="1" applyFill="1" applyProtection="1"/>
    <xf numFmtId="0" fontId="2" fillId="7" borderId="0" xfId="1" applyNumberFormat="1" applyFont="1" applyFill="1" applyBorder="1" applyAlignment="1" applyProtection="1"/>
    <xf numFmtId="0" fontId="27" fillId="7" borderId="0" xfId="0" applyFont="1" applyFill="1" applyProtection="1"/>
    <xf numFmtId="196" fontId="11" fillId="0" borderId="0" xfId="8" applyNumberFormat="1" applyFont="1" applyFill="1" applyBorder="1" applyAlignment="1" applyProtection="1">
      <alignment horizontal="right" vertical="top"/>
    </xf>
    <xf numFmtId="0" fontId="43" fillId="7" borderId="0" xfId="8" applyNumberFormat="1" applyFont="1" applyFill="1" applyBorder="1" applyAlignment="1" applyProtection="1"/>
    <xf numFmtId="0" fontId="10" fillId="7" borderId="0" xfId="1" applyNumberFormat="1" applyFont="1" applyFill="1" applyBorder="1" applyAlignment="1" applyProtection="1"/>
    <xf numFmtId="0" fontId="10" fillId="7" borderId="0" xfId="8" applyNumberFormat="1" applyFont="1" applyFill="1" applyBorder="1" applyAlignment="1" applyProtection="1"/>
    <xf numFmtId="0" fontId="6" fillId="7" borderId="0" xfId="12" applyFont="1" applyFill="1" applyBorder="1" applyProtection="1"/>
    <xf numFmtId="0" fontId="2" fillId="7" borderId="0" xfId="0" applyFont="1" applyFill="1" applyBorder="1" applyProtection="1"/>
    <xf numFmtId="0" fontId="6" fillId="7" borderId="1" xfId="1" applyNumberFormat="1" applyFont="1" applyFill="1" applyBorder="1" applyAlignment="1" applyProtection="1"/>
    <xf numFmtId="0" fontId="2" fillId="7" borderId="1" xfId="1" applyNumberFormat="1" applyFont="1" applyFill="1" applyBorder="1" applyAlignment="1" applyProtection="1"/>
    <xf numFmtId="0" fontId="2" fillId="7" borderId="1" xfId="0" applyFont="1" applyFill="1" applyBorder="1" applyProtection="1"/>
    <xf numFmtId="0" fontId="2" fillId="7" borderId="1" xfId="1" applyNumberFormat="1" applyFont="1" applyFill="1" applyBorder="1" applyAlignment="1" applyProtection="1">
      <alignment horizontal="left"/>
    </xf>
    <xf numFmtId="168" fontId="6" fillId="0" borderId="1" xfId="1" applyNumberFormat="1" applyFont="1" applyFill="1" applyBorder="1" applyAlignment="1" applyProtection="1"/>
    <xf numFmtId="0" fontId="0" fillId="7" borderId="0" xfId="1" applyNumberFormat="1" applyFont="1" applyFill="1" applyBorder="1" applyAlignment="1" applyProtection="1">
      <alignment horizontal="left" indent="1"/>
    </xf>
    <xf numFmtId="0" fontId="3" fillId="7" borderId="0" xfId="1" applyNumberFormat="1" applyFont="1" applyFill="1" applyBorder="1" applyAlignment="1" applyProtection="1">
      <alignment horizontal="left" indent="1"/>
    </xf>
    <xf numFmtId="0" fontId="2" fillId="7" borderId="0" xfId="0" applyFont="1" applyFill="1" applyProtection="1"/>
    <xf numFmtId="0" fontId="0" fillId="7" borderId="0" xfId="0" applyFill="1" applyBorder="1" applyProtection="1"/>
    <xf numFmtId="0" fontId="0" fillId="0" borderId="0" xfId="0" applyFill="1" applyBorder="1" applyProtection="1"/>
    <xf numFmtId="0" fontId="0" fillId="0" borderId="0" xfId="0" applyBorder="1" applyProtection="1"/>
    <xf numFmtId="0" fontId="6" fillId="4" borderId="0" xfId="1" applyNumberFormat="1" applyFont="1" applyFill="1" applyBorder="1" applyAlignment="1" applyProtection="1"/>
    <xf numFmtId="168" fontId="2" fillId="0" borderId="0" xfId="1" applyNumberFormat="1" applyFont="1" applyFill="1" applyBorder="1" applyAlignment="1" applyProtection="1"/>
    <xf numFmtId="168" fontId="8" fillId="7" borderId="0" xfId="1" applyNumberFormat="1" applyFont="1" applyFill="1" applyBorder="1" applyAlignment="1" applyProtection="1"/>
    <xf numFmtId="0" fontId="5" fillId="0" borderId="0" xfId="1" applyNumberFormat="1" applyFont="1" applyFill="1" applyBorder="1" applyAlignment="1" applyProtection="1">
      <alignment horizontal="right"/>
      <protection locked="0"/>
    </xf>
    <xf numFmtId="0" fontId="5" fillId="0" borderId="0" xfId="1" applyNumberFormat="1" applyFont="1" applyFill="1" applyBorder="1" applyAlignment="1" applyProtection="1">
      <protection locked="0"/>
    </xf>
    <xf numFmtId="171" fontId="5" fillId="0" borderId="0" xfId="1" applyNumberFormat="1" applyFont="1" applyFill="1" applyBorder="1" applyAlignment="1" applyProtection="1">
      <alignment horizontal="right"/>
      <protection locked="0"/>
    </xf>
    <xf numFmtId="10" fontId="5" fillId="0" borderId="0" xfId="1" applyNumberFormat="1" applyFont="1" applyFill="1" applyBorder="1" applyAlignment="1" applyProtection="1">
      <alignment horizontal="right"/>
      <protection locked="0"/>
    </xf>
    <xf numFmtId="189" fontId="5" fillId="0" borderId="0" xfId="1" applyNumberFormat="1" applyFont="1" applyFill="1" applyBorder="1" applyAlignment="1" applyProtection="1">
      <protection locked="0"/>
    </xf>
    <xf numFmtId="189" fontId="8" fillId="0" borderId="0" xfId="1" applyNumberFormat="1" applyFont="1" applyFill="1" applyBorder="1" applyAlignment="1" applyProtection="1">
      <alignment horizontal="right"/>
      <protection locked="0"/>
    </xf>
    <xf numFmtId="189" fontId="0" fillId="0" borderId="0" xfId="0" applyNumberFormat="1" applyFill="1" applyProtection="1">
      <protection locked="0"/>
    </xf>
    <xf numFmtId="10" fontId="0" fillId="0" borderId="0" xfId="0" applyNumberFormat="1" applyFill="1" applyAlignment="1" applyProtection="1">
      <alignment horizontal="center"/>
      <protection locked="0"/>
    </xf>
    <xf numFmtId="0" fontId="8" fillId="0" borderId="0" xfId="1" applyNumberFormat="1" applyFont="1" applyFill="1" applyBorder="1" applyAlignment="1" applyProtection="1">
      <alignment horizontal="right"/>
      <protection locked="0"/>
    </xf>
    <xf numFmtId="0" fontId="0" fillId="0" borderId="0" xfId="0" applyFill="1" applyProtection="1">
      <protection locked="0"/>
    </xf>
    <xf numFmtId="0" fontId="2" fillId="0" borderId="0" xfId="8" applyNumberFormat="1" applyFont="1" applyFill="1" applyBorder="1" applyAlignment="1" applyProtection="1">
      <alignment horizontal="center"/>
      <protection locked="0"/>
    </xf>
    <xf numFmtId="172" fontId="11" fillId="7" borderId="0" xfId="0" applyNumberFormat="1" applyFont="1" applyFill="1" applyBorder="1" applyAlignment="1" applyProtection="1">
      <alignment horizontal="center" vertical="center" wrapText="1"/>
      <protection locked="0"/>
    </xf>
    <xf numFmtId="0" fontId="33" fillId="0" borderId="0" xfId="1" applyNumberFormat="1" applyFont="1" applyFill="1" applyBorder="1" applyAlignment="1" applyProtection="1">
      <protection locked="0"/>
    </xf>
    <xf numFmtId="1" fontId="11" fillId="7" borderId="0" xfId="8" applyNumberFormat="1" applyFont="1" applyFill="1" applyBorder="1" applyAlignment="1" applyProtection="1">
      <alignment horizontal="right" vertical="top"/>
      <protection locked="0"/>
    </xf>
    <xf numFmtId="10" fontId="33" fillId="0" borderId="0" xfId="1" applyNumberFormat="1" applyFont="1" applyFill="1" applyBorder="1" applyAlignment="1" applyProtection="1">
      <alignment horizontal="right"/>
      <protection locked="0"/>
    </xf>
    <xf numFmtId="10" fontId="11" fillId="7" borderId="0" xfId="8" applyNumberFormat="1" applyFont="1" applyFill="1" applyBorder="1" applyAlignment="1" applyProtection="1">
      <alignment horizontal="right" vertical="top"/>
      <protection locked="0"/>
    </xf>
    <xf numFmtId="10" fontId="11" fillId="0" borderId="0" xfId="8" applyNumberFormat="1" applyFont="1" applyFill="1" applyBorder="1" applyAlignment="1" applyProtection="1">
      <alignment horizontal="right" vertical="top"/>
      <protection locked="0"/>
    </xf>
    <xf numFmtId="3" fontId="11" fillId="7" borderId="0" xfId="8" applyNumberFormat="1" applyFont="1" applyFill="1" applyBorder="1" applyAlignment="1" applyProtection="1">
      <alignment horizontal="right" vertical="top"/>
      <protection locked="0"/>
    </xf>
    <xf numFmtId="10" fontId="11" fillId="7" borderId="0" xfId="8" applyNumberFormat="1" applyFont="1" applyFill="1" applyBorder="1" applyAlignment="1" applyProtection="1">
      <protection locked="0"/>
    </xf>
    <xf numFmtId="173" fontId="11" fillId="7" borderId="0" xfId="8" applyNumberFormat="1" applyFont="1" applyFill="1" applyBorder="1" applyAlignment="1" applyProtection="1">
      <protection locked="0"/>
    </xf>
    <xf numFmtId="0" fontId="0" fillId="0" borderId="0" xfId="0" applyProtection="1">
      <protection locked="0"/>
    </xf>
    <xf numFmtId="172" fontId="11" fillId="7" borderId="0" xfId="8" applyNumberFormat="1" applyFont="1" applyFill="1" applyBorder="1" applyAlignment="1" applyProtection="1">
      <alignment horizontal="right" vertical="top"/>
      <protection locked="0"/>
    </xf>
    <xf numFmtId="196" fontId="11" fillId="7" borderId="0" xfId="8" applyNumberFormat="1" applyFont="1" applyFill="1" applyBorder="1" applyAlignment="1" applyProtection="1">
      <alignment horizontal="right" vertical="top"/>
      <protection locked="0"/>
    </xf>
    <xf numFmtId="10" fontId="11" fillId="0" borderId="0" xfId="8" applyNumberFormat="1" applyFont="1" applyFill="1" applyBorder="1" applyAlignment="1" applyProtection="1">
      <protection locked="0"/>
    </xf>
    <xf numFmtId="196" fontId="11" fillId="0" borderId="0" xfId="8" applyNumberFormat="1" applyFont="1" applyFill="1" applyBorder="1" applyAlignment="1" applyProtection="1">
      <alignment horizontal="right" vertical="top"/>
      <protection locked="0"/>
    </xf>
    <xf numFmtId="0" fontId="0" fillId="0" borderId="0" xfId="0" applyFill="1" applyBorder="1" applyProtection="1">
      <protection locked="0"/>
    </xf>
    <xf numFmtId="0" fontId="5" fillId="0" borderId="0" xfId="1" applyNumberFormat="1" applyFont="1" applyFill="1" applyBorder="1" applyAlignment="1" applyProtection="1">
      <alignment horizontal="center"/>
    </xf>
    <xf numFmtId="178" fontId="5" fillId="0" borderId="0" xfId="1" applyNumberFormat="1" applyFont="1" applyFill="1" applyBorder="1" applyAlignment="1" applyProtection="1">
      <alignment horizontal="center"/>
    </xf>
    <xf numFmtId="199" fontId="5" fillId="0" borderId="0" xfId="1" applyNumberFormat="1" applyFont="1" applyFill="1" applyBorder="1" applyAlignment="1" applyProtection="1"/>
    <xf numFmtId="172" fontId="5" fillId="0" borderId="0" xfId="1" applyNumberFormat="1" applyFont="1" applyFill="1" applyBorder="1" applyAlignment="1" applyProtection="1"/>
    <xf numFmtId="168" fontId="15" fillId="0" borderId="0" xfId="1" applyNumberFormat="1" applyFont="1" applyFill="1" applyBorder="1" applyAlignment="1" applyProtection="1"/>
    <xf numFmtId="0" fontId="5" fillId="0" borderId="0" xfId="1" applyNumberFormat="1" applyFont="1" applyFill="1" applyBorder="1" applyAlignment="1" applyProtection="1">
      <alignment horizontal="left"/>
    </xf>
    <xf numFmtId="168" fontId="33" fillId="0" borderId="0" xfId="1" applyNumberFormat="1" applyFont="1" applyFill="1" applyBorder="1" applyAlignment="1" applyProtection="1"/>
    <xf numFmtId="168" fontId="5" fillId="0" borderId="0" xfId="1" applyNumberFormat="1" applyFont="1" applyFill="1" applyBorder="1" applyAlignment="1" applyProtection="1"/>
    <xf numFmtId="0" fontId="10" fillId="9" borderId="0" xfId="8" applyNumberFormat="1" applyFont="1" applyFill="1" applyBorder="1" applyAlignment="1" applyProtection="1"/>
    <xf numFmtId="0" fontId="43" fillId="9" borderId="0" xfId="7" applyNumberFormat="1" applyFont="1" applyFill="1" applyBorder="1" applyAlignment="1" applyProtection="1"/>
    <xf numFmtId="0" fontId="31" fillId="0" borderId="0" xfId="1" applyNumberFormat="1" applyFont="1" applyFill="1" applyBorder="1" applyAlignment="1" applyProtection="1"/>
    <xf numFmtId="10" fontId="31" fillId="0" borderId="0" xfId="1" applyNumberFormat="1" applyFont="1" applyFill="1" applyBorder="1" applyAlignment="1" applyProtection="1"/>
    <xf numFmtId="0" fontId="18" fillId="0" borderId="0" xfId="1" applyNumberFormat="1" applyFont="1" applyFill="1" applyBorder="1" applyAlignment="1" applyProtection="1"/>
    <xf numFmtId="0" fontId="27" fillId="0" borderId="0" xfId="1" applyNumberFormat="1" applyFont="1" applyFill="1" applyBorder="1" applyAlignment="1" applyProtection="1"/>
    <xf numFmtId="0" fontId="40" fillId="0" borderId="0" xfId="1" applyNumberFormat="1" applyFont="1" applyFill="1" applyBorder="1" applyAlignment="1" applyProtection="1"/>
    <xf numFmtId="170" fontId="5" fillId="0" borderId="0" xfId="1" applyNumberFormat="1" applyFont="1" applyFill="1" applyBorder="1" applyAlignment="1" applyProtection="1"/>
    <xf numFmtId="0" fontId="5" fillId="0" borderId="1" xfId="1" applyNumberFormat="1" applyFont="1" applyFill="1" applyBorder="1" applyAlignment="1" applyProtection="1"/>
    <xf numFmtId="168" fontId="5" fillId="0" borderId="1" xfId="1" applyNumberFormat="1" applyFont="1" applyFill="1" applyBorder="1" applyAlignment="1" applyProtection="1"/>
    <xf numFmtId="171" fontId="7" fillId="0" borderId="7" xfId="1" applyNumberFormat="1" applyFont="1" applyFill="1" applyBorder="1" applyAlignment="1" applyProtection="1">
      <alignment horizontal="center"/>
    </xf>
    <xf numFmtId="0" fontId="36" fillId="0" borderId="0" xfId="0" applyFont="1" applyProtection="1"/>
    <xf numFmtId="0" fontId="5" fillId="0" borderId="0" xfId="1" applyNumberFormat="1" applyFont="1" applyFill="1" applyBorder="1" applyAlignment="1" applyProtection="1">
      <alignment horizontal="left" indent="1"/>
    </xf>
    <xf numFmtId="0" fontId="5" fillId="0" borderId="1" xfId="1" applyNumberFormat="1" applyFont="1" applyFill="1" applyBorder="1" applyAlignment="1" applyProtection="1">
      <alignment horizontal="left" indent="1"/>
    </xf>
    <xf numFmtId="0" fontId="6" fillId="0" borderId="0" xfId="1" applyNumberFormat="1" applyFont="1" applyFill="1" applyBorder="1" applyAlignment="1" applyProtection="1">
      <alignment horizontal="left"/>
    </xf>
    <xf numFmtId="171" fontId="7" fillId="0" borderId="0" xfId="1" applyNumberFormat="1" applyFont="1" applyFill="1" applyBorder="1" applyAlignment="1" applyProtection="1">
      <alignment horizontal="center"/>
    </xf>
    <xf numFmtId="168" fontId="6" fillId="0" borderId="0" xfId="0" applyNumberFormat="1" applyFont="1" applyProtection="1"/>
    <xf numFmtId="0" fontId="6" fillId="0" borderId="0" xfId="0" applyFont="1" applyProtection="1"/>
    <xf numFmtId="0" fontId="2" fillId="0" borderId="0" xfId="7" applyNumberFormat="1" applyFont="1" applyFill="1" applyBorder="1" applyAlignment="1" applyProtection="1"/>
    <xf numFmtId="0" fontId="2" fillId="5" borderId="0" xfId="7" applyNumberFormat="1" applyFont="1" applyFill="1" applyBorder="1" applyAlignment="1" applyProtection="1"/>
    <xf numFmtId="0" fontId="0" fillId="0" borderId="0" xfId="0" applyAlignment="1" applyProtection="1">
      <alignment vertical="top"/>
    </xf>
    <xf numFmtId="0" fontId="19" fillId="0" borderId="0" xfId="1" applyNumberFormat="1" applyFont="1" applyFill="1" applyBorder="1" applyAlignment="1" applyProtection="1"/>
    <xf numFmtId="173" fontId="2" fillId="2" borderId="0" xfId="1" applyNumberFormat="1" applyFont="1" applyFill="1" applyBorder="1" applyAlignment="1" applyProtection="1">
      <alignment horizontal="right"/>
    </xf>
    <xf numFmtId="173" fontId="5" fillId="0" borderId="0" xfId="1" applyNumberFormat="1" applyFont="1" applyFill="1" applyBorder="1" applyAlignment="1" applyProtection="1"/>
    <xf numFmtId="9" fontId="15" fillId="0" borderId="0" xfId="1" applyNumberFormat="1" applyFont="1" applyFill="1" applyBorder="1" applyAlignment="1" applyProtection="1"/>
    <xf numFmtId="0" fontId="5" fillId="0" borderId="9" xfId="1" applyNumberFormat="1" applyFont="1" applyFill="1" applyBorder="1" applyAlignment="1" applyProtection="1"/>
    <xf numFmtId="0" fontId="5" fillId="0" borderId="10" xfId="1" applyNumberFormat="1" applyFont="1" applyFill="1" applyBorder="1" applyAlignment="1" applyProtection="1"/>
    <xf numFmtId="0" fontId="5" fillId="0" borderId="11" xfId="1" applyNumberFormat="1" applyFont="1" applyFill="1" applyBorder="1" applyAlignment="1" applyProtection="1"/>
    <xf numFmtId="10" fontId="2" fillId="0" borderId="10" xfId="1" applyNumberFormat="1" applyFont="1" applyFill="1" applyBorder="1" applyAlignment="1" applyProtection="1"/>
    <xf numFmtId="10" fontId="33" fillId="0" borderId="10" xfId="1" applyNumberFormat="1" applyFont="1" applyFill="1" applyBorder="1" applyAlignment="1" applyProtection="1"/>
    <xf numFmtId="180" fontId="5" fillId="0" borderId="0" xfId="1" applyNumberFormat="1" applyFont="1" applyFill="1" applyBorder="1" applyAlignment="1" applyProtection="1"/>
    <xf numFmtId="180" fontId="5" fillId="0" borderId="0" xfId="1" applyNumberFormat="1" applyFont="1" applyFill="1" applyBorder="1" applyAlignment="1" applyProtection="1">
      <alignment horizontal="center"/>
    </xf>
    <xf numFmtId="180" fontId="5" fillId="0" borderId="0" xfId="1" applyNumberFormat="1" applyFont="1" applyFill="1" applyBorder="1" applyAlignment="1" applyProtection="1">
      <alignment horizontal="right"/>
    </xf>
    <xf numFmtId="10" fontId="5" fillId="0" borderId="1" xfId="1" applyNumberFormat="1" applyFont="1" applyFill="1" applyBorder="1" applyAlignment="1" applyProtection="1"/>
    <xf numFmtId="0" fontId="6" fillId="0" borderId="0" xfId="1" applyNumberFormat="1" applyFont="1" applyFill="1" applyBorder="1" applyAlignment="1" applyProtection="1"/>
    <xf numFmtId="181" fontId="5" fillId="0" borderId="0" xfId="1" applyNumberFormat="1" applyFont="1" applyFill="1" applyBorder="1" applyAlignment="1" applyProtection="1"/>
    <xf numFmtId="0" fontId="20" fillId="0" borderId="0" xfId="1" applyNumberFormat="1" applyFont="1" applyFill="1" applyBorder="1" applyAlignment="1" applyProtection="1"/>
    <xf numFmtId="182" fontId="5" fillId="0" borderId="0" xfId="1" applyNumberFormat="1" applyFont="1" applyFill="1" applyBorder="1" applyAlignment="1" applyProtection="1"/>
    <xf numFmtId="9" fontId="5" fillId="0" borderId="0" xfId="1" applyNumberFormat="1" applyFont="1" applyFill="1" applyBorder="1" applyAlignment="1" applyProtection="1"/>
    <xf numFmtId="192" fontId="5" fillId="0" borderId="0" xfId="1" applyNumberFormat="1" applyFont="1" applyFill="1" applyBorder="1" applyAlignment="1" applyProtection="1"/>
    <xf numFmtId="10" fontId="33" fillId="0" borderId="0" xfId="1" applyNumberFormat="1" applyFont="1" applyFill="1" applyBorder="1" applyAlignment="1" applyProtection="1"/>
    <xf numFmtId="10" fontId="5" fillId="0" borderId="10" xfId="1" applyNumberFormat="1" applyFont="1" applyFill="1" applyBorder="1" applyAlignment="1" applyProtection="1"/>
    <xf numFmtId="168" fontId="33" fillId="7" borderId="0" xfId="1" applyNumberFormat="1" applyFont="1" applyFill="1" applyBorder="1" applyAlignment="1" applyProtection="1"/>
    <xf numFmtId="4" fontId="5" fillId="0" borderId="0" xfId="1" applyNumberFormat="1" applyFont="1" applyFill="1" applyBorder="1" applyAlignment="1" applyProtection="1"/>
    <xf numFmtId="166" fontId="5" fillId="0" borderId="0" xfId="1" applyNumberFormat="1" applyFont="1" applyFill="1" applyBorder="1" applyAlignment="1" applyProtection="1"/>
    <xf numFmtId="168" fontId="5" fillId="5" borderId="0" xfId="1" applyNumberFormat="1" applyFont="1" applyFill="1" applyBorder="1" applyAlignment="1" applyProtection="1"/>
    <xf numFmtId="171" fontId="7" fillId="0" borderId="8" xfId="1" applyNumberFormat="1" applyFont="1" applyFill="1" applyBorder="1" applyAlignment="1" applyProtection="1">
      <alignment horizontal="center"/>
    </xf>
    <xf numFmtId="10" fontId="15" fillId="0" borderId="0" xfId="1" applyNumberFormat="1" applyFont="1" applyFill="1" applyBorder="1" applyAlignment="1" applyProtection="1"/>
    <xf numFmtId="10" fontId="33" fillId="7" borderId="0" xfId="1" applyNumberFormat="1" applyFont="1" applyFill="1" applyBorder="1" applyAlignment="1" applyProtection="1"/>
    <xf numFmtId="168" fontId="3" fillId="0" borderId="0" xfId="1" applyNumberFormat="1" applyFont="1" applyFill="1" applyBorder="1" applyAlignment="1" applyProtection="1"/>
    <xf numFmtId="0" fontId="5" fillId="5" borderId="0" xfId="1" applyNumberFormat="1" applyFont="1" applyFill="1" applyBorder="1" applyAlignment="1" applyProtection="1"/>
    <xf numFmtId="0" fontId="19" fillId="5" borderId="0" xfId="1" applyNumberFormat="1" applyFont="1" applyFill="1" applyBorder="1" applyAlignment="1" applyProtection="1"/>
    <xf numFmtId="0" fontId="21" fillId="5" borderId="0" xfId="1" applyNumberFormat="1" applyFont="1" applyFill="1" applyBorder="1" applyAlignment="1" applyProtection="1"/>
    <xf numFmtId="0" fontId="25" fillId="5" borderId="0" xfId="1" applyNumberFormat="1" applyFont="1" applyFill="1" applyBorder="1" applyAlignment="1" applyProtection="1"/>
    <xf numFmtId="0" fontId="24" fillId="5" borderId="0" xfId="1" applyNumberFormat="1" applyFont="1" applyFill="1" applyBorder="1" applyAlignment="1" applyProtection="1"/>
    <xf numFmtId="173" fontId="24" fillId="0" borderId="0" xfId="1" applyNumberFormat="1" applyFont="1" applyFill="1" applyBorder="1" applyAlignment="1" applyProtection="1"/>
    <xf numFmtId="0" fontId="24" fillId="0" borderId="0" xfId="1" applyNumberFormat="1" applyFont="1" applyFill="1" applyBorder="1" applyAlignment="1" applyProtection="1"/>
    <xf numFmtId="168" fontId="24" fillId="0" borderId="0" xfId="1" applyNumberFormat="1" applyFont="1" applyFill="1" applyBorder="1" applyAlignment="1" applyProtection="1"/>
    <xf numFmtId="0" fontId="26" fillId="0" borderId="0" xfId="1" applyNumberFormat="1" applyFont="1" applyFill="1" applyBorder="1" applyAlignment="1" applyProtection="1"/>
    <xf numFmtId="176" fontId="2" fillId="0" borderId="0" xfId="1" applyNumberFormat="1" applyFont="1" applyFill="1" applyBorder="1" applyAlignment="1" applyProtection="1"/>
    <xf numFmtId="170" fontId="3" fillId="0" borderId="0" xfId="1" applyNumberFormat="1" applyFont="1" applyFill="1" applyBorder="1" applyAlignment="1" applyProtection="1"/>
    <xf numFmtId="10" fontId="3" fillId="0" borderId="0" xfId="1" applyNumberFormat="1" applyFont="1" applyFill="1" applyBorder="1" applyAlignment="1" applyProtection="1"/>
    <xf numFmtId="187" fontId="3" fillId="0" borderId="0" xfId="1" applyNumberFormat="1" applyFont="1" applyFill="1" applyBorder="1" applyAlignment="1" applyProtection="1"/>
    <xf numFmtId="0" fontId="13" fillId="0" borderId="0" xfId="1" applyNumberFormat="1" applyFont="1" applyFill="1" applyBorder="1" applyAlignment="1" applyProtection="1"/>
    <xf numFmtId="0" fontId="38" fillId="7" borderId="0" xfId="1" applyNumberFormat="1" applyFont="1" applyFill="1" applyBorder="1" applyAlignment="1" applyProtection="1"/>
    <xf numFmtId="168" fontId="38" fillId="7" borderId="0" xfId="1" applyNumberFormat="1" applyFont="1" applyFill="1" applyBorder="1" applyAlignment="1" applyProtection="1"/>
    <xf numFmtId="0" fontId="22" fillId="0" borderId="0" xfId="1" applyNumberFormat="1" applyFont="1" applyFill="1" applyBorder="1" applyAlignment="1" applyProtection="1"/>
    <xf numFmtId="0" fontId="55" fillId="0" borderId="0" xfId="1" applyNumberFormat="1" applyFont="1" applyFill="1" applyBorder="1" applyAlignment="1" applyProtection="1"/>
    <xf numFmtId="0" fontId="16" fillId="0" borderId="0" xfId="1" applyNumberFormat="1" applyFont="1" applyFill="1" applyBorder="1" applyAlignment="1" applyProtection="1"/>
    <xf numFmtId="173" fontId="2" fillId="0" borderId="0" xfId="1" applyNumberFormat="1" applyFont="1" applyFill="1" applyBorder="1" applyAlignment="1" applyProtection="1"/>
    <xf numFmtId="168" fontId="5" fillId="0" borderId="0" xfId="1" applyNumberFormat="1" applyFont="1" applyFill="1" applyBorder="1" applyAlignment="1" applyProtection="1">
      <alignment horizontal="right"/>
    </xf>
    <xf numFmtId="168" fontId="33" fillId="0" borderId="1" xfId="1" applyNumberFormat="1" applyFont="1" applyFill="1" applyBorder="1" applyAlignment="1" applyProtection="1"/>
    <xf numFmtId="165" fontId="5" fillId="0" borderId="0" xfId="1" applyNumberFormat="1" applyFont="1" applyFill="1" applyBorder="1" applyAlignment="1" applyProtection="1"/>
    <xf numFmtId="1" fontId="2" fillId="0" borderId="0" xfId="1" applyNumberFormat="1" applyFont="1" applyFill="1" applyBorder="1" applyAlignment="1" applyProtection="1">
      <alignment horizontal="right"/>
    </xf>
    <xf numFmtId="0" fontId="6" fillId="0" borderId="9" xfId="1" applyNumberFormat="1" applyFont="1" applyFill="1" applyBorder="1" applyAlignment="1" applyProtection="1"/>
    <xf numFmtId="0" fontId="6" fillId="0" borderId="10" xfId="1" applyNumberFormat="1" applyFont="1" applyFill="1" applyBorder="1" applyAlignment="1" applyProtection="1"/>
    <xf numFmtId="168" fontId="6" fillId="0" borderId="10" xfId="1" applyNumberFormat="1" applyFont="1" applyFill="1" applyBorder="1" applyAlignment="1" applyProtection="1"/>
    <xf numFmtId="168" fontId="6" fillId="0" borderId="0" xfId="1" applyNumberFormat="1" applyFont="1" applyFill="1" applyBorder="1" applyAlignment="1" applyProtection="1"/>
    <xf numFmtId="0" fontId="5" fillId="0" borderId="3" xfId="1" applyNumberFormat="1" applyFont="1" applyFill="1" applyBorder="1" applyAlignment="1" applyProtection="1"/>
    <xf numFmtId="172" fontId="5" fillId="0" borderId="3" xfId="1" applyNumberFormat="1" applyFont="1" applyFill="1" applyBorder="1" applyAlignment="1" applyProtection="1"/>
    <xf numFmtId="168" fontId="5" fillId="0" borderId="3" xfId="1" applyNumberFormat="1" applyFont="1" applyFill="1" applyBorder="1" applyAlignment="1" applyProtection="1"/>
    <xf numFmtId="183" fontId="5" fillId="0" borderId="0" xfId="1" applyNumberFormat="1" applyFont="1" applyFill="1" applyBorder="1" applyAlignment="1" applyProtection="1"/>
    <xf numFmtId="0" fontId="23" fillId="0" borderId="0" xfId="1" applyNumberFormat="1" applyFont="1" applyFill="1" applyBorder="1" applyAlignment="1" applyProtection="1">
      <alignment horizontal="left"/>
    </xf>
    <xf numFmtId="10" fontId="2" fillId="7" borderId="0" xfId="1" applyNumberFormat="1" applyFont="1" applyFill="1" applyBorder="1" applyAlignment="1" applyProtection="1"/>
    <xf numFmtId="168" fontId="8" fillId="0" borderId="0" xfId="1" applyNumberFormat="1" applyFont="1" applyFill="1" applyBorder="1" applyAlignment="1" applyProtection="1"/>
    <xf numFmtId="181" fontId="5" fillId="0" borderId="1" xfId="1" applyNumberFormat="1" applyFont="1" applyFill="1" applyBorder="1" applyAlignment="1" applyProtection="1"/>
    <xf numFmtId="176" fontId="12" fillId="0" borderId="0" xfId="1" applyNumberFormat="1" applyFont="1" applyFill="1" applyBorder="1" applyAlignment="1" applyProtection="1"/>
    <xf numFmtId="171" fontId="6" fillId="0" borderId="0" xfId="1" applyNumberFormat="1" applyFont="1" applyFill="1" applyBorder="1" applyAlignment="1" applyProtection="1">
      <alignment horizontal="center"/>
    </xf>
    <xf numFmtId="10" fontId="33" fillId="0" borderId="0" xfId="2" applyNumberFormat="1" applyFont="1" applyFill="1" applyBorder="1" applyAlignment="1" applyProtection="1"/>
    <xf numFmtId="10" fontId="2" fillId="0" borderId="0" xfId="1" applyNumberFormat="1" applyFont="1" applyFill="1" applyBorder="1" applyAlignment="1" applyProtection="1"/>
    <xf numFmtId="0" fontId="0" fillId="0" borderId="0" xfId="1" applyNumberFormat="1" applyFont="1" applyFill="1" applyBorder="1" applyAlignment="1" applyProtection="1"/>
    <xf numFmtId="0" fontId="6" fillId="0" borderId="3" xfId="1" applyNumberFormat="1" applyFont="1" applyFill="1" applyBorder="1" applyAlignment="1" applyProtection="1">
      <alignment horizontal="left"/>
    </xf>
    <xf numFmtId="0" fontId="6" fillId="0" borderId="3" xfId="1" applyNumberFormat="1" applyFont="1" applyFill="1" applyBorder="1" applyAlignment="1" applyProtection="1"/>
    <xf numFmtId="168" fontId="6" fillId="0" borderId="3" xfId="1" applyNumberFormat="1" applyFont="1" applyFill="1" applyBorder="1" applyAlignment="1" applyProtection="1"/>
    <xf numFmtId="0" fontId="0" fillId="0" borderId="3" xfId="0" applyBorder="1" applyProtection="1"/>
    <xf numFmtId="10" fontId="16" fillId="0" borderId="0" xfId="1" applyNumberFormat="1" applyFont="1" applyFill="1" applyBorder="1" applyAlignment="1" applyProtection="1">
      <alignment horizontal="center" vertical="center"/>
    </xf>
    <xf numFmtId="10" fontId="16" fillId="0" borderId="0" xfId="1" applyNumberFormat="1" applyFont="1" applyFill="1" applyBorder="1" applyAlignment="1" applyProtection="1"/>
    <xf numFmtId="168" fontId="5" fillId="0" borderId="0" xfId="1" applyNumberFormat="1" applyFont="1" applyFill="1" applyBorder="1" applyAlignment="1" applyProtection="1">
      <alignment horizontal="left"/>
    </xf>
    <xf numFmtId="172" fontId="5" fillId="0" borderId="1" xfId="1" applyNumberFormat="1" applyFont="1" applyFill="1" applyBorder="1" applyAlignment="1" applyProtection="1"/>
    <xf numFmtId="172" fontId="6" fillId="0" borderId="0" xfId="1" applyNumberFormat="1" applyFont="1" applyFill="1" applyBorder="1" applyAlignment="1" applyProtection="1"/>
    <xf numFmtId="0" fontId="6" fillId="0" borderId="0" xfId="1" applyNumberFormat="1" applyFont="1" applyFill="1" applyBorder="1" applyAlignment="1" applyProtection="1">
      <alignment horizontal="left" indent="1"/>
    </xf>
    <xf numFmtId="0" fontId="5" fillId="2" borderId="0" xfId="1" applyNumberFormat="1" applyFont="1" applyFill="1" applyBorder="1" applyAlignment="1" applyProtection="1"/>
    <xf numFmtId="0" fontId="6" fillId="3" borderId="0" xfId="1" applyNumberFormat="1" applyFont="1" applyFill="1" applyBorder="1" applyAlignment="1" applyProtection="1"/>
    <xf numFmtId="175" fontId="6" fillId="3" borderId="0" xfId="1" applyNumberFormat="1" applyFont="1" applyFill="1" applyBorder="1" applyAlignment="1" applyProtection="1">
      <alignment horizontal="right"/>
    </xf>
    <xf numFmtId="175" fontId="5" fillId="0" borderId="0" xfId="1" applyNumberFormat="1" applyFont="1" applyFill="1" applyBorder="1" applyAlignment="1" applyProtection="1"/>
    <xf numFmtId="172" fontId="33" fillId="0" borderId="0" xfId="1" applyNumberFormat="1" applyFont="1" applyFill="1" applyBorder="1" applyAlignment="1" applyProtection="1"/>
    <xf numFmtId="188" fontId="5" fillId="0" borderId="0" xfId="1" applyNumberFormat="1" applyFont="1" applyFill="1" applyBorder="1" applyAlignment="1" applyProtection="1"/>
    <xf numFmtId="0" fontId="2" fillId="0" borderId="0" xfId="1" applyNumberFormat="1" applyFont="1" applyFill="1" applyBorder="1" applyAlignment="1" applyProtection="1">
      <protection locked="0"/>
    </xf>
    <xf numFmtId="10" fontId="5" fillId="0" borderId="0" xfId="1" applyNumberFormat="1" applyFont="1" applyFill="1" applyBorder="1" applyAlignment="1" applyProtection="1">
      <protection locked="0"/>
    </xf>
    <xf numFmtId="10" fontId="33" fillId="7" borderId="0" xfId="1" applyNumberFormat="1" applyFont="1" applyFill="1" applyBorder="1" applyAlignment="1" applyProtection="1">
      <protection locked="0"/>
    </xf>
    <xf numFmtId="0" fontId="56" fillId="0" borderId="0" xfId="0" applyFont="1"/>
    <xf numFmtId="3" fontId="57" fillId="0" borderId="49" xfId="0" applyNumberFormat="1" applyFont="1" applyBorder="1"/>
    <xf numFmtId="0" fontId="56" fillId="0" borderId="49" xfId="0" applyFont="1" applyBorder="1"/>
    <xf numFmtId="0" fontId="57" fillId="0" borderId="50" xfId="0" applyFont="1" applyBorder="1"/>
    <xf numFmtId="0" fontId="58" fillId="0" borderId="0" xfId="4" applyFont="1" applyFill="1"/>
    <xf numFmtId="3" fontId="56" fillId="0" borderId="0" xfId="0" applyNumberFormat="1" applyFont="1" applyBorder="1"/>
    <xf numFmtId="0" fontId="56" fillId="0" borderId="0" xfId="0" applyFont="1" applyBorder="1"/>
    <xf numFmtId="0" fontId="56" fillId="0" borderId="51" xfId="0" applyFont="1" applyBorder="1"/>
    <xf numFmtId="0" fontId="58" fillId="0" borderId="0" xfId="4" applyFont="1" applyFill="1" applyBorder="1"/>
    <xf numFmtId="0" fontId="56" fillId="0" borderId="51" xfId="0" applyFont="1" applyFill="1" applyBorder="1"/>
    <xf numFmtId="3" fontId="58" fillId="0" borderId="0" xfId="4" applyNumberFormat="1" applyFont="1" applyFill="1"/>
    <xf numFmtId="3" fontId="56" fillId="0" borderId="52" xfId="0" applyNumberFormat="1" applyFont="1" applyBorder="1"/>
    <xf numFmtId="0" fontId="56" fillId="0" borderId="52" xfId="0" applyFont="1" applyBorder="1"/>
    <xf numFmtId="0" fontId="56" fillId="0" borderId="53" xfId="0" applyFont="1" applyBorder="1"/>
    <xf numFmtId="3" fontId="56" fillId="0" borderId="0" xfId="0" applyNumberFormat="1" applyFont="1"/>
    <xf numFmtId="0" fontId="59" fillId="0" borderId="40" xfId="0" applyFont="1" applyBorder="1"/>
    <xf numFmtId="173" fontId="5" fillId="0" borderId="0" xfId="1" applyNumberFormat="1" applyFont="1" applyFill="1" applyBorder="1" applyAlignment="1" applyProtection="1">
      <protection locked="0"/>
    </xf>
    <xf numFmtId="0" fontId="29" fillId="0" borderId="0" xfId="1" applyNumberFormat="1" applyFont="1" applyFill="1" applyBorder="1" applyAlignment="1" applyProtection="1">
      <alignment horizontal="center"/>
      <protection locked="0"/>
    </xf>
    <xf numFmtId="0" fontId="5" fillId="3" borderId="0" xfId="1" applyNumberFormat="1" applyFont="1" applyFill="1" applyBorder="1" applyAlignment="1" applyProtection="1">
      <alignment horizontal="center"/>
      <protection locked="0"/>
    </xf>
    <xf numFmtId="0" fontId="6" fillId="3" borderId="0" xfId="1" applyNumberFormat="1" applyFont="1" applyFill="1" applyBorder="1" applyAlignment="1" applyProtection="1">
      <alignment horizontal="center"/>
      <protection locked="0"/>
    </xf>
    <xf numFmtId="0" fontId="19" fillId="0" borderId="9" xfId="1" applyNumberFormat="1" applyFont="1" applyFill="1" applyBorder="1" applyAlignment="1" applyProtection="1">
      <protection locked="0"/>
    </xf>
    <xf numFmtId="0" fontId="5" fillId="0" borderId="10" xfId="1" applyNumberFormat="1" applyFont="1" applyFill="1" applyBorder="1" applyAlignment="1" applyProtection="1">
      <protection locked="0"/>
    </xf>
    <xf numFmtId="0" fontId="5" fillId="0" borderId="13" xfId="1" applyNumberFormat="1" applyFont="1" applyFill="1" applyBorder="1" applyAlignment="1" applyProtection="1">
      <protection locked="0"/>
    </xf>
    <xf numFmtId="0" fontId="6" fillId="0" borderId="14" xfId="1" applyNumberFormat="1" applyFont="1" applyFill="1" applyBorder="1" applyAlignment="1" applyProtection="1">
      <alignment horizontal="center"/>
      <protection locked="0"/>
    </xf>
    <xf numFmtId="168" fontId="5" fillId="0" borderId="10" xfId="1" applyNumberFormat="1" applyFont="1" applyFill="1" applyBorder="1" applyAlignment="1" applyProtection="1">
      <protection locked="0"/>
    </xf>
    <xf numFmtId="0" fontId="5" fillId="0" borderId="15" xfId="1" applyNumberFormat="1" applyFont="1" applyFill="1" applyBorder="1" applyAlignment="1" applyProtection="1">
      <protection locked="0"/>
    </xf>
    <xf numFmtId="0" fontId="5" fillId="0" borderId="16" xfId="1" applyNumberFormat="1" applyFont="1" applyFill="1" applyBorder="1" applyAlignment="1" applyProtection="1">
      <protection locked="0"/>
    </xf>
    <xf numFmtId="168" fontId="5" fillId="0" borderId="13" xfId="1" applyNumberFormat="1" applyFont="1" applyFill="1" applyBorder="1" applyAlignment="1" applyProtection="1">
      <protection locked="0"/>
    </xf>
    <xf numFmtId="0" fontId="5" fillId="0" borderId="9" xfId="1" applyNumberFormat="1" applyFont="1" applyFill="1" applyBorder="1" applyAlignment="1" applyProtection="1">
      <protection locked="0"/>
    </xf>
    <xf numFmtId="168" fontId="5" fillId="0" borderId="11" xfId="1" applyNumberFormat="1" applyFont="1" applyFill="1" applyBorder="1" applyAlignment="1" applyProtection="1">
      <protection locked="0"/>
    </xf>
    <xf numFmtId="168" fontId="5" fillId="0" borderId="9" xfId="1" applyNumberFormat="1" applyFont="1" applyFill="1" applyBorder="1" applyAlignment="1" applyProtection="1">
      <protection locked="0"/>
    </xf>
    <xf numFmtId="168" fontId="5" fillId="0" borderId="0" xfId="1" applyNumberFormat="1" applyFont="1" applyFill="1" applyBorder="1" applyAlignment="1" applyProtection="1">
      <protection locked="0"/>
    </xf>
    <xf numFmtId="0" fontId="5" fillId="0" borderId="5" xfId="1" applyNumberFormat="1" applyFont="1" applyFill="1" applyBorder="1" applyAlignment="1" applyProtection="1">
      <protection locked="0"/>
    </xf>
    <xf numFmtId="0" fontId="5" fillId="0" borderId="17" xfId="1" applyNumberFormat="1" applyFont="1" applyFill="1" applyBorder="1" applyAlignment="1" applyProtection="1">
      <protection locked="0"/>
    </xf>
    <xf numFmtId="0" fontId="11" fillId="0" borderId="0" xfId="1" applyNumberFormat="1" applyFont="1" applyFill="1" applyBorder="1" applyAlignment="1" applyProtection="1">
      <protection locked="0"/>
    </xf>
    <xf numFmtId="0" fontId="11" fillId="0" borderId="18" xfId="1" applyNumberFormat="1" applyFont="1" applyFill="1" applyBorder="1" applyAlignment="1" applyProtection="1">
      <protection locked="0"/>
    </xf>
    <xf numFmtId="0" fontId="32" fillId="2" borderId="0" xfId="1" applyNumberFormat="1" applyFont="1" applyFill="1" applyBorder="1" applyAlignment="1" applyProtection="1">
      <protection locked="0"/>
    </xf>
    <xf numFmtId="0" fontId="33" fillId="3" borderId="19" xfId="1" applyNumberFormat="1" applyFont="1" applyFill="1" applyBorder="1" applyAlignment="1" applyProtection="1">
      <protection locked="0"/>
    </xf>
    <xf numFmtId="0" fontId="33" fillId="3" borderId="10" xfId="1" applyNumberFormat="1" applyFont="1" applyFill="1" applyBorder="1" applyAlignment="1" applyProtection="1">
      <protection locked="0"/>
    </xf>
    <xf numFmtId="168" fontId="33" fillId="3" borderId="10" xfId="1" applyNumberFormat="1" applyFont="1" applyFill="1" applyBorder="1" applyAlignment="1" applyProtection="1">
      <protection locked="0"/>
    </xf>
    <xf numFmtId="168" fontId="35" fillId="3" borderId="20" xfId="1" applyNumberFormat="1" applyFont="1" applyFill="1" applyBorder="1" applyAlignment="1" applyProtection="1">
      <alignment horizontal="center"/>
      <protection locked="0"/>
    </xf>
    <xf numFmtId="168" fontId="33" fillId="3" borderId="11" xfId="1" applyNumberFormat="1" applyFont="1" applyFill="1" applyBorder="1" applyAlignment="1" applyProtection="1">
      <protection locked="0"/>
    </xf>
    <xf numFmtId="168" fontId="33" fillId="3" borderId="9" xfId="1" applyNumberFormat="1" applyFont="1" applyFill="1" applyBorder="1" applyAlignment="1" applyProtection="1">
      <protection locked="0"/>
    </xf>
    <xf numFmtId="168" fontId="35" fillId="3" borderId="21" xfId="1" applyNumberFormat="1" applyFont="1" applyFill="1" applyBorder="1" applyAlignment="1" applyProtection="1">
      <alignment horizontal="center"/>
      <protection locked="0"/>
    </xf>
    <xf numFmtId="4" fontId="6" fillId="0" borderId="0" xfId="1" applyNumberFormat="1" applyFont="1" applyFill="1" applyBorder="1" applyAlignment="1"/>
    <xf numFmtId="168" fontId="37" fillId="0" borderId="0" xfId="1" applyNumberFormat="1" applyFont="1" applyFill="1" applyBorder="1" applyAlignment="1"/>
    <xf numFmtId="10" fontId="33" fillId="0" borderId="0" xfId="1" applyNumberFormat="1" applyFont="1" applyFill="1" applyBorder="1" applyAlignment="1" applyProtection="1">
      <protection locked="0"/>
    </xf>
    <xf numFmtId="3" fontId="33" fillId="0" borderId="0" xfId="1" applyNumberFormat="1" applyFont="1" applyFill="1" applyBorder="1" applyAlignment="1" applyProtection="1"/>
    <xf numFmtId="10" fontId="33" fillId="6" borderId="0" xfId="1" applyNumberFormat="1" applyFont="1" applyFill="1" applyBorder="1" applyAlignment="1" applyProtection="1">
      <alignment horizontal="right"/>
    </xf>
    <xf numFmtId="10" fontId="33" fillId="6" borderId="0" xfId="1" applyNumberFormat="1" applyFont="1" applyFill="1" applyBorder="1" applyAlignment="1" applyProtection="1">
      <alignment horizontal="right"/>
      <protection locked="0"/>
    </xf>
    <xf numFmtId="0" fontId="0" fillId="6" borderId="0" xfId="0" applyFill="1" applyProtection="1"/>
    <xf numFmtId="0" fontId="8" fillId="6" borderId="0" xfId="1" applyNumberFormat="1" applyFont="1" applyFill="1" applyBorder="1" applyAlignment="1" applyProtection="1">
      <alignment horizontal="right"/>
      <protection locked="0"/>
    </xf>
    <xf numFmtId="0" fontId="0" fillId="6" borderId="0" xfId="0" applyFill="1" applyProtection="1">
      <protection locked="0"/>
    </xf>
    <xf numFmtId="172" fontId="11" fillId="6" borderId="0" xfId="8" applyNumberFormat="1" applyFont="1" applyFill="1" applyBorder="1" applyAlignment="1" applyProtection="1">
      <alignment horizontal="right" vertical="top"/>
    </xf>
    <xf numFmtId="1" fontId="11" fillId="6" borderId="0" xfId="8" applyNumberFormat="1" applyFont="1" applyFill="1" applyBorder="1" applyAlignment="1" applyProtection="1">
      <alignment horizontal="right" vertical="top"/>
      <protection locked="0"/>
    </xf>
    <xf numFmtId="1" fontId="11" fillId="6" borderId="0" xfId="8" applyNumberFormat="1" applyFont="1" applyFill="1" applyBorder="1" applyAlignment="1" applyProtection="1">
      <alignment horizontal="right" vertical="top"/>
    </xf>
    <xf numFmtId="10" fontId="11" fillId="6" borderId="0" xfId="8" applyNumberFormat="1" applyFont="1" applyFill="1" applyBorder="1" applyAlignment="1" applyProtection="1"/>
    <xf numFmtId="173" fontId="11" fillId="6" borderId="0" xfId="8" applyNumberFormat="1" applyFont="1" applyFill="1" applyBorder="1" applyAlignment="1" applyProtection="1"/>
    <xf numFmtId="0" fontId="33" fillId="6" borderId="0" xfId="0" applyFont="1" applyFill="1" applyProtection="1"/>
    <xf numFmtId="168" fontId="6" fillId="0" borderId="0" xfId="0" applyNumberFormat="1" applyFont="1"/>
    <xf numFmtId="168" fontId="54" fillId="0" borderId="0" xfId="1" applyNumberFormat="1" applyFont="1" applyFill="1" applyBorder="1" applyAlignment="1"/>
    <xf numFmtId="168" fontId="18" fillId="0" borderId="0" xfId="1" applyNumberFormat="1" applyFont="1" applyFill="1" applyBorder="1" applyAlignment="1" applyProtection="1"/>
    <xf numFmtId="168" fontId="36" fillId="0" borderId="0" xfId="0" applyNumberFormat="1" applyFont="1" applyFill="1"/>
    <xf numFmtId="0" fontId="0" fillId="0" borderId="0" xfId="0" applyAlignment="1">
      <alignment horizontal="left" indent="1"/>
    </xf>
    <xf numFmtId="0" fontId="0" fillId="0" borderId="3" xfId="0" applyBorder="1" applyAlignment="1">
      <alignment horizontal="left" indent="1"/>
    </xf>
    <xf numFmtId="0" fontId="0" fillId="0" borderId="0" xfId="0" applyBorder="1" applyAlignment="1">
      <alignment horizontal="left" indent="1"/>
    </xf>
    <xf numFmtId="0" fontId="0" fillId="0" borderId="1" xfId="0" applyBorder="1" applyAlignment="1">
      <alignment horizontal="left" indent="1"/>
    </xf>
    <xf numFmtId="0" fontId="0" fillId="0" borderId="3"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10" fillId="9" borderId="0" xfId="8" applyNumberFormat="1" applyFont="1" applyFill="1" applyBorder="1" applyAlignment="1">
      <alignment horizontal="center"/>
    </xf>
    <xf numFmtId="0" fontId="0" fillId="0" borderId="0" xfId="0" applyFill="1" applyAlignment="1">
      <alignment horizontal="center"/>
    </xf>
    <xf numFmtId="0" fontId="7" fillId="4" borderId="0" xfId="1" applyNumberFormat="1" applyFont="1" applyFill="1" applyBorder="1" applyAlignment="1">
      <alignment horizontal="center"/>
    </xf>
    <xf numFmtId="0" fontId="0" fillId="8" borderId="0" xfId="0" applyFill="1" applyAlignment="1">
      <alignment horizontal="center"/>
    </xf>
    <xf numFmtId="0" fontId="2" fillId="0" borderId="38" xfId="0" applyFont="1" applyFill="1" applyBorder="1" applyAlignment="1">
      <alignment horizontal="center"/>
    </xf>
    <xf numFmtId="0" fontId="0" fillId="7" borderId="1" xfId="0" applyFill="1" applyBorder="1"/>
    <xf numFmtId="3" fontId="6" fillId="0" borderId="0" xfId="0" applyNumberFormat="1" applyFont="1"/>
    <xf numFmtId="172" fontId="2" fillId="0" borderId="0" xfId="1" applyNumberFormat="1" applyFont="1" applyFill="1" applyBorder="1" applyAlignment="1" applyProtection="1">
      <alignment vertical="center"/>
    </xf>
    <xf numFmtId="3" fontId="2" fillId="7" borderId="0" xfId="1" applyNumberFormat="1" applyFont="1" applyFill="1" applyBorder="1" applyAlignment="1" applyProtection="1"/>
    <xf numFmtId="0" fontId="0" fillId="0" borderId="0" xfId="0" applyAlignment="1" applyProtection="1"/>
    <xf numFmtId="0" fontId="33" fillId="7" borderId="0" xfId="0" applyFont="1" applyFill="1" applyAlignment="1" applyProtection="1"/>
    <xf numFmtId="173" fontId="33" fillId="7" borderId="0" xfId="1" applyNumberFormat="1" applyFont="1" applyFill="1" applyBorder="1" applyAlignment="1" applyProtection="1"/>
    <xf numFmtId="172" fontId="2" fillId="7" borderId="0" xfId="1" applyNumberFormat="1" applyFont="1" applyFill="1" applyBorder="1" applyAlignment="1" applyProtection="1"/>
    <xf numFmtId="9" fontId="2" fillId="0" borderId="0" xfId="8" applyNumberFormat="1" applyFont="1" applyFill="1" applyBorder="1" applyAlignment="1" applyProtection="1"/>
    <xf numFmtId="2" fontId="2" fillId="0" borderId="0" xfId="1" applyNumberFormat="1" applyFont="1" applyFill="1" applyBorder="1" applyAlignment="1" applyProtection="1"/>
    <xf numFmtId="10" fontId="37" fillId="0" borderId="0" xfId="1" applyNumberFormat="1" applyFont="1" applyFill="1" applyBorder="1" applyAlignment="1" applyProtection="1"/>
    <xf numFmtId="10" fontId="3" fillId="7" borderId="0" xfId="1" applyNumberFormat="1" applyFont="1" applyFill="1" applyBorder="1" applyAlignment="1" applyProtection="1"/>
    <xf numFmtId="171" fontId="6" fillId="0" borderId="7" xfId="1" applyNumberFormat="1" applyFont="1" applyFill="1" applyBorder="1" applyAlignment="1" applyProtection="1"/>
    <xf numFmtId="0" fontId="2" fillId="7" borderId="0" xfId="0" applyFont="1" applyFill="1" applyAlignment="1" applyProtection="1"/>
    <xf numFmtId="0" fontId="5" fillId="0" borderId="3" xfId="1" applyNumberFormat="1" applyFont="1" applyFill="1" applyBorder="1" applyAlignment="1">
      <alignment horizontal="center"/>
    </xf>
    <xf numFmtId="168" fontId="7" fillId="4" borderId="0" xfId="1" applyNumberFormat="1" applyFont="1" applyFill="1" applyBorder="1" applyAlignment="1">
      <alignment horizontal="center"/>
    </xf>
    <xf numFmtId="0" fontId="10" fillId="0" borderId="0" xfId="1" applyNumberFormat="1" applyFont="1" applyFill="1" applyBorder="1" applyAlignment="1">
      <alignment horizontal="center"/>
    </xf>
    <xf numFmtId="0" fontId="0" fillId="0" borderId="1" xfId="1" applyNumberFormat="1" applyFont="1" applyFill="1" applyBorder="1" applyAlignment="1">
      <alignment horizontal="center"/>
    </xf>
    <xf numFmtId="168" fontId="6" fillId="2" borderId="0" xfId="1" applyNumberFormat="1" applyFont="1" applyFill="1" applyBorder="1" applyAlignment="1">
      <alignment horizontal="center"/>
    </xf>
    <xf numFmtId="0" fontId="0" fillId="2" borderId="1" xfId="1" applyNumberFormat="1" applyFont="1" applyFill="1" applyBorder="1" applyAlignment="1">
      <alignment horizontal="center"/>
    </xf>
    <xf numFmtId="0" fontId="0" fillId="2" borderId="0" xfId="1" applyNumberFormat="1" applyFont="1" applyFill="1" applyBorder="1" applyAlignment="1">
      <alignment horizontal="center"/>
    </xf>
    <xf numFmtId="0" fontId="6" fillId="0" borderId="1" xfId="1" applyNumberFormat="1" applyFont="1" applyFill="1" applyBorder="1" applyAlignment="1">
      <alignment horizontal="center"/>
    </xf>
    <xf numFmtId="0" fontId="0" fillId="0" borderId="10" xfId="1" applyNumberFormat="1" applyFont="1" applyFill="1" applyBorder="1" applyAlignment="1">
      <alignment horizontal="center"/>
    </xf>
    <xf numFmtId="168" fontId="6" fillId="3" borderId="0" xfId="1" applyNumberFormat="1" applyFont="1" applyFill="1" applyBorder="1" applyAlignment="1">
      <alignment horizontal="center"/>
    </xf>
    <xf numFmtId="0" fontId="0" fillId="0" borderId="0" xfId="0" applyFill="1" applyAlignment="1" applyProtection="1">
      <alignment horizontal="center"/>
    </xf>
    <xf numFmtId="0" fontId="10" fillId="9" borderId="0" xfId="8" applyNumberFormat="1" applyFont="1" applyFill="1" applyBorder="1" applyAlignment="1" applyProtection="1">
      <alignment horizontal="center"/>
    </xf>
    <xf numFmtId="0" fontId="18" fillId="0" borderId="0" xfId="1" applyNumberFormat="1" applyFont="1" applyFill="1" applyBorder="1" applyAlignment="1" applyProtection="1">
      <alignment horizontal="center"/>
    </xf>
    <xf numFmtId="0" fontId="5" fillId="0" borderId="1" xfId="1" applyNumberFormat="1" applyFont="1" applyFill="1" applyBorder="1" applyAlignment="1" applyProtection="1">
      <alignment horizontal="center"/>
    </xf>
    <xf numFmtId="0" fontId="2" fillId="0" borderId="0" xfId="1" applyNumberFormat="1" applyFont="1" applyFill="1" applyBorder="1" applyAlignment="1" applyProtection="1">
      <alignment horizontal="center"/>
    </xf>
    <xf numFmtId="0" fontId="0" fillId="0" borderId="0" xfId="0" applyAlignment="1" applyProtection="1">
      <alignment horizontal="center"/>
    </xf>
    <xf numFmtId="172" fontId="5" fillId="0" borderId="0" xfId="1" applyNumberFormat="1" applyFont="1" applyFill="1" applyBorder="1" applyAlignment="1" applyProtection="1">
      <alignment horizontal="center"/>
    </xf>
    <xf numFmtId="0" fontId="5" fillId="0" borderId="10" xfId="1" applyNumberFormat="1" applyFont="1" applyFill="1" applyBorder="1" applyAlignment="1" applyProtection="1">
      <alignment horizontal="center"/>
    </xf>
    <xf numFmtId="10" fontId="5" fillId="0" borderId="0" xfId="1" applyNumberFormat="1" applyFont="1" applyFill="1" applyBorder="1" applyAlignment="1" applyProtection="1">
      <alignment horizontal="center"/>
    </xf>
    <xf numFmtId="0" fontId="3" fillId="0" borderId="0" xfId="1" applyNumberFormat="1" applyFont="1" applyFill="1" applyBorder="1" applyAlignment="1" applyProtection="1">
      <alignment horizontal="center"/>
    </xf>
    <xf numFmtId="0" fontId="24" fillId="5" borderId="0" xfId="1" applyNumberFormat="1" applyFont="1" applyFill="1" applyBorder="1" applyAlignment="1" applyProtection="1">
      <alignment horizontal="center"/>
    </xf>
    <xf numFmtId="0" fontId="24" fillId="0" borderId="0" xfId="1" applyNumberFormat="1" applyFont="1" applyFill="1" applyBorder="1" applyAlignment="1" applyProtection="1">
      <alignment horizontal="center"/>
    </xf>
    <xf numFmtId="0" fontId="38" fillId="7" borderId="0" xfId="1" applyNumberFormat="1" applyFont="1" applyFill="1" applyBorder="1" applyAlignment="1" applyProtection="1">
      <alignment horizontal="center"/>
    </xf>
    <xf numFmtId="0" fontId="20" fillId="0" borderId="0" xfId="1" applyNumberFormat="1" applyFont="1" applyFill="1" applyBorder="1" applyAlignment="1" applyProtection="1">
      <alignment horizontal="center"/>
    </xf>
    <xf numFmtId="0" fontId="10" fillId="0" borderId="0" xfId="1" applyNumberFormat="1" applyFont="1" applyFill="1" applyBorder="1" applyAlignment="1" applyProtection="1">
      <alignment horizontal="center"/>
    </xf>
    <xf numFmtId="0" fontId="6" fillId="0" borderId="10" xfId="1" applyNumberFormat="1" applyFont="1" applyFill="1" applyBorder="1" applyAlignment="1" applyProtection="1">
      <alignment horizontal="center"/>
    </xf>
    <xf numFmtId="0" fontId="5" fillId="0" borderId="3" xfId="1" applyNumberFormat="1" applyFont="1" applyFill="1" applyBorder="1" applyAlignment="1" applyProtection="1">
      <alignment horizontal="center"/>
    </xf>
    <xf numFmtId="0" fontId="5" fillId="0" borderId="0" xfId="1" applyNumberFormat="1" applyFont="1" applyFill="1" applyBorder="1" applyAlignment="1" applyProtection="1">
      <alignment horizontal="center"/>
      <protection locked="0"/>
    </xf>
    <xf numFmtId="0" fontId="6" fillId="0" borderId="3" xfId="1" applyNumberFormat="1" applyFont="1" applyFill="1" applyBorder="1" applyAlignment="1" applyProtection="1">
      <alignment horizontal="center"/>
    </xf>
    <xf numFmtId="0" fontId="6" fillId="0" borderId="0" xfId="1" applyNumberFormat="1" applyFont="1" applyFill="1" applyBorder="1" applyAlignment="1" applyProtection="1">
      <alignment horizontal="center"/>
    </xf>
    <xf numFmtId="0" fontId="6" fillId="3" borderId="0" xfId="1" applyNumberFormat="1" applyFont="1" applyFill="1" applyBorder="1" applyAlignment="1" applyProtection="1">
      <alignment horizontal="center"/>
    </xf>
    <xf numFmtId="0" fontId="54" fillId="0" borderId="0" xfId="0" applyFont="1" applyAlignment="1">
      <alignment horizontal="center"/>
    </xf>
    <xf numFmtId="0" fontId="0" fillId="0" borderId="1" xfId="0" applyFill="1" applyBorder="1" applyAlignment="1">
      <alignment horizontal="center"/>
    </xf>
    <xf numFmtId="0" fontId="6" fillId="6" borderId="0" xfId="0" applyFont="1" applyFill="1" applyAlignment="1">
      <alignment horizontal="center"/>
    </xf>
    <xf numFmtId="0" fontId="5" fillId="0" borderId="1" xfId="1" applyNumberFormat="1" applyFont="1" applyFill="1" applyBorder="1" applyAlignment="1">
      <alignment horizontal="center"/>
    </xf>
    <xf numFmtId="0" fontId="5" fillId="0" borderId="2" xfId="1" applyNumberFormat="1" applyFont="1" applyFill="1" applyBorder="1" applyAlignment="1">
      <alignment horizontal="center"/>
    </xf>
    <xf numFmtId="0" fontId="0" fillId="0" borderId="0" xfId="1" applyNumberFormat="1" applyFont="1" applyFill="1" applyBorder="1" applyAlignment="1">
      <alignment horizontal="center"/>
    </xf>
    <xf numFmtId="0" fontId="14" fillId="2" borderId="3" xfId="1" applyNumberFormat="1" applyFont="1" applyFill="1" applyBorder="1" applyAlignment="1">
      <alignment horizontal="center"/>
    </xf>
    <xf numFmtId="0" fontId="5" fillId="0" borderId="0" xfId="1" applyNumberFormat="1" applyFont="1" applyFill="1" applyBorder="1" applyAlignment="1"/>
    <xf numFmtId="171" fontId="7" fillId="11" borderId="7" xfId="1" applyNumberFormat="1" applyFont="1" applyFill="1" applyBorder="1" applyAlignment="1" applyProtection="1">
      <alignment horizontal="center"/>
    </xf>
    <xf numFmtId="171" fontId="6" fillId="0" borderId="54" xfId="1" applyNumberFormat="1" applyFont="1" applyFill="1" applyBorder="1" applyAlignment="1" applyProtection="1"/>
    <xf numFmtId="0" fontId="6" fillId="0" borderId="0" xfId="0" applyFont="1" applyFill="1"/>
    <xf numFmtId="3" fontId="57" fillId="0" borderId="49" xfId="0" applyNumberFormat="1" applyFont="1" applyFill="1" applyBorder="1"/>
    <xf numFmtId="0" fontId="57" fillId="0" borderId="49" xfId="0" applyFont="1" applyFill="1" applyBorder="1"/>
    <xf numFmtId="3" fontId="56" fillId="0" borderId="52" xfId="0" applyNumberFormat="1" applyFont="1" applyFill="1" applyBorder="1"/>
    <xf numFmtId="3" fontId="56" fillId="0" borderId="0" xfId="0" applyNumberFormat="1" applyFont="1" applyFill="1" applyBorder="1"/>
    <xf numFmtId="3" fontId="56" fillId="0" borderId="0" xfId="0" applyNumberFormat="1" applyFont="1" applyFill="1"/>
    <xf numFmtId="0" fontId="59" fillId="0" borderId="40" xfId="0" applyFont="1" applyFill="1" applyBorder="1"/>
    <xf numFmtId="4" fontId="47" fillId="0" borderId="0" xfId="9" applyNumberFormat="1" applyFont="1" applyFill="1" applyAlignment="1" applyProtection="1">
      <alignment horizontal="right" vertical="center"/>
    </xf>
    <xf numFmtId="4" fontId="37" fillId="0" borderId="0" xfId="9" applyNumberFormat="1" applyFont="1" applyFill="1" applyAlignment="1" applyProtection="1">
      <alignment horizontal="right" vertical="center"/>
    </xf>
    <xf numFmtId="4" fontId="37" fillId="0" borderId="0" xfId="9" applyNumberFormat="1" applyFont="1" applyFill="1" applyAlignment="1" applyProtection="1">
      <alignment vertical="center"/>
    </xf>
    <xf numFmtId="4" fontId="2" fillId="0" borderId="0" xfId="9" applyNumberFormat="1" applyFont="1" applyFill="1" applyAlignment="1" applyProtection="1">
      <alignment vertical="center"/>
    </xf>
    <xf numFmtId="4" fontId="47" fillId="0" borderId="0" xfId="9" applyNumberFormat="1" applyFont="1" applyFill="1" applyAlignment="1" applyProtection="1">
      <alignment vertical="center"/>
    </xf>
    <xf numFmtId="4" fontId="2" fillId="0" borderId="0" xfId="9" applyNumberFormat="1" applyFont="1" applyFill="1" applyAlignment="1" applyProtection="1">
      <alignment horizontal="right" vertical="center"/>
    </xf>
    <xf numFmtId="198" fontId="45" fillId="12" borderId="41" xfId="9" applyNumberFormat="1" applyFont="1" applyFill="1" applyBorder="1" applyAlignment="1" applyProtection="1">
      <alignment vertical="center"/>
    </xf>
    <xf numFmtId="10" fontId="45" fillId="12" borderId="0" xfId="9" applyNumberFormat="1" applyFont="1" applyFill="1" applyBorder="1" applyAlignment="1" applyProtection="1">
      <alignment horizontal="center" vertical="center"/>
    </xf>
    <xf numFmtId="10" fontId="45" fillId="12" borderId="40" xfId="9" applyNumberFormat="1" applyFont="1" applyFill="1" applyBorder="1" applyAlignment="1" applyProtection="1">
      <alignment horizontal="center" vertical="center"/>
    </xf>
    <xf numFmtId="10" fontId="45" fillId="12" borderId="44" xfId="9" applyNumberFormat="1" applyFont="1" applyFill="1" applyBorder="1" applyAlignment="1" applyProtection="1">
      <alignment vertical="center"/>
    </xf>
    <xf numFmtId="198" fontId="45" fillId="12" borderId="35" xfId="9" applyNumberFormat="1" applyFont="1" applyFill="1" applyBorder="1" applyAlignment="1" applyProtection="1">
      <alignment vertical="center"/>
    </xf>
    <xf numFmtId="14" fontId="51" fillId="0" borderId="0" xfId="9" applyNumberFormat="1" applyFont="1" applyFill="1" applyAlignment="1" applyProtection="1">
      <alignment horizontal="center" vertical="center"/>
    </xf>
    <xf numFmtId="168" fontId="6" fillId="14" borderId="0" xfId="1" applyNumberFormat="1" applyFont="1" applyFill="1" applyBorder="1" applyAlignment="1" applyProtection="1"/>
    <xf numFmtId="168" fontId="2" fillId="12" borderId="0" xfId="1" applyNumberFormat="1" applyFont="1" applyFill="1" applyBorder="1" applyAlignment="1" applyProtection="1"/>
    <xf numFmtId="10" fontId="11" fillId="12" borderId="0" xfId="8" applyNumberFormat="1" applyFont="1" applyFill="1" applyBorder="1" applyAlignment="1" applyProtection="1"/>
    <xf numFmtId="4" fontId="11" fillId="12" borderId="0" xfId="8" applyNumberFormat="1" applyFont="1" applyFill="1" applyBorder="1" applyAlignment="1" applyProtection="1">
      <alignment horizontal="right" vertical="top"/>
    </xf>
    <xf numFmtId="1" fontId="11" fillId="12" borderId="0" xfId="8" applyNumberFormat="1" applyFont="1" applyFill="1" applyBorder="1" applyAlignment="1" applyProtection="1">
      <alignment horizontal="right" vertical="top"/>
    </xf>
    <xf numFmtId="3" fontId="11" fillId="12" borderId="0" xfId="8" applyNumberFormat="1" applyFont="1" applyFill="1" applyBorder="1" applyAlignment="1" applyProtection="1">
      <alignment horizontal="right" vertical="top"/>
    </xf>
    <xf numFmtId="196" fontId="11" fillId="12" borderId="0" xfId="8" applyNumberFormat="1" applyFont="1" applyFill="1" applyBorder="1" applyAlignment="1" applyProtection="1">
      <alignment horizontal="right" vertical="top"/>
    </xf>
    <xf numFmtId="173" fontId="11" fillId="12" borderId="0" xfId="8" applyNumberFormat="1" applyFont="1" applyFill="1" applyBorder="1" applyAlignment="1" applyProtection="1"/>
    <xf numFmtId="172" fontId="11" fillId="12" borderId="0" xfId="8" applyNumberFormat="1" applyFont="1" applyFill="1" applyBorder="1" applyAlignment="1" applyProtection="1">
      <alignment horizontal="right" vertical="top"/>
    </xf>
    <xf numFmtId="0" fontId="2" fillId="12" borderId="0" xfId="0" applyFont="1" applyFill="1" applyAlignment="1" applyProtection="1">
      <alignment horizontal="left" indent="1"/>
    </xf>
    <xf numFmtId="0" fontId="11" fillId="12" borderId="0" xfId="8" applyNumberFormat="1" applyFont="1" applyFill="1" applyBorder="1" applyAlignment="1" applyProtection="1"/>
    <xf numFmtId="3" fontId="11" fillId="12" borderId="0" xfId="8" applyNumberFormat="1" applyFont="1" applyFill="1" applyBorder="1" applyAlignment="1" applyProtection="1"/>
    <xf numFmtId="0" fontId="3" fillId="12" borderId="0" xfId="1" applyNumberFormat="1" applyFont="1" applyFill="1" applyBorder="1" applyAlignment="1" applyProtection="1">
      <alignment horizontal="left"/>
    </xf>
    <xf numFmtId="0" fontId="2" fillId="12" borderId="0" xfId="14" applyFont="1" applyFill="1" applyBorder="1" applyAlignment="1" applyProtection="1">
      <alignment horizontal="left"/>
    </xf>
    <xf numFmtId="0" fontId="0" fillId="12" borderId="0" xfId="0" applyFill="1" applyProtection="1"/>
    <xf numFmtId="10" fontId="11" fillId="12" borderId="0" xfId="8" applyNumberFormat="1" applyFont="1" applyFill="1" applyBorder="1" applyAlignment="1" applyProtection="1">
      <alignment horizontal="right" vertical="top"/>
    </xf>
    <xf numFmtId="0" fontId="11" fillId="15" borderId="29" xfId="8" applyNumberFormat="1" applyFont="1" applyFill="1" applyBorder="1" applyAlignment="1" applyProtection="1">
      <alignment horizontal="center"/>
      <protection locked="0"/>
    </xf>
    <xf numFmtId="168" fontId="14" fillId="13" borderId="3" xfId="1" applyNumberFormat="1" applyFont="1" applyFill="1" applyBorder="1" applyAlignment="1"/>
    <xf numFmtId="168" fontId="0" fillId="0" borderId="1" xfId="0" applyNumberFormat="1" applyFill="1" applyBorder="1"/>
    <xf numFmtId="10" fontId="33" fillId="12" borderId="0" xfId="2" applyNumberFormat="1" applyFont="1" applyFill="1" applyBorder="1" applyAlignment="1">
      <alignment horizontal="center"/>
    </xf>
    <xf numFmtId="168" fontId="2" fillId="0" borderId="2" xfId="0" applyNumberFormat="1" applyFont="1" applyFill="1" applyBorder="1"/>
    <xf numFmtId="168" fontId="2" fillId="0" borderId="3" xfId="0" applyNumberFormat="1" applyFont="1" applyFill="1" applyBorder="1"/>
    <xf numFmtId="168" fontId="33" fillId="0" borderId="1" xfId="0" applyNumberFormat="1" applyFont="1" applyFill="1" applyBorder="1"/>
    <xf numFmtId="168" fontId="33" fillId="0" borderId="3" xfId="0" applyNumberFormat="1" applyFont="1" applyFill="1" applyBorder="1"/>
    <xf numFmtId="168" fontId="33" fillId="0" borderId="0" xfId="0" applyNumberFormat="1" applyFont="1" applyFill="1"/>
    <xf numFmtId="168" fontId="6" fillId="15" borderId="0" xfId="1" applyNumberFormat="1" applyFont="1" applyFill="1" applyBorder="1" applyAlignment="1"/>
    <xf numFmtId="1" fontId="0" fillId="0" borderId="38" xfId="0" applyNumberFormat="1" applyFill="1" applyBorder="1" applyAlignment="1">
      <alignment horizontal="center"/>
    </xf>
    <xf numFmtId="176" fontId="0" fillId="0" borderId="0" xfId="0" applyNumberFormat="1" applyFill="1"/>
    <xf numFmtId="10" fontId="0" fillId="0" borderId="0" xfId="0" applyNumberFormat="1" applyFill="1"/>
    <xf numFmtId="10" fontId="54" fillId="0" borderId="0" xfId="0" applyNumberFormat="1" applyFont="1" applyFill="1"/>
    <xf numFmtId="184" fontId="0" fillId="0" borderId="0" xfId="0" applyNumberFormat="1" applyFill="1"/>
    <xf numFmtId="184" fontId="33" fillId="12" borderId="0" xfId="0" applyNumberFormat="1" applyFont="1" applyFill="1"/>
    <xf numFmtId="10" fontId="0" fillId="13" borderId="0" xfId="1" applyNumberFormat="1" applyFont="1" applyFill="1" applyBorder="1" applyAlignment="1"/>
    <xf numFmtId="171" fontId="7" fillId="16" borderId="7" xfId="1" applyNumberFormat="1" applyFont="1" applyFill="1" applyBorder="1" applyAlignment="1">
      <alignment horizontal="left"/>
    </xf>
    <xf numFmtId="175" fontId="6" fillId="17" borderId="0" xfId="1" applyNumberFormat="1" applyFont="1" applyFill="1" applyBorder="1" applyAlignment="1" applyProtection="1">
      <alignment horizontal="right"/>
    </xf>
    <xf numFmtId="10" fontId="33" fillId="12" borderId="0" xfId="1" applyNumberFormat="1" applyFont="1" applyFill="1" applyBorder="1" applyAlignment="1" applyProtection="1">
      <protection locked="0"/>
    </xf>
    <xf numFmtId="10" fontId="33" fillId="12" borderId="0" xfId="2" applyNumberFormat="1" applyFont="1" applyFill="1" applyBorder="1" applyAlignment="1" applyProtection="1"/>
    <xf numFmtId="10" fontId="2" fillId="12" borderId="0" xfId="1" applyNumberFormat="1" applyFont="1" applyFill="1" applyBorder="1" applyAlignment="1" applyProtection="1"/>
    <xf numFmtId="168" fontId="5" fillId="12" borderId="0" xfId="1" applyNumberFormat="1" applyFont="1" applyFill="1" applyBorder="1" applyAlignment="1" applyProtection="1"/>
    <xf numFmtId="168" fontId="33" fillId="12" borderId="0" xfId="1" applyNumberFormat="1" applyFont="1" applyFill="1" applyBorder="1" applyAlignment="1" applyProtection="1"/>
    <xf numFmtId="168" fontId="38" fillId="12" borderId="0" xfId="1" applyNumberFormat="1" applyFont="1" applyFill="1" applyBorder="1" applyAlignment="1" applyProtection="1"/>
    <xf numFmtId="168" fontId="5" fillId="13" borderId="0" xfId="1" applyNumberFormat="1" applyFont="1" applyFill="1" applyBorder="1" applyAlignment="1" applyProtection="1"/>
    <xf numFmtId="192" fontId="33" fillId="12" borderId="0" xfId="1" applyNumberFormat="1" applyFont="1" applyFill="1" applyBorder="1" applyAlignment="1" applyProtection="1"/>
    <xf numFmtId="172" fontId="33" fillId="12" borderId="0" xfId="1" applyNumberFormat="1" applyFont="1" applyFill="1" applyBorder="1" applyAlignment="1" applyProtection="1"/>
    <xf numFmtId="168" fontId="37" fillId="12" borderId="0" xfId="1" applyNumberFormat="1" applyFont="1" applyFill="1" applyBorder="1" applyAlignment="1" applyProtection="1"/>
    <xf numFmtId="168" fontId="6" fillId="0" borderId="0" xfId="0" applyNumberFormat="1" applyFont="1" applyFill="1" applyProtection="1"/>
    <xf numFmtId="171" fontId="7" fillId="18" borderId="7" xfId="1" applyNumberFormat="1" applyFont="1" applyFill="1" applyBorder="1" applyAlignment="1">
      <alignment horizontal="center"/>
    </xf>
    <xf numFmtId="168" fontId="7" fillId="14" borderId="0" xfId="1" applyNumberFormat="1" applyFont="1" applyFill="1" applyBorder="1" applyAlignment="1"/>
    <xf numFmtId="168" fontId="5" fillId="13" borderId="0" xfId="1" applyNumberFormat="1" applyFont="1" applyFill="1" applyBorder="1" applyAlignment="1"/>
    <xf numFmtId="168" fontId="6" fillId="17" borderId="0" xfId="1" applyNumberFormat="1" applyFont="1" applyFill="1" applyBorder="1" applyAlignment="1"/>
    <xf numFmtId="172" fontId="33" fillId="12" borderId="0" xfId="1" applyNumberFormat="1" applyFont="1" applyFill="1" applyBorder="1" applyAlignment="1">
      <alignment horizontal="center" vertical="center"/>
    </xf>
    <xf numFmtId="168" fontId="15" fillId="13" borderId="0" xfId="1" applyNumberFormat="1" applyFont="1" applyFill="1" applyBorder="1" applyAlignment="1"/>
    <xf numFmtId="168" fontId="6" fillId="0" borderId="0" xfId="0" applyNumberFormat="1" applyFont="1" applyFill="1"/>
    <xf numFmtId="3" fontId="0" fillId="0" borderId="38" xfId="0" applyNumberFormat="1" applyFill="1" applyBorder="1" applyAlignment="1">
      <alignment horizontal="center"/>
    </xf>
    <xf numFmtId="168" fontId="0" fillId="0" borderId="3" xfId="0" applyNumberFormat="1" applyFill="1" applyBorder="1"/>
    <xf numFmtId="168" fontId="5" fillId="13" borderId="3" xfId="1" applyNumberFormat="1" applyFont="1" applyFill="1" applyBorder="1" applyAlignment="1"/>
    <xf numFmtId="168" fontId="5" fillId="13" borderId="1" xfId="1" applyNumberFormat="1" applyFont="1" applyFill="1" applyBorder="1" applyAlignment="1"/>
    <xf numFmtId="9" fontId="0" fillId="0" borderId="38" xfId="0" applyNumberFormat="1" applyFill="1" applyBorder="1" applyAlignment="1">
      <alignment horizontal="center"/>
    </xf>
    <xf numFmtId="181" fontId="5" fillId="12" borderId="0" xfId="1" applyNumberFormat="1" applyFont="1" applyFill="1" applyBorder="1" applyAlignment="1"/>
    <xf numFmtId="168" fontId="5" fillId="19" borderId="0" xfId="1" applyNumberFormat="1" applyFont="1" applyFill="1" applyBorder="1" applyAlignment="1"/>
    <xf numFmtId="168" fontId="37" fillId="12" borderId="0" xfId="1" applyNumberFormat="1" applyFont="1" applyFill="1" applyBorder="1" applyAlignment="1"/>
    <xf numFmtId="9" fontId="0" fillId="0" borderId="0" xfId="0" applyNumberFormat="1" applyFill="1"/>
    <xf numFmtId="170" fontId="37" fillId="12" borderId="0" xfId="1" applyNumberFormat="1" applyFont="1" applyFill="1" applyBorder="1" applyAlignment="1"/>
    <xf numFmtId="168" fontId="6" fillId="13" borderId="0" xfId="1" applyNumberFormat="1" applyFont="1" applyFill="1" applyBorder="1" applyAlignment="1"/>
    <xf numFmtId="3" fontId="6" fillId="12" borderId="38" xfId="0" applyNumberFormat="1" applyFont="1" applyFill="1" applyBorder="1" applyAlignment="1">
      <alignment horizontal="center"/>
    </xf>
    <xf numFmtId="168" fontId="0" fillId="12" borderId="0" xfId="0" applyNumberFormat="1" applyFill="1"/>
    <xf numFmtId="10" fontId="0" fillId="0" borderId="38" xfId="0" applyNumberFormat="1" applyFill="1" applyBorder="1" applyAlignment="1">
      <alignment horizontal="center"/>
    </xf>
    <xf numFmtId="3" fontId="0" fillId="12" borderId="38" xfId="0" applyNumberFormat="1" applyFill="1" applyBorder="1" applyAlignment="1">
      <alignment horizontal="center"/>
    </xf>
    <xf numFmtId="10" fontId="35" fillId="12" borderId="38" xfId="0" applyNumberFormat="1" applyFont="1" applyFill="1" applyBorder="1" applyAlignment="1">
      <alignment horizontal="center"/>
    </xf>
    <xf numFmtId="3" fontId="6" fillId="12" borderId="38" xfId="0" applyNumberFormat="1" applyFont="1" applyFill="1" applyBorder="1"/>
    <xf numFmtId="3" fontId="6" fillId="0" borderId="0" xfId="0" applyNumberFormat="1" applyFont="1" applyFill="1"/>
    <xf numFmtId="4" fontId="0" fillId="0" borderId="0" xfId="0" applyNumberFormat="1" applyFill="1"/>
    <xf numFmtId="4" fontId="0" fillId="0" borderId="3" xfId="0" applyNumberFormat="1" applyFill="1" applyBorder="1"/>
    <xf numFmtId="164" fontId="6" fillId="0" borderId="0" xfId="0" applyNumberFormat="1" applyFont="1" applyFill="1"/>
    <xf numFmtId="165" fontId="0" fillId="0" borderId="0" xfId="0" applyNumberFormat="1" applyFill="1"/>
    <xf numFmtId="10" fontId="0" fillId="0" borderId="0" xfId="0" applyNumberFormat="1" applyFill="1" applyAlignment="1">
      <alignment horizontal="center"/>
    </xf>
    <xf numFmtId="9" fontId="0" fillId="0" borderId="0" xfId="0" applyNumberFormat="1" applyFill="1" applyAlignment="1">
      <alignment horizontal="center"/>
    </xf>
    <xf numFmtId="10" fontId="6" fillId="12" borderId="45" xfId="0" applyNumberFormat="1" applyFont="1" applyFill="1" applyBorder="1"/>
    <xf numFmtId="2" fontId="0" fillId="0" borderId="36" xfId="0" applyNumberFormat="1" applyFill="1" applyBorder="1"/>
    <xf numFmtId="10" fontId="0" fillId="0" borderId="36" xfId="0" applyNumberFormat="1" applyFill="1" applyBorder="1"/>
    <xf numFmtId="10" fontId="0" fillId="0" borderId="46" xfId="0" applyNumberFormat="1" applyFill="1" applyBorder="1"/>
    <xf numFmtId="4" fontId="6" fillId="12" borderId="38" xfId="0" applyNumberFormat="1" applyFont="1" applyFill="1" applyBorder="1" applyAlignment="1">
      <alignment horizontal="center"/>
    </xf>
    <xf numFmtId="0" fontId="52" fillId="0" borderId="38" xfId="0" applyFont="1" applyFill="1" applyBorder="1" applyAlignment="1">
      <alignment horizontal="center"/>
    </xf>
    <xf numFmtId="10" fontId="10" fillId="17" borderId="0" xfId="1" applyNumberFormat="1" applyFont="1" applyFill="1" applyBorder="1" applyAlignment="1">
      <alignment horizontal="center"/>
    </xf>
    <xf numFmtId="168" fontId="35" fillId="14" borderId="0" xfId="1" applyNumberFormat="1" applyFont="1" applyFill="1" applyBorder="1" applyAlignment="1"/>
    <xf numFmtId="0" fontId="7" fillId="14" borderId="0" xfId="1" applyNumberFormat="1" applyFont="1" applyFill="1" applyBorder="1" applyAlignment="1"/>
    <xf numFmtId="200" fontId="2" fillId="0" borderId="33" xfId="9" applyNumberFormat="1" applyFont="1" applyFill="1" applyBorder="1" applyAlignment="1" applyProtection="1">
      <alignment horizontal="center" vertical="center"/>
    </xf>
    <xf numFmtId="200" fontId="2" fillId="0" borderId="34" xfId="9" applyNumberFormat="1" applyFont="1" applyFill="1" applyBorder="1" applyAlignment="1" applyProtection="1">
      <alignment horizontal="center" vertical="center"/>
    </xf>
    <xf numFmtId="200" fontId="2" fillId="0" borderId="35" xfId="9" applyNumberFormat="1" applyFont="1" applyFill="1" applyBorder="1" applyAlignment="1" applyProtection="1">
      <alignment horizontal="center" vertical="center"/>
    </xf>
    <xf numFmtId="200" fontId="37" fillId="0" borderId="0" xfId="9" applyNumberFormat="1" applyFont="1" applyAlignment="1" applyProtection="1">
      <alignment horizontal="right" vertical="center"/>
    </xf>
    <xf numFmtId="200" fontId="6" fillId="0" borderId="0" xfId="9" applyNumberFormat="1" applyFont="1" applyFill="1" applyBorder="1" applyAlignment="1" applyProtection="1">
      <alignment horizontal="center" vertical="center" wrapText="1"/>
    </xf>
    <xf numFmtId="200" fontId="2" fillId="0" borderId="36" xfId="9" applyNumberFormat="1" applyFont="1" applyFill="1" applyBorder="1" applyAlignment="1" applyProtection="1">
      <alignment horizontal="center" vertical="center"/>
    </xf>
    <xf numFmtId="200" fontId="2" fillId="0" borderId="37" xfId="9" applyNumberFormat="1" applyFont="1" applyFill="1" applyBorder="1" applyAlignment="1" applyProtection="1">
      <alignment horizontal="center" vertical="center"/>
    </xf>
    <xf numFmtId="200" fontId="37" fillId="0" borderId="0" xfId="9" applyNumberFormat="1" applyFont="1" applyFill="1" applyAlignment="1" applyProtection="1">
      <alignment horizontal="center" vertical="center"/>
    </xf>
    <xf numFmtId="200" fontId="2" fillId="0" borderId="31" xfId="9" applyNumberFormat="1" applyFont="1" applyFill="1" applyBorder="1" applyAlignment="1" applyProtection="1">
      <alignment horizontal="center" vertical="center"/>
    </xf>
    <xf numFmtId="200" fontId="2" fillId="0" borderId="0" xfId="9" applyNumberFormat="1" applyFont="1" applyFill="1" applyBorder="1" applyAlignment="1" applyProtection="1">
      <alignment horizontal="center" vertical="center"/>
    </xf>
    <xf numFmtId="200" fontId="37" fillId="0" borderId="0" xfId="9" applyNumberFormat="1" applyFont="1" applyFill="1" applyAlignment="1" applyProtection="1">
      <alignment vertical="center"/>
    </xf>
    <xf numFmtId="3" fontId="45" fillId="0" borderId="29" xfId="9" quotePrefix="1" applyNumberFormat="1" applyFont="1" applyFill="1" applyBorder="1" applyAlignment="1" applyProtection="1">
      <alignment horizontal="center" vertical="center"/>
    </xf>
    <xf numFmtId="3" fontId="37" fillId="0" borderId="0" xfId="9" applyNumberFormat="1" applyFont="1" applyAlignment="1" applyProtection="1">
      <alignment horizontal="right" vertical="center"/>
    </xf>
    <xf numFmtId="3" fontId="6" fillId="0" borderId="0" xfId="9" applyNumberFormat="1" applyFont="1" applyFill="1" applyBorder="1" applyAlignment="1" applyProtection="1">
      <alignment horizontal="center" vertical="center"/>
    </xf>
    <xf numFmtId="3" fontId="45" fillId="0" borderId="29" xfId="9" quotePrefix="1" applyNumberFormat="1" applyFont="1" applyBorder="1" applyAlignment="1" applyProtection="1">
      <alignment horizontal="center" vertical="center"/>
    </xf>
    <xf numFmtId="3" fontId="37" fillId="0" borderId="0" xfId="9" applyNumberFormat="1" applyFont="1" applyFill="1" applyAlignment="1" applyProtection="1">
      <alignment horizontal="center" vertical="center"/>
    </xf>
    <xf numFmtId="184" fontId="33" fillId="0" borderId="0" xfId="0" applyNumberFormat="1" applyFont="1" applyFill="1"/>
    <xf numFmtId="201" fontId="5" fillId="0" borderId="0" xfId="1" applyNumberFormat="1" applyFont="1" applyFill="1" applyBorder="1" applyAlignment="1" applyProtection="1"/>
    <xf numFmtId="9" fontId="0" fillId="0" borderId="0" xfId="3" applyFont="1"/>
    <xf numFmtId="9" fontId="2" fillId="0" borderId="0" xfId="1" applyNumberFormat="1" applyFont="1" applyFill="1" applyBorder="1" applyAlignment="1" applyProtection="1"/>
    <xf numFmtId="9" fontId="33" fillId="7" borderId="0" xfId="1" applyNumberFormat="1" applyFont="1" applyFill="1" applyBorder="1" applyAlignment="1" applyProtection="1"/>
    <xf numFmtId="168" fontId="2" fillId="0" borderId="0" xfId="7" applyNumberFormat="1" applyFont="1" applyFill="1" applyBorder="1" applyAlignment="1"/>
    <xf numFmtId="168" fontId="5" fillId="7" borderId="0" xfId="1" applyNumberFormat="1" applyFont="1" applyFill="1" applyBorder="1" applyAlignment="1" applyProtection="1"/>
    <xf numFmtId="168" fontId="3" fillId="7" borderId="0" xfId="1" applyNumberFormat="1" applyFont="1" applyFill="1" applyBorder="1" applyAlignment="1" applyProtection="1"/>
    <xf numFmtId="0" fontId="10" fillId="0" borderId="0" xfId="0" applyFont="1" applyFill="1"/>
    <xf numFmtId="0" fontId="54" fillId="0" borderId="0" xfId="0" applyFont="1" applyFill="1"/>
    <xf numFmtId="2" fontId="2" fillId="0" borderId="0" xfId="1" applyNumberFormat="1" applyFont="1" applyFill="1" applyBorder="1" applyAlignment="1" applyProtection="1">
      <alignment horizontal="right"/>
    </xf>
    <xf numFmtId="0" fontId="5" fillId="0" borderId="0" xfId="1" applyNumberFormat="1" applyFont="1" applyFill="1" applyBorder="1" applyAlignment="1"/>
    <xf numFmtId="0" fontId="5" fillId="7" borderId="0" xfId="0" applyNumberFormat="1" applyFont="1" applyFill="1" applyBorder="1" applyAlignment="1" applyProtection="1"/>
    <xf numFmtId="0" fontId="45" fillId="7" borderId="48" xfId="9" applyFont="1" applyFill="1" applyBorder="1" applyAlignment="1" applyProtection="1">
      <alignment horizontal="left" vertical="center"/>
    </xf>
    <xf numFmtId="0" fontId="45" fillId="12" borderId="26" xfId="9" applyFont="1" applyFill="1" applyBorder="1" applyAlignment="1" applyProtection="1">
      <alignment horizontal="left" vertical="center"/>
    </xf>
    <xf numFmtId="0" fontId="45" fillId="7" borderId="0" xfId="9" applyFont="1" applyFill="1" applyBorder="1" applyAlignment="1" applyProtection="1">
      <alignment horizontal="left" vertical="center"/>
    </xf>
    <xf numFmtId="0" fontId="45" fillId="12" borderId="39" xfId="9" applyFont="1" applyFill="1" applyBorder="1" applyAlignment="1" applyProtection="1">
      <alignment horizontal="left" vertical="center"/>
    </xf>
    <xf numFmtId="0" fontId="45" fillId="7" borderId="40" xfId="9" applyFont="1" applyFill="1" applyBorder="1" applyAlignment="1" applyProtection="1">
      <alignment horizontal="left" vertical="center"/>
    </xf>
    <xf numFmtId="0" fontId="6" fillId="9" borderId="42" xfId="0" applyNumberFormat="1" applyFont="1" applyFill="1" applyBorder="1" applyAlignment="1" applyProtection="1">
      <alignment horizontal="center"/>
    </xf>
    <xf numFmtId="0" fontId="6" fillId="9" borderId="27" xfId="0" applyNumberFormat="1" applyFont="1" applyFill="1" applyBorder="1" applyAlignment="1" applyProtection="1">
      <alignment horizontal="center"/>
    </xf>
    <xf numFmtId="0" fontId="6" fillId="9" borderId="28" xfId="0" applyNumberFormat="1" applyFont="1" applyFill="1" applyBorder="1" applyAlignment="1" applyProtection="1">
      <alignment horizontal="center"/>
    </xf>
    <xf numFmtId="190" fontId="11" fillId="17" borderId="0" xfId="1" applyNumberFormat="1" applyFont="1" applyFill="1" applyBorder="1" applyAlignment="1">
      <alignment horizontal="center"/>
    </xf>
    <xf numFmtId="190" fontId="11" fillId="3" borderId="0" xfId="1" applyNumberFormat="1" applyFont="1" applyFill="1" applyBorder="1" applyAlignment="1">
      <alignment horizontal="center"/>
    </xf>
  </cellXfs>
  <cellStyles count="13">
    <cellStyle name="%" xfId="14" xr:uid="{00000000-0005-0000-0000-000000000000}"/>
    <cellStyle name="%_Ava (2)" xfId="4" xr:uid="{00000000-0005-0000-0000-000001000000}"/>
    <cellStyle name="%_Chicago Metered Parking Draft Financial Model v16.2 - Preference Equity  2 2" xfId="13" xr:uid="{00000000-0005-0000-0000-000002000000}"/>
    <cellStyle name="Moneda" xfId="7" builtinId="4"/>
    <cellStyle name="Normal" xfId="0" builtinId="0"/>
    <cellStyle name="Normal 17 2" xfId="5" xr:uid="{00000000-0005-0000-0000-000005000000}"/>
    <cellStyle name="Normal 2" xfId="9" xr:uid="{00000000-0005-0000-0000-000006000000}"/>
    <cellStyle name="Normal 2 2 2" xfId="12" xr:uid="{00000000-0005-0000-0000-000007000000}"/>
    <cellStyle name="Normal 21 2" xfId="6" xr:uid="{00000000-0005-0000-0000-000008000000}"/>
    <cellStyle name="Normal 3" xfId="10" xr:uid="{00000000-0005-0000-0000-000009000000}"/>
    <cellStyle name="Percent 2" xfId="11" xr:uid="{00000000-0005-0000-0000-00000A000000}"/>
    <cellStyle name="Porcentaje" xfId="3" builtinId="5"/>
    <cellStyle name="Título" xfId="8" builtinId="15"/>
  </cellStyles>
  <dxfs count="141">
    <dxf>
      <font>
        <condense val="0"/>
        <extend val="0"/>
        <vertAlign val="baseline"/>
        <color indexed="9"/>
      </font>
      <fill>
        <patternFill patternType="none"/>
      </fill>
    </dxf>
    <dxf>
      <font>
        <b/>
        <i val="0"/>
        <condense val="0"/>
        <extend val="0"/>
        <vertAlign val="baseline"/>
        <color indexed="9"/>
      </font>
      <fill>
        <patternFill patternType="solid">
          <bgColor indexed="10"/>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condense val="0"/>
        <extend val="0"/>
        <vertAlign val="baseline"/>
        <color auto="1"/>
      </font>
      <fill>
        <patternFill patternType="solid">
          <bgColor rgb="FF808080"/>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condense val="0"/>
        <extend val="0"/>
        <vertAlign val="baseline"/>
        <color auto="1"/>
      </font>
      <fill>
        <patternFill patternType="solid">
          <bgColor rgb="FF808080"/>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condense val="0"/>
        <extend val="0"/>
        <vertAlign val="baseline"/>
        <color auto="1"/>
      </font>
      <fill>
        <patternFill patternType="solid">
          <bgColor rgb="FF808080"/>
        </patternFill>
      </fill>
    </dxf>
    <dxf>
      <font>
        <condense val="0"/>
        <extend val="0"/>
        <vertAlign val="baseline"/>
        <color auto="1"/>
      </font>
      <fill>
        <patternFill patternType="solid">
          <bgColor rgb="FF808080"/>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b/>
        <i val="0"/>
        <strike val="0"/>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333333"/>
        </patternFill>
      </fill>
    </dxf>
    <dxf>
      <font>
        <condense val="0"/>
        <extend val="0"/>
        <vertAlign val="baseline"/>
        <color auto="1"/>
      </font>
      <fill>
        <patternFill patternType="solid">
          <bgColor rgb="FF808080"/>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b val="0"/>
        <i val="0"/>
        <color theme="6" tint="-0.24994659260841701"/>
      </font>
      <fill>
        <patternFill patternType="solid">
          <bgColor rgb="FFD9D9D9"/>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condense val="0"/>
        <extend val="0"/>
        <vertAlign val="baseline"/>
        <color indexed="9"/>
      </font>
      <fill>
        <patternFill patternType="solid">
          <bgColor rgb="FFFF0000"/>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lor rgb="FF0000FF"/>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rgb="FF0000FF"/>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rgb="FF0000FF"/>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ndense val="0"/>
        <extend val="0"/>
        <color indexed="12"/>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condense val="0"/>
        <extend val="0"/>
        <vertAlign val="baseline"/>
        <color indexed="9"/>
      </font>
      <fill>
        <patternFill patternType="solid">
          <bgColor rgb="FFFF0000"/>
        </patternFill>
      </fill>
    </dxf>
    <dxf>
      <font>
        <b val="0"/>
        <i val="0"/>
        <color theme="6" tint="-0.24994659260841701"/>
      </font>
      <fill>
        <patternFill patternType="solid">
          <bgColor rgb="FFD9D9D9"/>
        </patternFill>
      </fill>
    </dxf>
    <dxf>
      <font>
        <b val="0"/>
        <i val="0"/>
        <color theme="6" tint="-0.24994659260841701"/>
      </font>
      <fill>
        <patternFill patternType="solid">
          <bgColor rgb="FFD9D9D9"/>
        </patternFill>
      </fill>
    </dxf>
    <dxf>
      <font>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
      <font>
        <condense val="0"/>
        <extend val="0"/>
        <vertAlign val="baseline"/>
        <color indexed="9"/>
      </font>
      <fill>
        <patternFill patternType="solid">
          <bgColor rgb="FFFF0000"/>
        </patternFill>
      </fill>
    </dxf>
    <dxf>
      <font>
        <b/>
        <i val="0"/>
        <strike val="0"/>
        <condense val="0"/>
        <extend val="0"/>
        <vertAlign val="baseline"/>
        <color indexed="9"/>
      </font>
      <fill>
        <patternFill patternType="solid">
          <bgColor rgb="FFFF0000"/>
        </patternFill>
      </fill>
    </dxf>
    <dxf>
      <font>
        <b val="0"/>
        <i val="0"/>
        <strike val="0"/>
        <condense val="0"/>
        <extend val="0"/>
        <vertAlign val="baseline"/>
        <color auto="1"/>
      </font>
      <fill>
        <patternFill patternType="solid">
          <bgColor rgb="FFFFFFFF"/>
        </patternFill>
      </fill>
    </dxf>
  </dxfs>
  <tableStyles count="0" defaultTableStyle="TableStyleMedium2" defaultPivotStyle="PivotStyleLight16"/>
  <colors>
    <mruColors>
      <color rgb="FF0000FF"/>
      <color rgb="FFE6A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Summary!$B$158</c:f>
              <c:strCache>
                <c:ptCount val="1"/>
                <c:pt idx="0">
                  <c:v>Operation Costs</c:v>
                </c:pt>
              </c:strCache>
            </c:strRef>
          </c:tx>
          <c:spPr>
            <a:solidFill>
              <a:schemeClr val="accent2">
                <a:lumMod val="20000"/>
                <a:lumOff val="80000"/>
              </a:schemeClr>
            </a:solidFill>
            <a:ln w="28575" cap="rnd">
              <a:noFill/>
              <a:round/>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Summary!$F$158:$AX$158</c:f>
              <c:numCache>
                <c:formatCode>#,##0</c:formatCode>
                <c:ptCount val="44"/>
                <c:pt idx="0">
                  <c:v>0</c:v>
                </c:pt>
                <c:pt idx="1">
                  <c:v>17.116801882543594</c:v>
                </c:pt>
                <c:pt idx="2">
                  <c:v>19.461879413055399</c:v>
                </c:pt>
                <c:pt idx="3">
                  <c:v>20.752281695745118</c:v>
                </c:pt>
                <c:pt idx="4">
                  <c:v>21.619771470281009</c:v>
                </c:pt>
                <c:pt idx="5">
                  <c:v>22.523524173393017</c:v>
                </c:pt>
                <c:pt idx="6">
                  <c:v>23.465055673080425</c:v>
                </c:pt>
                <c:pt idx="7">
                  <c:v>24.445945203868071</c:v>
                </c:pt>
                <c:pt idx="8">
                  <c:v>25.467838015662743</c:v>
                </c:pt>
                <c:pt idx="9">
                  <c:v>26.490989749443774</c:v>
                </c:pt>
                <c:pt idx="10">
                  <c:v>27.555245854537961</c:v>
                </c:pt>
                <c:pt idx="11">
                  <c:v>28.662257668948516</c:v>
                </c:pt>
                <c:pt idx="12">
                  <c:v>29.81374287197313</c:v>
                </c:pt>
                <c:pt idx="13">
                  <c:v>31.011488149416842</c:v>
                </c:pt>
                <c:pt idx="14">
                  <c:v>32.710133662473247</c:v>
                </c:pt>
                <c:pt idx="15">
                  <c:v>34.501822004210581</c:v>
                </c:pt>
                <c:pt idx="16">
                  <c:v>36.391649569316499</c:v>
                </c:pt>
                <c:pt idx="17">
                  <c:v>38.384991906059639</c:v>
                </c:pt>
                <c:pt idx="18">
                  <c:v>40.487519006848274</c:v>
                </c:pt>
                <c:pt idx="19">
                  <c:v>42.936801184184446</c:v>
                </c:pt>
                <c:pt idx="20">
                  <c:v>45.534252064651135</c:v>
                </c:pt>
                <c:pt idx="21">
                  <c:v>48.288835076305141</c:v>
                </c:pt>
                <c:pt idx="22">
                  <c:v>51.210055887506606</c:v>
                </c:pt>
                <c:pt idx="23">
                  <c:v>54.307995209608393</c:v>
                </c:pt>
                <c:pt idx="24">
                  <c:v>56.570629298947189</c:v>
                </c:pt>
                <c:pt idx="25">
                  <c:v>58.92753151588817</c:v>
                </c:pt>
                <c:pt idx="26">
                  <c:v>61.382629353579041</c:v>
                </c:pt>
                <c:pt idx="27">
                  <c:v>63.940013936320618</c:v>
                </c:pt>
                <c:pt idx="28">
                  <c:v>66.603946836931954</c:v>
                </c:pt>
                <c:pt idx="29">
                  <c:v>69.49438366813277</c:v>
                </c:pt>
                <c:pt idx="30">
                  <c:v>72.510257886634619</c:v>
                </c:pt>
                <c:pt idx="31">
                  <c:v>75.657013146477297</c:v>
                </c:pt>
                <c:pt idx="32">
                  <c:v>78.940329342026871</c:v>
                </c:pt>
                <c:pt idx="33">
                  <c:v>82.366132860187122</c:v>
                </c:pt>
                <c:pt idx="34">
                  <c:v>85.447987193585661</c:v>
                </c:pt>
                <c:pt idx="35">
                  <c:v>88.645153801610618</c:v>
                </c:pt>
                <c:pt idx="36">
                  <c:v>91.961947268678017</c:v>
                </c:pt>
                <c:pt idx="37">
                  <c:v>95.40284361595252</c:v>
                </c:pt>
                <c:pt idx="38">
                  <c:v>98.97248634174916</c:v>
                </c:pt>
                <c:pt idx="39">
                  <c:v>102.22365601555164</c:v>
                </c:pt>
                <c:pt idx="40">
                  <c:v>105.58162410008973</c:v>
                </c:pt>
                <c:pt idx="41">
                  <c:v>109.04989884060444</c:v>
                </c:pt>
                <c:pt idx="42">
                  <c:v>112.63210372548104</c:v>
                </c:pt>
                <c:pt idx="43">
                  <c:v>28.684598121837769</c:v>
                </c:pt>
              </c:numCache>
            </c:numRef>
          </c:val>
          <c:extLst>
            <c:ext xmlns:c16="http://schemas.microsoft.com/office/drawing/2014/chart" uri="{C3380CC4-5D6E-409C-BE32-E72D297353CC}">
              <c16:uniqueId val="{00000000-F667-4F23-A315-08D02C1E4046}"/>
            </c:ext>
          </c:extLst>
        </c:ser>
        <c:ser>
          <c:idx val="1"/>
          <c:order val="1"/>
          <c:tx>
            <c:strRef>
              <c:f>Summary!$B$159</c:f>
              <c:strCache>
                <c:ptCount val="1"/>
                <c:pt idx="0">
                  <c:v>Taxes</c:v>
                </c:pt>
              </c:strCache>
            </c:strRef>
          </c:tx>
          <c:spPr>
            <a:solidFill>
              <a:schemeClr val="bg1">
                <a:lumMod val="95000"/>
              </a:schemeClr>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Summary!$F$159:$AX$159</c:f>
              <c:numCache>
                <c:formatCode>#,##0</c:formatCode>
                <c:ptCount val="44"/>
                <c:pt idx="0">
                  <c:v>0</c:v>
                </c:pt>
                <c:pt idx="1">
                  <c:v>0.361093</c:v>
                </c:pt>
                <c:pt idx="2">
                  <c:v>0.65056990692636107</c:v>
                </c:pt>
                <c:pt idx="3">
                  <c:v>0.72218773524688529</c:v>
                </c:pt>
                <c:pt idx="4">
                  <c:v>0.78425814883314027</c:v>
                </c:pt>
                <c:pt idx="5">
                  <c:v>0.85132111459000026</c:v>
                </c:pt>
                <c:pt idx="6">
                  <c:v>0.92396444401930378</c:v>
                </c:pt>
                <c:pt idx="7">
                  <c:v>1.0027409606390532</c:v>
                </c:pt>
                <c:pt idx="8">
                  <c:v>1.0881588731859977</c:v>
                </c:pt>
                <c:pt idx="9">
                  <c:v>1.1569138684982523</c:v>
                </c:pt>
                <c:pt idx="10">
                  <c:v>1.229856803421604</c:v>
                </c:pt>
                <c:pt idx="11">
                  <c:v>1.30721175299287</c:v>
                </c:pt>
                <c:pt idx="12">
                  <c:v>1.3898051747992881</c:v>
                </c:pt>
                <c:pt idx="13">
                  <c:v>1.4773315725563467</c:v>
                </c:pt>
                <c:pt idx="14">
                  <c:v>1.6203337565709299</c:v>
                </c:pt>
                <c:pt idx="15">
                  <c:v>1.7778097391759304</c:v>
                </c:pt>
                <c:pt idx="16">
                  <c:v>1.950666458263171</c:v>
                </c:pt>
                <c:pt idx="17">
                  <c:v>2.1404390731711032</c:v>
                </c:pt>
                <c:pt idx="18">
                  <c:v>2.3482116974152345</c:v>
                </c:pt>
                <c:pt idx="19">
                  <c:v>2.5789602560015288</c:v>
                </c:pt>
                <c:pt idx="20">
                  <c:v>2.8335411766374716</c:v>
                </c:pt>
                <c:pt idx="21">
                  <c:v>3.1148950804047963</c:v>
                </c:pt>
                <c:pt idx="22">
                  <c:v>3.4192747896454416</c:v>
                </c:pt>
                <c:pt idx="23">
                  <c:v>3.7548821993955381</c:v>
                </c:pt>
                <c:pt idx="24">
                  <c:v>3.9708258002969852</c:v>
                </c:pt>
                <c:pt idx="25">
                  <c:v>4.1999370837452856</c:v>
                </c:pt>
                <c:pt idx="26">
                  <c:v>4.4424574541090038</c:v>
                </c:pt>
                <c:pt idx="27">
                  <c:v>4.6991387628785439</c:v>
                </c:pt>
                <c:pt idx="28">
                  <c:v>4.9821206607893576</c:v>
                </c:pt>
                <c:pt idx="29">
                  <c:v>5.26528130498341</c:v>
                </c:pt>
                <c:pt idx="30">
                  <c:v>5.565771731096131</c:v>
                </c:pt>
                <c:pt idx="31">
                  <c:v>5.8832775808855988</c:v>
                </c:pt>
                <c:pt idx="32">
                  <c:v>6.220288560701821</c:v>
                </c:pt>
                <c:pt idx="33">
                  <c:v>6.5747101266507944</c:v>
                </c:pt>
                <c:pt idx="34">
                  <c:v>6.8790669599911674</c:v>
                </c:pt>
                <c:pt idx="35">
                  <c:v>7.1976111291899549</c:v>
                </c:pt>
                <c:pt idx="36">
                  <c:v>7.5306082607729712</c:v>
                </c:pt>
                <c:pt idx="37">
                  <c:v>7.8800440759600905</c:v>
                </c:pt>
                <c:pt idx="38">
                  <c:v>8.2352035936389285</c:v>
                </c:pt>
                <c:pt idx="39">
                  <c:v>8.5389392552796313</c:v>
                </c:pt>
                <c:pt idx="40">
                  <c:v>8.852822960739692</c:v>
                </c:pt>
                <c:pt idx="41">
                  <c:v>9.1779562579234657</c:v>
                </c:pt>
                <c:pt idx="42">
                  <c:v>9.5113038617391243</c:v>
                </c:pt>
                <c:pt idx="43">
                  <c:v>2.4309088833519277</c:v>
                </c:pt>
              </c:numCache>
            </c:numRef>
          </c:val>
          <c:extLst>
            <c:ext xmlns:c16="http://schemas.microsoft.com/office/drawing/2014/chart" uri="{C3380CC4-5D6E-409C-BE32-E72D297353CC}">
              <c16:uniqueId val="{00000001-F667-4F23-A315-08D02C1E4046}"/>
            </c:ext>
          </c:extLst>
        </c:ser>
        <c:ser>
          <c:idx val="4"/>
          <c:order val="2"/>
          <c:tx>
            <c:strRef>
              <c:f>Summary!$B$160</c:f>
              <c:strCache>
                <c:ptCount val="1"/>
                <c:pt idx="0">
                  <c:v>Life Cycle CAPEX</c:v>
                </c:pt>
              </c:strCache>
            </c:strRef>
          </c:tx>
          <c:spPr>
            <a:solidFill>
              <a:schemeClr val="accent2">
                <a:lumMod val="60000"/>
                <a:lumOff val="40000"/>
              </a:schemeClr>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Summary!$F$160:$AX$160</c:f>
              <c:numCache>
                <c:formatCode>#,##0</c:formatCode>
                <c:ptCount val="44"/>
                <c:pt idx="0">
                  <c:v>0</c:v>
                </c:pt>
                <c:pt idx="1">
                  <c:v>2.4010519999999955</c:v>
                </c:pt>
                <c:pt idx="2">
                  <c:v>3.3213370258702386</c:v>
                </c:pt>
                <c:pt idx="3">
                  <c:v>4.8555300603970766</c:v>
                </c:pt>
                <c:pt idx="4">
                  <c:v>5.2347233595289158</c:v>
                </c:pt>
                <c:pt idx="5">
                  <c:v>5.6435298123881417</c:v>
                </c:pt>
                <c:pt idx="6">
                  <c:v>6.0842620623566139</c:v>
                </c:pt>
                <c:pt idx="7">
                  <c:v>6.5594133590245249</c:v>
                </c:pt>
                <c:pt idx="8">
                  <c:v>7.0716716626575069</c:v>
                </c:pt>
                <c:pt idx="9">
                  <c:v>7.112676148547302</c:v>
                </c:pt>
                <c:pt idx="10">
                  <c:v>7.1539183954564542</c:v>
                </c:pt>
                <c:pt idx="11">
                  <c:v>7.1953997820219886</c:v>
                </c:pt>
                <c:pt idx="12">
                  <c:v>7.237121694874836</c:v>
                </c:pt>
                <c:pt idx="13">
                  <c:v>7.2790855286861875</c:v>
                </c:pt>
                <c:pt idx="14">
                  <c:v>7.8250840659259273</c:v>
                </c:pt>
                <c:pt idx="15">
                  <c:v>8.4120375282717266</c:v>
                </c:pt>
                <c:pt idx="16">
                  <c:v>9.0430179127639452</c:v>
                </c:pt>
                <c:pt idx="17">
                  <c:v>9.7213276445487669</c:v>
                </c:pt>
                <c:pt idx="18">
                  <c:v>10.450516861110962</c:v>
                </c:pt>
                <c:pt idx="19">
                  <c:v>11.402936904942443</c:v>
                </c:pt>
                <c:pt idx="20">
                  <c:v>12.442156860390503</c:v>
                </c:pt>
                <c:pt idx="21">
                  <c:v>13.576087338645486</c:v>
                </c:pt>
                <c:pt idx="22">
                  <c:v>14.813359893675671</c:v>
                </c:pt>
                <c:pt idx="23">
                  <c:v>16.163392726188256</c:v>
                </c:pt>
                <c:pt idx="24">
                  <c:v>14.764028626131159</c:v>
                </c:pt>
                <c:pt idx="25">
                  <c:v>13.485816063854612</c:v>
                </c:pt>
                <c:pt idx="26">
                  <c:v>12.318266207248376</c:v>
                </c:pt>
                <c:pt idx="27">
                  <c:v>11.251798306766013</c:v>
                </c:pt>
                <c:pt idx="28">
                  <c:v>10.27766107714462</c:v>
                </c:pt>
                <c:pt idx="29">
                  <c:v>11.712773240383072</c:v>
                </c:pt>
                <c:pt idx="30">
                  <c:v>13.348276028065735</c:v>
                </c:pt>
                <c:pt idx="31">
                  <c:v>15.212150808753046</c:v>
                </c:pt>
                <c:pt idx="32">
                  <c:v>17.336286104789135</c:v>
                </c:pt>
                <c:pt idx="33">
                  <c:v>19.757023164283297</c:v>
                </c:pt>
                <c:pt idx="34">
                  <c:v>18.360971768753995</c:v>
                </c:pt>
                <c:pt idx="35">
                  <c:v>17.063566787856768</c:v>
                </c:pt>
                <c:pt idx="36">
                  <c:v>15.857837765381383</c:v>
                </c:pt>
                <c:pt idx="37">
                  <c:v>14.737306784658559</c:v>
                </c:pt>
                <c:pt idx="38">
                  <c:v>13.695953665213942</c:v>
                </c:pt>
                <c:pt idx="39">
                  <c:v>17.217145757670149</c:v>
                </c:pt>
                <c:pt idx="40">
                  <c:v>21.643626671558895</c:v>
                </c:pt>
                <c:pt idx="41">
                  <c:v>27.208143677887197</c:v>
                </c:pt>
                <c:pt idx="42">
                  <c:v>34.203282732155621</c:v>
                </c:pt>
                <c:pt idx="43">
                  <c:v>140.37067583786654</c:v>
                </c:pt>
              </c:numCache>
            </c:numRef>
          </c:val>
          <c:extLst>
            <c:ext xmlns:c16="http://schemas.microsoft.com/office/drawing/2014/chart" uri="{C3380CC4-5D6E-409C-BE32-E72D297353CC}">
              <c16:uniqueId val="{00000002-F667-4F23-A315-08D02C1E4046}"/>
            </c:ext>
          </c:extLst>
        </c:ser>
        <c:ser>
          <c:idx val="5"/>
          <c:order val="3"/>
          <c:tx>
            <c:strRef>
              <c:f>Summary!$B$161</c:f>
              <c:strCache>
                <c:ptCount val="1"/>
                <c:pt idx="0">
                  <c:v>Financial costs</c:v>
                </c:pt>
              </c:strCache>
            </c:strRef>
          </c:tx>
          <c:spPr>
            <a:solidFill>
              <a:schemeClr val="accent6"/>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Summary!$F$161:$AX$161</c:f>
              <c:numCache>
                <c:formatCode>#,##0</c:formatCode>
                <c:ptCount val="44"/>
                <c:pt idx="0">
                  <c:v>0</c:v>
                </c:pt>
                <c:pt idx="1">
                  <c:v>27.87378125</c:v>
                </c:pt>
                <c:pt idx="2">
                  <c:v>64.05753773338192</c:v>
                </c:pt>
                <c:pt idx="3">
                  <c:v>60.574304548409692</c:v>
                </c:pt>
                <c:pt idx="4">
                  <c:v>60.817557844132288</c:v>
                </c:pt>
                <c:pt idx="5">
                  <c:v>61.079639559874138</c:v>
                </c:pt>
                <c:pt idx="6">
                  <c:v>61.463866158914833</c:v>
                </c:pt>
                <c:pt idx="7">
                  <c:v>61.915302624581102</c:v>
                </c:pt>
                <c:pt idx="8">
                  <c:v>62.350744327486879</c:v>
                </c:pt>
                <c:pt idx="9">
                  <c:v>62.735834796622811</c:v>
                </c:pt>
                <c:pt idx="10">
                  <c:v>63.162398677456835</c:v>
                </c:pt>
                <c:pt idx="11">
                  <c:v>64.019542773428867</c:v>
                </c:pt>
                <c:pt idx="12">
                  <c:v>67.951257696775528</c:v>
                </c:pt>
                <c:pt idx="13">
                  <c:v>64.699229384648845</c:v>
                </c:pt>
                <c:pt idx="14">
                  <c:v>65.401831442138004</c:v>
                </c:pt>
                <c:pt idx="15">
                  <c:v>66.075511538343648</c:v>
                </c:pt>
                <c:pt idx="16">
                  <c:v>67.150392784577775</c:v>
                </c:pt>
                <c:pt idx="17">
                  <c:v>68.472749394392636</c:v>
                </c:pt>
                <c:pt idx="18">
                  <c:v>70.00524570556999</c:v>
                </c:pt>
                <c:pt idx="19">
                  <c:v>71.540723518566892</c:v>
                </c:pt>
                <c:pt idx="20">
                  <c:v>74.162488459678713</c:v>
                </c:pt>
                <c:pt idx="21">
                  <c:v>77.735155598207356</c:v>
                </c:pt>
                <c:pt idx="22">
                  <c:v>78.887094203263288</c:v>
                </c:pt>
                <c:pt idx="23">
                  <c:v>76.361587121869007</c:v>
                </c:pt>
                <c:pt idx="24">
                  <c:v>77.128006407048133</c:v>
                </c:pt>
                <c:pt idx="25">
                  <c:v>77.828319865844293</c:v>
                </c:pt>
                <c:pt idx="26">
                  <c:v>78.682396995715536</c:v>
                </c:pt>
                <c:pt idx="27">
                  <c:v>79.053048995894741</c:v>
                </c:pt>
                <c:pt idx="28">
                  <c:v>78.117122934546629</c:v>
                </c:pt>
                <c:pt idx="29">
                  <c:v>72.630694547570812</c:v>
                </c:pt>
                <c:pt idx="30">
                  <c:v>66.83096897805477</c:v>
                </c:pt>
                <c:pt idx="31">
                  <c:v>61.063059318730332</c:v>
                </c:pt>
                <c:pt idx="32">
                  <c:v>52.909304995889784</c:v>
                </c:pt>
                <c:pt idx="33">
                  <c:v>44.80248315375632</c:v>
                </c:pt>
                <c:pt idx="34">
                  <c:v>36.368995159053938</c:v>
                </c:pt>
                <c:pt idx="35">
                  <c:v>27.28941883735358</c:v>
                </c:pt>
                <c:pt idx="36">
                  <c:v>17.837301696393126</c:v>
                </c:pt>
                <c:pt idx="37">
                  <c:v>7.8888607649381788</c:v>
                </c:pt>
                <c:pt idx="38">
                  <c:v>0</c:v>
                </c:pt>
                <c:pt idx="39">
                  <c:v>0</c:v>
                </c:pt>
                <c:pt idx="40">
                  <c:v>0</c:v>
                </c:pt>
                <c:pt idx="41">
                  <c:v>0</c:v>
                </c:pt>
                <c:pt idx="42">
                  <c:v>0</c:v>
                </c:pt>
                <c:pt idx="43">
                  <c:v>0</c:v>
                </c:pt>
              </c:numCache>
            </c:numRef>
          </c:val>
          <c:extLst>
            <c:ext xmlns:c16="http://schemas.microsoft.com/office/drawing/2014/chart" uri="{C3380CC4-5D6E-409C-BE32-E72D297353CC}">
              <c16:uniqueId val="{00000003-F667-4F23-A315-08D02C1E4046}"/>
            </c:ext>
          </c:extLst>
        </c:ser>
        <c:ser>
          <c:idx val="2"/>
          <c:order val="4"/>
          <c:tx>
            <c:strRef>
              <c:f>Summary!$B$162</c:f>
              <c:strCache>
                <c:ptCount val="1"/>
                <c:pt idx="0">
                  <c:v>Drawdowns/Repayments</c:v>
                </c:pt>
              </c:strCache>
            </c:strRef>
          </c:tx>
          <c:spPr>
            <a:solidFill>
              <a:schemeClr val="tx1"/>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Summary!$F$162:$AX$162</c:f>
              <c:numCache>
                <c:formatCode>#,##0</c:formatCode>
                <c:ptCount val="44"/>
                <c:pt idx="0">
                  <c:v>0</c:v>
                </c:pt>
                <c:pt idx="1">
                  <c:v>0</c:v>
                </c:pt>
                <c:pt idx="2">
                  <c:v>-3.3213370258702386</c:v>
                </c:pt>
                <c:pt idx="3">
                  <c:v>-4.8555300603970766</c:v>
                </c:pt>
                <c:pt idx="4">
                  <c:v>-5.2347233595289158</c:v>
                </c:pt>
                <c:pt idx="5">
                  <c:v>-5.6435298123881417</c:v>
                </c:pt>
                <c:pt idx="6">
                  <c:v>-6.0842620623566148</c:v>
                </c:pt>
                <c:pt idx="7">
                  <c:v>-6.5594133590245258</c:v>
                </c:pt>
                <c:pt idx="8">
                  <c:v>-7.0716716626575069</c:v>
                </c:pt>
                <c:pt idx="9">
                  <c:v>-7.1126761485473038</c:v>
                </c:pt>
                <c:pt idx="10">
                  <c:v>-7.1539183954564542</c:v>
                </c:pt>
                <c:pt idx="11">
                  <c:v>-7.1953997820219886</c:v>
                </c:pt>
                <c:pt idx="12">
                  <c:v>-7.237121694874836</c:v>
                </c:pt>
                <c:pt idx="13">
                  <c:v>-7.2790855286861875</c:v>
                </c:pt>
                <c:pt idx="14">
                  <c:v>-7.8250840659259264</c:v>
                </c:pt>
                <c:pt idx="15">
                  <c:v>-8.4120375282717283</c:v>
                </c:pt>
                <c:pt idx="16">
                  <c:v>-9.0430179127639416</c:v>
                </c:pt>
                <c:pt idx="17">
                  <c:v>-9.721327644548758</c:v>
                </c:pt>
                <c:pt idx="18">
                  <c:v>-10.450516861110955</c:v>
                </c:pt>
                <c:pt idx="19">
                  <c:v>-11.402936904942441</c:v>
                </c:pt>
                <c:pt idx="20">
                  <c:v>-12.442156860390503</c:v>
                </c:pt>
                <c:pt idx="21">
                  <c:v>-13.576087338645477</c:v>
                </c:pt>
                <c:pt idx="22">
                  <c:v>-14.813359893675671</c:v>
                </c:pt>
                <c:pt idx="23">
                  <c:v>-16.163392726188256</c:v>
                </c:pt>
                <c:pt idx="24">
                  <c:v>-14.764028626131159</c:v>
                </c:pt>
                <c:pt idx="25">
                  <c:v>-13.485816063854612</c:v>
                </c:pt>
                <c:pt idx="26">
                  <c:v>-12.318266207248376</c:v>
                </c:pt>
                <c:pt idx="27">
                  <c:v>-11.251798306766013</c:v>
                </c:pt>
                <c:pt idx="28">
                  <c:v>100.21476014151708</c:v>
                </c:pt>
                <c:pt idx="29">
                  <c:v>108.12629756378884</c:v>
                </c:pt>
                <c:pt idx="30">
                  <c:v>122.39867018260507</c:v>
                </c:pt>
                <c:pt idx="31">
                  <c:v>128.82460036719183</c:v>
                </c:pt>
                <c:pt idx="32">
                  <c:v>150.37878197027749</c:v>
                </c:pt>
                <c:pt idx="33">
                  <c:v>158.27366802371705</c:v>
                </c:pt>
                <c:pt idx="34">
                  <c:v>166.58303559496218</c:v>
                </c:pt>
                <c:pt idx="35">
                  <c:v>175.32864496369771</c:v>
                </c:pt>
                <c:pt idx="36">
                  <c:v>184.53339882429174</c:v>
                </c:pt>
                <c:pt idx="37">
                  <c:v>194.22140226256704</c:v>
                </c:pt>
                <c:pt idx="38">
                  <c:v>0</c:v>
                </c:pt>
                <c:pt idx="39">
                  <c:v>0</c:v>
                </c:pt>
                <c:pt idx="40">
                  <c:v>0</c:v>
                </c:pt>
                <c:pt idx="41">
                  <c:v>0</c:v>
                </c:pt>
                <c:pt idx="42">
                  <c:v>0</c:v>
                </c:pt>
                <c:pt idx="43">
                  <c:v>0</c:v>
                </c:pt>
              </c:numCache>
            </c:numRef>
          </c:val>
          <c:extLst>
            <c:ext xmlns:c16="http://schemas.microsoft.com/office/drawing/2014/chart" uri="{C3380CC4-5D6E-409C-BE32-E72D297353CC}">
              <c16:uniqueId val="{00000004-F667-4F23-A315-08D02C1E4046}"/>
            </c:ext>
          </c:extLst>
        </c:ser>
        <c:ser>
          <c:idx val="6"/>
          <c:order val="5"/>
          <c:tx>
            <c:strRef>
              <c:f>Summary!$B$163</c:f>
              <c:strCache>
                <c:ptCount val="1"/>
                <c:pt idx="0">
                  <c:v>Reserve Accounts</c:v>
                </c:pt>
              </c:strCache>
            </c:strRef>
          </c:tx>
          <c:spPr>
            <a:solidFill>
              <a:schemeClr val="accent3"/>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Summary!$F$163:$AX$163</c:f>
              <c:numCache>
                <c:formatCode>#,##0</c:formatCode>
                <c:ptCount val="44"/>
                <c:pt idx="0">
                  <c:v>0</c:v>
                </c:pt>
                <c:pt idx="1">
                  <c:v>52.922655228947811</c:v>
                </c:pt>
                <c:pt idx="2">
                  <c:v>5.3160134207549996</c:v>
                </c:pt>
                <c:pt idx="3">
                  <c:v>2.8961227653505195</c:v>
                </c:pt>
                <c:pt idx="4">
                  <c:v>1.449568678876658</c:v>
                </c:pt>
                <c:pt idx="5">
                  <c:v>1.4756945403986101</c:v>
                </c:pt>
                <c:pt idx="6">
                  <c:v>1.4128038203383695</c:v>
                </c:pt>
                <c:pt idx="7">
                  <c:v>1.6141891822423604</c:v>
                </c:pt>
                <c:pt idx="8">
                  <c:v>1.1432366428240639</c:v>
                </c:pt>
                <c:pt idx="9">
                  <c:v>1.0885542083892179</c:v>
                </c:pt>
                <c:pt idx="10">
                  <c:v>0.92506341325223551</c:v>
                </c:pt>
                <c:pt idx="11">
                  <c:v>1.1192682884278293</c:v>
                </c:pt>
                <c:pt idx="12">
                  <c:v>1.6764507889072047</c:v>
                </c:pt>
                <c:pt idx="13">
                  <c:v>3.0168943673896611</c:v>
                </c:pt>
                <c:pt idx="14">
                  <c:v>3.4932297698956427</c:v>
                </c:pt>
                <c:pt idx="15">
                  <c:v>4.5008103080734472</c:v>
                </c:pt>
                <c:pt idx="16">
                  <c:v>5.9078717954153541</c:v>
                </c:pt>
                <c:pt idx="17">
                  <c:v>7.5370061395490957</c:v>
                </c:pt>
                <c:pt idx="18">
                  <c:v>8.6687931324125902</c:v>
                </c:pt>
                <c:pt idx="19">
                  <c:v>10.318571638790315</c:v>
                </c:pt>
                <c:pt idx="20">
                  <c:v>26.283001142484615</c:v>
                </c:pt>
                <c:pt idx="21">
                  <c:v>0.79577642134398052</c:v>
                </c:pt>
                <c:pt idx="22">
                  <c:v>0.6008737173708214</c:v>
                </c:pt>
                <c:pt idx="23">
                  <c:v>0.84174217909373694</c:v>
                </c:pt>
                <c:pt idx="24">
                  <c:v>0.76886739303356444</c:v>
                </c:pt>
                <c:pt idx="25">
                  <c:v>0.91644243553685378</c:v>
                </c:pt>
                <c:pt idx="26">
                  <c:v>0.42735863446997246</c:v>
                </c:pt>
                <c:pt idx="27">
                  <c:v>111.62943381684136</c:v>
                </c:pt>
                <c:pt idx="28">
                  <c:v>5.0828954956902601</c:v>
                </c:pt>
                <c:pt idx="29">
                  <c:v>5.1000392051068557</c:v>
                </c:pt>
                <c:pt idx="30">
                  <c:v>4.0119591608319602</c:v>
                </c:pt>
                <c:pt idx="31">
                  <c:v>16.840829659773561</c:v>
                </c:pt>
                <c:pt idx="32">
                  <c:v>0</c:v>
                </c:pt>
                <c:pt idx="33">
                  <c:v>0</c:v>
                </c:pt>
                <c:pt idx="34">
                  <c:v>0</c:v>
                </c:pt>
                <c:pt idx="35">
                  <c:v>0</c:v>
                </c:pt>
                <c:pt idx="36">
                  <c:v>2.4750822503910674</c:v>
                </c:pt>
                <c:pt idx="37">
                  <c:v>0</c:v>
                </c:pt>
                <c:pt idx="38">
                  <c:v>143.26905167515849</c:v>
                </c:pt>
                <c:pt idx="39">
                  <c:v>0</c:v>
                </c:pt>
                <c:pt idx="40">
                  <c:v>0</c:v>
                </c:pt>
                <c:pt idx="41">
                  <c:v>0</c:v>
                </c:pt>
                <c:pt idx="42">
                  <c:v>0</c:v>
                </c:pt>
                <c:pt idx="43">
                  <c:v>0</c:v>
                </c:pt>
              </c:numCache>
            </c:numRef>
          </c:val>
          <c:extLst>
            <c:ext xmlns:c16="http://schemas.microsoft.com/office/drawing/2014/chart" uri="{C3380CC4-5D6E-409C-BE32-E72D297353CC}">
              <c16:uniqueId val="{00000005-F667-4F23-A315-08D02C1E4046}"/>
            </c:ext>
          </c:extLst>
        </c:ser>
        <c:ser>
          <c:idx val="7"/>
          <c:order val="6"/>
          <c:tx>
            <c:strRef>
              <c:f>Summary!$B$164</c:f>
              <c:strCache>
                <c:ptCount val="1"/>
                <c:pt idx="0">
                  <c:v>Equity distribution</c:v>
                </c:pt>
              </c:strCache>
            </c:strRef>
          </c:tx>
          <c:spPr>
            <a:solidFill>
              <a:srgbClr val="FFC000"/>
            </a:solidFill>
            <a:ln>
              <a:noFill/>
            </a:ln>
            <a:effectLst/>
          </c:spPr>
          <c:invertIfNegative val="0"/>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Summary!$F$164:$AX$164</c:f>
              <c:numCache>
                <c:formatCode>#,##0</c:formatCode>
                <c:ptCount val="44"/>
                <c:pt idx="0">
                  <c:v>0</c:v>
                </c:pt>
                <c:pt idx="1">
                  <c:v>0</c:v>
                </c:pt>
                <c:pt idx="2">
                  <c:v>34.432077035664392</c:v>
                </c:pt>
                <c:pt idx="3">
                  <c:v>52.614671873702143</c:v>
                </c:pt>
                <c:pt idx="4">
                  <c:v>64.711348397522698</c:v>
                </c:pt>
                <c:pt idx="5">
                  <c:v>76.226223390791887</c:v>
                </c:pt>
                <c:pt idx="6">
                  <c:v>88.727537335895406</c:v>
                </c:pt>
                <c:pt idx="7">
                  <c:v>102.02010024563194</c:v>
                </c:pt>
                <c:pt idx="8">
                  <c:v>117.21837893817326</c:v>
                </c:pt>
                <c:pt idx="9">
                  <c:v>128.89225375766546</c:v>
                </c:pt>
                <c:pt idx="10">
                  <c:v>141.38587399830357</c:v>
                </c:pt>
                <c:pt idx="11">
                  <c:v>153.88443437198671</c:v>
                </c:pt>
                <c:pt idx="12">
                  <c:v>163.89353866740925</c:v>
                </c:pt>
                <c:pt idx="13">
                  <c:v>181.19154653672103</c:v>
                </c:pt>
                <c:pt idx="14">
                  <c:v>205.40947262052794</c:v>
                </c:pt>
                <c:pt idx="15">
                  <c:v>231.77447291989742</c:v>
                </c:pt>
                <c:pt idx="16">
                  <c:v>260.15493525207887</c:v>
                </c:pt>
                <c:pt idx="17">
                  <c:v>291.16749409084719</c:v>
                </c:pt>
                <c:pt idx="18">
                  <c:v>325.76864901303668</c:v>
                </c:pt>
                <c:pt idx="19">
                  <c:v>363.85546835512906</c:v>
                </c:pt>
                <c:pt idx="20">
                  <c:v>390.90884603987615</c:v>
                </c:pt>
                <c:pt idx="21">
                  <c:v>477.32983465508278</c:v>
                </c:pt>
                <c:pt idx="22">
                  <c:v>518.21175895344766</c:v>
                </c:pt>
                <c:pt idx="23">
                  <c:v>583.39904240526198</c:v>
                </c:pt>
                <c:pt idx="24">
                  <c:v>620.71164546357875</c:v>
                </c:pt>
                <c:pt idx="25">
                  <c:v>659.81296914061204</c:v>
                </c:pt>
                <c:pt idx="26">
                  <c:v>701.34995831846652</c:v>
                </c:pt>
                <c:pt idx="27">
                  <c:v>635.7524145601684</c:v>
                </c:pt>
                <c:pt idx="28">
                  <c:v>683.69685681325768</c:v>
                </c:pt>
                <c:pt idx="29">
                  <c:v>730.58125522877913</c:v>
                </c:pt>
                <c:pt idx="30">
                  <c:v>775.83813647581428</c:v>
                </c:pt>
                <c:pt idx="31">
                  <c:v>817.14337023925498</c:v>
                </c:pt>
                <c:pt idx="32">
                  <c:v>879.29758436259431</c:v>
                </c:pt>
                <c:pt idx="33">
                  <c:v>944.18952262140681</c:v>
                </c:pt>
                <c:pt idx="34">
                  <c:v>999.58470123630411</c:v>
                </c:pt>
                <c:pt idx="35">
                  <c:v>1053.9106078956781</c:v>
                </c:pt>
                <c:pt idx="36">
                  <c:v>1086.0802769720162</c:v>
                </c:pt>
                <c:pt idx="37">
                  <c:v>1396.8431980425587</c:v>
                </c:pt>
                <c:pt idx="38">
                  <c:v>1270.0057518513092</c:v>
                </c:pt>
                <c:pt idx="39">
                  <c:v>1479.6202625882474</c:v>
                </c:pt>
                <c:pt idx="40">
                  <c:v>1534.1812648705143</c:v>
                </c:pt>
                <c:pt idx="41">
                  <c:v>1590.3688850572105</c:v>
                </c:pt>
                <c:pt idx="42">
                  <c:v>1510.1436007841962</c:v>
                </c:pt>
                <c:pt idx="43">
                  <c:v>279.78843469044273</c:v>
                </c:pt>
              </c:numCache>
            </c:numRef>
          </c:val>
          <c:extLst>
            <c:ext xmlns:c16="http://schemas.microsoft.com/office/drawing/2014/chart" uri="{C3380CC4-5D6E-409C-BE32-E72D297353CC}">
              <c16:uniqueId val="{00000006-F667-4F23-A315-08D02C1E4046}"/>
            </c:ext>
          </c:extLst>
        </c:ser>
        <c:dLbls>
          <c:showLegendKey val="0"/>
          <c:showVal val="0"/>
          <c:showCatName val="0"/>
          <c:showSerName val="0"/>
          <c:showPercent val="0"/>
          <c:showBubbleSize val="0"/>
        </c:dLbls>
        <c:gapWidth val="150"/>
        <c:overlap val="100"/>
        <c:axId val="327929080"/>
        <c:axId val="327930256"/>
      </c:barChart>
      <c:lineChart>
        <c:grouping val="stacked"/>
        <c:varyColors val="0"/>
        <c:ser>
          <c:idx val="8"/>
          <c:order val="7"/>
          <c:tx>
            <c:strRef>
              <c:f>Summary!$B$157</c:f>
              <c:strCache>
                <c:ptCount val="1"/>
                <c:pt idx="0">
                  <c:v>Revenues</c:v>
                </c:pt>
              </c:strCache>
            </c:strRef>
          </c:tx>
          <c:spPr>
            <a:ln w="28575" cap="rnd">
              <a:solidFill>
                <a:schemeClr val="bg1">
                  <a:lumMod val="50000"/>
                </a:schemeClr>
              </a:solidFill>
              <a:round/>
            </a:ln>
            <a:effectLst/>
          </c:spPr>
          <c:marker>
            <c:symbol val="none"/>
          </c:marker>
          <c:cat>
            <c:numRef>
              <c:f>Summary!$F$136:$AX$136</c:f>
              <c:numCache>
                <c:formatCode>General</c:formatCode>
                <c:ptCount val="44"/>
                <c:pt idx="0">
                  <c:v>2017</c:v>
                </c:pt>
                <c:pt idx="1">
                  <c:v>2018</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pt idx="33">
                  <c:v>2051</c:v>
                </c:pt>
                <c:pt idx="34">
                  <c:v>2052</c:v>
                </c:pt>
                <c:pt idx="35">
                  <c:v>2053</c:v>
                </c:pt>
                <c:pt idx="36">
                  <c:v>2054</c:v>
                </c:pt>
                <c:pt idx="37">
                  <c:v>2055</c:v>
                </c:pt>
                <c:pt idx="38">
                  <c:v>2056</c:v>
                </c:pt>
                <c:pt idx="39">
                  <c:v>2057</c:v>
                </c:pt>
                <c:pt idx="40">
                  <c:v>2058</c:v>
                </c:pt>
                <c:pt idx="41">
                  <c:v>2059</c:v>
                </c:pt>
                <c:pt idx="42">
                  <c:v>2060</c:v>
                </c:pt>
                <c:pt idx="43">
                  <c:v>2061</c:v>
                </c:pt>
              </c:numCache>
            </c:numRef>
          </c:cat>
          <c:val>
            <c:numRef>
              <c:f>Summary!$F$157:$AX$157</c:f>
              <c:numCache>
                <c:formatCode>#,##0</c:formatCode>
                <c:ptCount val="44"/>
                <c:pt idx="0">
                  <c:v>0</c:v>
                </c:pt>
                <c:pt idx="1">
                  <c:v>100.6753833614914</c:v>
                </c:pt>
                <c:pt idx="2">
                  <c:v>123.91807750978307</c:v>
                </c:pt>
                <c:pt idx="3">
                  <c:v>137.55956861845436</c:v>
                </c:pt>
                <c:pt idx="4">
                  <c:v>149.38250453964577</c:v>
                </c:pt>
                <c:pt idx="5">
                  <c:v>162.15640277904768</c:v>
                </c:pt>
                <c:pt idx="6">
                  <c:v>175.99322743224835</c:v>
                </c:pt>
                <c:pt idx="7">
                  <c:v>190.99827821696255</c:v>
                </c:pt>
                <c:pt idx="8">
                  <c:v>207.26835679733293</c:v>
                </c:pt>
                <c:pt idx="9">
                  <c:v>220.36454638061952</c:v>
                </c:pt>
                <c:pt idx="10">
                  <c:v>234.25843874697222</c:v>
                </c:pt>
                <c:pt idx="11">
                  <c:v>248.99271485578481</c:v>
                </c:pt>
                <c:pt idx="12">
                  <c:v>264.72479519986445</c:v>
                </c:pt>
                <c:pt idx="13">
                  <c:v>281.39649001073275</c:v>
                </c:pt>
                <c:pt idx="14">
                  <c:v>308.63500125160573</c:v>
                </c:pt>
                <c:pt idx="15">
                  <c:v>338.63042650970107</c:v>
                </c:pt>
                <c:pt idx="16">
                  <c:v>371.55551585965168</c:v>
                </c:pt>
                <c:pt idx="17">
                  <c:v>407.70268060401969</c:v>
                </c:pt>
                <c:pt idx="18">
                  <c:v>447.27841855528283</c:v>
                </c:pt>
                <c:pt idx="19">
                  <c:v>491.23052495267217</c:v>
                </c:pt>
                <c:pt idx="20">
                  <c:v>539.72212888332808</c:v>
                </c:pt>
                <c:pt idx="21">
                  <c:v>607.2644968313441</c:v>
                </c:pt>
                <c:pt idx="22">
                  <c:v>652.32905755123375</c:v>
                </c:pt>
                <c:pt idx="23">
                  <c:v>718.66524911522879</c:v>
                </c:pt>
                <c:pt idx="24">
                  <c:v>759.14997436290457</c:v>
                </c:pt>
                <c:pt idx="25">
                  <c:v>801.68520004162667</c:v>
                </c:pt>
                <c:pt idx="26">
                  <c:v>846.28480075634002</c:v>
                </c:pt>
                <c:pt idx="27">
                  <c:v>895.07405007210366</c:v>
                </c:pt>
                <c:pt idx="28">
                  <c:v>948.97536395987765</c:v>
                </c:pt>
                <c:pt idx="29">
                  <c:v>1002.9107247587449</c:v>
                </c:pt>
                <c:pt idx="30">
                  <c:v>1060.5040404431029</c:v>
                </c:pt>
                <c:pt idx="31">
                  <c:v>1120.6243011210665</c:v>
                </c:pt>
                <c:pt idx="32">
                  <c:v>1185.0825753362797</c:v>
                </c:pt>
                <c:pt idx="33">
                  <c:v>1255.9635399500016</c:v>
                </c:pt>
                <c:pt idx="34">
                  <c:v>1313.2247579126508</c:v>
                </c:pt>
                <c:pt idx="35">
                  <c:v>1369.435003415387</c:v>
                </c:pt>
                <c:pt idx="36">
                  <c:v>1406.2764530379245</c:v>
                </c:pt>
                <c:pt idx="37">
                  <c:v>1716.973655546635</c:v>
                </c:pt>
                <c:pt idx="38">
                  <c:v>1534.1784471270698</c:v>
                </c:pt>
                <c:pt idx="39">
                  <c:v>1607.6000036167488</c:v>
                </c:pt>
                <c:pt idx="40">
                  <c:v>1670.2593386029025</c:v>
                </c:pt>
                <c:pt idx="41">
                  <c:v>1735.8048838336256</c:v>
                </c:pt>
                <c:pt idx="42">
                  <c:v>1666.4902911035722</c:v>
                </c:pt>
                <c:pt idx="43">
                  <c:v>451.27461753349905</c:v>
                </c:pt>
              </c:numCache>
            </c:numRef>
          </c:val>
          <c:smooth val="0"/>
          <c:extLst>
            <c:ext xmlns:c16="http://schemas.microsoft.com/office/drawing/2014/chart" uri="{C3380CC4-5D6E-409C-BE32-E72D297353CC}">
              <c16:uniqueId val="{00000007-F667-4F23-A315-08D02C1E4046}"/>
            </c:ext>
          </c:extLst>
        </c:ser>
        <c:dLbls>
          <c:showLegendKey val="0"/>
          <c:showVal val="0"/>
          <c:showCatName val="0"/>
          <c:showSerName val="0"/>
          <c:showPercent val="0"/>
          <c:showBubbleSize val="0"/>
        </c:dLbls>
        <c:marker val="1"/>
        <c:smooth val="0"/>
        <c:axId val="327929080"/>
        <c:axId val="327930256"/>
      </c:lineChart>
      <c:catAx>
        <c:axId val="327929080"/>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327930256"/>
        <c:crosses val="autoZero"/>
        <c:auto val="1"/>
        <c:lblAlgn val="ctr"/>
        <c:lblOffset val="100"/>
        <c:noMultiLvlLbl val="0"/>
      </c:catAx>
      <c:valAx>
        <c:axId val="327930256"/>
        <c:scaling>
          <c:orientation val="minMax"/>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327929080"/>
        <c:crosses val="autoZero"/>
        <c:crossBetween val="between"/>
        <c:majorUnit val="500"/>
      </c:valAx>
      <c:spPr>
        <a:noFill/>
        <a:ln>
          <a:noFill/>
        </a:ln>
        <a:effectLst/>
      </c:spPr>
    </c:plotArea>
    <c:legend>
      <c:legendPos val="b"/>
      <c:layout>
        <c:manualLayout>
          <c:xMode val="edge"/>
          <c:yMode val="edge"/>
          <c:x val="5.0704270514861774E-2"/>
          <c:y val="0.90294040404040399"/>
          <c:w val="0.90511751819206199"/>
          <c:h val="7.5499747474747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600075</xdr:colOff>
      <xdr:row>5</xdr:row>
      <xdr:rowOff>47625</xdr:rowOff>
    </xdr:from>
    <xdr:to>
      <xdr:col>17</xdr:col>
      <xdr:colOff>89647</xdr:colOff>
      <xdr:row>63</xdr:row>
      <xdr:rowOff>95249</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801781" y="832037"/>
          <a:ext cx="9216278" cy="9146800"/>
        </a:xfrm>
        <a:prstGeom prst="rect">
          <a:avLst/>
        </a:prstGeom>
        <a:noFill/>
        <a:ln w="9525">
          <a:solidFill>
            <a:schemeClr val="tx1"/>
          </a:solidFill>
          <a:miter lim="800000"/>
          <a:headEnd/>
          <a:tailEnd/>
        </a:ln>
      </xdr:spPr>
      <xdr:txBody>
        <a:bodyPr vertOverflow="clip" wrap="square" lIns="27432" tIns="22860" rIns="0" bIns="0" anchor="t" upright="1"/>
        <a:lstStyle/>
        <a:p>
          <a:r>
            <a:rPr lang="en-GB" sz="1100" b="1">
              <a:effectLst/>
              <a:latin typeface="+mn-lt"/>
              <a:ea typeface="+mn-ea"/>
              <a:cs typeface="+mn-cs"/>
            </a:rPr>
            <a:t>NOT FOR RELEASE, PUBLICATION OR DISTRIBUTION, DIRECTLY OR INDIRECTLY, IN WHOLE OR IN PART, INTO OR WITHIN AUSTRALIA, CANADA OR JAPAN. </a:t>
          </a:r>
          <a:endParaRPr lang="es-ES" sz="1100">
            <a:effectLst/>
            <a:latin typeface="+mn-lt"/>
            <a:ea typeface="+mn-ea"/>
            <a:cs typeface="+mn-cs"/>
          </a:endParaRPr>
        </a:p>
        <a:p>
          <a:r>
            <a:rPr lang="en-GB" sz="1100">
              <a:effectLst/>
              <a:latin typeface="+mn-lt"/>
              <a:ea typeface="+mn-ea"/>
              <a:cs typeface="+mn-cs"/>
            </a:rPr>
            <a:t>This presentation has been prepared by Cintra Infrastructures, S.E. (the </a:t>
          </a:r>
          <a:r>
            <a:rPr lang="en-GB" sz="1100" b="1">
              <a:effectLst/>
              <a:latin typeface="+mn-lt"/>
              <a:ea typeface="+mn-ea"/>
              <a:cs typeface="+mn-cs"/>
            </a:rPr>
            <a:t>"Company"</a:t>
          </a:r>
          <a:r>
            <a:rPr lang="en-GB" sz="1100">
              <a:effectLst/>
              <a:latin typeface="+mn-lt"/>
              <a:ea typeface="+mn-ea"/>
              <a:cs typeface="+mn-cs"/>
            </a:rPr>
            <a:t>), a subsidiary of Ferrovial, S.A (</a:t>
          </a:r>
          <a:r>
            <a:rPr lang="en-GB" sz="1100" b="1">
              <a:effectLst/>
              <a:latin typeface="+mn-lt"/>
              <a:ea typeface="+mn-ea"/>
              <a:cs typeface="+mn-cs"/>
            </a:rPr>
            <a:t>"Ferrovial"</a:t>
          </a:r>
          <a:r>
            <a:rPr lang="en-GB" sz="1100">
              <a:effectLst/>
              <a:latin typeface="+mn-lt"/>
              <a:ea typeface="+mn-ea"/>
              <a:cs typeface="+mn-cs"/>
            </a:rPr>
            <a:t>), for the sole purpose expressed therein. Therefore, neither this presentation nor any of the information contained herein is not intended to, constitute or form part of, and should not be construed as, an offer to sell, or a solicitation of an offer to purchase, subscribe for or otherwise acquire, any securities of the Company or Ferrovial. No offering of securities shall be made in the United States except pursuant to registration under the U.S. Securities Act of 1933, as amended, or an exemption therefrom.</a:t>
          </a:r>
        </a:p>
        <a:p>
          <a:endParaRPr lang="es-ES" sz="1100">
            <a:effectLst/>
            <a:latin typeface="+mn-lt"/>
            <a:ea typeface="+mn-ea"/>
            <a:cs typeface="+mn-cs"/>
          </a:endParaRPr>
        </a:p>
        <a:p>
          <a:r>
            <a:rPr lang="en-GB" sz="1100">
              <a:effectLst/>
              <a:latin typeface="+mn-lt"/>
              <a:ea typeface="+mn-ea"/>
              <a:cs typeface="+mn-cs"/>
            </a:rPr>
            <a:t>This presentation is for information purposes only and under no circumstances does it constitute the basis for a public offering or a decision to invest in securities of the Company or Ferrovial. This presentation  is not an advertisement and is not a prospectus and recipients should not purchase, subscribe for or otherwise acquire any securities of the Company or Ferrovial on the basis of this information. This presentation is made available on the express understanding that it does not contain all information that may be required to evaluate, and will not be used by the attendees/recipients in connection with the purchase of or investment in, any securities of the Company or Ferrovial. This presentation is accordingly not intended to form the basis of any investment decision and does not constitute or contain any recommendation by the Company, Ferrovial or any of their respective directors, officers, employees, agents, affiliates or advisers.</a:t>
          </a:r>
        </a:p>
        <a:p>
          <a:endParaRPr lang="es-ES" sz="1100">
            <a:effectLst/>
            <a:latin typeface="+mn-lt"/>
            <a:ea typeface="+mn-ea"/>
            <a:cs typeface="+mn-cs"/>
          </a:endParaRPr>
        </a:p>
        <a:p>
          <a:r>
            <a:rPr lang="en-GB" sz="1100">
              <a:effectLst/>
              <a:latin typeface="+mn-lt"/>
              <a:ea typeface="+mn-ea"/>
              <a:cs typeface="+mn-cs"/>
            </a:rPr>
            <a:t>The information and opinions contained in this presentation are provided as at the date of the presentation, are subject to completion, verification, revision and change without notice and do not purport to contain all information that may be required to evaluate the Company or Ferrovial. This presentation does not take into account the objectives, financial situation or needs of any person and recipients should not construe the contents of this presentation as legal, tax, regulatory, financial or accounting advice. No reliance may or should be placed for any purpose whatsoever on the information contained in this presentation, or any other information discussed verbally, or on its completeness, accuracy or fairness. No representation or warranty, express or implied, is made or given by or on behalf of, and the Company, Ferrovial and their affiliates and advisers, agents and/or any other party does not accept any responsibility whatsoever for the contents of this presentation, and no representation or warranty, express or implied, is made by or on behalf of any such person in relation to the contents of this presentation. </a:t>
          </a:r>
        </a:p>
        <a:p>
          <a:endParaRPr lang="es-ES" sz="1100">
            <a:effectLst/>
            <a:latin typeface="+mn-lt"/>
            <a:ea typeface="+mn-ea"/>
            <a:cs typeface="+mn-cs"/>
          </a:endParaRPr>
        </a:p>
        <a:p>
          <a:r>
            <a:rPr lang="en-GB" sz="1100">
              <a:effectLst/>
              <a:latin typeface="+mn-lt"/>
              <a:ea typeface="+mn-ea"/>
              <a:cs typeface="+mn-cs"/>
            </a:rPr>
            <a:t>The information in this presentation is of a preliminary nature and may be subject to updating, completion, revision, verification and amendment, and such information may change materially. The Company, Ferrovial and their respective affiliates, advisers, agents and/or any other party do not undertake and are not under any duty to update this presentation or to correct any inaccuracies in any such information which may become apparent or to provide you with any additional information. </a:t>
          </a:r>
        </a:p>
        <a:p>
          <a:endParaRPr lang="es-ES" sz="1100">
            <a:effectLst/>
            <a:latin typeface="+mn-lt"/>
            <a:ea typeface="+mn-ea"/>
            <a:cs typeface="+mn-cs"/>
          </a:endParaRPr>
        </a:p>
        <a:p>
          <a:r>
            <a:rPr lang="en-US" sz="1100">
              <a:effectLst/>
              <a:latin typeface="+mn-lt"/>
              <a:ea typeface="+mn-ea"/>
              <a:cs typeface="+mn-cs"/>
            </a:rPr>
            <a:t>This presentation is not directed at, or intended for distribution to or use by, any person or entity that is a citizen or resident of, or located in, any locality, state, country or other jurisdiction where such publication, availability, distribution or use would be contrary to the law or regulation of that jurisdiction or which would require any registration or licensing within such jurisdiction. Persons who come into possession of any document or other information referred to herein should inform themselves about and observe any such restrictions. Any failure to comply with these restrictions may constitute a violation of the securities laws of such jurisdictions.</a:t>
          </a:r>
        </a:p>
        <a:p>
          <a:endParaRPr lang="es-ES" sz="1100">
            <a:effectLst/>
            <a:latin typeface="+mn-lt"/>
            <a:ea typeface="+mn-ea"/>
            <a:cs typeface="+mn-cs"/>
          </a:endParaRPr>
        </a:p>
        <a:p>
          <a:r>
            <a:rPr lang="en-GB" sz="1100">
              <a:effectLst/>
              <a:latin typeface="+mn-lt"/>
              <a:ea typeface="+mn-ea"/>
              <a:cs typeface="+mn-cs"/>
            </a:rPr>
            <a:t>All information in this presentation is based on management estimates. Such estimates have been made in good faith and represent the current beliefs of applicable members of Ferrovial and the Company's management. Those management members believe that such estimates are founded on reasonable grounds. However, by their nature, estimates may not be correct or complete. Accordingly, no representation or warranty (express or implied) is given that such estimates are correct or complete. Certain figures contained in this presentation have been subject to rounding adjustments. Accordingly, in certain instances, the sum or percentage change of the numbers contained in this presentation may not conform exactly to the total figure given. The copyright in the contents of this presentation is owned by Ferrovial and the Company, unless otherwise stated. All rights reserved. You are responsible for obeying all applicable copyright laws. </a:t>
          </a:r>
        </a:p>
        <a:p>
          <a:endParaRPr lang="es-ES" sz="1100">
            <a:effectLst/>
            <a:latin typeface="+mn-lt"/>
            <a:ea typeface="+mn-ea"/>
            <a:cs typeface="+mn-cs"/>
          </a:endParaRPr>
        </a:p>
        <a:p>
          <a:r>
            <a:rPr lang="en-GB" sz="1100">
              <a:effectLst/>
              <a:latin typeface="+mn-lt"/>
              <a:ea typeface="+mn-ea"/>
              <a:cs typeface="+mn-cs"/>
            </a:rPr>
            <a:t>This presentation may include statements that are, or may be deemed to be, forward-looking statements. Forward-looking statements typically use terms such as “assumptions”, "believes", "projects", "anticipates", "expects", "intends", "plans", "may", "will", "would", "could" or "should" or similar terminology. Any forward-looking statements in this presentation are based on the Company’s current expectations and projections about future events and, by their nature, forward-looking statements are subject to a number of risks, assumptions and uncertainties, many of which are beyond Ferrovial and the Company’s control including, among other things, trends in its operating industries, that could cause the Company’s actual results and performance to differ materially from any expected future results or performance expressed or implied by any forward-looking statements. In light of these risks, assumptions and uncertainties, you should not place undue reliance on these forward-looking statements as a prediction of actual results or otherwise. None of the future projections, expectations, estimates or prospects in this presentation should be taken as forecasts or promises nor should they be taken as implying any indication, assurance or guarantee that the assumptions on which such future projections, expectations, estimates or prospects have been prepared are correct or exhaustive or, in the case of the assumptions, fully stated in this presentation. Ferrovial, the Company and its  affiliates, or individuals acting on its  behalf do not undertake any obligation to release the results of any revisions to any forward-looking statements in this presentation that may occur due to any change in its expectations or to reflect events or circumstances after the date of this presentation.</a:t>
          </a:r>
          <a:endParaRPr lang="es-ES" sz="1100">
            <a:effectLst/>
            <a:latin typeface="+mn-lt"/>
            <a:ea typeface="+mn-ea"/>
            <a:cs typeface="+mn-cs"/>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twoCellAnchor editAs="oneCell">
    <xdr:from>
      <xdr:col>1</xdr:col>
      <xdr:colOff>552450</xdr:colOff>
      <xdr:row>0</xdr:row>
      <xdr:rowOff>133350</xdr:rowOff>
    </xdr:from>
    <xdr:to>
      <xdr:col>5</xdr:col>
      <xdr:colOff>439051</xdr:colOff>
      <xdr:row>5</xdr:row>
      <xdr:rowOff>7324</xdr:rowOff>
    </xdr:to>
    <xdr:pic>
      <xdr:nvPicPr>
        <xdr:cNvPr id="5" name="Imagen 6">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3812" t="25717" r="14275" b="31896"/>
        <a:stretch/>
      </xdr:blipFill>
      <xdr:spPr>
        <a:xfrm>
          <a:off x="1362075" y="133350"/>
          <a:ext cx="2325002" cy="683599"/>
        </a:xfrm>
        <a:prstGeom prst="rect">
          <a:avLst/>
        </a:prstGeom>
      </xdr:spPr>
    </xdr:pic>
    <xdr:clientData/>
  </xdr:twoCellAnchor>
  <xdr:twoCellAnchor editAs="oneCell">
    <xdr:from>
      <xdr:col>13</xdr:col>
      <xdr:colOff>381000</xdr:colOff>
      <xdr:row>1</xdr:row>
      <xdr:rowOff>47625</xdr:rowOff>
    </xdr:from>
    <xdr:to>
      <xdr:col>16</xdr:col>
      <xdr:colOff>301467</xdr:colOff>
      <xdr:row>4</xdr:row>
      <xdr:rowOff>154577</xdr:rowOff>
    </xdr:to>
    <xdr:pic>
      <xdr:nvPicPr>
        <xdr:cNvPr id="7" name="Imagen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05825" y="209550"/>
          <a:ext cx="1749267" cy="592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12</xdr:row>
          <xdr:rowOff>9525</xdr:rowOff>
        </xdr:from>
        <xdr:to>
          <xdr:col>6</xdr:col>
          <xdr:colOff>228600</xdr:colOff>
          <xdr:row>14</xdr:row>
          <xdr:rowOff>57150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00"/>
                  </a:solidFill>
                  <a:latin typeface="Arial"/>
                  <a:cs typeface="Arial"/>
                </a:rPr>
                <a:t>RUN MODEL</a:t>
              </a:r>
            </a:p>
          </xdr:txBody>
        </xdr:sp>
        <xdr:clientData fPrintsWithSheet="0"/>
      </xdr:twoCellAnchor>
    </mc:Choice>
    <mc:Fallback/>
  </mc:AlternateContent>
  <xdr:twoCellAnchor>
    <xdr:from>
      <xdr:col>11</xdr:col>
      <xdr:colOff>789214</xdr:colOff>
      <xdr:row>0</xdr:row>
      <xdr:rowOff>40822</xdr:rowOff>
    </xdr:from>
    <xdr:to>
      <xdr:col>13</xdr:col>
      <xdr:colOff>526242</xdr:colOff>
      <xdr:row>5</xdr:row>
      <xdr:rowOff>52057</xdr:rowOff>
    </xdr:to>
    <xdr:grpSp>
      <xdr:nvGrpSpPr>
        <xdr:cNvPr id="5" name="Grupo 8">
          <a:extLst>
            <a:ext uri="{FF2B5EF4-FFF2-40B4-BE49-F238E27FC236}">
              <a16:creationId xmlns:a16="http://schemas.microsoft.com/office/drawing/2014/main" id="{00000000-0008-0000-0900-000005000000}"/>
            </a:ext>
          </a:extLst>
        </xdr:cNvPr>
        <xdr:cNvGrpSpPr/>
      </xdr:nvGrpSpPr>
      <xdr:grpSpPr>
        <a:xfrm>
          <a:off x="5783035" y="40822"/>
          <a:ext cx="1437921" cy="827664"/>
          <a:chOff x="5128709" y="99232"/>
          <a:chExt cx="1437921" cy="827664"/>
        </a:xfrm>
      </xdr:grpSpPr>
      <xdr:pic>
        <xdr:nvPicPr>
          <xdr:cNvPr id="6" name="Imagen 9">
            <a:extLst>
              <a:ext uri="{FF2B5EF4-FFF2-40B4-BE49-F238E27FC236}">
                <a16:creationId xmlns:a16="http://schemas.microsoft.com/office/drawing/2014/main" id="{00000000-0008-0000-0900-000006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7" name="Imagen 10">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789215</xdr:colOff>
      <xdr:row>4</xdr:row>
      <xdr:rowOff>40821</xdr:rowOff>
    </xdr:from>
    <xdr:to>
      <xdr:col>6</xdr:col>
      <xdr:colOff>50347</xdr:colOff>
      <xdr:row>10</xdr:row>
      <xdr:rowOff>40822</xdr:rowOff>
    </xdr:to>
    <xdr:pic>
      <xdr:nvPicPr>
        <xdr:cNvPr id="5" name="Imagen 1">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13812" t="25717" r="14275" b="31896"/>
        <a:stretch/>
      </xdr:blipFill>
      <xdr:spPr>
        <a:xfrm>
          <a:off x="938894" y="816428"/>
          <a:ext cx="4118882" cy="1211037"/>
        </a:xfrm>
        <a:prstGeom prst="rect">
          <a:avLst/>
        </a:prstGeom>
      </xdr:spPr>
    </xdr:pic>
    <xdr:clientData/>
  </xdr:twoCellAnchor>
  <xdr:twoCellAnchor editAs="oneCell">
    <xdr:from>
      <xdr:col>22</xdr:col>
      <xdr:colOff>566875</xdr:colOff>
      <xdr:row>4</xdr:row>
      <xdr:rowOff>121313</xdr:rowOff>
    </xdr:from>
    <xdr:to>
      <xdr:col>27</xdr:col>
      <xdr:colOff>3330</xdr:colOff>
      <xdr:row>9</xdr:row>
      <xdr:rowOff>150829</xdr:rowOff>
    </xdr:to>
    <xdr:pic>
      <xdr:nvPicPr>
        <xdr:cNvPr id="7" name="Imagen 3">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88768" y="896920"/>
          <a:ext cx="3368919" cy="1050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36417</xdr:colOff>
      <xdr:row>62</xdr:row>
      <xdr:rowOff>68636</xdr:rowOff>
    </xdr:from>
    <xdr:to>
      <xdr:col>21</xdr:col>
      <xdr:colOff>119061</xdr:colOff>
      <xdr:row>87</xdr:row>
      <xdr:rowOff>71437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734776</xdr:colOff>
      <xdr:row>0</xdr:row>
      <xdr:rowOff>13608</xdr:rowOff>
    </xdr:from>
    <xdr:to>
      <xdr:col>12</xdr:col>
      <xdr:colOff>335733</xdr:colOff>
      <xdr:row>4</xdr:row>
      <xdr:rowOff>160915</xdr:rowOff>
    </xdr:to>
    <xdr:grpSp>
      <xdr:nvGrpSpPr>
        <xdr:cNvPr id="4" name="Grupo 8">
          <a:extLst>
            <a:ext uri="{FF2B5EF4-FFF2-40B4-BE49-F238E27FC236}">
              <a16:creationId xmlns:a16="http://schemas.microsoft.com/office/drawing/2014/main" id="{00000000-0008-0000-0200-000004000000}"/>
            </a:ext>
          </a:extLst>
        </xdr:cNvPr>
        <xdr:cNvGrpSpPr/>
      </xdr:nvGrpSpPr>
      <xdr:grpSpPr>
        <a:xfrm>
          <a:off x="5932705" y="13608"/>
          <a:ext cx="1437921" cy="827664"/>
          <a:chOff x="5128709" y="99232"/>
          <a:chExt cx="1437921" cy="827664"/>
        </a:xfrm>
      </xdr:grpSpPr>
      <xdr:pic>
        <xdr:nvPicPr>
          <xdr:cNvPr id="5" name="Imagen 9">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0</xdr:row>
      <xdr:rowOff>136073</xdr:rowOff>
    </xdr:from>
    <xdr:to>
      <xdr:col>13</xdr:col>
      <xdr:colOff>322136</xdr:colOff>
      <xdr:row>5</xdr:row>
      <xdr:rowOff>120094</xdr:rowOff>
    </xdr:to>
    <xdr:grpSp>
      <xdr:nvGrpSpPr>
        <xdr:cNvPr id="7" name="Grupo 8">
          <a:extLst>
            <a:ext uri="{FF2B5EF4-FFF2-40B4-BE49-F238E27FC236}">
              <a16:creationId xmlns:a16="http://schemas.microsoft.com/office/drawing/2014/main" id="{00000000-0008-0000-0300-000007000000}"/>
            </a:ext>
          </a:extLst>
        </xdr:cNvPr>
        <xdr:cNvGrpSpPr/>
      </xdr:nvGrpSpPr>
      <xdr:grpSpPr>
        <a:xfrm>
          <a:off x="6259286" y="136073"/>
          <a:ext cx="1437921" cy="827664"/>
          <a:chOff x="5128709" y="99232"/>
          <a:chExt cx="1437921" cy="827664"/>
        </a:xfrm>
      </xdr:grpSpPr>
      <xdr:pic>
        <xdr:nvPicPr>
          <xdr:cNvPr id="8" name="Imagen 9">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9" name="Imagen 10">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163284</xdr:colOff>
      <xdr:row>0</xdr:row>
      <xdr:rowOff>54429</xdr:rowOff>
    </xdr:from>
    <xdr:to>
      <xdr:col>13</xdr:col>
      <xdr:colOff>101395</xdr:colOff>
      <xdr:row>5</xdr:row>
      <xdr:rowOff>64152</xdr:rowOff>
    </xdr:to>
    <xdr:grpSp>
      <xdr:nvGrpSpPr>
        <xdr:cNvPr id="4" name="Grupo 8">
          <a:extLst>
            <a:ext uri="{FF2B5EF4-FFF2-40B4-BE49-F238E27FC236}">
              <a16:creationId xmlns:a16="http://schemas.microsoft.com/office/drawing/2014/main" id="{00000000-0008-0000-0400-000004000000}"/>
            </a:ext>
          </a:extLst>
        </xdr:cNvPr>
        <xdr:cNvGrpSpPr/>
      </xdr:nvGrpSpPr>
      <xdr:grpSpPr>
        <a:xfrm>
          <a:off x="5116284" y="54429"/>
          <a:ext cx="1434897" cy="853366"/>
          <a:chOff x="5128709" y="99232"/>
          <a:chExt cx="1437921" cy="827664"/>
        </a:xfrm>
      </xdr:grpSpPr>
      <xdr:pic>
        <xdr:nvPicPr>
          <xdr:cNvPr id="5" name="Imagen 9">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381001</xdr:colOff>
      <xdr:row>0</xdr:row>
      <xdr:rowOff>0</xdr:rowOff>
    </xdr:from>
    <xdr:to>
      <xdr:col>13</xdr:col>
      <xdr:colOff>699734</xdr:colOff>
      <xdr:row>4</xdr:row>
      <xdr:rowOff>160914</xdr:rowOff>
    </xdr:to>
    <xdr:grpSp>
      <xdr:nvGrpSpPr>
        <xdr:cNvPr id="4" name="Grupo 8">
          <a:extLst>
            <a:ext uri="{FF2B5EF4-FFF2-40B4-BE49-F238E27FC236}">
              <a16:creationId xmlns:a16="http://schemas.microsoft.com/office/drawing/2014/main" id="{00000000-0008-0000-0500-000004000000}"/>
            </a:ext>
          </a:extLst>
        </xdr:cNvPr>
        <xdr:cNvGrpSpPr/>
      </xdr:nvGrpSpPr>
      <xdr:grpSpPr>
        <a:xfrm>
          <a:off x="6640287" y="0"/>
          <a:ext cx="1434518" cy="841271"/>
          <a:chOff x="5128709" y="99232"/>
          <a:chExt cx="1437921" cy="827664"/>
        </a:xfrm>
      </xdr:grpSpPr>
      <xdr:pic>
        <xdr:nvPicPr>
          <xdr:cNvPr id="5" name="Imagen 9">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95250</xdr:colOff>
      <xdr:row>0</xdr:row>
      <xdr:rowOff>54429</xdr:rowOff>
    </xdr:from>
    <xdr:to>
      <xdr:col>13</xdr:col>
      <xdr:colOff>417386</xdr:colOff>
      <xdr:row>5</xdr:row>
      <xdr:rowOff>38450</xdr:rowOff>
    </xdr:to>
    <xdr:grpSp>
      <xdr:nvGrpSpPr>
        <xdr:cNvPr id="4" name="Grupo 8">
          <a:extLst>
            <a:ext uri="{FF2B5EF4-FFF2-40B4-BE49-F238E27FC236}">
              <a16:creationId xmlns:a16="http://schemas.microsoft.com/office/drawing/2014/main" id="{00000000-0008-0000-0600-000004000000}"/>
            </a:ext>
          </a:extLst>
        </xdr:cNvPr>
        <xdr:cNvGrpSpPr/>
      </xdr:nvGrpSpPr>
      <xdr:grpSpPr>
        <a:xfrm>
          <a:off x="6354536" y="54429"/>
          <a:ext cx="1437921" cy="827664"/>
          <a:chOff x="5128709" y="99232"/>
          <a:chExt cx="1437921" cy="827664"/>
        </a:xfrm>
      </xdr:grpSpPr>
      <xdr:pic>
        <xdr:nvPicPr>
          <xdr:cNvPr id="5" name="Imagen 9">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176893</xdr:colOff>
      <xdr:row>0</xdr:row>
      <xdr:rowOff>40822</xdr:rowOff>
    </xdr:from>
    <xdr:to>
      <xdr:col>13</xdr:col>
      <xdr:colOff>390172</xdr:colOff>
      <xdr:row>5</xdr:row>
      <xdr:rowOff>24843</xdr:rowOff>
    </xdr:to>
    <xdr:grpSp>
      <xdr:nvGrpSpPr>
        <xdr:cNvPr id="3" name="Grupo 8">
          <a:extLst>
            <a:ext uri="{FF2B5EF4-FFF2-40B4-BE49-F238E27FC236}">
              <a16:creationId xmlns:a16="http://schemas.microsoft.com/office/drawing/2014/main" id="{00000000-0008-0000-0700-000003000000}"/>
            </a:ext>
          </a:extLst>
        </xdr:cNvPr>
        <xdr:cNvGrpSpPr/>
      </xdr:nvGrpSpPr>
      <xdr:grpSpPr>
        <a:xfrm>
          <a:off x="6041572" y="40822"/>
          <a:ext cx="1437921" cy="827664"/>
          <a:chOff x="5128709" y="99232"/>
          <a:chExt cx="1437921" cy="827664"/>
        </a:xfrm>
      </xdr:grpSpPr>
      <xdr:pic>
        <xdr:nvPicPr>
          <xdr:cNvPr id="5" name="Imagen 9">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108857</xdr:colOff>
      <xdr:row>0</xdr:row>
      <xdr:rowOff>68036</xdr:rowOff>
    </xdr:from>
    <xdr:to>
      <xdr:col>12</xdr:col>
      <xdr:colOff>580671</xdr:colOff>
      <xdr:row>5</xdr:row>
      <xdr:rowOff>38450</xdr:rowOff>
    </xdr:to>
    <xdr:grpSp>
      <xdr:nvGrpSpPr>
        <xdr:cNvPr id="4" name="Grupo 8">
          <a:extLst>
            <a:ext uri="{FF2B5EF4-FFF2-40B4-BE49-F238E27FC236}">
              <a16:creationId xmlns:a16="http://schemas.microsoft.com/office/drawing/2014/main" id="{00000000-0008-0000-0800-000004000000}"/>
            </a:ext>
          </a:extLst>
        </xdr:cNvPr>
        <xdr:cNvGrpSpPr/>
      </xdr:nvGrpSpPr>
      <xdr:grpSpPr>
        <a:xfrm>
          <a:off x="7075714" y="68036"/>
          <a:ext cx="1437921" cy="827664"/>
          <a:chOff x="5128709" y="99232"/>
          <a:chExt cx="1437921" cy="827664"/>
        </a:xfrm>
      </xdr:grpSpPr>
      <xdr:pic>
        <xdr:nvPicPr>
          <xdr:cNvPr id="5" name="Imagen 9">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1"/>
          <a:srcRect t="36433" b="32849"/>
          <a:stretch/>
        </xdr:blipFill>
        <xdr:spPr>
          <a:xfrm>
            <a:off x="5229102" y="563591"/>
            <a:ext cx="1182707" cy="363305"/>
          </a:xfrm>
          <a:prstGeom prst="rect">
            <a:avLst/>
          </a:prstGeom>
        </xdr:spPr>
      </xdr:pic>
      <xdr:pic>
        <xdr:nvPicPr>
          <xdr:cNvPr id="6" name="Imagen 10">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8709" y="99232"/>
            <a:ext cx="1437921" cy="4301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BS\Users\andrest\My%20Documents\Andres\TEXAS%20Projects\SH130(5_6Seg)\July%2027%20(Offer%20FINAL%20II)\1%20Base%20Case%20(80miles-Upfront-CPI)\SH130_80m_CPI_Upfront-27July05v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echi-nt7\P60003334\Autopistas\Nacional\Oca&#241;a-LaRoda%20(OLR)\oferta\O&amp;M\OF-OLR-O&amp;M%20Modelo-config-OFERTA-CGV-R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MINI~1\CONFIG~1\Temp\OF_M203_Coste_mantenimiento_05_LC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SBS\Users\Autopistas\Internacional\EEUU\Texas\SH-130%20Segments%205&amp;6%20(Austin)\OFER-SH130\TECNICO\O&amp;M\OyM_Costs\OF_SH130_OyM_Costs_03_CGV.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0AZNZ\AppData\Local\Microsoft\Windows\Temporary%20Internet%20Files\Content.Outlook\COME9TFI\Caso%20Bancos%20con%20aportacion%20Equity%20Estaciones%20Servicios_2%20ESCENARIOS%20TR&#193;FICOS_4_curv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ADMINI~1\CONFIG~1\Temp\Con_M100\OF_M203_Coste_mantenimiento_conM100_05_LC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fileserver2\LIC_US\DATA\pfabbruc\Desktop\183871_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fileserver2\LIC_US\DATA\pfabbruc\Desktop\Project%20Telluride%20-%20TxDOT%20Model%20-%2025%20Jan%2007%20-%202%2011p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Analisis_inversiones\MOSI_2006\Enviado%20GF\Enviado%20el%2007.06.06%20(407-Chicago-OLR)\MODELO%20OLR%20Cierre%20Financiero%20definitivo_inflacion%202.25%25%20IAS_cape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E\fileserver2\LIC_US\Autopistas\Internacional\Estados%20Unidos\TEXAS%20SH%20121\UNSOLICITED\UP-BEX-Viabilidad_O&amp;Mnormal_ATWAPG_R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BS\Users\andrest\My%20Documents\Andres\TEXAS%20Projects\SH130(5_6Seg)\July%2027%20(Offer%20FINAL%20II)\1%20Base%20Case%20(80miles-Upfront-CPI)\SH130_80m_CPI_Upfront-27July05v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SBS\Users\DOCUME~1\andrest\LOCALS~1\Temp\Rar$DI00.750\DepTool-Help-AT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chi-nt7\P60003334\Autopistas\Internacional\Portugal%20A&#231;ores%20(AZ)\Oferta\Modelo%20Financiero\OF-AZ-CasoBase-CRB-R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iro\financeiro\Documents%20and%20Settings\SCUT19.SCUTAZORES\Ambiente%20de%20trabalho\Apoio\0%20-%20Modelo_Proposta_O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nalisis_inversiones\MOSI_2006\Enviado%20GF\Enviado%20el%2007.06.06%20(407-Chicago-OLR)\MODELO%20OLR%20Cierre%20Financiero%20definitivo_inflacion%202.25%25%20IAS_cap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ccounting\Budget\2006\Budget06\Coste%20%20O&amp;M%20Revisado%20as%2025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na\AppData\Roaming\Microsoft\Excel\2011\Lorena_email%2020%2002%2012\OF-AZ-Caso%20Base_v76_revII%202011_PPTO%202012_nvos%20tr&#225;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iro\financeiro\DOCUME~1\ADMINI~1\CONFIG~1\Temp\OF_M203_Coste_mantenimiento_05_L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sheetName val="Control"/>
      <sheetName val="OpsFlags"/>
      <sheetName val="Constr"/>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otesis"/>
      <sheetName val="Datos infraestructura"/>
      <sheetName val="Inventario"/>
      <sheetName val="Datos tráfico"/>
      <sheetName val="Datos personal"/>
      <sheetName val="Datos G. Generales y asesores"/>
      <sheetName val="Presupuesto sistemas"/>
      <sheetName val="Datos SISTEMAS y OC asociada"/>
      <sheetName val="mantenimiento estructuras"/>
      <sheetName val="MEDIO AMBIENTE"/>
      <sheetName val="Datos subcontratos mant"/>
      <sheetName val="Comuni- EXIT"/>
      <sheetName val="Resumen OPERACIÓN ordinaria"/>
      <sheetName val="Resumen mant. extraordinaria"/>
      <sheetName val="Auscultación"/>
      <sheetName val="Informática"/>
      <sheetName val="Iluminación y consumos"/>
      <sheetName val="materiales"/>
      <sheetName val="Vialidad"/>
      <sheetName val="Res gastos preoperacionales"/>
      <sheetName val="Res G. grales y ases explot"/>
      <sheetName val="M.viales"/>
      <sheetName val="maquinaria fija"/>
      <sheetName val="medios_aux"/>
      <sheetName val="Personal Peaje"/>
      <sheetName val="Seguros-Garantias"/>
      <sheetName val="Datos PEF"/>
      <sheetName val="Transferencia"/>
      <sheetName val="Datos_infraestructura"/>
      <sheetName val="Datos_infraestructura1"/>
      <sheetName val="Datos_tráfico"/>
      <sheetName val="Datos_personal"/>
      <sheetName val="Datos_G__Generales_y_asesores"/>
      <sheetName val="Presupuesto_sistemas"/>
      <sheetName val="Datos_SISTEMAS_y_OC_asociada"/>
      <sheetName val="mantenimiento_estructuras"/>
      <sheetName val="MEDIO_AMBIENTE"/>
      <sheetName val="Datos_subcontratos_mant"/>
      <sheetName val="Comuni-_EXIT"/>
      <sheetName val="Resumen_OPERACIÓN_ordinaria"/>
      <sheetName val="Resumen_mant__extraordinaria"/>
      <sheetName val="Iluminación_y_consumos"/>
      <sheetName val="Res_gastos_preoperacionales"/>
      <sheetName val="Res_G__grales_y_ases_explot"/>
      <sheetName val="M_viales"/>
      <sheetName val="maquinaria_fija"/>
      <sheetName val="Personal_Peaje"/>
      <sheetName val="Datos_PEF"/>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otesis"/>
      <sheetName val="Datos infraestructura"/>
      <sheetName val="Transfer O&amp;M"/>
      <sheetName val="Datos tráfico"/>
      <sheetName val="Datos personal"/>
      <sheetName val="Datos G. Generales y asesores"/>
      <sheetName val="ITS M-203"/>
      <sheetName val="Mantenimiento"/>
      <sheetName val="Peaje M-203"/>
      <sheetName val="Datos SISTEMAS y OC asociada"/>
      <sheetName val="mantenimiento estructuras"/>
      <sheetName val="M-AMB"/>
      <sheetName val="Datos subcontratos mant"/>
      <sheetName val="Resumen OPERACIÓN ordinaria"/>
      <sheetName val="ORDINARIO A AÑADIR"/>
      <sheetName val="Resumen mant. extraordinaria"/>
      <sheetName val="Auscultación"/>
      <sheetName val="Informática"/>
      <sheetName val="Iluminación y consumos"/>
      <sheetName val="materiales"/>
      <sheetName val="Vialidad"/>
      <sheetName val="Res gastos preoperacionales"/>
      <sheetName val="Res G. grales y ases explot"/>
      <sheetName val="M.viales"/>
      <sheetName val="maquinaria fija"/>
      <sheetName val="medios_aux"/>
      <sheetName val="Personal Peaje"/>
      <sheetName val="Seguros-Garantias"/>
      <sheetName val="Datos PEF"/>
      <sheetName val="Tablas Aprobacion"/>
      <sheetName val="Transferencia"/>
      <sheetName val="Grado de avance"/>
      <sheetName val="Variables"/>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infra- basicos"/>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Hipot"/>
      <sheetName val="ok"/>
      <sheetName val="Traffic"/>
      <sheetName val="Traffic Revenues"/>
      <sheetName val="Opex"/>
      <sheetName val="Invest"/>
      <sheetName val="Provision"/>
      <sheetName val="Financial"/>
      <sheetName val="Taxes"/>
      <sheetName val="Valoracion"/>
      <sheetName val="CashFlow-TIR"/>
      <sheetName val="WACC"/>
      <sheetName val="WACC (2)"/>
      <sheetName val="Output"/>
      <sheetName val="PeG"/>
      <sheetName val="Balances"/>
      <sheetName val="Formato GF"/>
      <sheetName val="Racios"/>
      <sheetName val="Real Modelo simplificado"/>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otesis"/>
      <sheetName val="Datos infraestructura"/>
      <sheetName val="Transfer O&amp;M"/>
      <sheetName val="Datos tráfico"/>
      <sheetName val="Datos personal"/>
      <sheetName val="Datos G. Generales y asesores"/>
      <sheetName val="ITS M-203"/>
      <sheetName val="Mantenimiento"/>
      <sheetName val="Peaje M-203"/>
      <sheetName val="Datos SISTEMAS y OC asociada"/>
      <sheetName val="mantenimiento estructuras"/>
      <sheetName val="M-AMB"/>
      <sheetName val="Datos subcontratos mant"/>
      <sheetName val="Resumen OPERACIÓN ordinaria"/>
      <sheetName val="ORDINARIO A AÑADIR"/>
      <sheetName val="Resumen mant. extraordinaria"/>
      <sheetName val="Auscultación"/>
      <sheetName val="Informática"/>
      <sheetName val="Iluminación y consumos"/>
      <sheetName val="materiales"/>
      <sheetName val="Vialidad"/>
      <sheetName val="Res gastos preoperacionales"/>
      <sheetName val="Res G. grales y ases explot"/>
      <sheetName val="M.viales"/>
      <sheetName val="maquinaria fija"/>
      <sheetName val="medios_aux"/>
      <sheetName val="Personal Peaje"/>
      <sheetName val="Seguros-Garantias"/>
      <sheetName val="Datos PEF"/>
      <sheetName val="Tablas Aprobacion"/>
      <sheetName val="Transferencia"/>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etailed Outputs"/>
      <sheetName val="ChartData"/>
      <sheetName val="Debt"/>
      <sheetName val="Scenario"/>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bro Hipótesis"/>
      <sheetName val="Apéndice"/>
      <sheetName val="TablasAprobacion"/>
      <sheetName val="Tablas"/>
      <sheetName val="TIR"/>
      <sheetName val="AportaciónGF"/>
      <sheetName val="ImpactoGF"/>
      <sheetName val="TablasGF"/>
      <sheetName val="RatiosFin"/>
      <sheetName val="Resumen"/>
      <sheetName val="Hipotesis"/>
      <sheetName val="Inputs"/>
      <sheetName val="Inputs_tráfico"/>
      <sheetName val="Costes"/>
      <sheetName val="Inversiones"/>
      <sheetName val="Ingresos"/>
      <sheetName val="Impuestos"/>
      <sheetName val="Cash Flow"/>
      <sheetName val="Financiacion"/>
      <sheetName val="Balance"/>
      <sheetName val="EOAF"/>
      <sheetName val="Inputs O&amp;M"/>
      <sheetName val="P&amp;G"/>
      <sheetName val="SVHipot"/>
      <sheetName val="SVRatio"/>
      <sheetName val="SVFin"/>
      <sheetName val="SVRatiosFin"/>
      <sheetName val="SVBalance"/>
      <sheetName val="SVCashFlow"/>
      <sheetName val="SVImp"/>
      <sheetName val="Coste amort"/>
      <sheetName val="SV P&amp;G"/>
      <sheetName val="SV EOAF"/>
      <sheetName val="Grafico SPV"/>
      <sheetName val="Amortizaciones"/>
      <sheetName val="Amort_IAS_Repos"/>
      <sheetName val="PyG_Conso"/>
      <sheetName val="Balance_Conso"/>
      <sheetName val="Cons_Bilan"/>
      <sheetName val="Cons_TdeF"/>
      <sheetName val="Cons_CdR"/>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_Ops"/>
      <sheetName val="Inputs_Constr"/>
      <sheetName val="P&amp;L (FIRPTA)"/>
      <sheetName val="P&amp;L"/>
      <sheetName val="Taxes"/>
      <sheetName val="EquityIRR"/>
      <sheetName val="ProjectIRR"/>
      <sheetName val="Balance"/>
      <sheetName val="S&amp;A"/>
      <sheetName val="Cashflow"/>
      <sheetName val="OpsFlags"/>
      <sheetName val="MMRA"/>
      <sheetName val="DebtSculp"/>
      <sheetName val="Debt"/>
      <sheetName val="DS-Cascade"/>
      <sheetName val="Bk-Dep"/>
      <sheetName val="FIRPTA-Dep"/>
      <sheetName val="Tax-Dep"/>
      <sheetName val="Revenues"/>
      <sheetName val="MACRS"/>
      <sheetName val="Constr"/>
      <sheetName val="Annual"/>
      <sheetName val="Base Results"/>
      <sheetName val="Tables"/>
      <sheetName val="DScover"/>
      <sheetName val="Control"/>
      <sheetName val="Tb-Sensi"/>
      <sheetName val="Cover"/>
      <sheetName val="Discl"/>
      <sheetName val="GenAss"/>
      <sheetName val="Summ"/>
      <sheetName val="FinAss"/>
      <sheetName val="TrafAss"/>
      <sheetName val="O&amp;MAss"/>
      <sheetName val="CAPEXAss"/>
      <sheetName val="Ops"/>
      <sheetName val="Tx-Dep"/>
      <sheetName val="History"/>
      <sheetName val="Summary CF"/>
      <sheetName val="Outputs"/>
      <sheetName val="CFlow"/>
      <sheetName val="Tax"/>
      <sheetName val="Accnt"/>
      <sheetName val="Formato GF"/>
      <sheetName val="Valuation"/>
      <sheetName val="Chart"/>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ok"/>
      <sheetName val="Anexo"/>
      <sheetName val="Hipot"/>
      <sheetName val="Dados "/>
      <sheetName val="Invest"/>
      <sheetName val="Custos"/>
      <sheetName val="Receitas"/>
      <sheetName val="Bandas"/>
      <sheetName val="Impostos"/>
      <sheetName val="CashFlow"/>
      <sheetName val="FinanI"/>
      <sheetName val="FinanII"/>
      <sheetName val="Bonos"/>
      <sheetName val="PeG"/>
      <sheetName val="Balances"/>
      <sheetName val="Moapf"/>
      <sheetName val="Racios"/>
      <sheetName val="Gráfico1"/>
      <sheetName val="Gráfico3"/>
      <sheetName val="Gráfico4"/>
      <sheetName val="Resumen"/>
      <sheetName val="Dados_"/>
      <sheetName val="Dados_1"/>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ok"/>
      <sheetName val="Hipot"/>
      <sheetName val="Dados "/>
      <sheetName val="Invest"/>
      <sheetName val="Custos"/>
      <sheetName val="VAL"/>
      <sheetName val="Receitas"/>
      <sheetName val="Bandas"/>
      <sheetName val="Impostos"/>
      <sheetName val="CashFlow"/>
      <sheetName val="FinanI"/>
      <sheetName val="FinanII"/>
      <sheetName val="PeG"/>
      <sheetName val="Balances"/>
      <sheetName val="Moapf"/>
      <sheetName val="Racios"/>
      <sheetName val="Grado de avance"/>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bro Hipótesis"/>
      <sheetName val="Apéndice"/>
      <sheetName val="TablasAprobacion"/>
      <sheetName val="Tablas"/>
      <sheetName val="TIR"/>
      <sheetName val="AportaciónGF"/>
      <sheetName val="ImpactoGF"/>
      <sheetName val="TablasGF"/>
      <sheetName val="RatiosFin"/>
      <sheetName val="Resumen"/>
      <sheetName val="Hipotesis"/>
      <sheetName val="Inputs"/>
      <sheetName val="Inputs_tráfico"/>
      <sheetName val="Costes"/>
      <sheetName val="Inversiones"/>
      <sheetName val="Ingresos"/>
      <sheetName val="Impuestos"/>
      <sheetName val="Cash Flow"/>
      <sheetName val="Financiacion"/>
      <sheetName val="Balance"/>
      <sheetName val="EOAF"/>
      <sheetName val="Inputs O&amp;M"/>
      <sheetName val="P&amp;G"/>
      <sheetName val="SVHipot"/>
      <sheetName val="SVRatio"/>
      <sheetName val="SVFin"/>
      <sheetName val="SVRatiosFin"/>
      <sheetName val="SVBalance"/>
      <sheetName val="SVCashFlow"/>
      <sheetName val="SVImp"/>
      <sheetName val="Coste amort"/>
      <sheetName val="SV P&amp;G"/>
      <sheetName val="SV EOAF"/>
      <sheetName val="Grafico SPV"/>
      <sheetName val="Amortizaciones"/>
      <sheetName val="Amort_IAS_Repos"/>
      <sheetName val="PyG_Conso"/>
      <sheetName val="Balance_Conso"/>
      <sheetName val="Cons_Bilan"/>
      <sheetName val="Cons_TdeF"/>
      <sheetName val="Cons_CdR"/>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Infraestructura (r)"/>
      <sheetName val="Datos personal"/>
      <sheetName val="Personal (n)"/>
      <sheetName val=" G. Generales y asesores (r)"/>
      <sheetName val="Datos SISTEMAS y OC asociada"/>
      <sheetName val="Datos tráfico (r)"/>
      <sheetName val="inventario de estructuras"/>
      <sheetName val="mantenimiento estructuras"/>
      <sheetName val="Datos subcontratos mant"/>
      <sheetName val="Resumen Op. ordinaria (n)"/>
      <sheetName val="Resumen mant. extraordinaria"/>
      <sheetName val="Drenaje"/>
      <sheetName val="Auscultación"/>
      <sheetName val="Informática"/>
      <sheetName val="Iluminación y consumos"/>
      <sheetName val="materiales"/>
      <sheetName val="Vialidad"/>
      <sheetName val="Res gastos preoperacionales"/>
      <sheetName val="M.viales"/>
      <sheetName val="maquinaria fija"/>
      <sheetName val="medios_aux"/>
      <sheetName val="Personal Peaje (r)"/>
      <sheetName val="Res G. grales y ases explot"/>
      <sheetName val="Resumen seguro y garantias"/>
      <sheetName val="Resumen OPERACIÓN ordinaria"/>
      <sheetName val="overheads "/>
      <sheetName val="Ctes Estructura"/>
      <sheetName val="Ctes Directos"/>
      <sheetName val="Tags Op. (Data from Eazy passl"/>
      <sheetName val="Tag Summary Pricing (Eazy pass)"/>
      <sheetName val="Tag&amp;Cards Eurolnik assumptions"/>
      <sheetName val="Interface O&amp;M Cost (r)"/>
      <sheetName val="AssOPEX"/>
      <sheetName val="Tráfico "/>
      <sheetName val="Tráfico - Tramo 1"/>
      <sheetName val="DESPLEGABLE"/>
      <sheetName val="Listas"/>
      <sheetName val="TOLL"/>
      <sheetName val="(MOSI) (2)"/>
      <sheetName val="Datos_Infraestructura_(r)"/>
      <sheetName val="Datos_personal"/>
      <sheetName val="Personal_(n)"/>
      <sheetName val="_G__Generales_y_asesores_(r)"/>
      <sheetName val="Datos_SISTEMAS_y_OC_asociada"/>
      <sheetName val="Datos_tráfico_(r)"/>
      <sheetName val="inventario_de_estructuras"/>
      <sheetName val="mantenimiento_estructuras"/>
      <sheetName val="Datos_subcontratos_mant"/>
      <sheetName val="Resumen_Op__ordinaria_(n)"/>
      <sheetName val="Resumen_mant__extraordinaria"/>
      <sheetName val="Iluminación_y_consumos"/>
      <sheetName val="Res_gastos_preoperacionales"/>
      <sheetName val="M_viales"/>
      <sheetName val="maquinaria_fija"/>
      <sheetName val="Personal_Peaje_(r)"/>
      <sheetName val="Res_G__grales_y_ases_explot"/>
      <sheetName val="Resumen_seguro_y_garantias"/>
      <sheetName val="Resumen_OPERACIÓN_ordinaria"/>
      <sheetName val="overheads_"/>
      <sheetName val="Ctes_Estructura"/>
      <sheetName val="Ctes_Directos"/>
      <sheetName val="Tags_Op__(Data_from_Eazy_passl"/>
      <sheetName val="Tag_Summary_Pricing_(Eazy_pass)"/>
      <sheetName val="Tag&amp;Cards_Eurolnik_assumptions"/>
      <sheetName val="Interface_O&amp;M_Cost_(r)"/>
      <sheetName val="Tráfico_"/>
      <sheetName val="Tráfico_-_Tramo_1"/>
      <sheetName val="(MOSI)_(2)"/>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Hipot"/>
      <sheetName val="ok"/>
      <sheetName val="Traffic"/>
      <sheetName val="Traffic Revenues"/>
      <sheetName val="Opex"/>
      <sheetName val="Invest"/>
      <sheetName val="Provision"/>
      <sheetName val="Financial"/>
      <sheetName val="Taxes"/>
      <sheetName val="Valoracion"/>
      <sheetName val="CashFlow-TIR"/>
      <sheetName val="PeG"/>
      <sheetName val="Balances"/>
      <sheetName val="Racios"/>
      <sheetName val="Real"/>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otesis"/>
      <sheetName val="Datos infraestructura"/>
      <sheetName val="Transfer O&amp;M"/>
      <sheetName val="Datos tráfico"/>
      <sheetName val="Datos personal"/>
      <sheetName val="Datos G. Generales y asesores"/>
      <sheetName val="ITS M-203"/>
      <sheetName val="Mantenimiento"/>
      <sheetName val="Peaje M-203"/>
      <sheetName val="Datos SISTEMAS y OC asociada"/>
      <sheetName val="mantenimiento estructuras"/>
      <sheetName val="M-AMB"/>
      <sheetName val="Datos subcontratos mant"/>
      <sheetName val="Resumen OPERACIÓN ordinaria"/>
      <sheetName val="ORDINARIO A AÑADIR"/>
      <sheetName val="Resumen mant. extraordinaria"/>
      <sheetName val="Auscultación"/>
      <sheetName val="Informática"/>
      <sheetName val="Iluminación y consumos"/>
      <sheetName val="materiales"/>
      <sheetName val="Vialidad"/>
      <sheetName val="Res gastos preoperacionales"/>
      <sheetName val="Res G. grales y ases explot"/>
      <sheetName val="M.viales"/>
      <sheetName val="maquinaria fija"/>
      <sheetName val="medios_aux"/>
      <sheetName val="Personal Peaje"/>
      <sheetName val="Seguros-Garantias"/>
      <sheetName val="Datos PEF"/>
      <sheetName val="Tablas Aprobacion"/>
      <sheetName val="Transferencia"/>
      <sheetName val="Grado de avance"/>
    </sheetNames>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7"/>
  <sheetViews>
    <sheetView showGridLines="0" tabSelected="1" view="pageBreakPreview" zoomScale="85" zoomScaleNormal="70" zoomScaleSheetLayoutView="85" workbookViewId="0">
      <selection activeCell="K2" sqref="K2"/>
    </sheetView>
  </sheetViews>
  <sheetFormatPr baseColWidth="10" defaultColWidth="0" defaultRowHeight="12.75" zeroHeight="1" x14ac:dyDescent="0.2"/>
  <cols>
    <col min="1" max="1" width="3" style="210" customWidth="1"/>
    <col min="2" max="10" width="9.140625" style="210" customWidth="1"/>
    <col min="11" max="11" width="9.7109375" style="210" customWidth="1"/>
    <col min="12" max="17" width="9.140625" style="210" customWidth="1"/>
    <col min="18" max="18" width="8" style="210" customWidth="1"/>
    <col min="19" max="19" width="9.140625" style="210" hidden="1" customWidth="1"/>
    <col min="20" max="21" width="0" style="210" hidden="1" customWidth="1"/>
    <col min="22" max="16384" width="9.140625" style="210" hidden="1"/>
  </cols>
  <sheetData>
    <row r="1" spans="8:11" x14ac:dyDescent="0.2"/>
    <row r="2" spans="8:11" x14ac:dyDescent="0.2"/>
    <row r="3" spans="8:11" x14ac:dyDescent="0.2">
      <c r="H3" s="2" t="s">
        <v>429</v>
      </c>
      <c r="I3" s="2"/>
      <c r="J3" s="2"/>
      <c r="K3" s="2"/>
    </row>
    <row r="4" spans="8:11" x14ac:dyDescent="0.2">
      <c r="H4" s="2" t="s">
        <v>456</v>
      </c>
      <c r="I4" s="2"/>
      <c r="J4" s="2"/>
      <c r="K4" s="2"/>
    </row>
    <row r="5" spans="8:11" x14ac:dyDescent="0.2"/>
    <row r="6" spans="8:11" x14ac:dyDescent="0.2"/>
    <row r="7" spans="8:11" x14ac:dyDescent="0.2"/>
    <row r="8" spans="8:11" x14ac:dyDescent="0.2"/>
    <row r="9" spans="8:11" x14ac:dyDescent="0.2"/>
    <row r="10" spans="8:11" x14ac:dyDescent="0.2"/>
    <row r="11" spans="8:11" x14ac:dyDescent="0.2"/>
    <row r="12" spans="8:11" x14ac:dyDescent="0.2"/>
    <row r="13" spans="8:11" x14ac:dyDescent="0.2"/>
    <row r="14" spans="8:11" x14ac:dyDescent="0.2"/>
    <row r="15" spans="8:11" x14ac:dyDescent="0.2"/>
    <row r="16" spans="8: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hidden="1" x14ac:dyDescent="0.2"/>
    <row r="66" hidden="1" x14ac:dyDescent="0.2"/>
    <row r="67" x14ac:dyDescent="0.2"/>
  </sheetData>
  <sheetProtection algorithmName="SHA-512" hashValue="dGBml1KVKCGJotXApwKTczWV9vgqhznRhDYype5n3h1kaDstnxKUKQQ10k5vmRrNl/jKTZeMNtvre07G8t97cA==" saltValue="nCfSluiZ20RsDs1i88xXyQ==" spinCount="100000" sheet="1" objects="1" scenarios="1"/>
  <mergeCells count="2">
    <mergeCell ref="H4:K4"/>
    <mergeCell ref="H3:K3"/>
  </mergeCells>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IW38"/>
  <sheetViews>
    <sheetView showGridLines="0" view="pageBreakPreview" zoomScale="70" zoomScaleNormal="70" zoomScaleSheetLayoutView="70" workbookViewId="0">
      <pane xSplit="15" ySplit="9" topLeftCell="P10" activePane="bottomRight" state="frozen"/>
      <selection pane="topRight" activeCell="P1" sqref="P1"/>
      <selection pane="bottomLeft" activeCell="A10" sqref="A10"/>
      <selection pane="bottomRight" activeCell="Q30" sqref="Q30:BJ34"/>
    </sheetView>
  </sheetViews>
  <sheetFormatPr baseColWidth="10" defaultColWidth="0" defaultRowHeight="12.75" x14ac:dyDescent="0.2"/>
  <cols>
    <col min="1" max="4" width="2.7109375" customWidth="1"/>
    <col min="5" max="11" width="9.140625" customWidth="1"/>
    <col min="12" max="12" width="12.7109375" bestFit="1" customWidth="1"/>
    <col min="13" max="13" width="12.85546875" bestFit="1" customWidth="1"/>
    <col min="14" max="14" width="13.7109375" customWidth="1"/>
    <col min="15" max="16" width="2.7109375" customWidth="1"/>
    <col min="17" max="62" width="13.7109375" customWidth="1"/>
    <col min="63" max="257" width="0" hidden="1" customWidth="1"/>
    <col min="258" max="16384" width="13.7109375" hidden="1"/>
  </cols>
  <sheetData>
    <row r="1" spans="1:62"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x14ac:dyDescent="0.2">
      <c r="A2" s="1"/>
      <c r="B2" s="1"/>
      <c r="C2" s="1" t="s">
        <v>2</v>
      </c>
      <c r="D2" s="1"/>
      <c r="E2" s="1"/>
      <c r="F2" s="1"/>
      <c r="G2" s="1" t="str">
        <f>+Inputs!$G$2</f>
        <v>NTE Express</v>
      </c>
      <c r="H2" s="1"/>
      <c r="I2" s="1"/>
      <c r="J2" s="1"/>
      <c r="K2" s="1"/>
      <c r="L2" s="1"/>
      <c r="M2" s="1"/>
      <c r="N2" s="10"/>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
      <c r="B3" s="1"/>
      <c r="C3" s="1" t="s">
        <v>3</v>
      </c>
      <c r="D3" s="1"/>
      <c r="E3" s="1"/>
      <c r="F3" s="1"/>
      <c r="G3" s="1" t="s">
        <v>437</v>
      </c>
      <c r="H3" s="1"/>
      <c r="I3" s="1"/>
      <c r="J3" s="1"/>
      <c r="K3" s="1"/>
      <c r="L3" s="1"/>
      <c r="M3" s="1"/>
      <c r="N3" s="1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2" x14ac:dyDescent="0.2">
      <c r="A4" s="1"/>
      <c r="B4" s="1"/>
      <c r="C4" s="1" t="s">
        <v>254</v>
      </c>
      <c r="D4" s="1"/>
      <c r="E4" s="1"/>
      <c r="F4" s="1"/>
      <c r="G4" s="12">
        <f ca="1">+Inputs!G4</f>
        <v>0</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6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62" x14ac:dyDescent="0.2">
      <c r="A6" s="2"/>
      <c r="B6" s="2"/>
      <c r="C6" s="28" t="s">
        <v>19</v>
      </c>
      <c r="D6" s="29"/>
      <c r="E6" s="30"/>
      <c r="F6" s="31"/>
      <c r="G6" s="31"/>
      <c r="H6" s="31"/>
      <c r="I6" s="31"/>
      <c r="J6" s="31"/>
      <c r="K6" s="31"/>
      <c r="L6" s="31"/>
      <c r="M6" s="31"/>
      <c r="N6" s="31"/>
      <c r="O6" s="31"/>
      <c r="P6" s="31"/>
      <c r="Q6" s="31">
        <f>CF!Q7</f>
        <v>2016</v>
      </c>
      <c r="R6" s="31">
        <f>CF!R7</f>
        <v>2017</v>
      </c>
      <c r="S6" s="31">
        <f>CF!S7</f>
        <v>2018</v>
      </c>
      <c r="T6" s="31">
        <f>CF!T7</f>
        <v>2019</v>
      </c>
      <c r="U6" s="31">
        <f>CF!U7</f>
        <v>2020</v>
      </c>
      <c r="V6" s="31">
        <f>CF!V7</f>
        <v>2021</v>
      </c>
      <c r="W6" s="31">
        <f>CF!W7</f>
        <v>2022</v>
      </c>
      <c r="X6" s="31">
        <f>CF!X7</f>
        <v>2023</v>
      </c>
      <c r="Y6" s="31">
        <f>CF!Y7</f>
        <v>2024</v>
      </c>
      <c r="Z6" s="31">
        <f>CF!Z7</f>
        <v>2025</v>
      </c>
      <c r="AA6" s="31">
        <f>CF!AA7</f>
        <v>2026</v>
      </c>
      <c r="AB6" s="31">
        <f>CF!AB7</f>
        <v>2027</v>
      </c>
      <c r="AC6" s="31">
        <f>CF!AC7</f>
        <v>2028</v>
      </c>
      <c r="AD6" s="31">
        <f>CF!AD7</f>
        <v>2029</v>
      </c>
      <c r="AE6" s="31">
        <f>CF!AE7</f>
        <v>2030</v>
      </c>
      <c r="AF6" s="31">
        <f>CF!AF7</f>
        <v>2031</v>
      </c>
      <c r="AG6" s="31">
        <f>CF!AG7</f>
        <v>2032</v>
      </c>
      <c r="AH6" s="31">
        <f>CF!AH7</f>
        <v>2033</v>
      </c>
      <c r="AI6" s="31">
        <f>CF!AI7</f>
        <v>2034</v>
      </c>
      <c r="AJ6" s="31">
        <f>CF!AJ7</f>
        <v>2035</v>
      </c>
      <c r="AK6" s="31">
        <f>CF!AK7</f>
        <v>2036</v>
      </c>
      <c r="AL6" s="31">
        <f>CF!AL7</f>
        <v>2037</v>
      </c>
      <c r="AM6" s="31">
        <f>CF!AM7</f>
        <v>2038</v>
      </c>
      <c r="AN6" s="31">
        <f>CF!AN7</f>
        <v>2039</v>
      </c>
      <c r="AO6" s="31">
        <f>CF!AO7</f>
        <v>2040</v>
      </c>
      <c r="AP6" s="31">
        <f>CF!AP7</f>
        <v>2041</v>
      </c>
      <c r="AQ6" s="31">
        <f>CF!AQ7</f>
        <v>2042</v>
      </c>
      <c r="AR6" s="31">
        <f>CF!AR7</f>
        <v>2043</v>
      </c>
      <c r="AS6" s="31">
        <f>CF!AS7</f>
        <v>2044</v>
      </c>
      <c r="AT6" s="31">
        <f>CF!AT7</f>
        <v>2045</v>
      </c>
      <c r="AU6" s="31">
        <f>CF!AU7</f>
        <v>2046</v>
      </c>
      <c r="AV6" s="31">
        <f>CF!AV7</f>
        <v>2047</v>
      </c>
      <c r="AW6" s="31">
        <f>CF!AW7</f>
        <v>2048</v>
      </c>
      <c r="AX6" s="31">
        <f>CF!AX7</f>
        <v>2049</v>
      </c>
      <c r="AY6" s="31">
        <f>CF!AY7</f>
        <v>2050</v>
      </c>
      <c r="AZ6" s="31">
        <f>CF!AZ7</f>
        <v>2051</v>
      </c>
      <c r="BA6" s="31">
        <f>CF!BA7</f>
        <v>2052</v>
      </c>
      <c r="BB6" s="31">
        <f>CF!BB7</f>
        <v>2053</v>
      </c>
      <c r="BC6" s="31">
        <f>CF!BC7</f>
        <v>2054</v>
      </c>
      <c r="BD6" s="31">
        <f>CF!BD7</f>
        <v>2055</v>
      </c>
      <c r="BE6" s="31">
        <f>CF!BE7</f>
        <v>2056</v>
      </c>
      <c r="BF6" s="31">
        <f>CF!BF7</f>
        <v>2057</v>
      </c>
      <c r="BG6" s="31">
        <f>CF!BG7</f>
        <v>2058</v>
      </c>
      <c r="BH6" s="31">
        <f>CF!BH7</f>
        <v>2059</v>
      </c>
      <c r="BI6" s="31">
        <f>CF!BI7</f>
        <v>2060</v>
      </c>
      <c r="BJ6" s="31">
        <f>CF!BJ7</f>
        <v>2061</v>
      </c>
    </row>
    <row r="7" spans="1:62" x14ac:dyDescent="0.2">
      <c r="A7" s="1"/>
      <c r="B7" s="1"/>
      <c r="C7" s="1" t="s">
        <v>45</v>
      </c>
      <c r="D7" s="1"/>
      <c r="E7" s="1"/>
      <c r="F7" s="1"/>
      <c r="G7" s="1"/>
      <c r="H7" s="1"/>
      <c r="I7" s="1"/>
      <c r="J7" s="1"/>
      <c r="K7" s="1"/>
      <c r="L7" s="1"/>
      <c r="M7" s="1"/>
      <c r="N7" s="1"/>
      <c r="O7" s="1"/>
      <c r="P7" s="1"/>
      <c r="Q7" s="27">
        <f>CF!Q8</f>
        <v>42370</v>
      </c>
      <c r="R7" s="27">
        <f>CF!R8</f>
        <v>42736</v>
      </c>
      <c r="S7" s="27">
        <f>CF!S8</f>
        <v>43101</v>
      </c>
      <c r="T7" s="27">
        <f>CF!T8</f>
        <v>43466</v>
      </c>
      <c r="U7" s="27">
        <f>CF!U8</f>
        <v>43831</v>
      </c>
      <c r="V7" s="27">
        <f>CF!V8</f>
        <v>44197</v>
      </c>
      <c r="W7" s="27">
        <f>CF!W8</f>
        <v>44562</v>
      </c>
      <c r="X7" s="27">
        <f>CF!X8</f>
        <v>44927</v>
      </c>
      <c r="Y7" s="27">
        <f>CF!Y8</f>
        <v>45292</v>
      </c>
      <c r="Z7" s="27">
        <f>CF!Z8</f>
        <v>45658</v>
      </c>
      <c r="AA7" s="27">
        <f>CF!AA8</f>
        <v>46023</v>
      </c>
      <c r="AB7" s="27">
        <f>CF!AB8</f>
        <v>46388</v>
      </c>
      <c r="AC7" s="27">
        <f>CF!AC8</f>
        <v>46753</v>
      </c>
      <c r="AD7" s="27">
        <f>CF!AD8</f>
        <v>47119</v>
      </c>
      <c r="AE7" s="27">
        <f>CF!AE8</f>
        <v>47484</v>
      </c>
      <c r="AF7" s="27">
        <f>CF!AF8</f>
        <v>47849</v>
      </c>
      <c r="AG7" s="27">
        <f>CF!AG8</f>
        <v>48214</v>
      </c>
      <c r="AH7" s="27">
        <f>CF!AH8</f>
        <v>48580</v>
      </c>
      <c r="AI7" s="27">
        <f>CF!AI8</f>
        <v>48945</v>
      </c>
      <c r="AJ7" s="27">
        <f>CF!AJ8</f>
        <v>49310</v>
      </c>
      <c r="AK7" s="27">
        <f>CF!AK8</f>
        <v>49675</v>
      </c>
      <c r="AL7" s="27">
        <f>CF!AL8</f>
        <v>50041</v>
      </c>
      <c r="AM7" s="27">
        <f>CF!AM8</f>
        <v>50406</v>
      </c>
      <c r="AN7" s="27">
        <f>CF!AN8</f>
        <v>50771</v>
      </c>
      <c r="AO7" s="27">
        <f>CF!AO8</f>
        <v>51136</v>
      </c>
      <c r="AP7" s="27">
        <f>CF!AP8</f>
        <v>51502</v>
      </c>
      <c r="AQ7" s="27">
        <f>CF!AQ8</f>
        <v>51867</v>
      </c>
      <c r="AR7" s="27">
        <f>CF!AR8</f>
        <v>52232</v>
      </c>
      <c r="AS7" s="27">
        <f>CF!AS8</f>
        <v>52597</v>
      </c>
      <c r="AT7" s="27">
        <f>CF!AT8</f>
        <v>52963</v>
      </c>
      <c r="AU7" s="27">
        <f>CF!AU8</f>
        <v>53328</v>
      </c>
      <c r="AV7" s="27">
        <f>CF!AV8</f>
        <v>53693</v>
      </c>
      <c r="AW7" s="27">
        <f>CF!AW8</f>
        <v>54058</v>
      </c>
      <c r="AX7" s="27">
        <f>CF!AX8</f>
        <v>54424</v>
      </c>
      <c r="AY7" s="27">
        <f>CF!AY8</f>
        <v>54789</v>
      </c>
      <c r="AZ7" s="27">
        <f>CF!AZ8</f>
        <v>55154</v>
      </c>
      <c r="BA7" s="27">
        <f>CF!BA8</f>
        <v>55519</v>
      </c>
      <c r="BB7" s="27">
        <f>CF!BB8</f>
        <v>55885</v>
      </c>
      <c r="BC7" s="27">
        <f>CF!BC8</f>
        <v>56250</v>
      </c>
      <c r="BD7" s="27">
        <f>CF!BD8</f>
        <v>56615</v>
      </c>
      <c r="BE7" s="27">
        <f>CF!BE8</f>
        <v>56980</v>
      </c>
      <c r="BF7" s="27">
        <f>CF!BF8</f>
        <v>57346</v>
      </c>
      <c r="BG7" s="27">
        <f>CF!BG8</f>
        <v>57711</v>
      </c>
      <c r="BH7" s="27">
        <f>CF!BH8</f>
        <v>58076</v>
      </c>
      <c r="BI7" s="27">
        <f>CF!BI8</f>
        <v>58441</v>
      </c>
      <c r="BJ7" s="27">
        <f>CF!BJ8</f>
        <v>58807</v>
      </c>
    </row>
    <row r="8" spans="1:62" x14ac:dyDescent="0.2">
      <c r="A8" s="1"/>
      <c r="B8" s="1"/>
      <c r="C8" s="1" t="s">
        <v>46</v>
      </c>
      <c r="D8" s="1"/>
      <c r="E8" s="1"/>
      <c r="F8" s="1"/>
      <c r="G8" s="1"/>
      <c r="H8" s="1"/>
      <c r="I8" s="1"/>
      <c r="J8" s="1"/>
      <c r="K8" s="1"/>
      <c r="L8" s="1"/>
      <c r="M8" s="1"/>
      <c r="N8" s="1"/>
      <c r="O8" s="1"/>
      <c r="P8" s="1"/>
      <c r="Q8" s="27">
        <f>CF!Q9</f>
        <v>42735</v>
      </c>
      <c r="R8" s="27">
        <f>CF!R9</f>
        <v>43100</v>
      </c>
      <c r="S8" s="27">
        <f>CF!S9</f>
        <v>43465</v>
      </c>
      <c r="T8" s="27">
        <f>CF!T9</f>
        <v>43830</v>
      </c>
      <c r="U8" s="27">
        <f>CF!U9</f>
        <v>44196</v>
      </c>
      <c r="V8" s="27">
        <f>CF!V9</f>
        <v>44561</v>
      </c>
      <c r="W8" s="27">
        <f>CF!W9</f>
        <v>44926</v>
      </c>
      <c r="X8" s="27">
        <f>CF!X9</f>
        <v>45291</v>
      </c>
      <c r="Y8" s="27">
        <f>CF!Y9</f>
        <v>45657</v>
      </c>
      <c r="Z8" s="27">
        <f>CF!Z9</f>
        <v>46022</v>
      </c>
      <c r="AA8" s="27">
        <f>CF!AA9</f>
        <v>46387</v>
      </c>
      <c r="AB8" s="27">
        <f>CF!AB9</f>
        <v>46752</v>
      </c>
      <c r="AC8" s="27">
        <f>CF!AC9</f>
        <v>47118</v>
      </c>
      <c r="AD8" s="27">
        <f>CF!AD9</f>
        <v>47483</v>
      </c>
      <c r="AE8" s="27">
        <f>CF!AE9</f>
        <v>47848</v>
      </c>
      <c r="AF8" s="27">
        <f>CF!AF9</f>
        <v>48213</v>
      </c>
      <c r="AG8" s="27">
        <f>CF!AG9</f>
        <v>48579</v>
      </c>
      <c r="AH8" s="27">
        <f>CF!AH9</f>
        <v>48944</v>
      </c>
      <c r="AI8" s="27">
        <f>CF!AI9</f>
        <v>49309</v>
      </c>
      <c r="AJ8" s="27">
        <f>CF!AJ9</f>
        <v>49674</v>
      </c>
      <c r="AK8" s="27">
        <f>CF!AK9</f>
        <v>50040</v>
      </c>
      <c r="AL8" s="27">
        <f>CF!AL9</f>
        <v>50405</v>
      </c>
      <c r="AM8" s="27">
        <f>CF!AM9</f>
        <v>50770</v>
      </c>
      <c r="AN8" s="27">
        <f>CF!AN9</f>
        <v>51135</v>
      </c>
      <c r="AO8" s="27">
        <f>CF!AO9</f>
        <v>51501</v>
      </c>
      <c r="AP8" s="27">
        <f>CF!AP9</f>
        <v>51866</v>
      </c>
      <c r="AQ8" s="27">
        <f>CF!AQ9</f>
        <v>52231</v>
      </c>
      <c r="AR8" s="27">
        <f>CF!AR9</f>
        <v>52596</v>
      </c>
      <c r="AS8" s="27">
        <f>CF!AS9</f>
        <v>52962</v>
      </c>
      <c r="AT8" s="27">
        <f>CF!AT9</f>
        <v>53327</v>
      </c>
      <c r="AU8" s="27">
        <f>CF!AU9</f>
        <v>53692</v>
      </c>
      <c r="AV8" s="27">
        <f>CF!AV9</f>
        <v>54057</v>
      </c>
      <c r="AW8" s="27">
        <f>CF!AW9</f>
        <v>54423</v>
      </c>
      <c r="AX8" s="27">
        <f>CF!AX9</f>
        <v>54788</v>
      </c>
      <c r="AY8" s="27">
        <f>CF!AY9</f>
        <v>55153</v>
      </c>
      <c r="AZ8" s="27">
        <f>CF!AZ9</f>
        <v>55518</v>
      </c>
      <c r="BA8" s="27">
        <f>CF!BA9</f>
        <v>55884</v>
      </c>
      <c r="BB8" s="27">
        <f>CF!BB9</f>
        <v>56249</v>
      </c>
      <c r="BC8" s="27">
        <f>CF!BC9</f>
        <v>56614</v>
      </c>
      <c r="BD8" s="27">
        <f>CF!BD9</f>
        <v>56979</v>
      </c>
      <c r="BE8" s="27">
        <f>CF!BE9</f>
        <v>57345</v>
      </c>
      <c r="BF8" s="27">
        <f>CF!BF9</f>
        <v>57710</v>
      </c>
      <c r="BG8" s="27">
        <f>CF!BG9</f>
        <v>58075</v>
      </c>
      <c r="BH8" s="27">
        <f>CF!BH9</f>
        <v>58440</v>
      </c>
      <c r="BI8" s="27">
        <f>CF!BI9</f>
        <v>58806</v>
      </c>
      <c r="BJ8" s="27">
        <f>CF!BJ9</f>
        <v>59171</v>
      </c>
    </row>
    <row r="9" spans="1:62" x14ac:dyDescent="0.2">
      <c r="A9" s="1"/>
      <c r="B9" s="1"/>
      <c r="C9" s="1"/>
      <c r="D9" s="1"/>
      <c r="E9" s="1"/>
      <c r="F9" s="1"/>
      <c r="G9" s="1"/>
      <c r="H9" s="1"/>
      <c r="I9" s="1"/>
      <c r="J9" s="1"/>
      <c r="K9" s="3" t="s">
        <v>47</v>
      </c>
      <c r="L9" s="3" t="s">
        <v>48</v>
      </c>
      <c r="M9" s="1"/>
      <c r="N9" s="1" t="s">
        <v>49</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x14ac:dyDescent="0.2">
      <c r="A10" s="1"/>
      <c r="B10" s="1"/>
      <c r="C10" s="1"/>
      <c r="D10" s="1"/>
      <c r="E10" s="1"/>
      <c r="F10" s="1"/>
      <c r="G10" s="1"/>
      <c r="H10" s="1"/>
      <c r="I10" s="1"/>
      <c r="J10" s="1"/>
      <c r="K10" s="1"/>
      <c r="L10" s="1"/>
      <c r="M10" s="1"/>
      <c r="N10" s="1"/>
      <c r="O10" s="1"/>
      <c r="P10" s="1"/>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row>
    <row r="11" spans="1:62" ht="16.5" customHeight="1" x14ac:dyDescent="0.25">
      <c r="A11" s="136"/>
      <c r="B11" s="136" t="s">
        <v>253</v>
      </c>
      <c r="C11" s="136"/>
      <c r="D11" s="136"/>
      <c r="E11" s="136"/>
      <c r="F11" s="136"/>
      <c r="G11" s="136"/>
      <c r="H11" s="136"/>
      <c r="I11" s="136"/>
      <c r="J11" s="136"/>
      <c r="K11" s="136"/>
      <c r="L11" s="136"/>
      <c r="M11" s="136"/>
      <c r="N11" s="136"/>
      <c r="O11" s="137"/>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4"/>
    </row>
    <row r="12" spans="1:62"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row>
    <row r="14" spans="1:62" x14ac:dyDescent="0.2">
      <c r="A14" s="1"/>
      <c r="B14" s="1"/>
      <c r="C14" s="1"/>
      <c r="D14" s="1"/>
      <c r="E14" s="1"/>
      <c r="F14" s="33"/>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row>
    <row r="15" spans="1:62"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row>
    <row r="16" spans="1:62" x14ac:dyDescent="0.2">
      <c r="A16" s="1"/>
      <c r="B16" s="1"/>
      <c r="C16" s="4" t="s">
        <v>255</v>
      </c>
      <c r="D16" s="1"/>
      <c r="E16" s="1"/>
      <c r="F16" s="1"/>
      <c r="G16" s="1"/>
      <c r="H16" s="1"/>
      <c r="I16" s="1"/>
      <c r="J16" s="1"/>
      <c r="K16" s="1"/>
      <c r="L16" s="22"/>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1:62" x14ac:dyDescent="0.2">
      <c r="A17" s="1"/>
      <c r="B17" s="1"/>
      <c r="C17" s="1"/>
      <c r="D17" s="1"/>
      <c r="E17" s="1"/>
      <c r="F17" s="1"/>
      <c r="G17" s="1"/>
      <c r="H17" s="1"/>
      <c r="I17" s="1"/>
      <c r="J17" s="1"/>
      <c r="K17" s="1"/>
      <c r="L17" s="22"/>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1:62" x14ac:dyDescent="0.2">
      <c r="A18" s="1"/>
      <c r="B18" s="1"/>
      <c r="C18" s="1"/>
      <c r="D18" s="1"/>
      <c r="E18" s="1"/>
      <c r="F18" s="1"/>
      <c r="G18" s="1"/>
      <c r="H18" s="1"/>
      <c r="I18" s="1"/>
      <c r="J18" s="1"/>
      <c r="K18" s="1"/>
      <c r="L18" s="22"/>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row>
    <row r="19" spans="1:62" s="404" customFormat="1" x14ac:dyDescent="0.2">
      <c r="A19" s="385"/>
      <c r="B19" s="385"/>
      <c r="C19" s="385" t="s">
        <v>256</v>
      </c>
      <c r="D19" s="385"/>
      <c r="E19" s="385"/>
      <c r="F19" s="385"/>
      <c r="G19" s="385"/>
      <c r="H19" s="385"/>
      <c r="I19" s="385"/>
      <c r="J19" s="385"/>
      <c r="K19" s="385"/>
      <c r="L19" s="544"/>
      <c r="M19" s="545">
        <v>2</v>
      </c>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row>
    <row r="20" spans="1:62" s="404" customFormat="1" x14ac:dyDescent="0.2">
      <c r="A20" s="385"/>
      <c r="B20" s="385"/>
      <c r="C20" s="385"/>
      <c r="D20" s="385"/>
      <c r="E20" s="385"/>
      <c r="F20" s="385"/>
      <c r="G20" s="385"/>
      <c r="H20" s="385"/>
      <c r="I20" s="385"/>
      <c r="J20" s="385"/>
      <c r="K20" s="385"/>
      <c r="L20" s="385"/>
      <c r="M20" s="546"/>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row>
    <row r="21" spans="1:62" s="404" customFormat="1" x14ac:dyDescent="0.2">
      <c r="A21" s="385"/>
      <c r="B21" s="385"/>
      <c r="C21" s="385"/>
      <c r="D21" s="385"/>
      <c r="E21" s="385"/>
      <c r="F21" s="385"/>
      <c r="G21" s="385"/>
      <c r="H21" s="385"/>
      <c r="I21" s="385"/>
      <c r="J21" s="385"/>
      <c r="K21" s="385"/>
      <c r="L21" s="385"/>
      <c r="M21" s="547" t="str">
        <f>IF(AND(M23="OK",M24="OK",M22="OK",M25="OK",M26="OK"),"OK","CHECK")</f>
        <v>OK</v>
      </c>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row>
    <row r="22" spans="1:62" s="404" customFormat="1" x14ac:dyDescent="0.2">
      <c r="A22" s="385"/>
      <c r="B22" s="548"/>
      <c r="C22" s="549"/>
      <c r="D22" s="549"/>
      <c r="E22" s="550"/>
      <c r="F22" s="550"/>
      <c r="G22" s="550"/>
      <c r="H22" s="550"/>
      <c r="I22" s="550"/>
      <c r="J22" s="550"/>
      <c r="K22" s="550" t="s">
        <v>62</v>
      </c>
      <c r="L22" s="550"/>
      <c r="M22" s="551" t="str">
        <f>IF(ROUND(N22,0)=ROUND(N30,0),"OK","CHECK")</f>
        <v>OK</v>
      </c>
      <c r="N22" s="552">
        <f>SUM(Q22:BJ22)</f>
        <v>0</v>
      </c>
      <c r="O22" s="553"/>
      <c r="P22" s="554"/>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row>
    <row r="23" spans="1:62" s="404" customFormat="1" x14ac:dyDescent="0.2">
      <c r="A23" s="385"/>
      <c r="B23" s="556"/>
      <c r="C23" s="549" t="s">
        <v>257</v>
      </c>
      <c r="D23" s="549"/>
      <c r="E23" s="549"/>
      <c r="F23" s="549"/>
      <c r="G23" s="549"/>
      <c r="H23" s="549"/>
      <c r="I23" s="549"/>
      <c r="J23" s="549"/>
      <c r="K23" s="549" t="s">
        <v>62</v>
      </c>
      <c r="L23" s="552"/>
      <c r="M23" s="551" t="str">
        <f>IF(ROUND(N23,1)=ROUND(N31,1),"OK","CHECK")</f>
        <v>OK</v>
      </c>
      <c r="N23" s="552">
        <f>SUM(Q23:BJ23)</f>
        <v>329276.02465819661</v>
      </c>
      <c r="O23" s="557"/>
      <c r="P23" s="558"/>
      <c r="Q23" s="552">
        <f>-Fin!Q159</f>
        <v>0</v>
      </c>
      <c r="R23" s="552">
        <f>-Fin!R159</f>
        <v>0</v>
      </c>
      <c r="S23" s="552">
        <f>-Fin!S159</f>
        <v>0</v>
      </c>
      <c r="T23" s="552">
        <f>-Fin!T159</f>
        <v>0</v>
      </c>
      <c r="U23" s="552">
        <f>-Fin!U159</f>
        <v>0</v>
      </c>
      <c r="V23" s="552">
        <f>-Fin!V159</f>
        <v>0</v>
      </c>
      <c r="W23" s="552">
        <f>-Fin!W159</f>
        <v>0</v>
      </c>
      <c r="X23" s="552">
        <f>-Fin!X159</f>
        <v>0</v>
      </c>
      <c r="Y23" s="552">
        <f>-Fin!Y159</f>
        <v>1144.9213178654027</v>
      </c>
      <c r="Z23" s="552">
        <f>-Fin!Z159</f>
        <v>6531.2471802765504</v>
      </c>
      <c r="AA23" s="552">
        <f>-Fin!AA159</f>
        <v>6608.4925890652376</v>
      </c>
      <c r="AB23" s="552">
        <f>-Fin!AB159</f>
        <v>4697.7256395354489</v>
      </c>
      <c r="AC23" s="552">
        <f>-Fin!AC159</f>
        <v>2760.5135969714611</v>
      </c>
      <c r="AD23" s="552">
        <f>-Fin!AD159</f>
        <v>804.31205934862373</v>
      </c>
      <c r="AE23" s="552">
        <f>-Fin!AE159</f>
        <v>0</v>
      </c>
      <c r="AF23" s="552">
        <f>-Fin!AF159</f>
        <v>7360.2077820870327</v>
      </c>
      <c r="AG23" s="552">
        <f>-Fin!AG159</f>
        <v>11373.084161063045</v>
      </c>
      <c r="AH23" s="552">
        <f>-Fin!AH159</f>
        <v>16453.675188882597</v>
      </c>
      <c r="AI23" s="552">
        <f>-Fin!AI159</f>
        <v>22521.64259167781</v>
      </c>
      <c r="AJ23" s="552">
        <f>-Fin!AJ159</f>
        <v>29678.740055812872</v>
      </c>
      <c r="AK23" s="552">
        <f>-Fin!AK159</f>
        <v>38059.275062894245</v>
      </c>
      <c r="AL23" s="552">
        <f>-Fin!AL159</f>
        <v>48120.391502588871</v>
      </c>
      <c r="AM23" s="552">
        <f>-Fin!AM159</f>
        <v>59778.260653921781</v>
      </c>
      <c r="AN23" s="552">
        <f>-Fin!AN159</f>
        <v>73383.535276205657</v>
      </c>
      <c r="AO23" s="552">
        <f>-Fin!AO159</f>
        <v>0</v>
      </c>
      <c r="AP23" s="552">
        <f>-Fin!AP159</f>
        <v>0</v>
      </c>
      <c r="AQ23" s="552">
        <f>-Fin!AQ159</f>
        <v>0</v>
      </c>
      <c r="AR23" s="552">
        <f>-Fin!AR159</f>
        <v>0</v>
      </c>
      <c r="AS23" s="552">
        <f>-Fin!AS159</f>
        <v>0</v>
      </c>
      <c r="AT23" s="552">
        <f>-Fin!AT159</f>
        <v>0</v>
      </c>
      <c r="AU23" s="552">
        <f>-Fin!AU159</f>
        <v>0</v>
      </c>
      <c r="AV23" s="552">
        <f>-Fin!AV159</f>
        <v>0</v>
      </c>
      <c r="AW23" s="552">
        <f>-Fin!AW159</f>
        <v>0</v>
      </c>
      <c r="AX23" s="552">
        <f>-Fin!AX159</f>
        <v>0</v>
      </c>
      <c r="AY23" s="552">
        <f>-Fin!AY159</f>
        <v>0</v>
      </c>
      <c r="AZ23" s="552">
        <f>-Fin!AZ159</f>
        <v>0</v>
      </c>
      <c r="BA23" s="552">
        <f>-Fin!BA159</f>
        <v>0</v>
      </c>
      <c r="BB23" s="552">
        <f>-Fin!BB159</f>
        <v>0</v>
      </c>
      <c r="BC23" s="552">
        <f>-Fin!BC159</f>
        <v>0</v>
      </c>
      <c r="BD23" s="552">
        <f>-Fin!BD159</f>
        <v>0</v>
      </c>
      <c r="BE23" s="552">
        <f>-Fin!BE159</f>
        <v>0</v>
      </c>
      <c r="BF23" s="552">
        <f>-Fin!BF159</f>
        <v>0</v>
      </c>
      <c r="BG23" s="552">
        <f>-Fin!BG159</f>
        <v>0</v>
      </c>
      <c r="BH23" s="552">
        <f>-Fin!BH159</f>
        <v>0</v>
      </c>
      <c r="BI23" s="552">
        <f>-Fin!BI159</f>
        <v>0</v>
      </c>
      <c r="BJ23" s="552">
        <f>-Fin!BJ159</f>
        <v>0</v>
      </c>
    </row>
    <row r="24" spans="1:62" s="404" customFormat="1" x14ac:dyDescent="0.2">
      <c r="A24" s="385"/>
      <c r="B24" s="556"/>
      <c r="C24" s="549" t="s">
        <v>72</v>
      </c>
      <c r="D24" s="549"/>
      <c r="E24" s="549"/>
      <c r="F24" s="549"/>
      <c r="G24" s="549"/>
      <c r="H24" s="549"/>
      <c r="I24" s="549"/>
      <c r="J24" s="549"/>
      <c r="K24" s="549" t="s">
        <v>62</v>
      </c>
      <c r="L24" s="552"/>
      <c r="M24" s="551" t="str">
        <f>IF(ROUND(N24,2)=ROUND(N32,2),"OK","CHECK")</f>
        <v>OK</v>
      </c>
      <c r="N24" s="552">
        <f>SUM(Q24:BJ24)</f>
        <v>246032.33600601187</v>
      </c>
      <c r="O24" s="557"/>
      <c r="P24" s="558"/>
      <c r="Q24" s="552">
        <f>+Fin!Q341</f>
        <v>0</v>
      </c>
      <c r="R24" s="552">
        <f>+Fin!R341</f>
        <v>0</v>
      </c>
      <c r="S24" s="552">
        <f>+Fin!S341</f>
        <v>0</v>
      </c>
      <c r="T24" s="552">
        <f>+Fin!T341</f>
        <v>2933.937622086924</v>
      </c>
      <c r="U24" s="552">
        <f>+Fin!U341</f>
        <v>940.6351316665299</v>
      </c>
      <c r="V24" s="552">
        <f>+Fin!V341</f>
        <v>1180.3461841882392</v>
      </c>
      <c r="W24" s="552">
        <f>+Fin!W341</f>
        <v>1392.855798373562</v>
      </c>
      <c r="X24" s="552">
        <f>+Fin!X341</f>
        <v>1567.8927138781878</v>
      </c>
      <c r="Y24" s="552">
        <f>+Fin!Y341</f>
        <v>1733.2721968863589</v>
      </c>
      <c r="Z24" s="552">
        <f>+Fin!Z341</f>
        <v>1902.9812601184744</v>
      </c>
      <c r="AA24" s="552">
        <f>+Fin!AA341</f>
        <v>2074.7351020773285</v>
      </c>
      <c r="AB24" s="552">
        <f>+Fin!AB341</f>
        <v>2212.8585877595424</v>
      </c>
      <c r="AC24" s="552">
        <f>+Fin!AC341</f>
        <v>2330.3773691569895</v>
      </c>
      <c r="AD24" s="552">
        <f>+Fin!AD341</f>
        <v>2418.2959333556219</v>
      </c>
      <c r="AE24" s="552">
        <f>+Fin!AE341</f>
        <v>2579.0949092429973</v>
      </c>
      <c r="AF24" s="552">
        <f>+Fin!AF341</f>
        <v>2696.1751882153148</v>
      </c>
      <c r="AG24" s="552">
        <f>+Fin!AG341</f>
        <v>2839.6666328661431</v>
      </c>
      <c r="AH24" s="552">
        <f>+Fin!AH341</f>
        <v>3105.9161260773412</v>
      </c>
      <c r="AI24" s="552">
        <f>+Fin!AI341</f>
        <v>3411.5832240242535</v>
      </c>
      <c r="AJ24" s="552">
        <f>+Fin!AJ341</f>
        <v>3768.0917971796848</v>
      </c>
      <c r="AK24" s="552">
        <f>+Fin!AK341</f>
        <v>4073.6348544397351</v>
      </c>
      <c r="AL24" s="552">
        <f>+Fin!AL341</f>
        <v>4320.6180431709508</v>
      </c>
      <c r="AM24" s="552">
        <f>+Fin!AM341</f>
        <v>4797.2675879554872</v>
      </c>
      <c r="AN24" s="552">
        <f>+Fin!AN341</f>
        <v>5638.7025356995109</v>
      </c>
      <c r="AO24" s="552">
        <f>+Fin!AO341</f>
        <v>5664.2656594535383</v>
      </c>
      <c r="AP24" s="552">
        <f>+Fin!AP341</f>
        <v>5923.2709353723476</v>
      </c>
      <c r="AQ24" s="552">
        <f>+Fin!AQ341</f>
        <v>5964.8664794603264</v>
      </c>
      <c r="AR24" s="552">
        <f>+Fin!AR341</f>
        <v>6134.1481172792337</v>
      </c>
      <c r="AS24" s="552">
        <f>+Fin!AS341</f>
        <v>6339.194453137532</v>
      </c>
      <c r="AT24" s="552">
        <f>+Fin!AT341</f>
        <v>6577.3231478792877</v>
      </c>
      <c r="AU24" s="552">
        <f>+Fin!AU341</f>
        <v>9006.5046993014894</v>
      </c>
      <c r="AV24" s="552">
        <f>+Fin!AV341</f>
        <v>9125.9065121812091</v>
      </c>
      <c r="AW24" s="552">
        <f>+Fin!AW341</f>
        <v>9465.0985390987535</v>
      </c>
      <c r="AX24" s="552">
        <f>+Fin!AX341</f>
        <v>9787.7998764432105</v>
      </c>
      <c r="AY24" s="552">
        <f>+Fin!AY341</f>
        <v>10381.737567421795</v>
      </c>
      <c r="AZ24" s="552">
        <f>+Fin!AZ341</f>
        <v>10650.770306827853</v>
      </c>
      <c r="BA24" s="552">
        <f>+Fin!BA341</f>
        <v>10806.024617332281</v>
      </c>
      <c r="BB24" s="552">
        <f>+Fin!BB341</f>
        <v>10971.409959314491</v>
      </c>
      <c r="BC24" s="552">
        <f>+Fin!BC341</f>
        <v>11072.161126111594</v>
      </c>
      <c r="BD24" s="552">
        <f>+Fin!BD341</f>
        <v>11355.312685980001</v>
      </c>
      <c r="BE24" s="552">
        <f>+Fin!BE341</f>
        <v>9642.6086918270485</v>
      </c>
      <c r="BF24" s="552">
        <f>+Fin!BF341</f>
        <v>9736.9246790448087</v>
      </c>
      <c r="BG24" s="552">
        <f>+Fin!BG341</f>
        <v>9624.1770197395927</v>
      </c>
      <c r="BH24" s="552">
        <f>+Fin!BH341</f>
        <v>9434.8959840826774</v>
      </c>
      <c r="BI24" s="552">
        <f>+Fin!BI341</f>
        <v>8508.7060004751474</v>
      </c>
      <c r="BJ24" s="552">
        <f>+Fin!BJ341</f>
        <v>1940.2901498285173</v>
      </c>
    </row>
    <row r="25" spans="1:62" s="404" customFormat="1" x14ac:dyDescent="0.2">
      <c r="A25" s="385"/>
      <c r="B25" s="556"/>
      <c r="C25" s="549" t="s">
        <v>164</v>
      </c>
      <c r="D25" s="549"/>
      <c r="E25" s="549"/>
      <c r="F25" s="549"/>
      <c r="G25" s="549"/>
      <c r="H25" s="549"/>
      <c r="I25" s="549"/>
      <c r="J25" s="549"/>
      <c r="K25" s="549" t="s">
        <v>62</v>
      </c>
      <c r="L25" s="552"/>
      <c r="M25" s="551" t="str">
        <f>IF(ROUND(N25,1)=ROUND(N33,1),"OK","CHECK")</f>
        <v>OK</v>
      </c>
      <c r="N25" s="552">
        <f>SUM(Q25:BJ25)</f>
        <v>9218.740197231773</v>
      </c>
      <c r="O25" s="557"/>
      <c r="P25" s="558"/>
      <c r="Q25" s="552">
        <f>+Fin!Q220</f>
        <v>0</v>
      </c>
      <c r="R25" s="552">
        <f>+Fin!R220</f>
        <v>0</v>
      </c>
      <c r="S25" s="552">
        <f>+Fin!S220</f>
        <v>0</v>
      </c>
      <c r="T25" s="552">
        <f>+Fin!T220</f>
        <v>0</v>
      </c>
      <c r="U25" s="552">
        <f>+Fin!U220</f>
        <v>0</v>
      </c>
      <c r="V25" s="552">
        <f>+Fin!V220</f>
        <v>557.6687048297066</v>
      </c>
      <c r="W25" s="552">
        <f>+Fin!W220</f>
        <v>534.36216053980058</v>
      </c>
      <c r="X25" s="552">
        <f>+Fin!X220</f>
        <v>509.23548841406182</v>
      </c>
      <c r="Y25" s="552">
        <f>+Fin!Y220</f>
        <v>482.14654531459877</v>
      </c>
      <c r="Z25" s="552">
        <f>+Fin!Z220</f>
        <v>452.94208741528695</v>
      </c>
      <c r="AA25" s="552">
        <f>+Fin!AA220</f>
        <v>421.45690329196924</v>
      </c>
      <c r="AB25" s="552">
        <f>+Fin!AB220</f>
        <v>387.51287931121317</v>
      </c>
      <c r="AC25" s="552">
        <f>+Fin!AC220</f>
        <v>353.37203379818618</v>
      </c>
      <c r="AD25" s="552">
        <f>+Fin!AD220</f>
        <v>319.03322549999513</v>
      </c>
      <c r="AE25" s="552">
        <f>+Fin!AE220</f>
        <v>0</v>
      </c>
      <c r="AF25" s="552">
        <f>+Fin!AF220</f>
        <v>579.84454029266635</v>
      </c>
      <c r="AG25" s="552">
        <f>+Fin!AG220</f>
        <v>544.90492975497261</v>
      </c>
      <c r="AH25" s="552">
        <f>+Fin!AH220</f>
        <v>507.3445262385282</v>
      </c>
      <c r="AI25" s="552">
        <f>+Fin!AI220</f>
        <v>466.96674610282395</v>
      </c>
      <c r="AJ25" s="552">
        <f>+Fin!AJ220</f>
        <v>423.56026012155701</v>
      </c>
      <c r="AK25" s="552">
        <f>+Fin!AK220</f>
        <v>376.89788742772294</v>
      </c>
      <c r="AL25" s="552">
        <f>+Fin!AL220</f>
        <v>326.7354064943903</v>
      </c>
      <c r="AM25" s="552">
        <f>+Fin!AM220</f>
        <v>272.00130935066659</v>
      </c>
      <c r="AN25" s="552">
        <f>+Fin!AN220</f>
        <v>212.27895642079221</v>
      </c>
      <c r="AO25" s="552">
        <f>+Fin!AO220</f>
        <v>0</v>
      </c>
      <c r="AP25" s="552">
        <f>+Fin!AP220</f>
        <v>414.85410612569075</v>
      </c>
      <c r="AQ25" s="552">
        <f>+Fin!AQ220</f>
        <v>337.26982103998716</v>
      </c>
      <c r="AR25" s="552">
        <f>+Fin!AR220</f>
        <v>266.4024836345576</v>
      </c>
      <c r="AS25" s="552">
        <f>+Fin!AS220</f>
        <v>201.67056652805547</v>
      </c>
      <c r="AT25" s="552">
        <f>+Fin!AT220</f>
        <v>142.54288873326325</v>
      </c>
      <c r="AU25" s="552">
        <f>+Fin!AU220</f>
        <v>88.534256860786414</v>
      </c>
      <c r="AV25" s="552">
        <f>+Fin!AV220</f>
        <v>39.201483690492267</v>
      </c>
      <c r="AW25" s="552">
        <f>+Fin!AW220</f>
        <v>0</v>
      </c>
      <c r="AX25" s="552">
        <f>+Fin!AX220</f>
        <v>0</v>
      </c>
      <c r="AY25" s="552">
        <f>+Fin!AY220</f>
        <v>0</v>
      </c>
      <c r="AZ25" s="552">
        <f>+Fin!AZ220</f>
        <v>0</v>
      </c>
      <c r="BA25" s="552">
        <f>+Fin!BA220</f>
        <v>0</v>
      </c>
      <c r="BB25" s="552">
        <f>+Fin!BB220</f>
        <v>0</v>
      </c>
      <c r="BC25" s="552">
        <f>+Fin!BC220</f>
        <v>0</v>
      </c>
      <c r="BD25" s="552">
        <f>+Fin!BD220</f>
        <v>0</v>
      </c>
      <c r="BE25" s="552">
        <f>+Fin!BE220</f>
        <v>0</v>
      </c>
      <c r="BF25" s="552">
        <f>+Fin!BF220</f>
        <v>0</v>
      </c>
      <c r="BG25" s="552">
        <f>+Fin!BG220</f>
        <v>0</v>
      </c>
      <c r="BH25" s="552">
        <f>+Fin!BH220</f>
        <v>0</v>
      </c>
      <c r="BI25" s="552">
        <f>+Fin!BI220</f>
        <v>0</v>
      </c>
      <c r="BJ25" s="552">
        <f>+Fin!BJ220</f>
        <v>0</v>
      </c>
    </row>
    <row r="26" spans="1:62" s="404" customFormat="1" x14ac:dyDescent="0.2">
      <c r="A26" s="385"/>
      <c r="B26" s="556"/>
      <c r="C26" s="385" t="s">
        <v>165</v>
      </c>
      <c r="D26" s="549"/>
      <c r="E26" s="549"/>
      <c r="F26" s="549"/>
      <c r="G26" s="549"/>
      <c r="H26" s="549"/>
      <c r="I26" s="549"/>
      <c r="J26" s="549"/>
      <c r="K26" s="549" t="s">
        <v>62</v>
      </c>
      <c r="L26" s="552"/>
      <c r="M26" s="551" t="str">
        <f>IF(ROUND(N26,2)=ROUND(N34,2),"OK","CHECK")</f>
        <v>OK</v>
      </c>
      <c r="N26" s="552">
        <f>SUM(Q26:BJ26)</f>
        <v>27280.637888427991</v>
      </c>
      <c r="O26" s="557"/>
      <c r="P26" s="558"/>
      <c r="Q26" s="552">
        <f>+Fin!Q219+Fin!Q193</f>
        <v>0</v>
      </c>
      <c r="R26" s="552">
        <f>+Fin!R219+Fin!R193</f>
        <v>0</v>
      </c>
      <c r="S26" s="552">
        <f>+Fin!S219+Fin!S193</f>
        <v>0</v>
      </c>
      <c r="T26" s="552">
        <f>+Fin!T219+Fin!T193</f>
        <v>4000</v>
      </c>
      <c r="U26" s="552">
        <f>+Fin!U219+Fin!U193</f>
        <v>4182.581101955403</v>
      </c>
      <c r="V26" s="552">
        <f>+Fin!V219+Fin!V193</f>
        <v>0</v>
      </c>
      <c r="W26" s="552">
        <f>+Fin!W219+Fin!W193</f>
        <v>0</v>
      </c>
      <c r="X26" s="552">
        <f>+Fin!X219+Fin!X193</f>
        <v>0</v>
      </c>
      <c r="Y26" s="552">
        <f>+Fin!Y219+Fin!Y193</f>
        <v>22.898426357308054</v>
      </c>
      <c r="Z26" s="552">
        <f>+Fin!Z219+Fin!Z193</f>
        <v>130.624943605531</v>
      </c>
      <c r="AA26" s="552">
        <f>+Fin!AA219+Fin!AA193</f>
        <v>132.16985178130474</v>
      </c>
      <c r="AB26" s="552">
        <f>+Fin!AB219+Fin!AB193</f>
        <v>93.954512790708975</v>
      </c>
      <c r="AC26" s="552">
        <f>+Fin!AC219+Fin!AC193</f>
        <v>55.210271939429219</v>
      </c>
      <c r="AD26" s="552">
        <f>+Fin!AD219+Fin!AD193</f>
        <v>618.4108578694603</v>
      </c>
      <c r="AE26" s="552">
        <f>+Fin!AE219+Fin!AE193</f>
        <v>4481.3323656213124</v>
      </c>
      <c r="AF26" s="552">
        <f>+Fin!AF219+Fin!AF193</f>
        <v>147.20415564174067</v>
      </c>
      <c r="AG26" s="552">
        <f>+Fin!AG219+Fin!AG193</f>
        <v>227.4616832212609</v>
      </c>
      <c r="AH26" s="552">
        <f>+Fin!AH219+Fin!AH193</f>
        <v>329.07350377765192</v>
      </c>
      <c r="AI26" s="552">
        <f>+Fin!AI219+Fin!AI193</f>
        <v>550.43285183355624</v>
      </c>
      <c r="AJ26" s="552">
        <f>+Fin!AJ219+Fin!AJ193</f>
        <v>793.5748011162575</v>
      </c>
      <c r="AK26" s="552">
        <f>+Fin!AK219+Fin!AK193</f>
        <v>961.18550125788488</v>
      </c>
      <c r="AL26" s="552">
        <f>+Fin!AL219+Fin!AL193</f>
        <v>1162.4078300517774</v>
      </c>
      <c r="AM26" s="552">
        <f>+Fin!AM219+Fin!AM193</f>
        <v>1795.5652130784356</v>
      </c>
      <c r="AN26" s="552">
        <f>+Fin!AN219+Fin!AN193</f>
        <v>3040.6915763852139</v>
      </c>
      <c r="AO26" s="552">
        <f>+Fin!AO219+Fin!AO193</f>
        <v>3543.4454534451443</v>
      </c>
      <c r="AP26" s="552">
        <f>+Fin!AP219+Fin!AP193</f>
        <v>0</v>
      </c>
      <c r="AQ26" s="552">
        <f>+Fin!AQ219+Fin!AQ193</f>
        <v>0</v>
      </c>
      <c r="AR26" s="552">
        <f>+Fin!AR219+Fin!AR193</f>
        <v>0</v>
      </c>
      <c r="AS26" s="552">
        <f>+Fin!AS219+Fin!AS193</f>
        <v>0</v>
      </c>
      <c r="AT26" s="552">
        <f>+Fin!AT219+Fin!AT193</f>
        <v>0</v>
      </c>
      <c r="AU26" s="552">
        <f>+Fin!AU219+Fin!AU193</f>
        <v>0</v>
      </c>
      <c r="AV26" s="552">
        <f>+Fin!AV219+Fin!AV193</f>
        <v>0</v>
      </c>
      <c r="AW26" s="552">
        <f>+Fin!AW219+Fin!AW193</f>
        <v>0</v>
      </c>
      <c r="AX26" s="552">
        <f>+Fin!AX219+Fin!AX193</f>
        <v>1012.4129866986125</v>
      </c>
      <c r="AY26" s="552">
        <f>+Fin!AY219+Fin!AY193</f>
        <v>0</v>
      </c>
      <c r="AZ26" s="552">
        <f>+Fin!AZ219+Fin!AZ193</f>
        <v>0</v>
      </c>
      <c r="BA26" s="552">
        <f>+Fin!BA219+Fin!BA193</f>
        <v>0</v>
      </c>
      <c r="BB26" s="552">
        <f>+Fin!BB219+Fin!BB193</f>
        <v>0</v>
      </c>
      <c r="BC26" s="552">
        <f>+Fin!BC219+Fin!BC193</f>
        <v>0</v>
      </c>
      <c r="BD26" s="552">
        <f>+Fin!BD219+Fin!BD193</f>
        <v>0</v>
      </c>
      <c r="BE26" s="552">
        <f>+Fin!BE219+Fin!BE193</f>
        <v>0</v>
      </c>
      <c r="BF26" s="552">
        <f>+Fin!BF219+Fin!BF193</f>
        <v>0</v>
      </c>
      <c r="BG26" s="552">
        <f>+Fin!BG219+Fin!BG193</f>
        <v>0</v>
      </c>
      <c r="BH26" s="552">
        <f>+Fin!BH219+Fin!BH193</f>
        <v>0</v>
      </c>
      <c r="BI26" s="552">
        <f>+Fin!BI219+Fin!BI193</f>
        <v>0</v>
      </c>
      <c r="BJ26" s="552">
        <f>+Fin!BJ219+Fin!BJ193</f>
        <v>0</v>
      </c>
    </row>
    <row r="27" spans="1:62" s="404" customFormat="1" x14ac:dyDescent="0.2">
      <c r="A27" s="385"/>
      <c r="B27" s="385"/>
      <c r="C27" s="385"/>
      <c r="D27" s="385"/>
      <c r="E27" s="385"/>
      <c r="F27" s="385"/>
      <c r="G27" s="385"/>
      <c r="H27" s="385"/>
      <c r="I27" s="385"/>
      <c r="J27" s="385"/>
      <c r="K27" s="385"/>
      <c r="L27" s="559"/>
      <c r="M27" s="385"/>
      <c r="N27" s="385"/>
      <c r="O27" s="560"/>
      <c r="P27" s="561"/>
      <c r="Q27" s="559"/>
      <c r="R27" s="559"/>
      <c r="S27" s="559"/>
      <c r="T27" s="559"/>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c r="AU27" s="559"/>
      <c r="AV27" s="559"/>
      <c r="AW27" s="559"/>
      <c r="AX27" s="559"/>
      <c r="AY27" s="559"/>
      <c r="AZ27" s="559"/>
      <c r="BA27" s="559"/>
      <c r="BB27" s="559"/>
      <c r="BC27" s="559"/>
      <c r="BD27" s="559"/>
      <c r="BE27" s="559"/>
      <c r="BF27" s="559"/>
      <c r="BG27" s="559"/>
      <c r="BH27" s="559"/>
      <c r="BI27" s="559"/>
      <c r="BJ27" s="559"/>
    </row>
    <row r="28" spans="1:62" s="404" customFormat="1" x14ac:dyDescent="0.2">
      <c r="A28" s="385"/>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5"/>
      <c r="BC28" s="385"/>
      <c r="BD28" s="385"/>
      <c r="BE28" s="385"/>
      <c r="BF28" s="385"/>
      <c r="BG28" s="385"/>
      <c r="BH28" s="385"/>
      <c r="BI28" s="385"/>
      <c r="BJ28" s="385"/>
    </row>
    <row r="29" spans="1:62" s="404" customFormat="1" x14ac:dyDescent="0.2">
      <c r="A29" s="562"/>
      <c r="B29" s="563"/>
      <c r="C29" s="563"/>
      <c r="D29" s="563"/>
      <c r="E29" s="563"/>
      <c r="F29" s="563"/>
      <c r="G29" s="563"/>
      <c r="H29" s="563"/>
      <c r="I29" s="563"/>
      <c r="J29" s="563"/>
      <c r="K29" s="563"/>
      <c r="L29" s="563"/>
      <c r="M29" s="562"/>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563"/>
      <c r="AU29" s="563"/>
      <c r="AV29" s="563"/>
      <c r="AW29" s="563"/>
      <c r="AX29" s="563"/>
      <c r="AY29" s="563"/>
      <c r="AZ29" s="563"/>
      <c r="BA29" s="563"/>
      <c r="BB29" s="563"/>
      <c r="BC29" s="563"/>
      <c r="BD29" s="563"/>
      <c r="BE29" s="563"/>
      <c r="BF29" s="563"/>
      <c r="BG29" s="563"/>
      <c r="BH29" s="563"/>
      <c r="BI29" s="563"/>
      <c r="BJ29" s="563"/>
    </row>
    <row r="30" spans="1:62" s="404" customFormat="1" x14ac:dyDescent="0.2">
      <c r="A30" s="564"/>
      <c r="B30" s="565"/>
      <c r="C30" s="566"/>
      <c r="D30" s="566"/>
      <c r="E30" s="566"/>
      <c r="F30" s="566"/>
      <c r="G30" s="566"/>
      <c r="H30" s="566"/>
      <c r="I30" s="566"/>
      <c r="J30" s="566"/>
      <c r="K30" s="566" t="s">
        <v>62</v>
      </c>
      <c r="L30" s="567"/>
      <c r="M30" s="568" t="str">
        <f>+M22</f>
        <v>OK</v>
      </c>
      <c r="N30" s="567">
        <f>+SUM(Q30:BJ30)</f>
        <v>0</v>
      </c>
      <c r="O30" s="569"/>
      <c r="P30" s="570"/>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row>
    <row r="31" spans="1:62" s="404" customFormat="1" x14ac:dyDescent="0.2">
      <c r="A31" s="564"/>
      <c r="B31" s="565"/>
      <c r="C31" s="566" t="s">
        <v>257</v>
      </c>
      <c r="D31" s="566"/>
      <c r="E31" s="566"/>
      <c r="F31" s="566"/>
      <c r="G31" s="566"/>
      <c r="H31" s="566"/>
      <c r="I31" s="566"/>
      <c r="J31" s="566"/>
      <c r="K31" s="566" t="s">
        <v>62</v>
      </c>
      <c r="L31" s="567"/>
      <c r="M31" s="571" t="str">
        <f>+M23</f>
        <v>OK</v>
      </c>
      <c r="N31" s="567">
        <f>+SUM(Q31:BJ31)</f>
        <v>329276.02465819661</v>
      </c>
      <c r="O31" s="569"/>
      <c r="P31" s="570"/>
      <c r="Q31" s="567">
        <v>0</v>
      </c>
      <c r="R31" s="567">
        <v>0</v>
      </c>
      <c r="S31" s="567">
        <v>0</v>
      </c>
      <c r="T31" s="567">
        <v>0</v>
      </c>
      <c r="U31" s="567">
        <v>0</v>
      </c>
      <c r="V31" s="567">
        <v>0</v>
      </c>
      <c r="W31" s="567">
        <v>0</v>
      </c>
      <c r="X31" s="567">
        <v>0</v>
      </c>
      <c r="Y31" s="567">
        <v>1144.9213178654027</v>
      </c>
      <c r="Z31" s="567">
        <v>6531.2471802765504</v>
      </c>
      <c r="AA31" s="567">
        <v>6608.4925890652376</v>
      </c>
      <c r="AB31" s="567">
        <v>4697.7256395354489</v>
      </c>
      <c r="AC31" s="567">
        <v>2760.5135969714611</v>
      </c>
      <c r="AD31" s="567">
        <v>804.31205934862373</v>
      </c>
      <c r="AE31" s="567">
        <v>0</v>
      </c>
      <c r="AF31" s="567">
        <v>7360.2077820870327</v>
      </c>
      <c r="AG31" s="567">
        <v>11373.084161063045</v>
      </c>
      <c r="AH31" s="567">
        <v>16453.675188882597</v>
      </c>
      <c r="AI31" s="567">
        <v>22521.64259167781</v>
      </c>
      <c r="AJ31" s="567">
        <v>29678.740055812872</v>
      </c>
      <c r="AK31" s="567">
        <v>38059.275062894245</v>
      </c>
      <c r="AL31" s="567">
        <v>48120.391502588871</v>
      </c>
      <c r="AM31" s="567">
        <v>59778.260653921781</v>
      </c>
      <c r="AN31" s="567">
        <v>73383.535276205657</v>
      </c>
      <c r="AO31" s="567">
        <v>0</v>
      </c>
      <c r="AP31" s="567">
        <v>0</v>
      </c>
      <c r="AQ31" s="567">
        <v>0</v>
      </c>
      <c r="AR31" s="567">
        <v>0</v>
      </c>
      <c r="AS31" s="567">
        <v>0</v>
      </c>
      <c r="AT31" s="567">
        <v>0</v>
      </c>
      <c r="AU31" s="567">
        <v>0</v>
      </c>
      <c r="AV31" s="567">
        <v>0</v>
      </c>
      <c r="AW31" s="567">
        <v>0</v>
      </c>
      <c r="AX31" s="567">
        <v>0</v>
      </c>
      <c r="AY31" s="567">
        <v>0</v>
      </c>
      <c r="AZ31" s="567">
        <v>0</v>
      </c>
      <c r="BA31" s="567">
        <v>0</v>
      </c>
      <c r="BB31" s="567">
        <v>0</v>
      </c>
      <c r="BC31" s="567">
        <v>0</v>
      </c>
      <c r="BD31" s="567">
        <v>0</v>
      </c>
      <c r="BE31" s="567">
        <v>0</v>
      </c>
      <c r="BF31" s="567">
        <v>0</v>
      </c>
      <c r="BG31" s="567">
        <v>0</v>
      </c>
      <c r="BH31" s="567">
        <v>0</v>
      </c>
      <c r="BI31" s="567">
        <v>0</v>
      </c>
      <c r="BJ31" s="567">
        <v>0</v>
      </c>
    </row>
    <row r="32" spans="1:62" s="404" customFormat="1" x14ac:dyDescent="0.2">
      <c r="A32" s="564"/>
      <c r="B32" s="565"/>
      <c r="C32" s="566" t="s">
        <v>72</v>
      </c>
      <c r="D32" s="566"/>
      <c r="E32" s="566"/>
      <c r="F32" s="566"/>
      <c r="G32" s="566"/>
      <c r="H32" s="566"/>
      <c r="I32" s="566"/>
      <c r="J32" s="566"/>
      <c r="K32" s="566" t="s">
        <v>62</v>
      </c>
      <c r="L32" s="567"/>
      <c r="M32" s="571" t="str">
        <f>+M24</f>
        <v>OK</v>
      </c>
      <c r="N32" s="567">
        <f>+SUM(Q32:BJ32)</f>
        <v>246032.33600601187</v>
      </c>
      <c r="O32" s="569"/>
      <c r="P32" s="570"/>
      <c r="Q32" s="567">
        <v>0</v>
      </c>
      <c r="R32" s="567">
        <v>0</v>
      </c>
      <c r="S32" s="567">
        <v>0</v>
      </c>
      <c r="T32" s="567">
        <v>2933.937622086924</v>
      </c>
      <c r="U32" s="567">
        <v>940.6351316665299</v>
      </c>
      <c r="V32" s="567">
        <v>1180.3461841882392</v>
      </c>
      <c r="W32" s="567">
        <v>1392.855798373562</v>
      </c>
      <c r="X32" s="567">
        <v>1567.8927138781878</v>
      </c>
      <c r="Y32" s="567">
        <v>1733.2721968863589</v>
      </c>
      <c r="Z32" s="567">
        <v>1902.9812601184744</v>
      </c>
      <c r="AA32" s="567">
        <v>2074.7351020773285</v>
      </c>
      <c r="AB32" s="567">
        <v>2212.8585877595424</v>
      </c>
      <c r="AC32" s="567">
        <v>2330.3773691569895</v>
      </c>
      <c r="AD32" s="567">
        <v>2418.2959333556219</v>
      </c>
      <c r="AE32" s="567">
        <v>2579.0949092429973</v>
      </c>
      <c r="AF32" s="567">
        <v>2696.1751882153148</v>
      </c>
      <c r="AG32" s="567">
        <v>2839.6666328661431</v>
      </c>
      <c r="AH32" s="567">
        <v>3105.9161260773412</v>
      </c>
      <c r="AI32" s="567">
        <v>3411.5832240242535</v>
      </c>
      <c r="AJ32" s="567">
        <v>3768.0917971796848</v>
      </c>
      <c r="AK32" s="567">
        <v>4073.6348544397351</v>
      </c>
      <c r="AL32" s="567">
        <v>4320.6180431709508</v>
      </c>
      <c r="AM32" s="567">
        <v>4797.2675879554872</v>
      </c>
      <c r="AN32" s="567">
        <v>5638.7025356995109</v>
      </c>
      <c r="AO32" s="567">
        <v>5664.2656594535383</v>
      </c>
      <c r="AP32" s="567">
        <v>5923.2709353723476</v>
      </c>
      <c r="AQ32" s="567">
        <v>5964.8664794603264</v>
      </c>
      <c r="AR32" s="567">
        <v>6134.1481172792337</v>
      </c>
      <c r="AS32" s="567">
        <v>6339.194453137532</v>
      </c>
      <c r="AT32" s="567">
        <v>6577.3231478792877</v>
      </c>
      <c r="AU32" s="567">
        <v>9006.5046993014894</v>
      </c>
      <c r="AV32" s="567">
        <v>9125.9065121812091</v>
      </c>
      <c r="AW32" s="567">
        <v>9465.0985390987535</v>
      </c>
      <c r="AX32" s="567">
        <v>9787.7998764432105</v>
      </c>
      <c r="AY32" s="567">
        <v>10381.737567421795</v>
      </c>
      <c r="AZ32" s="567">
        <v>10650.770306827853</v>
      </c>
      <c r="BA32" s="567">
        <v>10806.024617332281</v>
      </c>
      <c r="BB32" s="567">
        <v>10971.409959314491</v>
      </c>
      <c r="BC32" s="567">
        <v>11072.161126111594</v>
      </c>
      <c r="BD32" s="567">
        <v>11355.312685980001</v>
      </c>
      <c r="BE32" s="567">
        <v>9642.6086918270485</v>
      </c>
      <c r="BF32" s="567">
        <v>9736.9246790448087</v>
      </c>
      <c r="BG32" s="567">
        <v>9624.1770197395927</v>
      </c>
      <c r="BH32" s="567">
        <v>9434.8959840826774</v>
      </c>
      <c r="BI32" s="567">
        <v>8508.7060004751474</v>
      </c>
      <c r="BJ32" s="567">
        <v>1940.2901498285173</v>
      </c>
    </row>
    <row r="33" spans="1:62" s="404" customFormat="1" x14ac:dyDescent="0.2">
      <c r="A33" s="564"/>
      <c r="B33" s="565"/>
      <c r="C33" s="566" t="s">
        <v>164</v>
      </c>
      <c r="D33" s="566"/>
      <c r="E33" s="566"/>
      <c r="F33" s="566"/>
      <c r="G33" s="566"/>
      <c r="H33" s="566"/>
      <c r="I33" s="566"/>
      <c r="J33" s="566"/>
      <c r="K33" s="566" t="s">
        <v>62</v>
      </c>
      <c r="L33" s="567"/>
      <c r="M33" s="571" t="str">
        <f>+M25</f>
        <v>OK</v>
      </c>
      <c r="N33" s="567">
        <f>+SUM(Q33:BJ33)</f>
        <v>9218.740197231773</v>
      </c>
      <c r="O33" s="569"/>
      <c r="P33" s="570"/>
      <c r="Q33" s="567">
        <v>0</v>
      </c>
      <c r="R33" s="567">
        <v>0</v>
      </c>
      <c r="S33" s="567">
        <v>0</v>
      </c>
      <c r="T33" s="567">
        <v>0</v>
      </c>
      <c r="U33" s="567">
        <v>0</v>
      </c>
      <c r="V33" s="567">
        <v>557.6687048297066</v>
      </c>
      <c r="W33" s="567">
        <v>534.36216053980058</v>
      </c>
      <c r="X33" s="567">
        <v>509.23548841406182</v>
      </c>
      <c r="Y33" s="567">
        <v>482.14654531459877</v>
      </c>
      <c r="Z33" s="567">
        <v>452.94208741528695</v>
      </c>
      <c r="AA33" s="567">
        <v>421.45690329196924</v>
      </c>
      <c r="AB33" s="567">
        <v>387.51287931121317</v>
      </c>
      <c r="AC33" s="567">
        <v>353.37203379818618</v>
      </c>
      <c r="AD33" s="567">
        <v>319.03322549999513</v>
      </c>
      <c r="AE33" s="567">
        <v>0</v>
      </c>
      <c r="AF33" s="567">
        <v>579.84454029266635</v>
      </c>
      <c r="AG33" s="567">
        <v>544.90492975497261</v>
      </c>
      <c r="AH33" s="567">
        <v>507.3445262385282</v>
      </c>
      <c r="AI33" s="567">
        <v>466.96674610282395</v>
      </c>
      <c r="AJ33" s="567">
        <v>423.56026012155701</v>
      </c>
      <c r="AK33" s="567">
        <v>376.89788742772294</v>
      </c>
      <c r="AL33" s="567">
        <v>326.7354064943903</v>
      </c>
      <c r="AM33" s="567">
        <v>272.00130935066659</v>
      </c>
      <c r="AN33" s="567">
        <v>212.27895642079221</v>
      </c>
      <c r="AO33" s="567">
        <v>0</v>
      </c>
      <c r="AP33" s="567">
        <v>414.85410612569075</v>
      </c>
      <c r="AQ33" s="567">
        <v>337.26982103998716</v>
      </c>
      <c r="AR33" s="567">
        <v>266.4024836345576</v>
      </c>
      <c r="AS33" s="567">
        <v>201.67056652805547</v>
      </c>
      <c r="AT33" s="567">
        <v>142.54288873326325</v>
      </c>
      <c r="AU33" s="567">
        <v>88.534256860786414</v>
      </c>
      <c r="AV33" s="567">
        <v>39.201483690492267</v>
      </c>
      <c r="AW33" s="567">
        <v>0</v>
      </c>
      <c r="AX33" s="567">
        <v>0</v>
      </c>
      <c r="AY33" s="567">
        <v>0</v>
      </c>
      <c r="AZ33" s="567">
        <v>0</v>
      </c>
      <c r="BA33" s="567">
        <v>0</v>
      </c>
      <c r="BB33" s="567">
        <v>0</v>
      </c>
      <c r="BC33" s="567">
        <v>0</v>
      </c>
      <c r="BD33" s="567">
        <v>0</v>
      </c>
      <c r="BE33" s="567">
        <v>0</v>
      </c>
      <c r="BF33" s="567">
        <v>0</v>
      </c>
      <c r="BG33" s="567">
        <v>0</v>
      </c>
      <c r="BH33" s="567">
        <v>0</v>
      </c>
      <c r="BI33" s="567">
        <v>0</v>
      </c>
      <c r="BJ33" s="567">
        <v>0</v>
      </c>
    </row>
    <row r="34" spans="1:62" s="404" customFormat="1" x14ac:dyDescent="0.2">
      <c r="A34" s="564"/>
      <c r="B34" s="565"/>
      <c r="C34" s="566" t="s">
        <v>165</v>
      </c>
      <c r="D34" s="566"/>
      <c r="E34" s="566"/>
      <c r="F34" s="566"/>
      <c r="G34" s="566"/>
      <c r="H34" s="566"/>
      <c r="I34" s="566"/>
      <c r="J34" s="566"/>
      <c r="K34" s="566" t="s">
        <v>62</v>
      </c>
      <c r="L34" s="567"/>
      <c r="M34" s="571" t="str">
        <f>+M26</f>
        <v>OK</v>
      </c>
      <c r="N34" s="567">
        <f>+SUM(Q34:BJ34)</f>
        <v>27280.637888427991</v>
      </c>
      <c r="O34" s="569"/>
      <c r="P34" s="570"/>
      <c r="Q34" s="567">
        <v>0</v>
      </c>
      <c r="R34" s="567">
        <v>0</v>
      </c>
      <c r="S34" s="567">
        <v>0</v>
      </c>
      <c r="T34" s="567">
        <v>4000</v>
      </c>
      <c r="U34" s="567">
        <v>4182.581101955403</v>
      </c>
      <c r="V34" s="567">
        <v>0</v>
      </c>
      <c r="W34" s="567">
        <v>0</v>
      </c>
      <c r="X34" s="567">
        <v>0</v>
      </c>
      <c r="Y34" s="567">
        <v>22.898426357308054</v>
      </c>
      <c r="Z34" s="567">
        <v>130.624943605531</v>
      </c>
      <c r="AA34" s="567">
        <v>132.16985178130474</v>
      </c>
      <c r="AB34" s="567">
        <v>93.954512790708975</v>
      </c>
      <c r="AC34" s="567">
        <v>55.210271939429219</v>
      </c>
      <c r="AD34" s="567">
        <v>618.4108578694603</v>
      </c>
      <c r="AE34" s="567">
        <v>4481.3323656213124</v>
      </c>
      <c r="AF34" s="567">
        <v>147.20415564174067</v>
      </c>
      <c r="AG34" s="567">
        <v>227.4616832212609</v>
      </c>
      <c r="AH34" s="567">
        <v>329.07350377765192</v>
      </c>
      <c r="AI34" s="567">
        <v>550.43285183355624</v>
      </c>
      <c r="AJ34" s="567">
        <v>793.5748011162575</v>
      </c>
      <c r="AK34" s="567">
        <v>961.18550125788488</v>
      </c>
      <c r="AL34" s="567">
        <v>1162.4078300517774</v>
      </c>
      <c r="AM34" s="567">
        <v>1795.5652130784356</v>
      </c>
      <c r="AN34" s="567">
        <v>3040.6915763852139</v>
      </c>
      <c r="AO34" s="567">
        <v>3543.4454534451443</v>
      </c>
      <c r="AP34" s="567">
        <v>0</v>
      </c>
      <c r="AQ34" s="567">
        <v>0</v>
      </c>
      <c r="AR34" s="567">
        <v>0</v>
      </c>
      <c r="AS34" s="567">
        <v>0</v>
      </c>
      <c r="AT34" s="567">
        <v>0</v>
      </c>
      <c r="AU34" s="567">
        <v>0</v>
      </c>
      <c r="AV34" s="567">
        <v>0</v>
      </c>
      <c r="AW34" s="567">
        <v>0</v>
      </c>
      <c r="AX34" s="567">
        <v>1012.4129866986125</v>
      </c>
      <c r="AY34" s="567">
        <v>0</v>
      </c>
      <c r="AZ34" s="567">
        <v>0</v>
      </c>
      <c r="BA34" s="567">
        <v>0</v>
      </c>
      <c r="BB34" s="567">
        <v>0</v>
      </c>
      <c r="BC34" s="567">
        <v>0</v>
      </c>
      <c r="BD34" s="567">
        <v>0</v>
      </c>
      <c r="BE34" s="567">
        <v>0</v>
      </c>
      <c r="BF34" s="567">
        <v>0</v>
      </c>
      <c r="BG34" s="567">
        <v>0</v>
      </c>
      <c r="BH34" s="567">
        <v>0</v>
      </c>
      <c r="BI34" s="567">
        <v>0</v>
      </c>
      <c r="BJ34" s="567">
        <v>0</v>
      </c>
    </row>
    <row r="35" spans="1:62" x14ac:dyDescent="0.2">
      <c r="A35" s="34"/>
      <c r="B35" s="34"/>
      <c r="C35" s="34"/>
      <c r="D35" s="34"/>
      <c r="E35" s="34"/>
      <c r="F35" s="34"/>
      <c r="G35" s="34"/>
      <c r="H35" s="34"/>
      <c r="I35" s="34"/>
      <c r="J35" s="34"/>
      <c r="K35" s="34"/>
      <c r="L35" s="35"/>
      <c r="M35" s="34"/>
      <c r="N35" s="34"/>
      <c r="O35" s="36"/>
      <c r="P35" s="37"/>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row>
    <row r="36" spans="1:62" x14ac:dyDescent="0.2">
      <c r="A36" s="7"/>
      <c r="B36" s="7"/>
      <c r="C36" s="7"/>
      <c r="D36" s="7"/>
      <c r="E36" s="7"/>
      <c r="F36" s="7"/>
      <c r="G36" s="7"/>
      <c r="H36" s="7"/>
      <c r="I36" s="7"/>
      <c r="J36" s="7"/>
      <c r="K36" s="7"/>
      <c r="L36" s="38"/>
      <c r="M36" s="7"/>
      <c r="N36" s="7"/>
      <c r="O36" s="7"/>
      <c r="P36" s="7"/>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row>
    <row r="37" spans="1:62" x14ac:dyDescent="0.2">
      <c r="A37" s="1"/>
      <c r="B37" s="1"/>
      <c r="C37" s="1"/>
      <c r="D37" s="1"/>
      <c r="E37" s="1"/>
      <c r="F37" s="1"/>
      <c r="G37" s="1"/>
      <c r="H37" s="1"/>
      <c r="I37" s="1"/>
      <c r="J37" s="1"/>
      <c r="K37" s="1"/>
      <c r="L37" s="1"/>
      <c r="M37" s="1"/>
      <c r="N37" s="1"/>
      <c r="O37" s="1"/>
      <c r="P37" s="1"/>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row>
    <row r="38" spans="1:62"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row>
  </sheetData>
  <customSheetViews>
    <customSheetView guid="{A171ABFC-BD20-4BE9-8F97-F532286F0C2D}" scale="70" showGridLines="0" hiddenColumns="1">
      <pane xSplit="15" ySplit="9" topLeftCell="Q10" activePane="bottomRight" state="frozen"/>
      <selection pane="bottomRight" activeCell="Q42" sqref="Q42:IV58"/>
      <pageMargins left="0.75" right="0.75" top="1" bottom="1" header="0.5" footer="0.5"/>
      <pageSetup paperSize="9" orientation="portrait" r:id="rId1"/>
      <headerFooter alignWithMargins="0"/>
    </customSheetView>
    <customSheetView guid="{5F88CBE0-3291-4A41-996B-A8A1DC273A84}" scale="70" showGridLines="0" hiddenColumns="1">
      <pane xSplit="15" ySplit="9" topLeftCell="Q10" activePane="bottomRight" state="frozen"/>
      <selection pane="bottomRight" activeCell="G4" sqref="G4"/>
      <pageMargins left="0.75" right="0.75" top="1" bottom="1" header="0.5" footer="0.5"/>
      <pageSetup paperSize="9" orientation="portrait" r:id="rId2"/>
      <headerFooter alignWithMargins="0"/>
    </customSheetView>
  </customSheetViews>
  <phoneticPr fontId="4" type="noConversion"/>
  <conditionalFormatting sqref="G4">
    <cfRule type="cellIs" dxfId="1" priority="1" stopIfTrue="1" operator="greaterThan">
      <formula>0</formula>
    </cfRule>
  </conditionalFormatting>
  <conditionalFormatting sqref="F6:P6 Q6:BJ8">
    <cfRule type="cellIs" dxfId="0" priority="2" stopIfTrue="1" operator="equal">
      <formula>0</formula>
    </cfRule>
  </conditionalFormatting>
  <pageMargins left="0.74803149606299213" right="0.74803149606299213" top="0.98425196850393704" bottom="0.98425196850393704" header="0.51181102362204722" footer="0.51181102362204722"/>
  <pageSetup paperSize="9" scale="40" orientation="landscape" r:id="rId3"/>
  <headerFooter alignWithMargins="0"/>
  <colBreaks count="1" manualBreakCount="1">
    <brk id="31" max="33" man="1"/>
  </colBreaks>
  <ignoredErrors>
    <ignoredError sqref="M23:M24 M25"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049" r:id="rId6" name="Button 1">
              <controlPr defaultSize="0" print="0" autoFill="0" autoPict="0" macro="[0]!Macro1">
                <anchor moveWithCells="1" sizeWithCells="1">
                  <from>
                    <xdr:col>2</xdr:col>
                    <xdr:colOff>66675</xdr:colOff>
                    <xdr:row>12</xdr:row>
                    <xdr:rowOff>9525</xdr:rowOff>
                  </from>
                  <to>
                    <xdr:col>6</xdr:col>
                    <xdr:colOff>228600</xdr:colOff>
                    <xdr:row>14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EQ180"/>
  <sheetViews>
    <sheetView showGridLines="0" view="pageBreakPreview" topLeftCell="A2" zoomScale="70" zoomScaleNormal="70" zoomScaleSheetLayoutView="70" workbookViewId="0">
      <pane xSplit="2" ySplit="13" topLeftCell="C15" activePane="bottomRight" state="frozen"/>
      <selection activeCell="A2" sqref="A2"/>
      <selection pane="topRight" activeCell="C2" sqref="C2"/>
      <selection pane="bottomLeft" activeCell="A15" sqref="A15"/>
      <selection pane="bottomRight" activeCell="E108" sqref="E108"/>
    </sheetView>
  </sheetViews>
  <sheetFormatPr baseColWidth="10" defaultColWidth="11.42578125" defaultRowHeight="12.75" outlineLevelRow="1" x14ac:dyDescent="0.2"/>
  <cols>
    <col min="1" max="1" width="2.140625" style="211" customWidth="1"/>
    <col min="2" max="2" width="12.140625" style="211" customWidth="1"/>
    <col min="3" max="3" width="16" style="211" bestFit="1" customWidth="1"/>
    <col min="4" max="4" width="15.85546875" style="211" bestFit="1" customWidth="1"/>
    <col min="5" max="5" width="13.28515625" style="213" bestFit="1" customWidth="1"/>
    <col min="6" max="6" width="15.5703125" style="213" bestFit="1" customWidth="1"/>
    <col min="7" max="7" width="20" style="213" customWidth="1"/>
    <col min="8" max="8" width="5.140625" style="213" hidden="1" customWidth="1"/>
    <col min="9" max="9" width="2" style="214" customWidth="1"/>
    <col min="10" max="10" width="18" style="213" customWidth="1"/>
    <col min="11" max="11" width="25.140625" style="213" customWidth="1"/>
    <col min="12" max="13" width="19" style="213" customWidth="1"/>
    <col min="14" max="14" width="14.5703125" style="213" customWidth="1"/>
    <col min="15" max="15" width="13.7109375" style="213" customWidth="1"/>
    <col min="16" max="16" width="2.85546875" style="213" customWidth="1"/>
    <col min="17" max="17" width="13.5703125" style="213" customWidth="1"/>
    <col min="18" max="18" width="1.7109375" style="213" customWidth="1"/>
    <col min="19" max="19" width="16.28515625" style="214" customWidth="1"/>
    <col min="20" max="20" width="2.28515625" style="213" customWidth="1"/>
    <col min="21" max="21" width="14.140625" style="213" bestFit="1" customWidth="1"/>
    <col min="22" max="22" width="2.5703125" style="213" customWidth="1"/>
    <col min="23" max="23" width="13.28515625" style="213" bestFit="1" customWidth="1"/>
    <col min="24" max="24" width="3.7109375" style="213" customWidth="1"/>
    <col min="25" max="25" width="19" style="213" customWidth="1"/>
    <col min="26" max="26" width="4.140625" style="213" customWidth="1"/>
    <col min="27" max="27" width="19" style="213" customWidth="1"/>
    <col min="28" max="28" width="23.85546875" style="213" customWidth="1"/>
    <col min="29" max="36" width="19" style="213" customWidth="1"/>
    <col min="37" max="37" width="6" style="213" customWidth="1"/>
    <col min="38" max="38" width="19" style="213" customWidth="1"/>
    <col min="39" max="39" width="6" style="213" customWidth="1"/>
    <col min="40" max="40" width="16" style="211" customWidth="1"/>
    <col min="41" max="41" width="10.140625" style="211" customWidth="1"/>
    <col min="42" max="42" width="15.140625" style="211" customWidth="1"/>
    <col min="43" max="43" width="13.7109375" style="211" customWidth="1"/>
    <col min="44" max="44" width="13" style="211" bestFit="1" customWidth="1"/>
    <col min="45" max="45" width="14.42578125" style="211" customWidth="1"/>
    <col min="46" max="46" width="14.140625" style="211" customWidth="1"/>
    <col min="47" max="48" width="11.7109375" style="211" bestFit="1" customWidth="1"/>
    <col min="49" max="49" width="11.5703125" style="211" bestFit="1" customWidth="1"/>
    <col min="50" max="50" width="11.42578125" style="211"/>
    <col min="51" max="51" width="12.5703125" style="211" customWidth="1"/>
    <col min="52" max="56" width="11.42578125" style="211"/>
    <col min="57" max="57" width="13.85546875" style="211" bestFit="1" customWidth="1"/>
    <col min="58" max="58" width="24.5703125" style="211" customWidth="1"/>
    <col min="59" max="60" width="15.140625" style="211" bestFit="1" customWidth="1"/>
    <col min="61" max="61" width="15.5703125" style="211" bestFit="1" customWidth="1"/>
    <col min="62" max="62" width="19" style="211" bestFit="1" customWidth="1"/>
    <col min="63" max="63" width="18.85546875" style="211" customWidth="1"/>
    <col min="64" max="64" width="13.5703125" style="211" bestFit="1" customWidth="1"/>
    <col min="65" max="69" width="11.42578125" style="211"/>
    <col min="70" max="70" width="13.7109375" style="211" customWidth="1"/>
    <col min="71" max="71" width="4.7109375" style="211" customWidth="1"/>
    <col min="72" max="72" width="13.28515625" style="211" customWidth="1"/>
    <col min="73" max="74" width="11.42578125" style="211"/>
    <col min="75" max="75" width="32.7109375" style="211" customWidth="1"/>
    <col min="76" max="76" width="11.5703125" style="211" bestFit="1" customWidth="1"/>
    <col min="77" max="77" width="11.42578125" style="211"/>
    <col min="78" max="78" width="12.42578125" style="211" bestFit="1" customWidth="1"/>
    <col min="79" max="79" width="11.42578125" style="211"/>
    <col min="80" max="80" width="12.42578125" style="211" bestFit="1" customWidth="1"/>
    <col min="81" max="81" width="11.42578125" style="211"/>
    <col min="82" max="82" width="38.140625" style="211" customWidth="1"/>
    <col min="83" max="84" width="11.42578125" style="211"/>
    <col min="85" max="85" width="7.85546875" style="211" customWidth="1"/>
    <col min="86" max="86" width="19.28515625" style="211" customWidth="1"/>
    <col min="87" max="16384" width="11.42578125" style="211"/>
  </cols>
  <sheetData>
    <row r="1" spans="1:46" hidden="1" outlineLevel="1" x14ac:dyDescent="0.2">
      <c r="C1" s="212"/>
    </row>
    <row r="2" spans="1:46" ht="18" collapsed="1" x14ac:dyDescent="0.25">
      <c r="B2" s="215"/>
      <c r="C2" s="215"/>
      <c r="D2" s="216"/>
      <c r="E2" s="215"/>
      <c r="F2" s="215"/>
      <c r="G2" s="215"/>
      <c r="H2" s="215"/>
      <c r="I2" s="215"/>
      <c r="J2" s="217"/>
      <c r="K2" s="215"/>
    </row>
    <row r="3" spans="1:46" ht="21" thickBot="1" x14ac:dyDescent="0.3">
      <c r="B3" s="215"/>
      <c r="C3" s="215"/>
      <c r="D3" s="216"/>
      <c r="E3" s="215"/>
      <c r="F3" s="215"/>
      <c r="G3" s="215"/>
      <c r="H3" s="215"/>
      <c r="I3" s="215"/>
      <c r="J3" s="217"/>
      <c r="K3" s="215"/>
      <c r="V3" s="218"/>
      <c r="Y3" s="676">
        <f ca="1">+TODAY()</f>
        <v>43251</v>
      </c>
    </row>
    <row r="4" spans="1:46" ht="21" thickBot="1" x14ac:dyDescent="0.25">
      <c r="B4" s="215"/>
      <c r="C4" s="215"/>
      <c r="D4" s="219"/>
      <c r="E4" s="220"/>
      <c r="F4" s="221"/>
      <c r="G4" s="215"/>
      <c r="H4" s="215"/>
      <c r="I4" s="215"/>
      <c r="J4" s="217"/>
      <c r="K4" s="215"/>
      <c r="V4" s="218"/>
    </row>
    <row r="5" spans="1:46" ht="13.5" thickBot="1" x14ac:dyDescent="0.25">
      <c r="B5" s="222"/>
      <c r="C5" s="215"/>
      <c r="D5" s="215"/>
      <c r="E5" s="215"/>
      <c r="F5" s="215"/>
      <c r="G5" s="215"/>
      <c r="H5" s="215"/>
      <c r="I5" s="215"/>
      <c r="J5" s="1"/>
      <c r="K5" s="790"/>
      <c r="L5" s="790"/>
      <c r="M5" s="790"/>
      <c r="N5" s="790"/>
      <c r="O5" s="218"/>
    </row>
    <row r="6" spans="1:46" s="223" customFormat="1" ht="13.5" thickBot="1" x14ac:dyDescent="0.25">
      <c r="B6" s="224"/>
      <c r="J6" s="797" t="s">
        <v>379</v>
      </c>
      <c r="K6" s="798"/>
      <c r="L6" s="798"/>
      <c r="M6" s="798"/>
      <c r="N6" s="798"/>
      <c r="O6" s="799"/>
      <c r="P6" s="225"/>
    </row>
    <row r="7" spans="1:46" s="223" customFormat="1" x14ac:dyDescent="0.2">
      <c r="B7" s="226"/>
      <c r="I7" s="227"/>
      <c r="J7" s="791"/>
      <c r="K7" s="792"/>
      <c r="L7" s="228"/>
      <c r="M7" s="229" t="s">
        <v>375</v>
      </c>
      <c r="N7" s="230"/>
      <c r="O7" s="674">
        <f>+'Valuation &amp; IRR'!E73</f>
        <v>0.105</v>
      </c>
      <c r="Q7" s="211"/>
      <c r="R7" s="211"/>
      <c r="S7" s="211"/>
      <c r="U7" s="211"/>
      <c r="V7" s="211"/>
      <c r="W7" s="211"/>
      <c r="X7" s="211"/>
      <c r="Y7" s="211"/>
      <c r="Z7" s="211"/>
      <c r="AA7" s="211"/>
      <c r="AB7" s="211"/>
      <c r="AC7" s="211"/>
      <c r="AD7" s="211"/>
      <c r="AE7" s="211"/>
    </row>
    <row r="8" spans="1:46" s="223" customFormat="1" ht="25.5" customHeight="1" x14ac:dyDescent="0.2">
      <c r="B8" s="226"/>
      <c r="J8" s="793" t="str">
        <f>+'Valuation &amp; IRR'!J19</f>
        <v>Shareholder Pre-Tax Equity IRR</v>
      </c>
      <c r="K8" s="794"/>
      <c r="L8" s="672">
        <f>+'Valuation &amp; IRR'!N19</f>
        <v>0.15777547955513002</v>
      </c>
      <c r="M8" s="794" t="s">
        <v>380</v>
      </c>
      <c r="N8" s="794"/>
      <c r="O8" s="675">
        <f ca="1">+'Valuation &amp; IRR'!M33</f>
        <v>993694.55517374445</v>
      </c>
      <c r="Q8" s="211"/>
      <c r="R8" s="211"/>
      <c r="S8" s="211"/>
      <c r="U8" s="211"/>
      <c r="W8" s="211"/>
      <c r="X8" s="211"/>
      <c r="Y8" s="211"/>
      <c r="Z8" s="211"/>
      <c r="AA8" s="211"/>
      <c r="AB8" s="211"/>
      <c r="AC8" s="211"/>
      <c r="AD8" s="211"/>
      <c r="AE8" s="211"/>
    </row>
    <row r="9" spans="1:46" s="223" customFormat="1" ht="13.5" thickBot="1" x14ac:dyDescent="0.25">
      <c r="B9" s="226"/>
      <c r="C9" s="211"/>
      <c r="D9" s="211"/>
      <c r="E9" s="211"/>
      <c r="F9" s="211"/>
      <c r="G9" s="211"/>
      <c r="H9" s="211"/>
      <c r="I9" s="211"/>
      <c r="J9" s="795" t="str">
        <f>+'Valuation &amp; IRR'!J27</f>
        <v>Shareholder Post-Tax Equity IRR</v>
      </c>
      <c r="K9" s="796"/>
      <c r="L9" s="673">
        <f ca="1">+'Valuation &amp; IRR'!N27</f>
        <v>0.15067918896675114</v>
      </c>
      <c r="M9" s="796" t="s">
        <v>381</v>
      </c>
      <c r="N9" s="796"/>
      <c r="O9" s="671">
        <f ca="1">+'Valuation &amp; IRR'!M34</f>
        <v>826563.42969035474</v>
      </c>
      <c r="Q9" s="211"/>
      <c r="R9" s="211"/>
      <c r="S9" s="211"/>
      <c r="V9" s="211"/>
      <c r="W9" s="211"/>
      <c r="X9" s="211"/>
      <c r="Y9" s="211"/>
      <c r="Z9" s="211"/>
      <c r="AA9" s="211"/>
      <c r="AB9" s="211"/>
      <c r="AC9" s="211"/>
      <c r="AD9" s="211"/>
      <c r="AE9" s="211"/>
    </row>
    <row r="10" spans="1:46" ht="15" x14ac:dyDescent="0.2">
      <c r="B10" s="231"/>
      <c r="E10" s="211"/>
      <c r="F10" s="211"/>
      <c r="G10" s="232"/>
      <c r="H10" s="232"/>
      <c r="I10" s="223"/>
      <c r="J10" s="233"/>
      <c r="K10" s="233"/>
      <c r="L10" s="218"/>
      <c r="M10" s="234"/>
      <c r="N10" s="223"/>
      <c r="O10" s="223"/>
      <c r="P10" s="235"/>
      <c r="Q10" s="211"/>
      <c r="R10" s="211"/>
      <c r="S10" s="211"/>
      <c r="U10" s="211"/>
      <c r="X10" s="211"/>
      <c r="Y10" s="211"/>
      <c r="Z10" s="211"/>
      <c r="AA10" s="211"/>
      <c r="AB10" s="211"/>
      <c r="AC10" s="211"/>
      <c r="AD10" s="211"/>
      <c r="AE10" s="211"/>
      <c r="AF10" s="211"/>
      <c r="AG10" s="211"/>
      <c r="AH10" s="211"/>
      <c r="AI10" s="211"/>
      <c r="AJ10" s="211"/>
      <c r="AK10" s="236"/>
      <c r="AL10" s="211"/>
      <c r="AM10" s="211"/>
      <c r="AN10" s="235"/>
      <c r="AO10" s="235"/>
      <c r="AP10" s="237"/>
      <c r="AQ10" s="238"/>
      <c r="AR10" s="239"/>
      <c r="AS10" s="234"/>
      <c r="AT10" s="234"/>
    </row>
    <row r="11" spans="1:46" ht="18.75" x14ac:dyDescent="0.2">
      <c r="B11" s="240"/>
      <c r="E11" s="211"/>
      <c r="F11" s="211"/>
      <c r="G11" s="211"/>
      <c r="H11" s="211"/>
      <c r="I11" s="223"/>
      <c r="J11" s="211"/>
      <c r="K11" s="211"/>
      <c r="L11" s="211"/>
      <c r="M11" s="211"/>
      <c r="N11" s="211"/>
      <c r="O11" s="211"/>
      <c r="P11" s="235"/>
      <c r="Q11" s="211"/>
      <c r="R11" s="211"/>
      <c r="S11" s="211"/>
      <c r="T11" s="211"/>
      <c r="U11" s="211"/>
      <c r="V11" s="211"/>
      <c r="W11" s="211"/>
      <c r="X11" s="211"/>
      <c r="Y11" s="211"/>
      <c r="Z11" s="211"/>
      <c r="AA11" s="211"/>
      <c r="AB11" s="223"/>
      <c r="AC11" s="211"/>
      <c r="AD11" s="211"/>
      <c r="AE11" s="211"/>
      <c r="AF11" s="211"/>
      <c r="AG11" s="211"/>
      <c r="AH11" s="211"/>
      <c r="AI11" s="211"/>
      <c r="AJ11" s="236"/>
      <c r="AK11" s="211"/>
      <c r="AL11" s="211"/>
      <c r="AM11" s="211"/>
      <c r="AN11" s="235"/>
      <c r="AO11" s="235"/>
      <c r="AP11" s="237"/>
      <c r="AQ11" s="238"/>
      <c r="AR11" s="239"/>
      <c r="AS11" s="234"/>
      <c r="AT11" s="234"/>
    </row>
    <row r="12" spans="1:46" ht="13.5" thickBot="1" x14ac:dyDescent="0.25">
      <c r="B12" s="241"/>
      <c r="E12" s="211"/>
      <c r="F12" s="211"/>
      <c r="G12" s="211"/>
      <c r="H12" s="211"/>
      <c r="I12" s="223"/>
      <c r="J12" s="211"/>
      <c r="K12" s="211"/>
      <c r="M12" s="242"/>
      <c r="N12" s="235"/>
      <c r="O12" s="235"/>
      <c r="P12" s="235"/>
      <c r="Q12" s="211"/>
      <c r="R12" s="211"/>
      <c r="S12" s="211"/>
      <c r="T12" s="211"/>
      <c r="U12" s="211"/>
      <c r="V12" s="211"/>
      <c r="W12" s="211"/>
      <c r="X12" s="211"/>
      <c r="Y12" s="211"/>
      <c r="Z12" s="211"/>
      <c r="AA12" s="211"/>
      <c r="AB12" s="223"/>
      <c r="AC12" s="211"/>
      <c r="AD12" s="211"/>
      <c r="AE12" s="211"/>
      <c r="AF12" s="211"/>
      <c r="AG12" s="211"/>
      <c r="AH12" s="211"/>
      <c r="AI12" s="211"/>
      <c r="AJ12" s="211"/>
      <c r="AK12" s="211"/>
      <c r="AL12" s="211"/>
      <c r="AM12" s="211"/>
      <c r="AN12" s="235"/>
      <c r="AO12" s="235"/>
      <c r="AP12" s="237"/>
      <c r="AQ12" s="238"/>
      <c r="AR12" s="239"/>
      <c r="AS12" s="234"/>
      <c r="AT12" s="234"/>
    </row>
    <row r="13" spans="1:46" ht="39.75" customHeight="1" thickBot="1" x14ac:dyDescent="0.25">
      <c r="C13" s="243" t="s">
        <v>351</v>
      </c>
      <c r="D13" s="244"/>
      <c r="E13" s="244"/>
      <c r="F13" s="244"/>
      <c r="G13" s="245"/>
      <c r="H13" s="246"/>
      <c r="I13" s="223"/>
      <c r="J13" s="243" t="s">
        <v>425</v>
      </c>
      <c r="K13" s="244"/>
      <c r="L13" s="244"/>
      <c r="M13" s="244"/>
      <c r="N13" s="244"/>
      <c r="O13" s="247"/>
      <c r="P13" s="235"/>
      <c r="Q13" s="248" t="s">
        <v>32</v>
      </c>
      <c r="R13" s="235"/>
      <c r="S13" s="248" t="s">
        <v>42</v>
      </c>
      <c r="U13" s="248" t="s">
        <v>352</v>
      </c>
      <c r="W13" s="249" t="s">
        <v>440</v>
      </c>
      <c r="Y13" s="249" t="s">
        <v>441</v>
      </c>
      <c r="Z13" s="250"/>
      <c r="AA13" s="249" t="s">
        <v>443</v>
      </c>
      <c r="AB13" s="251"/>
      <c r="AC13" s="251"/>
      <c r="AD13" s="223"/>
      <c r="AE13" s="250"/>
      <c r="AF13" s="250"/>
      <c r="AG13" s="223"/>
      <c r="AH13" s="252"/>
      <c r="AI13" s="250"/>
      <c r="AJ13" s="250"/>
      <c r="AK13" s="250"/>
      <c r="AL13" s="250"/>
      <c r="AM13" s="250"/>
      <c r="AN13" s="250"/>
      <c r="AO13" s="250"/>
      <c r="AP13" s="250"/>
      <c r="AQ13" s="250"/>
      <c r="AR13" s="239"/>
      <c r="AS13" s="234"/>
      <c r="AT13" s="234"/>
    </row>
    <row r="14" spans="1:46" ht="45.75" customHeight="1" thickBot="1" x14ac:dyDescent="0.25">
      <c r="C14" s="253" t="s">
        <v>267</v>
      </c>
      <c r="D14" s="254" t="s">
        <v>353</v>
      </c>
      <c r="E14" s="255" t="s">
        <v>118</v>
      </c>
      <c r="F14" s="256" t="s">
        <v>354</v>
      </c>
      <c r="G14" s="257" t="s">
        <v>355</v>
      </c>
      <c r="I14" s="258"/>
      <c r="J14" s="253" t="s">
        <v>356</v>
      </c>
      <c r="K14" s="256" t="s">
        <v>426</v>
      </c>
      <c r="L14" s="256" t="s">
        <v>358</v>
      </c>
      <c r="M14" s="256" t="s">
        <v>119</v>
      </c>
      <c r="N14" s="256" t="s">
        <v>367</v>
      </c>
      <c r="O14" s="257" t="s">
        <v>359</v>
      </c>
      <c r="P14" s="235"/>
      <c r="Q14" s="259" t="s">
        <v>360</v>
      </c>
      <c r="R14" s="235"/>
      <c r="S14" s="259" t="s">
        <v>361</v>
      </c>
      <c r="U14" s="259" t="s">
        <v>362</v>
      </c>
      <c r="W14" s="259" t="s">
        <v>440</v>
      </c>
      <c r="Y14" s="259" t="s">
        <v>441</v>
      </c>
      <c r="Z14" s="258"/>
      <c r="AA14" s="259" t="s">
        <v>443</v>
      </c>
      <c r="AC14" s="258"/>
      <c r="AD14" s="214"/>
      <c r="AE14" s="258"/>
      <c r="AF14" s="258"/>
      <c r="AG14" s="223"/>
      <c r="AH14" s="260"/>
      <c r="AI14" s="258"/>
      <c r="AJ14" s="258"/>
      <c r="AK14" s="258"/>
      <c r="AL14" s="258"/>
      <c r="AM14" s="258"/>
      <c r="AN14" s="258"/>
      <c r="AO14" s="258"/>
      <c r="AP14" s="258"/>
      <c r="AQ14" s="258"/>
      <c r="AR14" s="239"/>
      <c r="AS14" s="234"/>
      <c r="AT14" s="234"/>
    </row>
    <row r="15" spans="1:46" x14ac:dyDescent="0.2">
      <c r="A15" s="236"/>
      <c r="B15" s="264">
        <v>2018</v>
      </c>
      <c r="C15" s="763">
        <f>+INDEX($108:$108,MATCH($B15,$107:$107,0))</f>
        <v>100675.3833614914</v>
      </c>
      <c r="D15" s="764">
        <f>+INDEX($109:$109,MATCH($B15,$107:$107,0))</f>
        <v>-17116.801882543594</v>
      </c>
      <c r="E15" s="764">
        <f>+INDEX($110:$110,MATCH($B15,$107:$107,0))</f>
        <v>-361.09300000000002</v>
      </c>
      <c r="F15" s="764">
        <f>+INDEX($111:$111,MATCH($B15,$107:$107,0))</f>
        <v>-2401.0519999999956</v>
      </c>
      <c r="G15" s="765">
        <f>+INDEX($112:$112,MATCH($B15,$107:$107,0))</f>
        <v>80796.436478947813</v>
      </c>
      <c r="H15" s="766"/>
      <c r="I15" s="767"/>
      <c r="J15" s="763">
        <f>+INDEX($115:$115,MATCH($B15,$107:$107,0))</f>
        <v>-27873.78125</v>
      </c>
      <c r="K15" s="768">
        <f>+INDEX($116:$116,MATCH($B15,$107:$107,0))</f>
        <v>0</v>
      </c>
      <c r="L15" s="764">
        <f>+INDEX($117:$117,MATCH($B15,$107:$107,0))</f>
        <v>-27873.78125</v>
      </c>
      <c r="M15" s="764">
        <f>+INDEX($118:$118,MATCH($B15,$107:$107,0))</f>
        <v>0</v>
      </c>
      <c r="N15" s="764">
        <f>+INDEX($119:$119,MATCH($B15,$107:$107,0))</f>
        <v>36293.173843853452</v>
      </c>
      <c r="O15" s="769">
        <f>+INDEX($120:$120,MATCH($B15,$107:$107,0))</f>
        <v>1230267.586954759</v>
      </c>
      <c r="P15" s="770"/>
      <c r="Q15" s="771">
        <f>+INDEX($123:$123,MATCH($B15,$107:$107,0))</f>
        <v>0</v>
      </c>
      <c r="R15" s="770"/>
      <c r="S15" s="771">
        <f>+INDEX($124:$124,MATCH($B15,$107:$107,0))</f>
        <v>0</v>
      </c>
      <c r="T15" s="766"/>
      <c r="U15" s="771">
        <f>+INDEX($126:$126,MATCH($B15,$107:$107,0))</f>
        <v>-52922.655228947813</v>
      </c>
      <c r="V15" s="766"/>
      <c r="W15" s="771">
        <f>+INDEX($130:$130,MATCH($B15,$107:$107,0))</f>
        <v>0</v>
      </c>
      <c r="X15" s="766"/>
      <c r="Y15" s="771">
        <f ca="1">+INDEX($128:$128,MATCH($B15,$107:$107,0))</f>
        <v>0</v>
      </c>
      <c r="Z15" s="772"/>
      <c r="AA15" s="771">
        <f ca="1">+INDEX($134:$134,MATCH($B15,$107:$107,0))</f>
        <v>0</v>
      </c>
      <c r="AC15" s="251"/>
      <c r="AD15" s="261"/>
      <c r="AE15" s="251"/>
      <c r="AF15" s="251"/>
      <c r="AG15" s="223"/>
      <c r="AH15" s="262"/>
      <c r="AI15" s="262"/>
      <c r="AJ15" s="262"/>
      <c r="AK15" s="262"/>
      <c r="AL15" s="262"/>
      <c r="AM15" s="262"/>
      <c r="AN15" s="263"/>
      <c r="AO15" s="263"/>
      <c r="AP15" s="263"/>
      <c r="AQ15" s="263"/>
      <c r="AR15" s="239"/>
      <c r="AS15" s="234"/>
      <c r="AT15" s="234"/>
    </row>
    <row r="16" spans="1:46" x14ac:dyDescent="0.2">
      <c r="A16" s="236"/>
      <c r="B16" s="264">
        <f>+B15+1</f>
        <v>2019</v>
      </c>
      <c r="C16" s="763">
        <f t="shared" ref="C16:C58" si="0">+INDEX($108:$108,MATCH($B16,$107:$107,0))</f>
        <v>110892.63499175895</v>
      </c>
      <c r="D16" s="764">
        <f t="shared" ref="D16:D58" si="1">+INDEX($109:$109,MATCH($B16,$107:$107,0))</f>
        <v>-18251.715924132259</v>
      </c>
      <c r="E16" s="764">
        <f t="shared" ref="E16:E58" si="2">+INDEX($110:$110,MATCH($B16,$107:$107,0))</f>
        <v>-597.58950622269083</v>
      </c>
      <c r="F16" s="764">
        <f t="shared" ref="F16:F58" si="3">+INDEX($111:$111,MATCH($B16,$107:$107,0))</f>
        <v>-2271.9001843671922</v>
      </c>
      <c r="G16" s="765">
        <f t="shared" ref="G16:G58" si="4">+INDEX($112:$112,MATCH($B16,$107:$107,0))</f>
        <v>89771.429377036824</v>
      </c>
      <c r="H16" s="766"/>
      <c r="I16" s="767"/>
      <c r="J16" s="763">
        <f t="shared" ref="J16:J58" si="5">+INDEX($115:$115,MATCH($B16,$107:$107,0))</f>
        <v>-51331.867977289221</v>
      </c>
      <c r="K16" s="768">
        <f t="shared" ref="K16:K58" si="6">+INDEX($116:$116,MATCH($B16,$107:$107,0))</f>
        <v>0</v>
      </c>
      <c r="L16" s="764">
        <f t="shared" ref="L16:L58" si="7">+INDEX($117:$117,MATCH($B16,$107:$107,0))</f>
        <v>-51331.867977289221</v>
      </c>
      <c r="M16" s="764">
        <f t="shared" ref="M16:M58" si="8">+INDEX($118:$118,MATCH($B16,$107:$107,0))</f>
        <v>2933.937622086924</v>
      </c>
      <c r="N16" s="764">
        <f t="shared" ref="N16:N58" si="9">+INDEX($119:$119,MATCH($B16,$107:$107,0))</f>
        <v>18197.177107583895</v>
      </c>
      <c r="O16" s="769">
        <f t="shared" ref="O16:O58" si="10">+INDEX($120:$120,MATCH($B16,$107:$107,0))</f>
        <v>1248464.7640623427</v>
      </c>
      <c r="P16" s="770"/>
      <c r="Q16" s="771">
        <f t="shared" ref="Q16:Q58" si="11">+INDEX($123:$123,MATCH($B16,$107:$107,0))</f>
        <v>7436.1096886952218</v>
      </c>
      <c r="R16" s="770"/>
      <c r="S16" s="771">
        <f t="shared" ref="S16:S58" si="12">+INDEX($124:$124,MATCH($B16,$107:$107,0))</f>
        <v>13120.896909061044</v>
      </c>
      <c r="T16" s="766"/>
      <c r="U16" s="771">
        <f t="shared" ref="U16:U58" si="13">+INDEX($126:$126,MATCH($B16,$107:$107,0))</f>
        <v>145303.99870894785</v>
      </c>
      <c r="V16" s="766"/>
      <c r="W16" s="771">
        <f t="shared" ref="W16:W58" si="14">+INDEX($130:$130,MATCH($B16,$107:$107,0))</f>
        <v>207234.50432853866</v>
      </c>
      <c r="X16" s="766"/>
      <c r="Y16" s="771">
        <f t="shared" ref="Y16:Y58" ca="1" si="15">+INDEX($128:$128,MATCH($B16,$107:$107,0))</f>
        <v>0</v>
      </c>
      <c r="Z16" s="772"/>
      <c r="AA16" s="771">
        <f ca="1">+INDEX($134:$134,MATCH($B16,$107:$107,0))</f>
        <v>207234.50432853866</v>
      </c>
      <c r="AC16" s="251"/>
      <c r="AD16" s="261"/>
      <c r="AE16" s="251"/>
      <c r="AF16" s="251"/>
      <c r="AG16" s="223"/>
      <c r="AH16" s="262"/>
      <c r="AI16" s="262"/>
      <c r="AJ16" s="262"/>
      <c r="AK16" s="262"/>
      <c r="AL16" s="262"/>
      <c r="AM16" s="262"/>
      <c r="AN16" s="263"/>
      <c r="AO16" s="263"/>
      <c r="AP16" s="263"/>
      <c r="AQ16" s="263"/>
      <c r="AR16" s="239"/>
      <c r="AS16" s="234"/>
      <c r="AT16" s="234"/>
    </row>
    <row r="17" spans="1:46" x14ac:dyDescent="0.2">
      <c r="A17" s="236"/>
      <c r="B17" s="264">
        <f t="shared" ref="B17:B58" si="16">+B16+1</f>
        <v>2020</v>
      </c>
      <c r="C17" s="763">
        <f t="shared" si="0"/>
        <v>122977.44237811655</v>
      </c>
      <c r="D17" s="764">
        <f t="shared" si="1"/>
        <v>-19461.879413055398</v>
      </c>
      <c r="E17" s="764">
        <f t="shared" si="2"/>
        <v>-650.56990692636111</v>
      </c>
      <c r="F17" s="764">
        <f t="shared" si="3"/>
        <v>-3321.3370258702384</v>
      </c>
      <c r="G17" s="765">
        <f t="shared" si="4"/>
        <v>99543.656032264553</v>
      </c>
      <c r="H17" s="766"/>
      <c r="I17" s="767"/>
      <c r="J17" s="763">
        <f t="shared" si="5"/>
        <v>-64057.537733381927</v>
      </c>
      <c r="K17" s="768">
        <f t="shared" si="6"/>
        <v>3321.3370258702384</v>
      </c>
      <c r="L17" s="764">
        <f t="shared" si="7"/>
        <v>-60736.200707511685</v>
      </c>
      <c r="M17" s="764">
        <f t="shared" si="8"/>
        <v>940.6351316665299</v>
      </c>
      <c r="N17" s="764">
        <f t="shared" si="9"/>
        <v>0</v>
      </c>
      <c r="O17" s="769">
        <f t="shared" si="10"/>
        <v>1251786.101088213</v>
      </c>
      <c r="P17" s="770"/>
      <c r="Q17" s="771">
        <f t="shared" si="11"/>
        <v>-2192.2508882111033</v>
      </c>
      <c r="R17" s="770"/>
      <c r="S17" s="771">
        <f t="shared" si="12"/>
        <v>-3123.7625325438967</v>
      </c>
      <c r="T17" s="766"/>
      <c r="U17" s="771">
        <f t="shared" si="13"/>
        <v>0</v>
      </c>
      <c r="V17" s="766"/>
      <c r="W17" s="771">
        <f t="shared" si="14"/>
        <v>34432.077035664399</v>
      </c>
      <c r="X17" s="766"/>
      <c r="Y17" s="771">
        <f t="shared" ca="1" si="15"/>
        <v>0</v>
      </c>
      <c r="Z17" s="772"/>
      <c r="AA17" s="771">
        <f t="shared" ref="AA17:AA58" ca="1" si="17">+INDEX($134:$134,MATCH($B17,$107:$107,0))</f>
        <v>34432.077035664399</v>
      </c>
      <c r="AC17" s="251"/>
      <c r="AD17" s="261"/>
      <c r="AE17" s="251"/>
      <c r="AF17" s="251"/>
      <c r="AG17" s="223"/>
      <c r="AH17" s="262"/>
      <c r="AI17" s="262"/>
      <c r="AJ17" s="262"/>
      <c r="AK17" s="262"/>
      <c r="AL17" s="262"/>
      <c r="AM17" s="262"/>
      <c r="AN17" s="263"/>
      <c r="AO17" s="263"/>
      <c r="AP17" s="263"/>
      <c r="AQ17" s="263"/>
      <c r="AR17" s="239"/>
      <c r="AS17" s="234"/>
      <c r="AT17" s="234"/>
    </row>
    <row r="18" spans="1:46" x14ac:dyDescent="0.2">
      <c r="A18" s="236"/>
      <c r="B18" s="264">
        <f t="shared" si="16"/>
        <v>2021</v>
      </c>
      <c r="C18" s="763">
        <f t="shared" si="0"/>
        <v>136379.22243426612</v>
      </c>
      <c r="D18" s="764">
        <f t="shared" si="1"/>
        <v>-20752.281695745118</v>
      </c>
      <c r="E18" s="764">
        <f t="shared" si="2"/>
        <v>-722.18773524688527</v>
      </c>
      <c r="F18" s="764">
        <f t="shared" si="3"/>
        <v>-4855.5300603970763</v>
      </c>
      <c r="G18" s="765">
        <f t="shared" si="4"/>
        <v>110049.22294287704</v>
      </c>
      <c r="H18" s="766"/>
      <c r="I18" s="767"/>
      <c r="J18" s="763">
        <f t="shared" si="5"/>
        <v>-60574.304548409695</v>
      </c>
      <c r="K18" s="768">
        <f t="shared" si="6"/>
        <v>4855.5300603970763</v>
      </c>
      <c r="L18" s="764">
        <f t="shared" si="7"/>
        <v>-55718.774488012619</v>
      </c>
      <c r="M18" s="764">
        <f t="shared" si="8"/>
        <v>1180.3461841882392</v>
      </c>
      <c r="N18" s="764">
        <f t="shared" si="9"/>
        <v>0</v>
      </c>
      <c r="O18" s="769">
        <f t="shared" si="10"/>
        <v>1256641.6311486103</v>
      </c>
      <c r="P18" s="770"/>
      <c r="Q18" s="771">
        <f t="shared" si="11"/>
        <v>-1152.3829106810408</v>
      </c>
      <c r="R18" s="770"/>
      <c r="S18" s="771">
        <f t="shared" si="12"/>
        <v>-1743.7398546694785</v>
      </c>
      <c r="T18" s="766"/>
      <c r="U18" s="771">
        <f t="shared" si="13"/>
        <v>0</v>
      </c>
      <c r="V18" s="766"/>
      <c r="W18" s="771">
        <f t="shared" si="14"/>
        <v>52614.671873702129</v>
      </c>
      <c r="X18" s="766"/>
      <c r="Y18" s="771">
        <f t="shared" ca="1" si="15"/>
        <v>0</v>
      </c>
      <c r="Z18" s="772"/>
      <c r="AA18" s="771">
        <f t="shared" ca="1" si="17"/>
        <v>52614.671873702129</v>
      </c>
      <c r="AC18" s="251"/>
      <c r="AD18" s="261"/>
      <c r="AE18" s="251"/>
      <c r="AF18" s="251"/>
      <c r="AG18" s="223"/>
      <c r="AH18" s="262"/>
      <c r="AI18" s="262"/>
      <c r="AJ18" s="262"/>
      <c r="AK18" s="262"/>
      <c r="AL18" s="262"/>
      <c r="AM18" s="262"/>
      <c r="AN18" s="263"/>
      <c r="AO18" s="263"/>
      <c r="AP18" s="263"/>
      <c r="AQ18" s="263"/>
      <c r="AR18" s="239"/>
      <c r="AS18" s="234"/>
      <c r="AT18" s="234"/>
    </row>
    <row r="19" spans="1:46" x14ac:dyDescent="0.2">
      <c r="A19" s="236"/>
      <c r="B19" s="264">
        <f t="shared" si="16"/>
        <v>2022</v>
      </c>
      <c r="C19" s="763">
        <f t="shared" si="0"/>
        <v>147989.64874127222</v>
      </c>
      <c r="D19" s="764">
        <f t="shared" si="1"/>
        <v>-21619.771470281008</v>
      </c>
      <c r="E19" s="764">
        <f t="shared" si="2"/>
        <v>-784.25814883314024</v>
      </c>
      <c r="F19" s="764">
        <f t="shared" si="3"/>
        <v>-5234.7233595289154</v>
      </c>
      <c r="G19" s="765">
        <f t="shared" si="4"/>
        <v>120350.89576262917</v>
      </c>
      <c r="H19" s="766"/>
      <c r="I19" s="767"/>
      <c r="J19" s="763">
        <f t="shared" si="5"/>
        <v>-60817.557844132287</v>
      </c>
      <c r="K19" s="768">
        <f t="shared" si="6"/>
        <v>5234.7233595289154</v>
      </c>
      <c r="L19" s="764">
        <f t="shared" si="7"/>
        <v>-55582.834484603372</v>
      </c>
      <c r="M19" s="764">
        <f t="shared" si="8"/>
        <v>1392.855798373562</v>
      </c>
      <c r="N19" s="764">
        <f t="shared" si="9"/>
        <v>0</v>
      </c>
      <c r="O19" s="769">
        <f t="shared" si="10"/>
        <v>1261876.3545081392</v>
      </c>
      <c r="P19" s="770"/>
      <c r="Q19" s="771">
        <f t="shared" si="11"/>
        <v>-1165.6896100149825</v>
      </c>
      <c r="R19" s="770"/>
      <c r="S19" s="771">
        <f t="shared" si="12"/>
        <v>-283.87906886167548</v>
      </c>
      <c r="T19" s="766"/>
      <c r="U19" s="771">
        <f t="shared" si="13"/>
        <v>0</v>
      </c>
      <c r="V19" s="766"/>
      <c r="W19" s="771">
        <f t="shared" si="14"/>
        <v>64711.348397522699</v>
      </c>
      <c r="X19" s="766"/>
      <c r="Y19" s="771">
        <f t="shared" ca="1" si="15"/>
        <v>-929.3738079812872</v>
      </c>
      <c r="Z19" s="772"/>
      <c r="AA19" s="771">
        <f t="shared" ca="1" si="17"/>
        <v>63781.974589541409</v>
      </c>
      <c r="AB19" s="261"/>
      <c r="AC19" s="251"/>
      <c r="AD19" s="261"/>
      <c r="AE19" s="251"/>
      <c r="AF19" s="251"/>
      <c r="AG19" s="223"/>
      <c r="AH19" s="262"/>
      <c r="AI19" s="262"/>
      <c r="AJ19" s="262"/>
      <c r="AK19" s="262"/>
      <c r="AL19" s="262"/>
      <c r="AM19" s="262"/>
      <c r="AN19" s="263"/>
      <c r="AO19" s="263"/>
      <c r="AP19" s="263"/>
      <c r="AQ19" s="263"/>
      <c r="AR19" s="239"/>
      <c r="AS19" s="234"/>
      <c r="AT19" s="234"/>
    </row>
    <row r="20" spans="1:46" x14ac:dyDescent="0.2">
      <c r="A20" s="236"/>
      <c r="B20" s="264">
        <f t="shared" si="16"/>
        <v>2023</v>
      </c>
      <c r="C20" s="763">
        <f t="shared" si="0"/>
        <v>160588.51006516948</v>
      </c>
      <c r="D20" s="764">
        <f t="shared" si="1"/>
        <v>-22523.524173393016</v>
      </c>
      <c r="E20" s="764">
        <f t="shared" si="2"/>
        <v>-851.32111459000021</v>
      </c>
      <c r="F20" s="764">
        <f t="shared" si="3"/>
        <v>-5643.5298123881421</v>
      </c>
      <c r="G20" s="765">
        <f t="shared" si="4"/>
        <v>131570.13496479829</v>
      </c>
      <c r="H20" s="766"/>
      <c r="I20" s="767"/>
      <c r="J20" s="763">
        <f t="shared" si="5"/>
        <v>-61079.639559874136</v>
      </c>
      <c r="K20" s="768">
        <f t="shared" si="6"/>
        <v>5643.5298123881421</v>
      </c>
      <c r="L20" s="764">
        <f t="shared" si="7"/>
        <v>-55436.109747485993</v>
      </c>
      <c r="M20" s="764">
        <f t="shared" si="8"/>
        <v>1567.8927138781878</v>
      </c>
      <c r="N20" s="764">
        <f t="shared" si="9"/>
        <v>0</v>
      </c>
      <c r="O20" s="769">
        <f t="shared" si="10"/>
        <v>1267519.8843205273</v>
      </c>
      <c r="P20" s="770"/>
      <c r="Q20" s="771">
        <f t="shared" si="11"/>
        <v>-1077.3390840669235</v>
      </c>
      <c r="R20" s="770"/>
      <c r="S20" s="771">
        <f t="shared" si="12"/>
        <v>-398.35545633168658</v>
      </c>
      <c r="T20" s="766"/>
      <c r="U20" s="771">
        <f t="shared" si="13"/>
        <v>0</v>
      </c>
      <c r="V20" s="766"/>
      <c r="W20" s="771">
        <f t="shared" si="14"/>
        <v>76226.223390791885</v>
      </c>
      <c r="X20" s="766"/>
      <c r="Y20" s="771">
        <f t="shared" ca="1" si="15"/>
        <v>-1260.9782924544436</v>
      </c>
      <c r="Z20" s="772"/>
      <c r="AA20" s="771">
        <f t="shared" ca="1" si="17"/>
        <v>74965.245098337444</v>
      </c>
      <c r="AB20" s="261"/>
      <c r="AC20" s="251"/>
      <c r="AD20" s="261"/>
      <c r="AE20" s="251"/>
      <c r="AF20" s="251"/>
      <c r="AG20" s="223"/>
      <c r="AH20" s="262"/>
      <c r="AI20" s="262"/>
      <c r="AJ20" s="262"/>
      <c r="AK20" s="262"/>
      <c r="AL20" s="262"/>
      <c r="AM20" s="262"/>
      <c r="AN20" s="263"/>
      <c r="AO20" s="263"/>
      <c r="AP20" s="263"/>
      <c r="AQ20" s="263"/>
      <c r="AR20" s="239"/>
      <c r="AS20" s="234"/>
      <c r="AT20" s="234"/>
    </row>
    <row r="21" spans="1:46" x14ac:dyDescent="0.2">
      <c r="B21" s="264">
        <f t="shared" si="16"/>
        <v>2024</v>
      </c>
      <c r="C21" s="763">
        <f t="shared" si="0"/>
        <v>174259.95523536199</v>
      </c>
      <c r="D21" s="764">
        <f t="shared" si="1"/>
        <v>-23465.055673080424</v>
      </c>
      <c r="E21" s="764">
        <f t="shared" si="2"/>
        <v>-923.96444401930376</v>
      </c>
      <c r="F21" s="764">
        <f t="shared" si="3"/>
        <v>-6084.2620623566136</v>
      </c>
      <c r="G21" s="765">
        <f t="shared" si="4"/>
        <v>143786.67305590565</v>
      </c>
      <c r="H21" s="766"/>
      <c r="I21" s="767"/>
      <c r="J21" s="763">
        <f t="shared" si="5"/>
        <v>-61463.866158914832</v>
      </c>
      <c r="K21" s="768">
        <f t="shared" si="6"/>
        <v>6084.2620623566145</v>
      </c>
      <c r="L21" s="764">
        <f t="shared" si="7"/>
        <v>-55379.604096558221</v>
      </c>
      <c r="M21" s="764">
        <f t="shared" si="8"/>
        <v>1733.2721968863589</v>
      </c>
      <c r="N21" s="764">
        <f t="shared" si="9"/>
        <v>0</v>
      </c>
      <c r="O21" s="769">
        <f t="shared" si="10"/>
        <v>1273604.1463828839</v>
      </c>
      <c r="P21" s="770"/>
      <c r="Q21" s="771">
        <f t="shared" si="11"/>
        <v>-878.79692120167601</v>
      </c>
      <c r="R21" s="770"/>
      <c r="S21" s="771">
        <f t="shared" si="12"/>
        <v>-534.00689913669339</v>
      </c>
      <c r="T21" s="766"/>
      <c r="U21" s="771">
        <f t="shared" si="13"/>
        <v>0</v>
      </c>
      <c r="V21" s="766"/>
      <c r="W21" s="771">
        <f t="shared" si="14"/>
        <v>88727.537335895424</v>
      </c>
      <c r="X21" s="766"/>
      <c r="Y21" s="771">
        <f t="shared" ca="1" si="15"/>
        <v>-1622.0407220497921</v>
      </c>
      <c r="Z21" s="772"/>
      <c r="AA21" s="771">
        <f t="shared" ca="1" si="17"/>
        <v>87105.496613845637</v>
      </c>
      <c r="AB21" s="261"/>
      <c r="AC21" s="251"/>
      <c r="AD21" s="261"/>
      <c r="AE21" s="251"/>
      <c r="AF21" s="251"/>
      <c r="AG21" s="223"/>
      <c r="AH21" s="262"/>
      <c r="AI21" s="262"/>
      <c r="AJ21" s="262"/>
      <c r="AK21" s="262"/>
      <c r="AL21" s="262"/>
      <c r="AM21" s="262"/>
      <c r="AN21" s="263"/>
      <c r="AO21" s="263"/>
      <c r="AP21" s="263"/>
      <c r="AQ21" s="263"/>
      <c r="AR21" s="239"/>
      <c r="AS21" s="234"/>
      <c r="AT21" s="234"/>
    </row>
    <row r="22" spans="1:46" x14ac:dyDescent="0.2">
      <c r="B22" s="264">
        <f t="shared" si="16"/>
        <v>2025</v>
      </c>
      <c r="C22" s="763">
        <f t="shared" si="0"/>
        <v>189095.29695684407</v>
      </c>
      <c r="D22" s="764">
        <f t="shared" si="1"/>
        <v>-24445.945203868072</v>
      </c>
      <c r="E22" s="764">
        <f t="shared" si="2"/>
        <v>-1002.7409606390532</v>
      </c>
      <c r="F22" s="764">
        <f t="shared" si="3"/>
        <v>-6559.4133590245247</v>
      </c>
      <c r="G22" s="765">
        <f t="shared" si="4"/>
        <v>157087.19743331242</v>
      </c>
      <c r="H22" s="766"/>
      <c r="I22" s="767"/>
      <c r="J22" s="763">
        <f t="shared" si="5"/>
        <v>-61915.302624581105</v>
      </c>
      <c r="K22" s="768">
        <f t="shared" si="6"/>
        <v>6559.4133590245256</v>
      </c>
      <c r="L22" s="764">
        <f t="shared" si="7"/>
        <v>-55355.88926555658</v>
      </c>
      <c r="M22" s="764">
        <f t="shared" si="8"/>
        <v>1902.9812601184744</v>
      </c>
      <c r="N22" s="764">
        <f t="shared" si="9"/>
        <v>0</v>
      </c>
      <c r="O22" s="769">
        <f t="shared" si="10"/>
        <v>1280163.5597419085</v>
      </c>
      <c r="P22" s="770"/>
      <c r="Q22" s="771">
        <f t="shared" si="11"/>
        <v>-560.85876089457088</v>
      </c>
      <c r="R22" s="770"/>
      <c r="S22" s="771">
        <f t="shared" si="12"/>
        <v>-1053.3304213477895</v>
      </c>
      <c r="T22" s="766"/>
      <c r="U22" s="771">
        <f t="shared" si="13"/>
        <v>0</v>
      </c>
      <c r="V22" s="766"/>
      <c r="W22" s="771">
        <f t="shared" si="14"/>
        <v>102020.10024563195</v>
      </c>
      <c r="X22" s="766"/>
      <c r="Y22" s="771">
        <f t="shared" ca="1" si="15"/>
        <v>-2015.1204332253692</v>
      </c>
      <c r="Z22" s="772"/>
      <c r="AA22" s="771">
        <f t="shared" ca="1" si="17"/>
        <v>100004.97981240659</v>
      </c>
      <c r="AB22" s="261"/>
      <c r="AC22" s="251"/>
      <c r="AD22" s="261"/>
      <c r="AE22" s="251"/>
      <c r="AF22" s="251"/>
      <c r="AG22" s="223"/>
      <c r="AH22" s="262"/>
      <c r="AI22" s="262"/>
      <c r="AJ22" s="262"/>
      <c r="AK22" s="262"/>
      <c r="AL22" s="262"/>
      <c r="AM22" s="262"/>
      <c r="AN22" s="263"/>
      <c r="AO22" s="263"/>
      <c r="AP22" s="263"/>
      <c r="AQ22" s="263"/>
      <c r="AR22" s="239"/>
      <c r="AS22" s="234"/>
      <c r="AT22" s="234"/>
    </row>
    <row r="23" spans="1:46" x14ac:dyDescent="0.2">
      <c r="B23" s="264">
        <f t="shared" si="16"/>
        <v>2026</v>
      </c>
      <c r="C23" s="763">
        <f t="shared" si="0"/>
        <v>205193.6216952556</v>
      </c>
      <c r="D23" s="764">
        <f t="shared" si="1"/>
        <v>-25467.838015662743</v>
      </c>
      <c r="E23" s="764">
        <f t="shared" si="2"/>
        <v>-1088.1588731859977</v>
      </c>
      <c r="F23" s="764">
        <f t="shared" si="3"/>
        <v>-7071.6716626575071</v>
      </c>
      <c r="G23" s="765">
        <f t="shared" si="4"/>
        <v>171565.95314374933</v>
      </c>
      <c r="H23" s="766"/>
      <c r="I23" s="767"/>
      <c r="J23" s="763">
        <f t="shared" si="5"/>
        <v>-62350.744327486878</v>
      </c>
      <c r="K23" s="768">
        <f t="shared" si="6"/>
        <v>7071.6716626575071</v>
      </c>
      <c r="L23" s="764">
        <f t="shared" si="7"/>
        <v>-55279.072664829371</v>
      </c>
      <c r="M23" s="764">
        <f t="shared" si="8"/>
        <v>2074.7351020773285</v>
      </c>
      <c r="N23" s="764">
        <f t="shared" si="9"/>
        <v>0</v>
      </c>
      <c r="O23" s="769">
        <f t="shared" si="10"/>
        <v>1287235.2314045662</v>
      </c>
      <c r="P23" s="770"/>
      <c r="Q23" s="771">
        <f t="shared" si="11"/>
        <v>-113.59795395841502</v>
      </c>
      <c r="R23" s="770"/>
      <c r="S23" s="771">
        <f t="shared" si="12"/>
        <v>-1029.6386888656489</v>
      </c>
      <c r="T23" s="766"/>
      <c r="U23" s="771">
        <f t="shared" si="13"/>
        <v>0</v>
      </c>
      <c r="V23" s="766"/>
      <c r="W23" s="771">
        <f t="shared" si="14"/>
        <v>117218.37893817323</v>
      </c>
      <c r="X23" s="766"/>
      <c r="Y23" s="771">
        <f t="shared" ca="1" si="15"/>
        <v>-2442.9997950553357</v>
      </c>
      <c r="Z23" s="772"/>
      <c r="AA23" s="771">
        <f t="shared" ca="1" si="17"/>
        <v>114775.3791431179</v>
      </c>
      <c r="AB23" s="261"/>
      <c r="AC23" s="251"/>
      <c r="AD23" s="261"/>
      <c r="AE23" s="251"/>
      <c r="AF23" s="251"/>
      <c r="AG23" s="223"/>
      <c r="AH23" s="262"/>
      <c r="AI23" s="262"/>
      <c r="AJ23" s="262"/>
      <c r="AK23" s="262"/>
      <c r="AL23" s="262"/>
      <c r="AM23" s="262"/>
      <c r="AN23" s="263"/>
      <c r="AO23" s="263"/>
      <c r="AP23" s="263"/>
      <c r="AQ23" s="263"/>
      <c r="AR23" s="239"/>
      <c r="AS23" s="234"/>
      <c r="AT23" s="234"/>
    </row>
    <row r="24" spans="1:46" x14ac:dyDescent="0.2">
      <c r="B24" s="264">
        <f t="shared" si="16"/>
        <v>2027</v>
      </c>
      <c r="C24" s="763">
        <f t="shared" si="0"/>
        <v>218151.68779285997</v>
      </c>
      <c r="D24" s="764">
        <f t="shared" si="1"/>
        <v>-26490.989749443772</v>
      </c>
      <c r="E24" s="764">
        <f t="shared" si="2"/>
        <v>-1156.9138684982522</v>
      </c>
      <c r="F24" s="764">
        <f t="shared" si="3"/>
        <v>-7112.6761485473016</v>
      </c>
      <c r="G24" s="765">
        <f t="shared" si="4"/>
        <v>183391.10802637064</v>
      </c>
      <c r="H24" s="766"/>
      <c r="I24" s="767"/>
      <c r="J24" s="763">
        <f t="shared" si="5"/>
        <v>-62735.83479662281</v>
      </c>
      <c r="K24" s="768">
        <f t="shared" si="6"/>
        <v>7112.6761485473035</v>
      </c>
      <c r="L24" s="764">
        <f t="shared" si="7"/>
        <v>-55623.158648075507</v>
      </c>
      <c r="M24" s="764">
        <f t="shared" si="8"/>
        <v>2212.8585877595424</v>
      </c>
      <c r="N24" s="764">
        <f t="shared" si="9"/>
        <v>0</v>
      </c>
      <c r="O24" s="769">
        <f t="shared" si="10"/>
        <v>1294347.9075531135</v>
      </c>
      <c r="P24" s="770"/>
      <c r="Q24" s="771">
        <f t="shared" si="11"/>
        <v>-189.82534897685036</v>
      </c>
      <c r="R24" s="770"/>
      <c r="S24" s="771">
        <f t="shared" si="12"/>
        <v>-898.72885941236746</v>
      </c>
      <c r="T24" s="766"/>
      <c r="U24" s="771">
        <f t="shared" si="13"/>
        <v>0</v>
      </c>
      <c r="V24" s="766"/>
      <c r="W24" s="771">
        <f t="shared" si="14"/>
        <v>128892.25375766546</v>
      </c>
      <c r="X24" s="766"/>
      <c r="Y24" s="771">
        <f t="shared" ca="1" si="15"/>
        <v>-2778.0044040307534</v>
      </c>
      <c r="Z24" s="772"/>
      <c r="AA24" s="771">
        <f t="shared" ca="1" si="17"/>
        <v>126114.2493536347</v>
      </c>
      <c r="AB24" s="261"/>
      <c r="AC24" s="251"/>
      <c r="AD24" s="261"/>
      <c r="AE24" s="251"/>
      <c r="AF24" s="251"/>
      <c r="AG24" s="223"/>
      <c r="AH24" s="262"/>
      <c r="AI24" s="262"/>
      <c r="AJ24" s="262"/>
      <c r="AK24" s="262"/>
      <c r="AL24" s="262"/>
      <c r="AM24" s="262"/>
      <c r="AN24" s="263"/>
      <c r="AO24" s="263"/>
      <c r="AP24" s="263"/>
      <c r="AQ24" s="263"/>
      <c r="AR24" s="239"/>
      <c r="AS24" s="234"/>
      <c r="AT24" s="234"/>
    </row>
    <row r="25" spans="1:46" x14ac:dyDescent="0.2">
      <c r="B25" s="264">
        <f t="shared" si="16"/>
        <v>2028</v>
      </c>
      <c r="C25" s="763">
        <f t="shared" si="0"/>
        <v>231928.06137781523</v>
      </c>
      <c r="D25" s="764">
        <f t="shared" si="1"/>
        <v>-27555.245854537963</v>
      </c>
      <c r="E25" s="764">
        <f t="shared" si="2"/>
        <v>-1229.8568034216039</v>
      </c>
      <c r="F25" s="764">
        <f t="shared" si="3"/>
        <v>-7153.9183954564542</v>
      </c>
      <c r="G25" s="765">
        <f t="shared" si="4"/>
        <v>195989.04032439922</v>
      </c>
      <c r="H25" s="766"/>
      <c r="I25" s="767"/>
      <c r="J25" s="763">
        <f t="shared" si="5"/>
        <v>-63162.398677456833</v>
      </c>
      <c r="K25" s="768">
        <f t="shared" si="6"/>
        <v>7153.9183954564542</v>
      </c>
      <c r="L25" s="764">
        <f t="shared" si="7"/>
        <v>-56008.480282000382</v>
      </c>
      <c r="M25" s="764">
        <f t="shared" si="8"/>
        <v>2330.3773691569895</v>
      </c>
      <c r="N25" s="764">
        <f t="shared" si="9"/>
        <v>0</v>
      </c>
      <c r="O25" s="769">
        <f t="shared" si="10"/>
        <v>1301501.8259485697</v>
      </c>
      <c r="P25" s="770"/>
      <c r="Q25" s="771">
        <f t="shared" si="11"/>
        <v>-372.92136785891125</v>
      </c>
      <c r="R25" s="770"/>
      <c r="S25" s="771">
        <f t="shared" si="12"/>
        <v>-552.14204539332422</v>
      </c>
      <c r="T25" s="766"/>
      <c r="U25" s="771">
        <f t="shared" si="13"/>
        <v>0</v>
      </c>
      <c r="V25" s="766"/>
      <c r="W25" s="771">
        <f t="shared" si="14"/>
        <v>141385.87399830358</v>
      </c>
      <c r="X25" s="766"/>
      <c r="Y25" s="771">
        <f t="shared" ca="1" si="15"/>
        <v>-3135.6552904007704</v>
      </c>
      <c r="Z25" s="772"/>
      <c r="AA25" s="771">
        <f t="shared" ca="1" si="17"/>
        <v>138250.21870790279</v>
      </c>
      <c r="AB25" s="261"/>
      <c r="AC25" s="251"/>
      <c r="AD25" s="261"/>
      <c r="AE25" s="251"/>
      <c r="AF25" s="251"/>
      <c r="AG25" s="223"/>
      <c r="AH25" s="262"/>
      <c r="AI25" s="262"/>
      <c r="AJ25" s="262"/>
      <c r="AK25" s="262"/>
      <c r="AL25" s="262"/>
      <c r="AM25" s="262"/>
      <c r="AN25" s="263"/>
      <c r="AO25" s="263"/>
      <c r="AP25" s="263"/>
      <c r="AQ25" s="263"/>
      <c r="AR25" s="239"/>
      <c r="AS25" s="234"/>
      <c r="AT25" s="234"/>
    </row>
    <row r="26" spans="1:46" x14ac:dyDescent="0.2">
      <c r="B26" s="264">
        <f t="shared" si="16"/>
        <v>2029</v>
      </c>
      <c r="C26" s="763">
        <f t="shared" si="0"/>
        <v>246574.41892242918</v>
      </c>
      <c r="D26" s="764">
        <f t="shared" si="1"/>
        <v>-28662.257668948518</v>
      </c>
      <c r="E26" s="764">
        <f t="shared" si="2"/>
        <v>-1307.2117529928701</v>
      </c>
      <c r="F26" s="764">
        <f t="shared" si="3"/>
        <v>-7195.3997820219884</v>
      </c>
      <c r="G26" s="765">
        <f t="shared" si="4"/>
        <v>209409.54971846577</v>
      </c>
      <c r="H26" s="766"/>
      <c r="I26" s="767"/>
      <c r="J26" s="763">
        <f t="shared" si="5"/>
        <v>-64019.542773428861</v>
      </c>
      <c r="K26" s="768">
        <f t="shared" si="6"/>
        <v>7195.3997820219884</v>
      </c>
      <c r="L26" s="764">
        <f t="shared" si="7"/>
        <v>-56824.142991406872</v>
      </c>
      <c r="M26" s="764">
        <f t="shared" si="8"/>
        <v>2418.2959333556219</v>
      </c>
      <c r="N26" s="764">
        <f t="shared" si="9"/>
        <v>0</v>
      </c>
      <c r="O26" s="769">
        <f t="shared" si="10"/>
        <v>1308697.2257305915</v>
      </c>
      <c r="P26" s="770"/>
      <c r="Q26" s="771">
        <f t="shared" si="11"/>
        <v>-671.48865754544022</v>
      </c>
      <c r="R26" s="770"/>
      <c r="S26" s="771">
        <f t="shared" si="12"/>
        <v>-447.77963088238903</v>
      </c>
      <c r="T26" s="766"/>
      <c r="U26" s="771">
        <f t="shared" si="13"/>
        <v>0</v>
      </c>
      <c r="V26" s="766"/>
      <c r="W26" s="771">
        <f t="shared" si="14"/>
        <v>153884.43437198669</v>
      </c>
      <c r="X26" s="766"/>
      <c r="Y26" s="771">
        <f t="shared" ca="1" si="15"/>
        <v>-3517.4161392962587</v>
      </c>
      <c r="Z26" s="772"/>
      <c r="AA26" s="771">
        <f t="shared" ca="1" si="17"/>
        <v>150367.01823269043</v>
      </c>
      <c r="AB26" s="261"/>
      <c r="AC26" s="251"/>
      <c r="AD26" s="261"/>
      <c r="AE26" s="251"/>
      <c r="AF26" s="251"/>
      <c r="AG26" s="223"/>
      <c r="AH26" s="262"/>
      <c r="AI26" s="262"/>
      <c r="AJ26" s="262"/>
      <c r="AK26" s="262"/>
      <c r="AL26" s="262"/>
      <c r="AM26" s="262"/>
      <c r="AN26" s="263"/>
      <c r="AO26" s="263"/>
      <c r="AP26" s="263"/>
      <c r="AQ26" s="263"/>
      <c r="AR26" s="239"/>
      <c r="AS26" s="234"/>
      <c r="AT26" s="234"/>
    </row>
    <row r="27" spans="1:46" x14ac:dyDescent="0.2">
      <c r="B27" s="264">
        <f t="shared" si="16"/>
        <v>2030</v>
      </c>
      <c r="C27" s="763">
        <f t="shared" si="0"/>
        <v>262145.70029062143</v>
      </c>
      <c r="D27" s="764">
        <f t="shared" si="1"/>
        <v>-29813.742871973129</v>
      </c>
      <c r="E27" s="764">
        <f t="shared" si="2"/>
        <v>-1389.8051747992881</v>
      </c>
      <c r="F27" s="764">
        <f t="shared" si="3"/>
        <v>-7237.1216948748361</v>
      </c>
      <c r="G27" s="765">
        <f t="shared" si="4"/>
        <v>223705.03054897417</v>
      </c>
      <c r="H27" s="766"/>
      <c r="I27" s="767"/>
      <c r="J27" s="763">
        <f t="shared" si="5"/>
        <v>-67951.25769677553</v>
      </c>
      <c r="K27" s="768">
        <f t="shared" si="6"/>
        <v>7237.1216948748361</v>
      </c>
      <c r="L27" s="764">
        <f t="shared" si="7"/>
        <v>-60714.136001900697</v>
      </c>
      <c r="M27" s="764">
        <f t="shared" si="8"/>
        <v>2579.0949092429973</v>
      </c>
      <c r="N27" s="764">
        <f t="shared" si="9"/>
        <v>0</v>
      </c>
      <c r="O27" s="769">
        <f t="shared" si="10"/>
        <v>1315934.3474254664</v>
      </c>
      <c r="P27" s="770"/>
      <c r="Q27" s="771">
        <f t="shared" si="11"/>
        <v>-1094.7785436807753</v>
      </c>
      <c r="R27" s="770"/>
      <c r="S27" s="771">
        <f t="shared" si="12"/>
        <v>-581.67224522642937</v>
      </c>
      <c r="T27" s="766"/>
      <c r="U27" s="771">
        <f t="shared" si="13"/>
        <v>0</v>
      </c>
      <c r="V27" s="766"/>
      <c r="W27" s="771">
        <f t="shared" si="14"/>
        <v>163893.53866740927</v>
      </c>
      <c r="X27" s="766"/>
      <c r="Y27" s="771">
        <f t="shared" ca="1" si="15"/>
        <v>-3924.8269163783161</v>
      </c>
      <c r="Z27" s="772"/>
      <c r="AA27" s="771">
        <f t="shared" ca="1" si="17"/>
        <v>159968.71175103096</v>
      </c>
      <c r="AB27" s="261"/>
      <c r="AC27" s="251"/>
      <c r="AD27" s="261"/>
      <c r="AE27" s="251"/>
      <c r="AF27" s="251"/>
      <c r="AG27" s="223"/>
      <c r="AH27" s="262"/>
      <c r="AI27" s="262"/>
      <c r="AJ27" s="262"/>
      <c r="AK27" s="262"/>
      <c r="AL27" s="262"/>
      <c r="AM27" s="262"/>
      <c r="AN27" s="263"/>
      <c r="AO27" s="263"/>
      <c r="AP27" s="263"/>
      <c r="AQ27" s="263"/>
      <c r="AR27" s="239"/>
      <c r="AS27" s="234"/>
      <c r="AT27" s="234"/>
    </row>
    <row r="28" spans="1:46" x14ac:dyDescent="0.2">
      <c r="B28" s="264">
        <f t="shared" si="16"/>
        <v>2031</v>
      </c>
      <c r="C28" s="763">
        <f t="shared" si="0"/>
        <v>278700.31482251739</v>
      </c>
      <c r="D28" s="764">
        <f t="shared" si="1"/>
        <v>-31011.48814941684</v>
      </c>
      <c r="E28" s="764">
        <f t="shared" si="2"/>
        <v>-1477.3315725563468</v>
      </c>
      <c r="F28" s="764">
        <f t="shared" si="3"/>
        <v>-7279.0855286861879</v>
      </c>
      <c r="G28" s="765">
        <f t="shared" si="4"/>
        <v>238932.40957185804</v>
      </c>
      <c r="H28" s="766"/>
      <c r="I28" s="767"/>
      <c r="J28" s="763">
        <f t="shared" si="5"/>
        <v>-64699.229384648839</v>
      </c>
      <c r="K28" s="768">
        <f t="shared" si="6"/>
        <v>7279.0855286861879</v>
      </c>
      <c r="L28" s="764">
        <f t="shared" si="7"/>
        <v>-57420.143855962655</v>
      </c>
      <c r="M28" s="764">
        <f t="shared" si="8"/>
        <v>2696.1751882153148</v>
      </c>
      <c r="N28" s="764">
        <f t="shared" si="9"/>
        <v>0</v>
      </c>
      <c r="O28" s="769">
        <f t="shared" si="10"/>
        <v>1323213.4329541526</v>
      </c>
      <c r="P28" s="770"/>
      <c r="Q28" s="771">
        <f t="shared" si="11"/>
        <v>-1652.7397072168424</v>
      </c>
      <c r="R28" s="770"/>
      <c r="S28" s="771">
        <f t="shared" si="12"/>
        <v>-1364.1546601728187</v>
      </c>
      <c r="T28" s="766"/>
      <c r="U28" s="771">
        <f t="shared" si="13"/>
        <v>0</v>
      </c>
      <c r="V28" s="766"/>
      <c r="W28" s="771">
        <f t="shared" si="14"/>
        <v>181191.54653672103</v>
      </c>
      <c r="X28" s="766"/>
      <c r="Y28" s="771">
        <f t="shared" ca="1" si="15"/>
        <v>-4359.5608378431998</v>
      </c>
      <c r="Z28" s="772"/>
      <c r="AA28" s="771">
        <f t="shared" ca="1" si="17"/>
        <v>176831.98569887783</v>
      </c>
      <c r="AB28" s="261"/>
      <c r="AC28" s="251"/>
      <c r="AD28" s="261"/>
      <c r="AE28" s="251"/>
      <c r="AF28" s="251"/>
      <c r="AG28" s="223"/>
      <c r="AH28" s="262"/>
      <c r="AI28" s="262"/>
      <c r="AJ28" s="262"/>
      <c r="AK28" s="262"/>
      <c r="AL28" s="262"/>
      <c r="AM28" s="262"/>
      <c r="AN28" s="263"/>
      <c r="AO28" s="263"/>
      <c r="AP28" s="263"/>
      <c r="AQ28" s="263"/>
      <c r="AR28" s="239"/>
      <c r="AS28" s="234"/>
      <c r="AT28" s="234"/>
    </row>
    <row r="29" spans="1:46" x14ac:dyDescent="0.2">
      <c r="B29" s="264">
        <f t="shared" si="16"/>
        <v>2032</v>
      </c>
      <c r="C29" s="763">
        <f t="shared" si="0"/>
        <v>305795.33461873961</v>
      </c>
      <c r="D29" s="764">
        <f t="shared" si="1"/>
        <v>-32710.13366247325</v>
      </c>
      <c r="E29" s="764">
        <f t="shared" si="2"/>
        <v>-1620.3337565709298</v>
      </c>
      <c r="F29" s="764">
        <f t="shared" si="3"/>
        <v>-7825.0840659259275</v>
      </c>
      <c r="G29" s="765">
        <f t="shared" si="4"/>
        <v>263639.78313376952</v>
      </c>
      <c r="H29" s="766"/>
      <c r="I29" s="767"/>
      <c r="J29" s="763">
        <f t="shared" si="5"/>
        <v>-65401.831442138006</v>
      </c>
      <c r="K29" s="768">
        <f t="shared" si="6"/>
        <v>7825.0840659259266</v>
      </c>
      <c r="L29" s="764">
        <f t="shared" si="7"/>
        <v>-57576.747376212079</v>
      </c>
      <c r="M29" s="764">
        <f t="shared" si="8"/>
        <v>2839.6666328661431</v>
      </c>
      <c r="N29" s="764">
        <f t="shared" si="9"/>
        <v>0</v>
      </c>
      <c r="O29" s="769">
        <f t="shared" si="10"/>
        <v>1331038.5170200784</v>
      </c>
      <c r="P29" s="770"/>
      <c r="Q29" s="771">
        <f t="shared" si="11"/>
        <v>-1801.9906624508185</v>
      </c>
      <c r="R29" s="770"/>
      <c r="S29" s="771">
        <f t="shared" si="12"/>
        <v>-1691.2391074448242</v>
      </c>
      <c r="T29" s="766"/>
      <c r="U29" s="771">
        <f t="shared" si="13"/>
        <v>0</v>
      </c>
      <c r="V29" s="766"/>
      <c r="W29" s="771">
        <f t="shared" si="14"/>
        <v>205409.47262052793</v>
      </c>
      <c r="X29" s="766"/>
      <c r="Y29" s="771">
        <f t="shared" ca="1" si="15"/>
        <v>-6290.0356695301507</v>
      </c>
      <c r="Z29" s="772"/>
      <c r="AA29" s="771">
        <f t="shared" ca="1" si="17"/>
        <v>199119.43695099777</v>
      </c>
      <c r="AC29" s="251"/>
      <c r="AD29" s="261"/>
      <c r="AE29" s="251"/>
      <c r="AF29" s="251"/>
      <c r="AG29" s="223"/>
      <c r="AH29" s="262"/>
      <c r="AI29" s="262"/>
      <c r="AJ29" s="262"/>
      <c r="AK29" s="262"/>
      <c r="AL29" s="262"/>
      <c r="AM29" s="262"/>
      <c r="AN29" s="263"/>
      <c r="AO29" s="263"/>
      <c r="AP29" s="263"/>
      <c r="AQ29" s="263"/>
      <c r="AR29" s="239"/>
      <c r="AS29" s="234"/>
      <c r="AT29" s="234"/>
    </row>
    <row r="30" spans="1:46" x14ac:dyDescent="0.2">
      <c r="B30" s="264">
        <f t="shared" si="16"/>
        <v>2033</v>
      </c>
      <c r="C30" s="763">
        <f t="shared" si="0"/>
        <v>335524.51038362371</v>
      </c>
      <c r="D30" s="764">
        <f t="shared" si="1"/>
        <v>-34501.822004210582</v>
      </c>
      <c r="E30" s="764">
        <f t="shared" si="2"/>
        <v>-1777.8097391759304</v>
      </c>
      <c r="F30" s="764">
        <f t="shared" si="3"/>
        <v>-8412.0375282717268</v>
      </c>
      <c r="G30" s="765">
        <f t="shared" si="4"/>
        <v>290832.84111196542</v>
      </c>
      <c r="H30" s="766"/>
      <c r="I30" s="767"/>
      <c r="J30" s="763">
        <f t="shared" si="5"/>
        <v>-66075.51153834365</v>
      </c>
      <c r="K30" s="768">
        <f t="shared" si="6"/>
        <v>8412.0375282717287</v>
      </c>
      <c r="L30" s="764">
        <f t="shared" si="7"/>
        <v>-57663.474010071921</v>
      </c>
      <c r="M30" s="764">
        <f t="shared" si="8"/>
        <v>3105.9161260773412</v>
      </c>
      <c r="N30" s="764">
        <f t="shared" si="9"/>
        <v>0</v>
      </c>
      <c r="O30" s="769">
        <f t="shared" si="10"/>
        <v>1339450.5545483504</v>
      </c>
      <c r="P30" s="770"/>
      <c r="Q30" s="771">
        <f t="shared" si="11"/>
        <v>-1998.4477418736533</v>
      </c>
      <c r="R30" s="770"/>
      <c r="S30" s="771">
        <f t="shared" si="12"/>
        <v>-2502.3625661997939</v>
      </c>
      <c r="T30" s="766"/>
      <c r="U30" s="771">
        <f t="shared" si="13"/>
        <v>0</v>
      </c>
      <c r="V30" s="766"/>
      <c r="W30" s="771">
        <f t="shared" si="14"/>
        <v>231774.47291989741</v>
      </c>
      <c r="X30" s="766"/>
      <c r="Y30" s="771">
        <f t="shared" ca="1" si="15"/>
        <v>-32170.743504270693</v>
      </c>
      <c r="Z30" s="772"/>
      <c r="AA30" s="771">
        <f t="shared" ca="1" si="17"/>
        <v>199603.72941562673</v>
      </c>
      <c r="AC30" s="251"/>
      <c r="AD30" s="261"/>
      <c r="AE30" s="251"/>
      <c r="AF30" s="251"/>
      <c r="AG30" s="223"/>
      <c r="AH30" s="262"/>
      <c r="AI30" s="262"/>
      <c r="AJ30" s="262"/>
      <c r="AK30" s="262"/>
      <c r="AL30" s="262"/>
      <c r="AM30" s="262"/>
      <c r="AN30" s="263"/>
      <c r="AO30" s="263"/>
      <c r="AP30" s="263"/>
      <c r="AQ30" s="263"/>
      <c r="AR30" s="239"/>
      <c r="AS30" s="234"/>
      <c r="AT30" s="234"/>
    </row>
    <row r="31" spans="1:46" x14ac:dyDescent="0.2">
      <c r="B31" s="264">
        <f t="shared" si="16"/>
        <v>2034</v>
      </c>
      <c r="C31" s="763">
        <f t="shared" si="0"/>
        <v>368143.9326356274</v>
      </c>
      <c r="D31" s="764">
        <f t="shared" si="1"/>
        <v>-36391.649569316498</v>
      </c>
      <c r="E31" s="764">
        <f t="shared" si="2"/>
        <v>-1950.6664582631711</v>
      </c>
      <c r="F31" s="764">
        <f t="shared" si="3"/>
        <v>-9043.0179127639458</v>
      </c>
      <c r="G31" s="765">
        <f t="shared" si="4"/>
        <v>320758.59869528381</v>
      </c>
      <c r="H31" s="766"/>
      <c r="I31" s="767"/>
      <c r="J31" s="763">
        <f t="shared" si="5"/>
        <v>-67150.39278457778</v>
      </c>
      <c r="K31" s="768">
        <f t="shared" si="6"/>
        <v>9043.0179127639421</v>
      </c>
      <c r="L31" s="764">
        <f t="shared" si="7"/>
        <v>-58107.374871813838</v>
      </c>
      <c r="M31" s="764">
        <f t="shared" si="8"/>
        <v>3411.5832240242535</v>
      </c>
      <c r="N31" s="764">
        <f t="shared" si="9"/>
        <v>0</v>
      </c>
      <c r="O31" s="769">
        <f t="shared" si="10"/>
        <v>1348493.5724611143</v>
      </c>
      <c r="P31" s="770"/>
      <c r="Q31" s="771">
        <f t="shared" si="11"/>
        <v>-2248.9337378696146</v>
      </c>
      <c r="R31" s="770"/>
      <c r="S31" s="771">
        <f t="shared" si="12"/>
        <v>-3658.9380575457399</v>
      </c>
      <c r="T31" s="766"/>
      <c r="U31" s="771">
        <f t="shared" si="13"/>
        <v>0</v>
      </c>
      <c r="V31" s="766"/>
      <c r="W31" s="771">
        <f t="shared" si="14"/>
        <v>260154.93525207884</v>
      </c>
      <c r="X31" s="766"/>
      <c r="Y31" s="771">
        <f t="shared" ca="1" si="15"/>
        <v>-47566.912272813344</v>
      </c>
      <c r="Z31" s="772"/>
      <c r="AA31" s="771">
        <f t="shared" ca="1" si="17"/>
        <v>212588.02297926549</v>
      </c>
      <c r="AC31" s="251"/>
      <c r="AD31" s="261"/>
      <c r="AE31" s="251"/>
      <c r="AF31" s="251"/>
      <c r="AG31" s="223"/>
      <c r="AH31" s="262"/>
      <c r="AI31" s="262"/>
      <c r="AJ31" s="262"/>
      <c r="AK31" s="262"/>
      <c r="AL31" s="262"/>
      <c r="AM31" s="262"/>
      <c r="AN31" s="263"/>
      <c r="AO31" s="263"/>
      <c r="AP31" s="263"/>
      <c r="AQ31" s="263"/>
      <c r="AR31" s="239"/>
      <c r="AS31" s="234"/>
      <c r="AT31" s="234"/>
    </row>
    <row r="32" spans="1:46" x14ac:dyDescent="0.2">
      <c r="B32" s="264">
        <f t="shared" si="16"/>
        <v>2035</v>
      </c>
      <c r="C32" s="763">
        <f t="shared" si="0"/>
        <v>403934.58880684001</v>
      </c>
      <c r="D32" s="764">
        <f t="shared" si="1"/>
        <v>-38384.991906059637</v>
      </c>
      <c r="E32" s="764">
        <f t="shared" si="2"/>
        <v>-2140.4390731711032</v>
      </c>
      <c r="F32" s="764">
        <f t="shared" si="3"/>
        <v>-9721.3276445487663</v>
      </c>
      <c r="G32" s="765">
        <f t="shared" si="4"/>
        <v>353687.83018306049</v>
      </c>
      <c r="H32" s="766"/>
      <c r="I32" s="767"/>
      <c r="J32" s="763">
        <f t="shared" si="5"/>
        <v>-68472.749394392638</v>
      </c>
      <c r="K32" s="768">
        <f t="shared" si="6"/>
        <v>9721.3276445487572</v>
      </c>
      <c r="L32" s="764">
        <f t="shared" si="7"/>
        <v>-58751.421749843881</v>
      </c>
      <c r="M32" s="764">
        <f t="shared" si="8"/>
        <v>3768.0917971796848</v>
      </c>
      <c r="N32" s="764">
        <f t="shared" si="9"/>
        <v>0</v>
      </c>
      <c r="O32" s="769">
        <f t="shared" si="10"/>
        <v>1358214.9001056631</v>
      </c>
      <c r="P32" s="770"/>
      <c r="Q32" s="771">
        <f t="shared" si="11"/>
        <v>-2561.0823147478986</v>
      </c>
      <c r="R32" s="770"/>
      <c r="S32" s="771">
        <f t="shared" si="12"/>
        <v>-4975.923824801197</v>
      </c>
      <c r="T32" s="766"/>
      <c r="U32" s="771">
        <f t="shared" si="13"/>
        <v>0</v>
      </c>
      <c r="V32" s="766"/>
      <c r="W32" s="771">
        <f t="shared" si="14"/>
        <v>291167.49409084715</v>
      </c>
      <c r="X32" s="766"/>
      <c r="Y32" s="771">
        <f t="shared" ca="1" si="15"/>
        <v>-52440.863878350596</v>
      </c>
      <c r="Z32" s="772"/>
      <c r="AA32" s="771">
        <f t="shared" ca="1" si="17"/>
        <v>238726.63021249656</v>
      </c>
      <c r="AC32" s="251"/>
      <c r="AD32" s="261"/>
      <c r="AE32" s="251"/>
      <c r="AF32" s="251"/>
      <c r="AG32" s="223"/>
      <c r="AH32" s="262"/>
      <c r="AI32" s="262"/>
      <c r="AJ32" s="262"/>
      <c r="AK32" s="262"/>
      <c r="AL32" s="262"/>
      <c r="AM32" s="262"/>
      <c r="AN32" s="263"/>
      <c r="AO32" s="263"/>
      <c r="AP32" s="263"/>
      <c r="AQ32" s="263"/>
      <c r="AR32" s="239"/>
      <c r="AS32" s="234"/>
      <c r="AT32" s="234"/>
    </row>
    <row r="33" spans="2:48" x14ac:dyDescent="0.2">
      <c r="B33" s="264">
        <f t="shared" si="16"/>
        <v>2036</v>
      </c>
      <c r="C33" s="763">
        <f t="shared" si="0"/>
        <v>443204.78370084305</v>
      </c>
      <c r="D33" s="764">
        <f t="shared" si="1"/>
        <v>-40487.519006848277</v>
      </c>
      <c r="E33" s="764">
        <f t="shared" si="2"/>
        <v>-2348.2116974152345</v>
      </c>
      <c r="F33" s="764">
        <f t="shared" si="3"/>
        <v>-10450.516861110962</v>
      </c>
      <c r="G33" s="765">
        <f t="shared" si="4"/>
        <v>389918.53613546857</v>
      </c>
      <c r="H33" s="766"/>
      <c r="I33" s="767"/>
      <c r="J33" s="763">
        <f t="shared" si="5"/>
        <v>-70005.245705569992</v>
      </c>
      <c r="K33" s="768">
        <f t="shared" si="6"/>
        <v>10450.516861110955</v>
      </c>
      <c r="L33" s="764">
        <f t="shared" si="7"/>
        <v>-59554.728844459038</v>
      </c>
      <c r="M33" s="764">
        <f t="shared" si="8"/>
        <v>4073.6348544397351</v>
      </c>
      <c r="N33" s="764">
        <f t="shared" si="9"/>
        <v>0</v>
      </c>
      <c r="O33" s="769">
        <f t="shared" si="10"/>
        <v>1368665.416966774</v>
      </c>
      <c r="P33" s="770"/>
      <c r="Q33" s="771">
        <f t="shared" si="11"/>
        <v>-2943.4260904036419</v>
      </c>
      <c r="R33" s="770"/>
      <c r="S33" s="771">
        <f t="shared" si="12"/>
        <v>-5725.3670420089475</v>
      </c>
      <c r="T33" s="766"/>
      <c r="U33" s="771">
        <f t="shared" si="13"/>
        <v>0</v>
      </c>
      <c r="V33" s="766"/>
      <c r="W33" s="771">
        <f t="shared" si="14"/>
        <v>325768.64901303669</v>
      </c>
      <c r="X33" s="766"/>
      <c r="Y33" s="771">
        <f t="shared" ca="1" si="15"/>
        <v>-57811.24856012618</v>
      </c>
      <c r="Z33" s="772"/>
      <c r="AA33" s="771">
        <f t="shared" ca="1" si="17"/>
        <v>267957.40045291052</v>
      </c>
      <c r="AC33" s="251"/>
      <c r="AD33" s="261"/>
      <c r="AE33" s="251"/>
      <c r="AF33" s="251"/>
      <c r="AG33" s="223"/>
      <c r="AH33" s="262"/>
      <c r="AI33" s="262"/>
      <c r="AJ33" s="262"/>
      <c r="AK33" s="262"/>
      <c r="AL33" s="262"/>
      <c r="AM33" s="262"/>
      <c r="AN33" s="263"/>
      <c r="AO33" s="263"/>
      <c r="AP33" s="263"/>
      <c r="AQ33" s="263"/>
      <c r="AR33" s="239"/>
      <c r="AS33" s="234"/>
      <c r="AT33" s="234"/>
    </row>
    <row r="34" spans="2:48" x14ac:dyDescent="0.2">
      <c r="B34" s="264">
        <f t="shared" si="16"/>
        <v>2037</v>
      </c>
      <c r="C34" s="763">
        <f t="shared" si="0"/>
        <v>486909.90690950124</v>
      </c>
      <c r="D34" s="764">
        <f t="shared" si="1"/>
        <v>-42936.801184184449</v>
      </c>
      <c r="E34" s="764">
        <f t="shared" si="2"/>
        <v>-2578.9602560015287</v>
      </c>
      <c r="F34" s="764">
        <f t="shared" si="3"/>
        <v>-11402.936904942444</v>
      </c>
      <c r="G34" s="765">
        <f t="shared" si="4"/>
        <v>429991.20856437285</v>
      </c>
      <c r="H34" s="766"/>
      <c r="I34" s="767"/>
      <c r="J34" s="763">
        <f t="shared" si="5"/>
        <v>-71540.723518566898</v>
      </c>
      <c r="K34" s="768">
        <f t="shared" si="6"/>
        <v>11402.936904942442</v>
      </c>
      <c r="L34" s="764">
        <f t="shared" si="7"/>
        <v>-60137.786613624456</v>
      </c>
      <c r="M34" s="764">
        <f t="shared" si="8"/>
        <v>4320.6180431709508</v>
      </c>
      <c r="N34" s="764">
        <f t="shared" si="9"/>
        <v>0</v>
      </c>
      <c r="O34" s="769">
        <f t="shared" si="10"/>
        <v>1380068.3538717167</v>
      </c>
      <c r="P34" s="770"/>
      <c r="Q34" s="771">
        <f t="shared" si="11"/>
        <v>-2780.8135980043371</v>
      </c>
      <c r="R34" s="770"/>
      <c r="S34" s="771">
        <f t="shared" si="12"/>
        <v>-7537.7580407859787</v>
      </c>
      <c r="T34" s="766"/>
      <c r="U34" s="771">
        <f t="shared" si="13"/>
        <v>0</v>
      </c>
      <c r="V34" s="766"/>
      <c r="W34" s="771">
        <f t="shared" si="14"/>
        <v>363855.46835512907</v>
      </c>
      <c r="X34" s="766"/>
      <c r="Y34" s="771">
        <f t="shared" ca="1" si="15"/>
        <v>-63787.106282971334</v>
      </c>
      <c r="Z34" s="772"/>
      <c r="AA34" s="771">
        <f t="shared" ca="1" si="17"/>
        <v>300068.36207215773</v>
      </c>
      <c r="AC34" s="251"/>
      <c r="AD34" s="261"/>
      <c r="AE34" s="251"/>
      <c r="AF34" s="251"/>
      <c r="AG34" s="223"/>
      <c r="AH34" s="262"/>
      <c r="AI34" s="262"/>
      <c r="AJ34" s="262"/>
      <c r="AK34" s="262"/>
      <c r="AL34" s="262"/>
      <c r="AM34" s="262"/>
      <c r="AN34" s="263"/>
      <c r="AO34" s="263"/>
      <c r="AP34" s="263"/>
      <c r="AQ34" s="263"/>
      <c r="AR34" s="239"/>
      <c r="AS34" s="234"/>
      <c r="AT34" s="234"/>
    </row>
    <row r="35" spans="2:48" x14ac:dyDescent="0.2">
      <c r="B35" s="264">
        <f t="shared" si="16"/>
        <v>2038</v>
      </c>
      <c r="C35" s="763">
        <f t="shared" si="0"/>
        <v>534924.8612953726</v>
      </c>
      <c r="D35" s="764">
        <f t="shared" si="1"/>
        <v>-45534.252064651133</v>
      </c>
      <c r="E35" s="764">
        <f t="shared" si="2"/>
        <v>-2833.5411766374718</v>
      </c>
      <c r="F35" s="764">
        <f t="shared" si="3"/>
        <v>-12442.156860390503</v>
      </c>
      <c r="G35" s="765">
        <f t="shared" si="4"/>
        <v>474114.91119369352</v>
      </c>
      <c r="H35" s="766"/>
      <c r="I35" s="767"/>
      <c r="J35" s="763">
        <f t="shared" si="5"/>
        <v>-74162.488459678716</v>
      </c>
      <c r="K35" s="768">
        <f t="shared" si="6"/>
        <v>12442.156860390503</v>
      </c>
      <c r="L35" s="764">
        <f t="shared" si="7"/>
        <v>-61720.331599288213</v>
      </c>
      <c r="M35" s="764">
        <f t="shared" si="8"/>
        <v>4797.2675879554872</v>
      </c>
      <c r="N35" s="764">
        <f t="shared" si="9"/>
        <v>0</v>
      </c>
      <c r="O35" s="769">
        <f t="shared" si="10"/>
        <v>1392510.5107321071</v>
      </c>
      <c r="P35" s="770"/>
      <c r="Q35" s="771">
        <f t="shared" si="11"/>
        <v>-2066.1971091353334</v>
      </c>
      <c r="R35" s="770"/>
      <c r="S35" s="771">
        <f t="shared" si="12"/>
        <v>-24216.804033349283</v>
      </c>
      <c r="T35" s="766"/>
      <c r="U35" s="771">
        <f t="shared" si="13"/>
        <v>0</v>
      </c>
      <c r="V35" s="766"/>
      <c r="W35" s="771">
        <f t="shared" si="14"/>
        <v>390908.84603987617</v>
      </c>
      <c r="X35" s="766"/>
      <c r="Y35" s="771">
        <f t="shared" ca="1" si="15"/>
        <v>-70365.60741018728</v>
      </c>
      <c r="Z35" s="772"/>
      <c r="AA35" s="771">
        <f t="shared" ca="1" si="17"/>
        <v>320543.23862968886</v>
      </c>
      <c r="AB35" s="261"/>
      <c r="AC35" s="251"/>
      <c r="AD35" s="261"/>
      <c r="AE35" s="251"/>
      <c r="AF35" s="251"/>
      <c r="AG35" s="223"/>
      <c r="AH35" s="262"/>
      <c r="AI35" s="262"/>
      <c r="AJ35" s="262"/>
      <c r="AK35" s="262"/>
      <c r="AL35" s="262"/>
      <c r="AM35" s="262"/>
      <c r="AN35" s="263"/>
      <c r="AO35" s="263"/>
      <c r="AP35" s="263"/>
      <c r="AQ35" s="263"/>
      <c r="AR35" s="239"/>
      <c r="AS35" s="234"/>
      <c r="AT35" s="234"/>
    </row>
    <row r="36" spans="2:48" x14ac:dyDescent="0.2">
      <c r="B36" s="264">
        <f t="shared" si="16"/>
        <v>2039</v>
      </c>
      <c r="C36" s="763">
        <f t="shared" si="0"/>
        <v>587674.64611283329</v>
      </c>
      <c r="D36" s="764">
        <f t="shared" si="1"/>
        <v>-48288.835076305142</v>
      </c>
      <c r="E36" s="764">
        <f t="shared" si="2"/>
        <v>-3114.8950804047963</v>
      </c>
      <c r="F36" s="764">
        <f t="shared" si="3"/>
        <v>-13576.087338645486</v>
      </c>
      <c r="G36" s="765">
        <f t="shared" si="4"/>
        <v>522694.82861747779</v>
      </c>
      <c r="H36" s="766"/>
      <c r="I36" s="767"/>
      <c r="J36" s="763">
        <f t="shared" si="5"/>
        <v>-77735.155598207362</v>
      </c>
      <c r="K36" s="768">
        <f t="shared" si="6"/>
        <v>13576.087338645477</v>
      </c>
      <c r="L36" s="764">
        <f t="shared" si="7"/>
        <v>-64159.068259561885</v>
      </c>
      <c r="M36" s="764">
        <f t="shared" si="8"/>
        <v>5638.7025356995109</v>
      </c>
      <c r="N36" s="764">
        <f t="shared" si="9"/>
        <v>0</v>
      </c>
      <c r="O36" s="769">
        <f t="shared" si="10"/>
        <v>1406086.5980707526</v>
      </c>
      <c r="P36" s="770"/>
      <c r="Q36" s="771">
        <f t="shared" si="11"/>
        <v>-795.77642134398047</v>
      </c>
      <c r="R36" s="770"/>
      <c r="S36" s="771">
        <f t="shared" si="12"/>
        <v>13951.148182811303</v>
      </c>
      <c r="T36" s="766"/>
      <c r="U36" s="771">
        <f t="shared" si="13"/>
        <v>0</v>
      </c>
      <c r="V36" s="766"/>
      <c r="W36" s="771">
        <f t="shared" si="14"/>
        <v>477329.83465508278</v>
      </c>
      <c r="X36" s="766"/>
      <c r="Y36" s="771">
        <f t="shared" ca="1" si="15"/>
        <v>-77606.916506716632</v>
      </c>
      <c r="Z36" s="772"/>
      <c r="AA36" s="771">
        <f t="shared" ca="1" si="17"/>
        <v>399722.91814836615</v>
      </c>
      <c r="AB36" s="261"/>
      <c r="AC36" s="251"/>
      <c r="AD36" s="261"/>
      <c r="AE36" s="251"/>
      <c r="AF36" s="251"/>
      <c r="AG36" s="223"/>
      <c r="AH36" s="262"/>
      <c r="AI36" s="262"/>
      <c r="AJ36" s="262"/>
      <c r="AK36" s="262"/>
      <c r="AL36" s="262"/>
      <c r="AM36" s="262"/>
      <c r="AN36" s="263"/>
      <c r="AO36" s="263"/>
      <c r="AP36" s="263"/>
      <c r="AQ36" s="263"/>
      <c r="AR36" s="239"/>
      <c r="AS36" s="234"/>
      <c r="AT36" s="234"/>
    </row>
    <row r="37" spans="2:48" x14ac:dyDescent="0.2">
      <c r="B37" s="264">
        <f t="shared" si="16"/>
        <v>2040</v>
      </c>
      <c r="C37" s="763">
        <f t="shared" si="0"/>
        <v>645626.17046348774</v>
      </c>
      <c r="D37" s="764">
        <f t="shared" si="1"/>
        <v>-51210.055887506605</v>
      </c>
      <c r="E37" s="764">
        <f t="shared" si="2"/>
        <v>-3419.2747896454416</v>
      </c>
      <c r="F37" s="764">
        <f t="shared" si="3"/>
        <v>-14813.35989367567</v>
      </c>
      <c r="G37" s="765">
        <f t="shared" si="4"/>
        <v>576183.47989266005</v>
      </c>
      <c r="H37" s="766"/>
      <c r="I37" s="767"/>
      <c r="J37" s="763">
        <f t="shared" si="5"/>
        <v>-78887.094203263288</v>
      </c>
      <c r="K37" s="768">
        <f t="shared" si="6"/>
        <v>14813.35989367567</v>
      </c>
      <c r="L37" s="764">
        <f t="shared" si="7"/>
        <v>-64073.73430958762</v>
      </c>
      <c r="M37" s="764">
        <f t="shared" si="8"/>
        <v>5664.2656594535383</v>
      </c>
      <c r="N37" s="764">
        <f t="shared" si="9"/>
        <v>0</v>
      </c>
      <c r="O37" s="769">
        <f t="shared" si="10"/>
        <v>1420899.9579644282</v>
      </c>
      <c r="P37" s="770"/>
      <c r="Q37" s="771">
        <f t="shared" si="11"/>
        <v>1038.6214282925066</v>
      </c>
      <c r="R37" s="770"/>
      <c r="S37" s="771">
        <f t="shared" si="12"/>
        <v>-600.8737173708214</v>
      </c>
      <c r="T37" s="766"/>
      <c r="U37" s="771">
        <f t="shared" si="13"/>
        <v>0</v>
      </c>
      <c r="V37" s="766"/>
      <c r="W37" s="771">
        <f t="shared" si="14"/>
        <v>518211.75895344763</v>
      </c>
      <c r="X37" s="766"/>
      <c r="Y37" s="771">
        <f t="shared" ca="1" si="15"/>
        <v>-85642.918171278521</v>
      </c>
      <c r="Z37" s="772"/>
      <c r="AA37" s="771">
        <f t="shared" ca="1" si="17"/>
        <v>432568.84078216914</v>
      </c>
      <c r="AB37" s="261"/>
      <c r="AC37" s="251"/>
      <c r="AD37" s="261"/>
      <c r="AE37" s="251"/>
      <c r="AF37" s="251"/>
      <c r="AG37" s="223"/>
      <c r="AH37" s="262"/>
      <c r="AI37" s="262"/>
      <c r="AJ37" s="262"/>
      <c r="AK37" s="262"/>
      <c r="AL37" s="262"/>
      <c r="AM37" s="262"/>
      <c r="AN37" s="263"/>
      <c r="AO37" s="263"/>
      <c r="AP37" s="263"/>
      <c r="AQ37" s="263"/>
      <c r="AR37" s="239"/>
      <c r="AS37" s="234"/>
      <c r="AT37" s="234"/>
    </row>
    <row r="38" spans="2:48" x14ac:dyDescent="0.2">
      <c r="B38" s="264">
        <f t="shared" si="16"/>
        <v>2041</v>
      </c>
      <c r="C38" s="763">
        <f t="shared" si="0"/>
        <v>709292.3860923493</v>
      </c>
      <c r="D38" s="764">
        <f t="shared" si="1"/>
        <v>-54307.995209608394</v>
      </c>
      <c r="E38" s="764">
        <f t="shared" si="2"/>
        <v>-3754.882199395538</v>
      </c>
      <c r="F38" s="764">
        <f t="shared" si="3"/>
        <v>-16163.392726188255</v>
      </c>
      <c r="G38" s="765">
        <f t="shared" si="4"/>
        <v>635066.1159571571</v>
      </c>
      <c r="H38" s="766"/>
      <c r="I38" s="767"/>
      <c r="J38" s="763">
        <f t="shared" si="5"/>
        <v>-76361.587121869001</v>
      </c>
      <c r="K38" s="768">
        <f t="shared" si="6"/>
        <v>16163.392726188255</v>
      </c>
      <c r="L38" s="764">
        <f t="shared" si="7"/>
        <v>-60198.194395680744</v>
      </c>
      <c r="M38" s="764">
        <f t="shared" si="8"/>
        <v>5923.2709353723476</v>
      </c>
      <c r="N38" s="764">
        <f t="shared" si="9"/>
        <v>0</v>
      </c>
      <c r="O38" s="769">
        <f t="shared" si="10"/>
        <v>1437063.3506906165</v>
      </c>
      <c r="P38" s="770"/>
      <c r="Q38" s="771">
        <f t="shared" si="11"/>
        <v>3449.5920875071097</v>
      </c>
      <c r="R38" s="770"/>
      <c r="S38" s="771">
        <f t="shared" si="12"/>
        <v>-841.74217909373692</v>
      </c>
      <c r="T38" s="766"/>
      <c r="U38" s="771">
        <f t="shared" si="13"/>
        <v>0</v>
      </c>
      <c r="V38" s="766"/>
      <c r="W38" s="771">
        <f t="shared" si="14"/>
        <v>583399.04240526201</v>
      </c>
      <c r="X38" s="766"/>
      <c r="Y38" s="771">
        <f t="shared" ca="1" si="15"/>
        <v>-119995.84084922296</v>
      </c>
      <c r="Z38" s="772"/>
      <c r="AA38" s="771">
        <f t="shared" ca="1" si="17"/>
        <v>463403.20155603904</v>
      </c>
      <c r="AB38" s="261"/>
      <c r="AC38" s="251"/>
      <c r="AD38" s="261"/>
      <c r="AE38" s="251"/>
      <c r="AF38" s="251"/>
      <c r="AG38" s="223"/>
      <c r="AH38" s="262"/>
      <c r="AI38" s="262"/>
      <c r="AJ38" s="262"/>
      <c r="AK38" s="262"/>
      <c r="AL38" s="262"/>
      <c r="AM38" s="262"/>
      <c r="AN38" s="263"/>
      <c r="AO38" s="263"/>
      <c r="AP38" s="263"/>
      <c r="AQ38" s="263"/>
      <c r="AR38" s="239"/>
      <c r="AS38" s="234"/>
      <c r="AT38" s="234"/>
    </row>
    <row r="39" spans="2:48" x14ac:dyDescent="0.2">
      <c r="B39" s="264">
        <f t="shared" si="16"/>
        <v>2042</v>
      </c>
      <c r="C39" s="763">
        <f t="shared" si="0"/>
        <v>750382.9050056797</v>
      </c>
      <c r="D39" s="764">
        <f t="shared" si="1"/>
        <v>-56570.629298947191</v>
      </c>
      <c r="E39" s="764">
        <f t="shared" si="2"/>
        <v>-3970.8258002969851</v>
      </c>
      <c r="F39" s="764">
        <f t="shared" si="3"/>
        <v>-14764.028626131159</v>
      </c>
      <c r="G39" s="765">
        <f t="shared" si="4"/>
        <v>675077.42128030444</v>
      </c>
      <c r="H39" s="766"/>
      <c r="I39" s="767"/>
      <c r="J39" s="763">
        <f t="shared" si="5"/>
        <v>-77128.006407048131</v>
      </c>
      <c r="K39" s="768">
        <f t="shared" si="6"/>
        <v>14764.028626131159</v>
      </c>
      <c r="L39" s="764">
        <f t="shared" si="7"/>
        <v>-62363.977780916975</v>
      </c>
      <c r="M39" s="764">
        <f t="shared" si="8"/>
        <v>5964.8664794603264</v>
      </c>
      <c r="N39" s="764">
        <f t="shared" si="9"/>
        <v>0</v>
      </c>
      <c r="O39" s="769">
        <f t="shared" si="10"/>
        <v>1451827.3793167477</v>
      </c>
      <c r="P39" s="770"/>
      <c r="Q39" s="771">
        <f t="shared" si="11"/>
        <v>2802.2028777644227</v>
      </c>
      <c r="R39" s="770"/>
      <c r="S39" s="771">
        <f t="shared" si="12"/>
        <v>-768.86739303356444</v>
      </c>
      <c r="T39" s="766"/>
      <c r="U39" s="771">
        <f t="shared" si="13"/>
        <v>0</v>
      </c>
      <c r="V39" s="766"/>
      <c r="W39" s="771">
        <f t="shared" si="14"/>
        <v>620711.64546357875</v>
      </c>
      <c r="X39" s="766"/>
      <c r="Y39" s="771">
        <f t="shared" ca="1" si="15"/>
        <v>-127824.85142555331</v>
      </c>
      <c r="Z39" s="772"/>
      <c r="AA39" s="771">
        <f t="shared" ca="1" si="17"/>
        <v>492886.79403802543</v>
      </c>
      <c r="AB39" s="261"/>
      <c r="AC39" s="251"/>
      <c r="AD39" s="261"/>
      <c r="AE39" s="251"/>
      <c r="AF39" s="251"/>
      <c r="AG39" s="223"/>
      <c r="AH39" s="262"/>
      <c r="AI39" s="262"/>
      <c r="AJ39" s="262"/>
      <c r="AK39" s="262"/>
      <c r="AL39" s="262"/>
      <c r="AM39" s="262"/>
      <c r="AN39" s="263"/>
      <c r="AO39" s="263"/>
      <c r="AP39" s="263"/>
      <c r="AQ39" s="263"/>
      <c r="AR39" s="239"/>
      <c r="AS39" s="234"/>
      <c r="AT39" s="234"/>
    </row>
    <row r="40" spans="2:48" x14ac:dyDescent="0.2">
      <c r="B40" s="264">
        <f t="shared" si="16"/>
        <v>2043</v>
      </c>
      <c r="C40" s="763">
        <f t="shared" si="0"/>
        <v>793853.86783420376</v>
      </c>
      <c r="D40" s="764">
        <f t="shared" si="1"/>
        <v>-58927.531515888171</v>
      </c>
      <c r="E40" s="764">
        <f t="shared" si="2"/>
        <v>-4199.9370837452852</v>
      </c>
      <c r="F40" s="764">
        <f t="shared" si="3"/>
        <v>-13485.816063854612</v>
      </c>
      <c r="G40" s="765">
        <f t="shared" si="4"/>
        <v>717240.58317071572</v>
      </c>
      <c r="H40" s="766"/>
      <c r="I40" s="767"/>
      <c r="J40" s="763">
        <f t="shared" si="5"/>
        <v>-77828.3198658443</v>
      </c>
      <c r="K40" s="768">
        <f t="shared" si="6"/>
        <v>13485.816063854612</v>
      </c>
      <c r="L40" s="764">
        <f t="shared" si="7"/>
        <v>-64342.503801989689</v>
      </c>
      <c r="M40" s="764">
        <f t="shared" si="8"/>
        <v>6134.1481172792337</v>
      </c>
      <c r="N40" s="764">
        <f t="shared" si="9"/>
        <v>0</v>
      </c>
      <c r="O40" s="769">
        <f t="shared" si="10"/>
        <v>1465313.1953806023</v>
      </c>
      <c r="P40" s="770"/>
      <c r="Q40" s="771">
        <f t="shared" si="11"/>
        <v>1697.1840901436044</v>
      </c>
      <c r="R40" s="770"/>
      <c r="S40" s="771">
        <f t="shared" si="12"/>
        <v>-916.44243553685374</v>
      </c>
      <c r="T40" s="766"/>
      <c r="U40" s="771">
        <f t="shared" si="13"/>
        <v>0</v>
      </c>
      <c r="V40" s="766"/>
      <c r="W40" s="771">
        <f t="shared" si="14"/>
        <v>659812.96914061205</v>
      </c>
      <c r="X40" s="766"/>
      <c r="Y40" s="771">
        <f t="shared" ca="1" si="15"/>
        <v>-136192.05516737021</v>
      </c>
      <c r="Z40" s="772"/>
      <c r="AA40" s="771">
        <f t="shared" ca="1" si="17"/>
        <v>523620.91397324181</v>
      </c>
      <c r="AB40" s="261"/>
      <c r="AC40" s="251"/>
      <c r="AD40" s="261"/>
      <c r="AE40" s="251"/>
      <c r="AF40" s="251"/>
      <c r="AG40" s="223"/>
      <c r="AH40" s="262"/>
      <c r="AI40" s="262"/>
      <c r="AJ40" s="262"/>
      <c r="AK40" s="262"/>
      <c r="AL40" s="262"/>
      <c r="AM40" s="262"/>
      <c r="AN40" s="263"/>
      <c r="AO40" s="263"/>
      <c r="AP40" s="263"/>
      <c r="AQ40" s="263"/>
      <c r="AR40" s="239"/>
      <c r="AS40" s="234"/>
      <c r="AT40" s="234"/>
    </row>
    <row r="41" spans="2:48" x14ac:dyDescent="0.2">
      <c r="B41" s="264">
        <f t="shared" si="16"/>
        <v>2044</v>
      </c>
      <c r="C41" s="763">
        <f t="shared" si="0"/>
        <v>839843.17775810137</v>
      </c>
      <c r="D41" s="764">
        <f t="shared" si="1"/>
        <v>-61382.629353579039</v>
      </c>
      <c r="E41" s="764">
        <f t="shared" si="2"/>
        <v>-4442.4574541090042</v>
      </c>
      <c r="F41" s="764">
        <f t="shared" si="3"/>
        <v>-12318.266207248376</v>
      </c>
      <c r="G41" s="765">
        <f t="shared" si="4"/>
        <v>761699.82474316505</v>
      </c>
      <c r="H41" s="766"/>
      <c r="I41" s="767"/>
      <c r="J41" s="763">
        <f t="shared" si="5"/>
        <v>-78682.396995715535</v>
      </c>
      <c r="K41" s="768">
        <f t="shared" si="6"/>
        <v>12318.266207248376</v>
      </c>
      <c r="L41" s="764">
        <f t="shared" si="7"/>
        <v>-66364.130788467155</v>
      </c>
      <c r="M41" s="764">
        <f t="shared" si="8"/>
        <v>6339.194453137532</v>
      </c>
      <c r="N41" s="764">
        <f t="shared" si="9"/>
        <v>0</v>
      </c>
      <c r="O41" s="769">
        <f t="shared" si="10"/>
        <v>1477631.4615878507</v>
      </c>
      <c r="P41" s="770"/>
      <c r="Q41" s="771">
        <f t="shared" si="11"/>
        <v>102.42854510110919</v>
      </c>
      <c r="R41" s="770"/>
      <c r="S41" s="771">
        <f t="shared" si="12"/>
        <v>-427.35863446997246</v>
      </c>
      <c r="T41" s="766"/>
      <c r="U41" s="771">
        <f t="shared" si="13"/>
        <v>0</v>
      </c>
      <c r="V41" s="766"/>
      <c r="W41" s="771">
        <f t="shared" si="14"/>
        <v>701349.95831846667</v>
      </c>
      <c r="X41" s="766"/>
      <c r="Y41" s="771">
        <f t="shared" ca="1" si="15"/>
        <v>-145058.36739359697</v>
      </c>
      <c r="Z41" s="772"/>
      <c r="AA41" s="771">
        <f t="shared" ca="1" si="17"/>
        <v>556291.59092486976</v>
      </c>
      <c r="AB41" s="261"/>
      <c r="AC41" s="251"/>
      <c r="AD41" s="261"/>
      <c r="AE41" s="251"/>
      <c r="AF41" s="251"/>
      <c r="AG41" s="223"/>
      <c r="AH41" s="262"/>
      <c r="AI41" s="262"/>
      <c r="AJ41" s="262"/>
      <c r="AK41" s="262"/>
      <c r="AL41" s="262"/>
      <c r="AM41" s="262"/>
      <c r="AN41" s="263"/>
      <c r="AO41" s="263"/>
      <c r="AP41" s="263"/>
      <c r="AQ41" s="263"/>
      <c r="AR41" s="239"/>
      <c r="AS41" s="234"/>
      <c r="AT41" s="234"/>
    </row>
    <row r="42" spans="2:48" x14ac:dyDescent="0.2">
      <c r="B42" s="264">
        <f t="shared" si="16"/>
        <v>2045</v>
      </c>
      <c r="C42" s="763">
        <f t="shared" si="0"/>
        <v>888496.72692422429</v>
      </c>
      <c r="D42" s="764">
        <f t="shared" si="1"/>
        <v>-63940.013936320618</v>
      </c>
      <c r="E42" s="764">
        <f t="shared" si="2"/>
        <v>-4699.1387628785442</v>
      </c>
      <c r="F42" s="764">
        <f t="shared" si="3"/>
        <v>-11251.798306766013</v>
      </c>
      <c r="G42" s="765">
        <f t="shared" si="4"/>
        <v>808605.77591825917</v>
      </c>
      <c r="H42" s="766"/>
      <c r="I42" s="767"/>
      <c r="J42" s="763">
        <f t="shared" si="5"/>
        <v>-79053.048995894744</v>
      </c>
      <c r="K42" s="768">
        <f t="shared" si="6"/>
        <v>11251.798306766013</v>
      </c>
      <c r="L42" s="764">
        <f t="shared" si="7"/>
        <v>-67801.250689128734</v>
      </c>
      <c r="M42" s="764">
        <f t="shared" si="8"/>
        <v>6577.3231478792877</v>
      </c>
      <c r="N42" s="764">
        <f t="shared" si="9"/>
        <v>0</v>
      </c>
      <c r="O42" s="769">
        <f t="shared" si="10"/>
        <v>1488883.2598946167</v>
      </c>
      <c r="P42" s="770"/>
      <c r="Q42" s="771">
        <f t="shared" si="11"/>
        <v>-2021.4067551599474</v>
      </c>
      <c r="R42" s="770"/>
      <c r="S42" s="771">
        <f t="shared" si="12"/>
        <v>-109608.02706168141</v>
      </c>
      <c r="T42" s="766"/>
      <c r="U42" s="771">
        <f t="shared" si="13"/>
        <v>0</v>
      </c>
      <c r="V42" s="766"/>
      <c r="W42" s="771">
        <f t="shared" si="14"/>
        <v>635752.4145601684</v>
      </c>
      <c r="X42" s="766"/>
      <c r="Y42" s="771">
        <f t="shared" ca="1" si="15"/>
        <v>-154585.10885717039</v>
      </c>
      <c r="Z42" s="772"/>
      <c r="AA42" s="771">
        <f t="shared" ca="1" si="17"/>
        <v>481167.30570299801</v>
      </c>
      <c r="AB42" s="261"/>
      <c r="AC42" s="251"/>
      <c r="AD42" s="261"/>
      <c r="AE42" s="251"/>
      <c r="AF42" s="251"/>
      <c r="AG42" s="223"/>
      <c r="AH42" s="262"/>
      <c r="AI42" s="262"/>
      <c r="AJ42" s="262"/>
      <c r="AK42" s="262"/>
      <c r="AL42" s="262"/>
      <c r="AM42" s="262"/>
      <c r="AN42" s="263"/>
      <c r="AO42" s="263"/>
      <c r="AP42" s="263"/>
      <c r="AQ42" s="263"/>
      <c r="AR42" s="239"/>
      <c r="AS42" s="234"/>
      <c r="AT42" s="234"/>
    </row>
    <row r="43" spans="2:48" x14ac:dyDescent="0.2">
      <c r="B43" s="264">
        <f t="shared" si="16"/>
        <v>2046</v>
      </c>
      <c r="C43" s="763">
        <f t="shared" si="0"/>
        <v>939968.8592605762</v>
      </c>
      <c r="D43" s="764">
        <f t="shared" si="1"/>
        <v>-66603.946836931951</v>
      </c>
      <c r="E43" s="764">
        <f t="shared" si="2"/>
        <v>-4982.1206607893573</v>
      </c>
      <c r="F43" s="764">
        <f t="shared" si="3"/>
        <v>-10277.661077144619</v>
      </c>
      <c r="G43" s="765">
        <f t="shared" si="4"/>
        <v>858105.13068571023</v>
      </c>
      <c r="H43" s="766"/>
      <c r="I43" s="767"/>
      <c r="J43" s="763">
        <f t="shared" si="5"/>
        <v>-78117.122934546627</v>
      </c>
      <c r="K43" s="768">
        <f t="shared" si="6"/>
        <v>-100214.76014151708</v>
      </c>
      <c r="L43" s="764">
        <f t="shared" si="7"/>
        <v>-178331.88307606371</v>
      </c>
      <c r="M43" s="764">
        <f t="shared" si="8"/>
        <v>9006.5046993014894</v>
      </c>
      <c r="N43" s="764">
        <f t="shared" si="9"/>
        <v>0</v>
      </c>
      <c r="O43" s="769">
        <f t="shared" si="10"/>
        <v>1388668.4997530996</v>
      </c>
      <c r="P43" s="770"/>
      <c r="Q43" s="771">
        <f t="shared" si="11"/>
        <v>-4721.6726877533074</v>
      </c>
      <c r="R43" s="770"/>
      <c r="S43" s="771">
        <f t="shared" si="12"/>
        <v>-361.22280793695245</v>
      </c>
      <c r="T43" s="766"/>
      <c r="U43" s="771">
        <f t="shared" si="13"/>
        <v>0</v>
      </c>
      <c r="V43" s="766"/>
      <c r="W43" s="771">
        <f t="shared" si="14"/>
        <v>683696.85681325768</v>
      </c>
      <c r="X43" s="766"/>
      <c r="Y43" s="771">
        <f t="shared" ca="1" si="15"/>
        <v>-165425.87166622997</v>
      </c>
      <c r="Z43" s="772"/>
      <c r="AA43" s="771">
        <f t="shared" ca="1" si="17"/>
        <v>518270.98514702771</v>
      </c>
      <c r="AB43" s="261"/>
      <c r="AC43" s="251"/>
      <c r="AD43" s="261"/>
      <c r="AE43" s="251"/>
      <c r="AF43" s="251"/>
      <c r="AG43" s="223"/>
      <c r="AH43" s="262"/>
      <c r="AI43" s="262"/>
      <c r="AJ43" s="262"/>
      <c r="AK43" s="262"/>
      <c r="AL43" s="262"/>
      <c r="AM43" s="262"/>
      <c r="AN43" s="263"/>
      <c r="AO43" s="263"/>
      <c r="AP43" s="263"/>
      <c r="AQ43" s="263"/>
      <c r="AR43" s="239"/>
      <c r="AS43" s="234"/>
      <c r="AT43" s="234"/>
    </row>
    <row r="44" spans="2:48" s="235" customFormat="1" x14ac:dyDescent="0.2">
      <c r="B44" s="264">
        <f t="shared" si="16"/>
        <v>2047</v>
      </c>
      <c r="C44" s="763">
        <f t="shared" si="0"/>
        <v>993784.81824656378</v>
      </c>
      <c r="D44" s="764">
        <f t="shared" si="1"/>
        <v>-69494.383668132767</v>
      </c>
      <c r="E44" s="764">
        <f t="shared" si="2"/>
        <v>-5265.2813049834103</v>
      </c>
      <c r="F44" s="764">
        <f t="shared" si="3"/>
        <v>-11712.773240383072</v>
      </c>
      <c r="G44" s="765">
        <f t="shared" si="4"/>
        <v>907312.38003306463</v>
      </c>
      <c r="H44" s="773"/>
      <c r="I44" s="767"/>
      <c r="J44" s="763">
        <f t="shared" si="5"/>
        <v>-72630.694547570805</v>
      </c>
      <c r="K44" s="768">
        <f t="shared" si="6"/>
        <v>-108126.29756378884</v>
      </c>
      <c r="L44" s="764">
        <f t="shared" si="7"/>
        <v>-180756.99211135966</v>
      </c>
      <c r="M44" s="764">
        <f t="shared" si="8"/>
        <v>9125.9065121812091</v>
      </c>
      <c r="N44" s="764">
        <f t="shared" si="9"/>
        <v>0</v>
      </c>
      <c r="O44" s="769">
        <f t="shared" si="10"/>
        <v>1280542.2021893107</v>
      </c>
      <c r="P44" s="770"/>
      <c r="Q44" s="771">
        <f t="shared" si="11"/>
        <v>-4757.7584081274181</v>
      </c>
      <c r="R44" s="770"/>
      <c r="S44" s="771">
        <f t="shared" si="12"/>
        <v>-342.28079697943758</v>
      </c>
      <c r="T44" s="773"/>
      <c r="U44" s="771">
        <f t="shared" si="13"/>
        <v>0</v>
      </c>
      <c r="V44" s="773"/>
      <c r="W44" s="771">
        <f t="shared" si="14"/>
        <v>730581.25522877916</v>
      </c>
      <c r="X44" s="773"/>
      <c r="Y44" s="771">
        <f t="shared" ca="1" si="15"/>
        <v>-177196.01186774566</v>
      </c>
      <c r="Z44" s="772"/>
      <c r="AA44" s="771">
        <f t="shared" ca="1" si="17"/>
        <v>553385.2433610335</v>
      </c>
      <c r="AB44" s="261"/>
      <c r="AC44" s="251"/>
      <c r="AD44" s="261"/>
      <c r="AE44" s="251"/>
      <c r="AF44" s="251"/>
      <c r="AG44" s="223"/>
      <c r="AH44" s="262"/>
      <c r="AI44" s="262"/>
      <c r="AJ44" s="262"/>
      <c r="AK44" s="262"/>
      <c r="AL44" s="262"/>
      <c r="AM44" s="262"/>
      <c r="AN44" s="263"/>
      <c r="AO44" s="263"/>
      <c r="AP44" s="263"/>
      <c r="AQ44" s="263"/>
      <c r="AR44" s="239"/>
      <c r="AS44" s="234"/>
      <c r="AT44" s="234"/>
      <c r="AU44" s="211"/>
      <c r="AV44" s="211"/>
    </row>
    <row r="45" spans="2:48" s="235" customFormat="1" x14ac:dyDescent="0.2">
      <c r="B45" s="264">
        <f t="shared" si="16"/>
        <v>2048</v>
      </c>
      <c r="C45" s="763">
        <f t="shared" si="0"/>
        <v>1050681.8978601643</v>
      </c>
      <c r="D45" s="764">
        <f t="shared" si="1"/>
        <v>-72510.257886634616</v>
      </c>
      <c r="E45" s="764">
        <f t="shared" si="2"/>
        <v>-5565.7717310961307</v>
      </c>
      <c r="F45" s="764">
        <f t="shared" si="3"/>
        <v>-13348.276028065735</v>
      </c>
      <c r="G45" s="765">
        <f t="shared" si="4"/>
        <v>959257.59221436782</v>
      </c>
      <c r="H45" s="773"/>
      <c r="I45" s="767"/>
      <c r="J45" s="763">
        <f t="shared" si="5"/>
        <v>-66830.968978054763</v>
      </c>
      <c r="K45" s="768">
        <f t="shared" si="6"/>
        <v>-122398.67018260507</v>
      </c>
      <c r="L45" s="764">
        <f t="shared" si="7"/>
        <v>-189229.63916065983</v>
      </c>
      <c r="M45" s="764">
        <f t="shared" si="8"/>
        <v>9465.0985390987535</v>
      </c>
      <c r="N45" s="764">
        <f t="shared" si="9"/>
        <v>0</v>
      </c>
      <c r="O45" s="769">
        <f t="shared" si="10"/>
        <v>1158143.5320067056</v>
      </c>
      <c r="P45" s="770"/>
      <c r="Q45" s="771">
        <f t="shared" si="11"/>
        <v>-4011.9591608319606</v>
      </c>
      <c r="R45" s="770"/>
      <c r="S45" s="771">
        <f t="shared" si="12"/>
        <v>357.0440438396181</v>
      </c>
      <c r="T45" s="773"/>
      <c r="U45" s="771">
        <f t="shared" si="13"/>
        <v>0</v>
      </c>
      <c r="V45" s="773"/>
      <c r="W45" s="771">
        <f t="shared" si="14"/>
        <v>775838.13647581439</v>
      </c>
      <c r="X45" s="773"/>
      <c r="Y45" s="771">
        <f t="shared" ca="1" si="15"/>
        <v>-189682.70705804136</v>
      </c>
      <c r="Z45" s="772"/>
      <c r="AA45" s="771">
        <f t="shared" ca="1" si="17"/>
        <v>586155.42941777303</v>
      </c>
      <c r="AB45" s="261"/>
      <c r="AC45" s="251"/>
      <c r="AD45" s="261"/>
      <c r="AE45" s="251"/>
      <c r="AF45" s="251"/>
      <c r="AG45" s="223"/>
      <c r="AH45" s="262"/>
      <c r="AI45" s="262"/>
      <c r="AJ45" s="262"/>
      <c r="AK45" s="262"/>
      <c r="AL45" s="262"/>
      <c r="AM45" s="262"/>
      <c r="AN45" s="263"/>
      <c r="AO45" s="263"/>
      <c r="AP45" s="263"/>
      <c r="AQ45" s="263"/>
      <c r="AR45" s="239"/>
      <c r="AS45" s="234"/>
      <c r="AT45" s="234"/>
      <c r="AU45" s="211"/>
      <c r="AV45" s="211"/>
    </row>
    <row r="46" spans="2:48" s="235" customFormat="1" x14ac:dyDescent="0.2">
      <c r="B46" s="264">
        <f t="shared" si="16"/>
        <v>2049</v>
      </c>
      <c r="C46" s="763">
        <f t="shared" si="0"/>
        <v>1110836.5012446234</v>
      </c>
      <c r="D46" s="764">
        <f t="shared" si="1"/>
        <v>-75657.0131464773</v>
      </c>
      <c r="E46" s="764">
        <f t="shared" si="2"/>
        <v>-5883.2775808855986</v>
      </c>
      <c r="F46" s="764">
        <f t="shared" si="3"/>
        <v>-15212.150808753046</v>
      </c>
      <c r="G46" s="765">
        <f t="shared" si="4"/>
        <v>1014084.0597085075</v>
      </c>
      <c r="H46" s="773"/>
      <c r="I46" s="767"/>
      <c r="J46" s="763">
        <f t="shared" si="5"/>
        <v>-61063.059318730331</v>
      </c>
      <c r="K46" s="768">
        <f t="shared" si="6"/>
        <v>-128824.60036719183</v>
      </c>
      <c r="L46" s="764">
        <f t="shared" si="7"/>
        <v>-189887.65968592215</v>
      </c>
      <c r="M46" s="764">
        <f t="shared" si="8"/>
        <v>9787.7998764432105</v>
      </c>
      <c r="N46" s="764">
        <f t="shared" si="9"/>
        <v>0</v>
      </c>
      <c r="O46" s="769">
        <f t="shared" si="10"/>
        <v>1029318.9316395138</v>
      </c>
      <c r="P46" s="770"/>
      <c r="Q46" s="771">
        <f t="shared" si="11"/>
        <v>-2430.7019616284524</v>
      </c>
      <c r="R46" s="770"/>
      <c r="S46" s="771">
        <f t="shared" si="12"/>
        <v>-14410.127698145108</v>
      </c>
      <c r="T46" s="773"/>
      <c r="U46" s="771">
        <f t="shared" si="13"/>
        <v>0</v>
      </c>
      <c r="V46" s="773"/>
      <c r="W46" s="771">
        <f t="shared" si="14"/>
        <v>817143.37023925513</v>
      </c>
      <c r="X46" s="773"/>
      <c r="Y46" s="771">
        <f t="shared" ca="1" si="15"/>
        <v>-202797.59990605837</v>
      </c>
      <c r="Z46" s="772"/>
      <c r="AA46" s="771">
        <f t="shared" ca="1" si="17"/>
        <v>614345.77033319674</v>
      </c>
      <c r="AB46" s="261"/>
      <c r="AC46" s="251"/>
      <c r="AD46" s="261"/>
      <c r="AE46" s="251"/>
      <c r="AF46" s="251"/>
      <c r="AG46" s="223"/>
      <c r="AH46" s="262"/>
      <c r="AI46" s="262"/>
      <c r="AJ46" s="262"/>
      <c r="AK46" s="262"/>
      <c r="AL46" s="262"/>
      <c r="AM46" s="262"/>
      <c r="AN46" s="263"/>
      <c r="AO46" s="263"/>
      <c r="AP46" s="263"/>
      <c r="AQ46" s="263"/>
      <c r="AR46" s="239"/>
      <c r="AS46" s="234"/>
      <c r="AT46" s="234"/>
      <c r="AU46" s="211"/>
      <c r="AV46" s="211"/>
    </row>
    <row r="47" spans="2:48" s="235" customFormat="1" x14ac:dyDescent="0.2">
      <c r="B47" s="264">
        <f t="shared" si="16"/>
        <v>2050</v>
      </c>
      <c r="C47" s="763">
        <f t="shared" si="0"/>
        <v>1174435.131137687</v>
      </c>
      <c r="D47" s="764">
        <f t="shared" si="1"/>
        <v>-78940.329342026875</v>
      </c>
      <c r="E47" s="764">
        <f t="shared" si="2"/>
        <v>-6220.2885607018206</v>
      </c>
      <c r="F47" s="764">
        <f t="shared" si="3"/>
        <v>-17336.286104789135</v>
      </c>
      <c r="G47" s="765">
        <f t="shared" si="4"/>
        <v>1071938.227130169</v>
      </c>
      <c r="H47" s="773"/>
      <c r="I47" s="767"/>
      <c r="J47" s="763">
        <f t="shared" si="5"/>
        <v>-52909.304995889783</v>
      </c>
      <c r="K47" s="768">
        <f t="shared" si="6"/>
        <v>-150378.78197027749</v>
      </c>
      <c r="L47" s="764">
        <f t="shared" si="7"/>
        <v>-203288.08696616726</v>
      </c>
      <c r="M47" s="764">
        <f t="shared" si="8"/>
        <v>10381.737567421795</v>
      </c>
      <c r="N47" s="764">
        <f t="shared" si="9"/>
        <v>0</v>
      </c>
      <c r="O47" s="769">
        <f t="shared" si="10"/>
        <v>878940.14966923627</v>
      </c>
      <c r="P47" s="770"/>
      <c r="Q47" s="771">
        <f t="shared" si="11"/>
        <v>50.99588459579536</v>
      </c>
      <c r="R47" s="770"/>
      <c r="S47" s="771">
        <f t="shared" si="12"/>
        <v>214.71074657491408</v>
      </c>
      <c r="T47" s="773"/>
      <c r="U47" s="771">
        <f t="shared" si="13"/>
        <v>0</v>
      </c>
      <c r="V47" s="773"/>
      <c r="W47" s="771">
        <f t="shared" si="14"/>
        <v>879297.58436259429</v>
      </c>
      <c r="X47" s="773"/>
      <c r="Y47" s="771">
        <f t="shared" ca="1" si="15"/>
        <v>-217143.69093913306</v>
      </c>
      <c r="Z47" s="772"/>
      <c r="AA47" s="771">
        <f t="shared" ca="1" si="17"/>
        <v>662153.89342346124</v>
      </c>
      <c r="AB47" s="261"/>
      <c r="AC47" s="251"/>
      <c r="AD47" s="261"/>
      <c r="AE47" s="251"/>
      <c r="AF47" s="251"/>
      <c r="AG47" s="223"/>
      <c r="AH47" s="262"/>
      <c r="AI47" s="262"/>
      <c r="AJ47" s="262"/>
      <c r="AK47" s="262"/>
      <c r="AL47" s="262"/>
      <c r="AM47" s="262"/>
      <c r="AN47" s="263"/>
      <c r="AO47" s="263"/>
      <c r="AP47" s="263"/>
      <c r="AQ47" s="263"/>
      <c r="AR47" s="239"/>
      <c r="AS47" s="234"/>
      <c r="AT47" s="234"/>
      <c r="AU47" s="211"/>
      <c r="AV47" s="211"/>
    </row>
    <row r="48" spans="2:48" s="235" customFormat="1" x14ac:dyDescent="0.2">
      <c r="B48" s="264">
        <f t="shared" si="16"/>
        <v>2051</v>
      </c>
      <c r="C48" s="763">
        <f t="shared" si="0"/>
        <v>1241674.9681028472</v>
      </c>
      <c r="D48" s="764">
        <f t="shared" si="1"/>
        <v>-82366.132860187121</v>
      </c>
      <c r="E48" s="764">
        <f t="shared" si="2"/>
        <v>-6574.7101266507943</v>
      </c>
      <c r="F48" s="764">
        <f t="shared" si="3"/>
        <v>-19757.023164283295</v>
      </c>
      <c r="G48" s="765">
        <f t="shared" si="4"/>
        <v>1132977.101951726</v>
      </c>
      <c r="H48" s="773"/>
      <c r="I48" s="767"/>
      <c r="J48" s="763">
        <f t="shared" si="5"/>
        <v>-44802.483153756322</v>
      </c>
      <c r="K48" s="768">
        <f t="shared" si="6"/>
        <v>-158273.66802371704</v>
      </c>
      <c r="L48" s="764">
        <f t="shared" si="7"/>
        <v>-203076.15117747337</v>
      </c>
      <c r="M48" s="764">
        <f t="shared" si="8"/>
        <v>10650.770306827853</v>
      </c>
      <c r="N48" s="764">
        <f t="shared" si="9"/>
        <v>0</v>
      </c>
      <c r="O48" s="769">
        <f t="shared" si="10"/>
        <v>720666.48164551926</v>
      </c>
      <c r="P48" s="770"/>
      <c r="Q48" s="771">
        <f t="shared" si="11"/>
        <v>3510.8423349569057</v>
      </c>
      <c r="R48" s="770"/>
      <c r="S48" s="771">
        <f t="shared" si="12"/>
        <v>126.95920536946505</v>
      </c>
      <c r="T48" s="773"/>
      <c r="U48" s="771">
        <f t="shared" si="13"/>
        <v>0</v>
      </c>
      <c r="V48" s="773"/>
      <c r="W48" s="771">
        <f t="shared" si="14"/>
        <v>944189.52262140682</v>
      </c>
      <c r="X48" s="773"/>
      <c r="Y48" s="771">
        <f t="shared" ca="1" si="15"/>
        <v>-232122.52947783371</v>
      </c>
      <c r="Z48" s="772"/>
      <c r="AA48" s="771">
        <f t="shared" ca="1" si="17"/>
        <v>712066.99314357317</v>
      </c>
      <c r="AB48" s="261"/>
      <c r="AC48" s="251"/>
      <c r="AD48" s="261"/>
      <c r="AE48" s="251"/>
      <c r="AF48" s="251"/>
      <c r="AG48" s="223"/>
      <c r="AH48" s="262"/>
      <c r="AI48" s="262"/>
      <c r="AJ48" s="262"/>
      <c r="AK48" s="262"/>
      <c r="AL48" s="262"/>
      <c r="AM48" s="262"/>
      <c r="AN48" s="263"/>
      <c r="AO48" s="263"/>
      <c r="AP48" s="263"/>
      <c r="AQ48" s="263"/>
      <c r="AR48" s="239"/>
      <c r="AS48" s="234"/>
      <c r="AT48" s="234"/>
      <c r="AU48" s="211"/>
      <c r="AV48" s="211"/>
    </row>
    <row r="49" spans="2:147" s="235" customFormat="1" x14ac:dyDescent="0.2">
      <c r="B49" s="264">
        <f t="shared" si="16"/>
        <v>2052</v>
      </c>
      <c r="C49" s="763">
        <f t="shared" si="0"/>
        <v>1299492.443952414</v>
      </c>
      <c r="D49" s="764">
        <f t="shared" si="1"/>
        <v>-85447.987193585664</v>
      </c>
      <c r="E49" s="764">
        <f t="shared" si="2"/>
        <v>-6879.0669599911671</v>
      </c>
      <c r="F49" s="764">
        <f t="shared" si="3"/>
        <v>-18360.971768753996</v>
      </c>
      <c r="G49" s="765">
        <f t="shared" si="4"/>
        <v>1188804.4180300832</v>
      </c>
      <c r="H49" s="773"/>
      <c r="I49" s="767"/>
      <c r="J49" s="763">
        <f t="shared" si="5"/>
        <v>-36368.995159053935</v>
      </c>
      <c r="K49" s="764">
        <f t="shared" si="6"/>
        <v>-166583.03559496219</v>
      </c>
      <c r="L49" s="764">
        <f t="shared" si="7"/>
        <v>-202952.03075401613</v>
      </c>
      <c r="M49" s="764">
        <f t="shared" si="8"/>
        <v>10806.024617332281</v>
      </c>
      <c r="N49" s="764">
        <f t="shared" si="9"/>
        <v>0</v>
      </c>
      <c r="O49" s="765">
        <f t="shared" si="10"/>
        <v>554083.44605055696</v>
      </c>
      <c r="P49" s="770"/>
      <c r="Q49" s="771">
        <f t="shared" si="11"/>
        <v>2589.4183160436442</v>
      </c>
      <c r="R49" s="770"/>
      <c r="S49" s="771">
        <f t="shared" si="12"/>
        <v>336.87102686107391</v>
      </c>
      <c r="T49" s="773"/>
      <c r="U49" s="771">
        <f t="shared" si="13"/>
        <v>0</v>
      </c>
      <c r="V49" s="773"/>
      <c r="W49" s="771">
        <f t="shared" si="14"/>
        <v>999584.70123630413</v>
      </c>
      <c r="X49" s="773"/>
      <c r="Y49" s="771">
        <f t="shared" ca="1" si="15"/>
        <v>-245226.43985707659</v>
      </c>
      <c r="Z49" s="772"/>
      <c r="AA49" s="771">
        <f t="shared" ca="1" si="17"/>
        <v>754358.26137922751</v>
      </c>
      <c r="AB49" s="261"/>
      <c r="AC49" s="251"/>
      <c r="AD49" s="261"/>
      <c r="AE49" s="251"/>
      <c r="AF49" s="251"/>
      <c r="AG49" s="223"/>
      <c r="AH49" s="262"/>
      <c r="AI49" s="262"/>
      <c r="AJ49" s="262"/>
      <c r="AK49" s="262"/>
      <c r="AL49" s="262"/>
      <c r="AM49" s="262"/>
      <c r="AN49" s="263"/>
      <c r="AO49" s="263"/>
      <c r="AP49" s="263"/>
      <c r="AQ49" s="263"/>
      <c r="AR49" s="239"/>
      <c r="AS49" s="234"/>
      <c r="AT49" s="234"/>
      <c r="AU49" s="211"/>
      <c r="AV49" s="211"/>
    </row>
    <row r="50" spans="2:147" s="235" customFormat="1" x14ac:dyDescent="0.2">
      <c r="B50" s="264">
        <f t="shared" si="16"/>
        <v>2053</v>
      </c>
      <c r="C50" s="763">
        <f t="shared" si="0"/>
        <v>1357551.063654965</v>
      </c>
      <c r="D50" s="764">
        <f t="shared" si="1"/>
        <v>-88645.153801610621</v>
      </c>
      <c r="E50" s="764">
        <f t="shared" si="2"/>
        <v>-7197.6111291899551</v>
      </c>
      <c r="F50" s="764">
        <f t="shared" si="3"/>
        <v>-17063.566787856769</v>
      </c>
      <c r="G50" s="765">
        <f t="shared" si="4"/>
        <v>1244644.7319363076</v>
      </c>
      <c r="H50" s="773"/>
      <c r="I50" s="767"/>
      <c r="J50" s="763">
        <f t="shared" si="5"/>
        <v>-27289.41883735358</v>
      </c>
      <c r="K50" s="764">
        <f t="shared" si="6"/>
        <v>-175328.6449636977</v>
      </c>
      <c r="L50" s="764">
        <f t="shared" si="7"/>
        <v>-202618.06380105129</v>
      </c>
      <c r="M50" s="764">
        <f t="shared" si="8"/>
        <v>10971.409959314491</v>
      </c>
      <c r="N50" s="764">
        <f t="shared" si="9"/>
        <v>0</v>
      </c>
      <c r="O50" s="765">
        <f t="shared" si="10"/>
        <v>378754.8010868592</v>
      </c>
      <c r="P50" s="770"/>
      <c r="Q50" s="771">
        <f t="shared" si="11"/>
        <v>662.19565314528882</v>
      </c>
      <c r="R50" s="770"/>
      <c r="S50" s="771">
        <f t="shared" si="12"/>
        <v>250.33414796224679</v>
      </c>
      <c r="T50" s="773"/>
      <c r="U50" s="771">
        <f t="shared" si="13"/>
        <v>0</v>
      </c>
      <c r="V50" s="773"/>
      <c r="W50" s="771">
        <f t="shared" si="14"/>
        <v>1053910.6078956784</v>
      </c>
      <c r="X50" s="773"/>
      <c r="Y50" s="771">
        <f t="shared" ca="1" si="15"/>
        <v>-258524.48019267526</v>
      </c>
      <c r="Z50" s="772"/>
      <c r="AA50" s="771">
        <f t="shared" ca="1" si="17"/>
        <v>795386.12770300312</v>
      </c>
      <c r="AB50" s="261"/>
      <c r="AC50" s="251"/>
      <c r="AD50" s="261"/>
      <c r="AE50" s="251"/>
      <c r="AF50" s="251"/>
      <c r="AG50" s="223"/>
      <c r="AH50" s="262"/>
      <c r="AI50" s="262"/>
      <c r="AJ50" s="262"/>
      <c r="AK50" s="262"/>
      <c r="AL50" s="262"/>
      <c r="AM50" s="262"/>
      <c r="AN50" s="263"/>
      <c r="AO50" s="263"/>
      <c r="AP50" s="263"/>
      <c r="AQ50" s="263"/>
      <c r="AR50" s="239"/>
      <c r="AS50" s="234"/>
      <c r="AT50" s="234"/>
      <c r="AU50" s="211"/>
      <c r="AV50" s="211"/>
    </row>
    <row r="51" spans="2:147" s="235" customFormat="1" x14ac:dyDescent="0.2">
      <c r="B51" s="264">
        <f t="shared" si="16"/>
        <v>2054</v>
      </c>
      <c r="C51" s="763">
        <f t="shared" si="0"/>
        <v>1394940.8152210829</v>
      </c>
      <c r="D51" s="764">
        <f t="shared" si="1"/>
        <v>-91961.947268678021</v>
      </c>
      <c r="E51" s="764">
        <f t="shared" si="2"/>
        <v>-7530.6082607729713</v>
      </c>
      <c r="F51" s="764">
        <f t="shared" si="3"/>
        <v>-15857.837765381382</v>
      </c>
      <c r="G51" s="765">
        <f t="shared" si="4"/>
        <v>1279590.4219262504</v>
      </c>
      <c r="H51" s="773"/>
      <c r="I51" s="767"/>
      <c r="J51" s="763">
        <f t="shared" si="5"/>
        <v>-17837.301696393126</v>
      </c>
      <c r="K51" s="764">
        <f t="shared" si="6"/>
        <v>-184533.39882429174</v>
      </c>
      <c r="L51" s="764">
        <f t="shared" si="7"/>
        <v>-202370.70052068486</v>
      </c>
      <c r="M51" s="764">
        <f t="shared" si="8"/>
        <v>11072.161126111594</v>
      </c>
      <c r="N51" s="764">
        <f t="shared" si="9"/>
        <v>0</v>
      </c>
      <c r="O51" s="765">
        <f t="shared" si="10"/>
        <v>194221.40226256748</v>
      </c>
      <c r="P51" s="770"/>
      <c r="Q51" s="771">
        <f t="shared" si="11"/>
        <v>-2475.0822503910676</v>
      </c>
      <c r="R51" s="770"/>
      <c r="S51" s="771">
        <f t="shared" si="12"/>
        <v>263.47669073019642</v>
      </c>
      <c r="T51" s="773"/>
      <c r="U51" s="771">
        <f t="shared" si="13"/>
        <v>0</v>
      </c>
      <c r="V51" s="773"/>
      <c r="W51" s="771">
        <f t="shared" si="14"/>
        <v>1086080.2769720163</v>
      </c>
      <c r="X51" s="773"/>
      <c r="Y51" s="771">
        <f t="shared" ca="1" si="15"/>
        <v>-267551.27460148802</v>
      </c>
      <c r="Z51" s="772"/>
      <c r="AA51" s="771">
        <f t="shared" ca="1" si="17"/>
        <v>818529.00237052829</v>
      </c>
      <c r="AB51" s="261"/>
      <c r="AC51" s="251"/>
      <c r="AD51" s="261"/>
      <c r="AE51" s="251"/>
      <c r="AF51" s="251"/>
      <c r="AG51" s="223"/>
      <c r="AH51" s="262"/>
      <c r="AI51" s="262"/>
      <c r="AJ51" s="262"/>
      <c r="AK51" s="262"/>
      <c r="AL51" s="262"/>
      <c r="AM51" s="262"/>
      <c r="AN51" s="263"/>
      <c r="AO51" s="263"/>
      <c r="AP51" s="263"/>
      <c r="AQ51" s="263"/>
      <c r="AR51" s="239"/>
      <c r="AS51" s="234"/>
      <c r="AT51" s="234"/>
      <c r="AU51" s="211"/>
      <c r="AV51" s="211"/>
    </row>
    <row r="52" spans="2:147" s="235" customFormat="1" x14ac:dyDescent="0.2">
      <c r="B52" s="264">
        <f t="shared" si="16"/>
        <v>2055</v>
      </c>
      <c r="C52" s="763">
        <f t="shared" si="0"/>
        <v>1458244.9303068535</v>
      </c>
      <c r="D52" s="764">
        <f t="shared" si="1"/>
        <v>-95402.843615952515</v>
      </c>
      <c r="E52" s="764">
        <f t="shared" si="2"/>
        <v>-7880.0440759600906</v>
      </c>
      <c r="F52" s="764">
        <f t="shared" si="3"/>
        <v>-14737.306784658558</v>
      </c>
      <c r="G52" s="765">
        <f t="shared" si="4"/>
        <v>1340224.7358302826</v>
      </c>
      <c r="H52" s="773"/>
      <c r="I52" s="767"/>
      <c r="J52" s="763">
        <f t="shared" si="5"/>
        <v>-7888.8607649381784</v>
      </c>
      <c r="K52" s="764">
        <f t="shared" si="6"/>
        <v>-194221.40226256705</v>
      </c>
      <c r="L52" s="764">
        <f t="shared" si="7"/>
        <v>-202110.26302750522</v>
      </c>
      <c r="M52" s="764">
        <f t="shared" si="8"/>
        <v>11355.312685980001</v>
      </c>
      <c r="N52" s="764">
        <f t="shared" si="9"/>
        <v>0</v>
      </c>
      <c r="O52" s="765">
        <f t="shared" si="10"/>
        <v>4.3655745685100555E-10</v>
      </c>
      <c r="P52" s="770"/>
      <c r="Q52" s="771">
        <f t="shared" si="11"/>
        <v>45398.327747783354</v>
      </c>
      <c r="R52" s="770"/>
      <c r="S52" s="771">
        <f t="shared" si="12"/>
        <v>201975.08480601796</v>
      </c>
      <c r="T52" s="773"/>
      <c r="U52" s="771">
        <f t="shared" si="13"/>
        <v>0</v>
      </c>
      <c r="V52" s="773"/>
      <c r="W52" s="771">
        <f t="shared" si="14"/>
        <v>1396843.1980425587</v>
      </c>
      <c r="X52" s="773"/>
      <c r="Y52" s="771">
        <f t="shared" ca="1" si="15"/>
        <v>-282165.8589325865</v>
      </c>
      <c r="Z52" s="772"/>
      <c r="AA52" s="771">
        <f t="shared" ca="1" si="17"/>
        <v>1114677.3391099721</v>
      </c>
      <c r="AB52" s="261"/>
      <c r="AC52" s="251"/>
      <c r="AD52" s="261"/>
      <c r="AE52" s="251"/>
      <c r="AF52" s="251"/>
      <c r="AG52" s="223"/>
      <c r="AH52" s="262"/>
      <c r="AI52" s="262"/>
      <c r="AJ52" s="262"/>
      <c r="AK52" s="262"/>
      <c r="AL52" s="262"/>
      <c r="AM52" s="262"/>
      <c r="AN52" s="263"/>
      <c r="AO52" s="263"/>
      <c r="AP52" s="263"/>
      <c r="AQ52" s="263"/>
      <c r="AR52" s="239"/>
      <c r="AS52" s="234"/>
      <c r="AT52" s="234"/>
      <c r="AU52" s="211"/>
      <c r="AV52" s="211"/>
    </row>
    <row r="53" spans="2:147" s="235" customFormat="1" x14ac:dyDescent="0.2">
      <c r="B53" s="264">
        <f t="shared" si="16"/>
        <v>2056</v>
      </c>
      <c r="C53" s="763">
        <f t="shared" si="0"/>
        <v>1524535.8384352427</v>
      </c>
      <c r="D53" s="764">
        <f t="shared" si="1"/>
        <v>-98972.486341749158</v>
      </c>
      <c r="E53" s="764">
        <f t="shared" si="2"/>
        <v>-8235.2035936389293</v>
      </c>
      <c r="F53" s="764">
        <f t="shared" si="3"/>
        <v>-156965.00534037245</v>
      </c>
      <c r="G53" s="765">
        <f t="shared" si="4"/>
        <v>1260363.1431594822</v>
      </c>
      <c r="H53" s="773"/>
      <c r="I53" s="767"/>
      <c r="J53" s="763">
        <f t="shared" si="5"/>
        <v>0</v>
      </c>
      <c r="K53" s="764">
        <f t="shared" si="6"/>
        <v>0</v>
      </c>
      <c r="L53" s="764">
        <f t="shared" si="7"/>
        <v>0</v>
      </c>
      <c r="M53" s="764">
        <f t="shared" si="8"/>
        <v>9642.6086918270485</v>
      </c>
      <c r="N53" s="764">
        <f t="shared" si="9"/>
        <v>0</v>
      </c>
      <c r="O53" s="765">
        <f t="shared" si="10"/>
        <v>4.3655745685100555E-10</v>
      </c>
      <c r="P53" s="770"/>
      <c r="Q53" s="771">
        <f t="shared" si="11"/>
        <v>0</v>
      </c>
      <c r="R53" s="770"/>
      <c r="S53" s="771">
        <f t="shared" si="12"/>
        <v>0</v>
      </c>
      <c r="T53" s="773"/>
      <c r="U53" s="771">
        <f t="shared" si="13"/>
        <v>0</v>
      </c>
      <c r="V53" s="773"/>
      <c r="W53" s="771">
        <f t="shared" si="14"/>
        <v>1270005.7518513093</v>
      </c>
      <c r="X53" s="773"/>
      <c r="Y53" s="771">
        <f t="shared" ca="1" si="15"/>
        <v>-296560.79883380956</v>
      </c>
      <c r="Z53" s="772"/>
      <c r="AA53" s="771">
        <f t="shared" ca="1" si="17"/>
        <v>973444.95301749976</v>
      </c>
      <c r="AB53" s="261"/>
      <c r="AC53" s="251"/>
      <c r="AD53" s="261"/>
      <c r="AE53" s="251"/>
      <c r="AF53" s="251"/>
      <c r="AG53" s="223"/>
      <c r="AH53" s="262"/>
      <c r="AI53" s="262"/>
      <c r="AJ53" s="262"/>
      <c r="AK53" s="262"/>
      <c r="AL53" s="262"/>
      <c r="AM53" s="262"/>
      <c r="AN53" s="263"/>
      <c r="AO53" s="263"/>
      <c r="AP53" s="263"/>
      <c r="AQ53" s="263"/>
      <c r="AR53" s="239"/>
      <c r="AS53" s="234"/>
      <c r="AT53" s="234"/>
      <c r="AU53" s="211"/>
      <c r="AV53" s="211"/>
    </row>
    <row r="54" spans="2:147" s="235" customFormat="1" x14ac:dyDescent="0.2">
      <c r="B54" s="264">
        <f t="shared" si="16"/>
        <v>2057</v>
      </c>
      <c r="C54" s="763">
        <f t="shared" si="0"/>
        <v>1580645.9331800339</v>
      </c>
      <c r="D54" s="764">
        <f t="shared" si="1"/>
        <v>-102223.65601555163</v>
      </c>
      <c r="E54" s="764">
        <f t="shared" si="2"/>
        <v>-8538.9392552796307</v>
      </c>
      <c r="F54" s="764">
        <f t="shared" si="3"/>
        <v>0</v>
      </c>
      <c r="G54" s="765">
        <f t="shared" si="4"/>
        <v>1469883.3379092026</v>
      </c>
      <c r="H54" s="773"/>
      <c r="I54" s="767"/>
      <c r="J54" s="763">
        <f t="shared" si="5"/>
        <v>0</v>
      </c>
      <c r="K54" s="764">
        <f t="shared" si="6"/>
        <v>0</v>
      </c>
      <c r="L54" s="764">
        <f t="shared" si="7"/>
        <v>0</v>
      </c>
      <c r="M54" s="764">
        <f t="shared" si="8"/>
        <v>9736.9246790448087</v>
      </c>
      <c r="N54" s="764">
        <f t="shared" si="9"/>
        <v>0</v>
      </c>
      <c r="O54" s="765">
        <f t="shared" si="10"/>
        <v>4.3655745685100555E-10</v>
      </c>
      <c r="P54" s="770"/>
      <c r="Q54" s="771">
        <f t="shared" si="11"/>
        <v>0</v>
      </c>
      <c r="R54" s="770"/>
      <c r="S54" s="771">
        <f t="shared" si="12"/>
        <v>0</v>
      </c>
      <c r="T54" s="773"/>
      <c r="U54" s="771">
        <f t="shared" si="13"/>
        <v>0</v>
      </c>
      <c r="V54" s="773"/>
      <c r="W54" s="771">
        <f t="shared" si="14"/>
        <v>1479620.2625882474</v>
      </c>
      <c r="X54" s="773"/>
      <c r="Y54" s="771">
        <f t="shared" ca="1" si="15"/>
        <v>-307651.73911394196</v>
      </c>
      <c r="Z54" s="772"/>
      <c r="AA54" s="771">
        <f t="shared" ca="1" si="17"/>
        <v>1171968.5234743054</v>
      </c>
      <c r="AB54" s="261"/>
      <c r="AC54" s="251"/>
      <c r="AD54" s="261"/>
      <c r="AE54" s="251"/>
      <c r="AF54" s="251"/>
      <c r="AG54" s="223"/>
      <c r="AH54" s="262"/>
      <c r="AI54" s="262"/>
      <c r="AJ54" s="262"/>
      <c r="AK54" s="262"/>
      <c r="AL54" s="262"/>
      <c r="AM54" s="262"/>
      <c r="AN54" s="263"/>
      <c r="AO54" s="263"/>
      <c r="AP54" s="263"/>
      <c r="AQ54" s="263"/>
      <c r="AR54" s="239"/>
      <c r="AS54" s="234"/>
      <c r="AT54" s="234"/>
      <c r="AU54" s="211"/>
      <c r="AV54" s="211"/>
    </row>
    <row r="55" spans="2:147" s="235" customFormat="1" x14ac:dyDescent="0.2">
      <c r="B55" s="264">
        <f t="shared" si="16"/>
        <v>2058</v>
      </c>
      <c r="C55" s="763">
        <f t="shared" si="0"/>
        <v>1638991.5349116041</v>
      </c>
      <c r="D55" s="764">
        <f t="shared" si="1"/>
        <v>-105581.62410008973</v>
      </c>
      <c r="E55" s="764">
        <f t="shared" si="2"/>
        <v>-8852.8229607396916</v>
      </c>
      <c r="F55" s="764">
        <f t="shared" si="3"/>
        <v>0</v>
      </c>
      <c r="G55" s="765">
        <f t="shared" si="4"/>
        <v>1524557.0878507746</v>
      </c>
      <c r="H55" s="773"/>
      <c r="I55" s="767"/>
      <c r="J55" s="763">
        <f t="shared" si="5"/>
        <v>0</v>
      </c>
      <c r="K55" s="764">
        <f t="shared" si="6"/>
        <v>0</v>
      </c>
      <c r="L55" s="764">
        <f t="shared" si="7"/>
        <v>0</v>
      </c>
      <c r="M55" s="764">
        <f t="shared" si="8"/>
        <v>9624.1770197395927</v>
      </c>
      <c r="N55" s="764">
        <f t="shared" si="9"/>
        <v>0</v>
      </c>
      <c r="O55" s="765">
        <f t="shared" si="10"/>
        <v>4.3655745685100555E-10</v>
      </c>
      <c r="P55" s="770"/>
      <c r="Q55" s="771">
        <f t="shared" si="11"/>
        <v>0</v>
      </c>
      <c r="R55" s="770"/>
      <c r="S55" s="771">
        <f t="shared" si="12"/>
        <v>0</v>
      </c>
      <c r="T55" s="773"/>
      <c r="U55" s="771">
        <f t="shared" si="13"/>
        <v>0</v>
      </c>
      <c r="V55" s="773"/>
      <c r="W55" s="771">
        <f t="shared" si="14"/>
        <v>1534181.2648705142</v>
      </c>
      <c r="X55" s="773"/>
      <c r="Y55" s="771">
        <f t="shared" ca="1" si="15"/>
        <v>-319075.20595337643</v>
      </c>
      <c r="Z55" s="772"/>
      <c r="AA55" s="771">
        <f t="shared" ca="1" si="17"/>
        <v>1215106.0589171378</v>
      </c>
      <c r="AB55" s="261"/>
      <c r="AC55" s="251"/>
      <c r="AD55" s="261"/>
      <c r="AE55" s="251"/>
      <c r="AF55" s="251"/>
      <c r="AG55" s="223"/>
      <c r="AH55" s="262"/>
      <c r="AI55" s="262"/>
      <c r="AJ55" s="262"/>
      <c r="AK55" s="262"/>
      <c r="AL55" s="262"/>
      <c r="AM55" s="262"/>
      <c r="AN55" s="263"/>
      <c r="AO55" s="263"/>
      <c r="AP55" s="263"/>
      <c r="AQ55" s="263"/>
      <c r="AR55" s="239"/>
      <c r="AS55" s="234"/>
      <c r="AT55" s="234"/>
      <c r="AU55" s="211"/>
      <c r="AV55" s="211"/>
    </row>
    <row r="56" spans="2:147" s="235" customFormat="1" x14ac:dyDescent="0.2">
      <c r="B56" s="264">
        <f t="shared" si="16"/>
        <v>2059</v>
      </c>
      <c r="C56" s="763">
        <f t="shared" si="0"/>
        <v>1699161.8441716556</v>
      </c>
      <c r="D56" s="764">
        <f t="shared" si="1"/>
        <v>-109049.89884060444</v>
      </c>
      <c r="E56" s="764">
        <f t="shared" si="2"/>
        <v>-9177.9562579234662</v>
      </c>
      <c r="F56" s="764">
        <f t="shared" si="3"/>
        <v>0</v>
      </c>
      <c r="G56" s="765">
        <f t="shared" si="4"/>
        <v>1580933.9890731277</v>
      </c>
      <c r="H56" s="773"/>
      <c r="I56" s="767"/>
      <c r="J56" s="763">
        <f t="shared" si="5"/>
        <v>0</v>
      </c>
      <c r="K56" s="764">
        <f t="shared" si="6"/>
        <v>0</v>
      </c>
      <c r="L56" s="764">
        <f t="shared" si="7"/>
        <v>0</v>
      </c>
      <c r="M56" s="764">
        <f t="shared" si="8"/>
        <v>9434.8959840826774</v>
      </c>
      <c r="N56" s="764">
        <f t="shared" si="9"/>
        <v>0</v>
      </c>
      <c r="O56" s="765">
        <f t="shared" si="10"/>
        <v>4.3655745685100555E-10</v>
      </c>
      <c r="P56" s="770"/>
      <c r="Q56" s="771">
        <f t="shared" si="11"/>
        <v>0</v>
      </c>
      <c r="R56" s="770"/>
      <c r="S56" s="771">
        <f t="shared" si="12"/>
        <v>0</v>
      </c>
      <c r="T56" s="773"/>
      <c r="U56" s="771">
        <f t="shared" si="13"/>
        <v>0</v>
      </c>
      <c r="V56" s="773"/>
      <c r="W56" s="771">
        <f t="shared" si="14"/>
        <v>1590368.8850572105</v>
      </c>
      <c r="X56" s="773"/>
      <c r="Y56" s="771">
        <f t="shared" ca="1" si="15"/>
        <v>-330760.39684407483</v>
      </c>
      <c r="Z56" s="772"/>
      <c r="AA56" s="771">
        <f t="shared" ca="1" si="17"/>
        <v>1259608.4882131356</v>
      </c>
      <c r="AB56" s="261"/>
      <c r="AC56" s="251"/>
      <c r="AD56" s="261"/>
      <c r="AE56" s="251"/>
      <c r="AF56" s="251"/>
      <c r="AG56" s="223"/>
      <c r="AH56" s="262"/>
      <c r="AI56" s="262"/>
      <c r="AJ56" s="262"/>
      <c r="AK56" s="262"/>
      <c r="AL56" s="262"/>
      <c r="AM56" s="262"/>
      <c r="AN56" s="263"/>
      <c r="AO56" s="263"/>
      <c r="AP56" s="263"/>
      <c r="AQ56" s="263"/>
      <c r="AR56" s="239"/>
      <c r="AS56" s="234"/>
      <c r="AT56" s="234"/>
      <c r="AU56" s="211"/>
      <c r="AV56" s="211"/>
    </row>
    <row r="57" spans="2:147" s="235" customFormat="1" x14ac:dyDescent="0.2">
      <c r="B57" s="264">
        <f t="shared" si="16"/>
        <v>2060</v>
      </c>
      <c r="C57" s="763">
        <f t="shared" si="0"/>
        <v>1623778.3023709413</v>
      </c>
      <c r="D57" s="764">
        <f t="shared" si="1"/>
        <v>-112632.10372548105</v>
      </c>
      <c r="E57" s="764">
        <f t="shared" si="2"/>
        <v>-9511.3038617391248</v>
      </c>
      <c r="F57" s="764">
        <f t="shared" si="3"/>
        <v>0</v>
      </c>
      <c r="G57" s="765">
        <f t="shared" si="4"/>
        <v>1501634.8947837211</v>
      </c>
      <c r="H57" s="773"/>
      <c r="I57" s="767"/>
      <c r="J57" s="763">
        <f t="shared" si="5"/>
        <v>0</v>
      </c>
      <c r="K57" s="764">
        <f t="shared" si="6"/>
        <v>0</v>
      </c>
      <c r="L57" s="764">
        <f t="shared" si="7"/>
        <v>0</v>
      </c>
      <c r="M57" s="764">
        <f t="shared" si="8"/>
        <v>8508.7060004751474</v>
      </c>
      <c r="N57" s="764">
        <f t="shared" si="9"/>
        <v>0</v>
      </c>
      <c r="O57" s="765">
        <f t="shared" si="10"/>
        <v>4.3655745685100555E-10</v>
      </c>
      <c r="P57" s="770"/>
      <c r="Q57" s="771">
        <f t="shared" si="11"/>
        <v>0</v>
      </c>
      <c r="R57" s="770"/>
      <c r="S57" s="771">
        <f t="shared" si="12"/>
        <v>0</v>
      </c>
      <c r="T57" s="773"/>
      <c r="U57" s="771">
        <f t="shared" si="13"/>
        <v>0</v>
      </c>
      <c r="V57" s="773"/>
      <c r="W57" s="771">
        <f t="shared" si="14"/>
        <v>1510143.6007841963</v>
      </c>
      <c r="X57" s="773"/>
      <c r="Y57" s="771">
        <f t="shared" ca="1" si="15"/>
        <v>-313704.62886215287</v>
      </c>
      <c r="Z57" s="772"/>
      <c r="AA57" s="771">
        <f t="shared" ca="1" si="17"/>
        <v>1196438.9719220435</v>
      </c>
      <c r="AB57" s="261"/>
      <c r="AC57" s="251"/>
      <c r="AD57" s="261"/>
      <c r="AE57" s="251"/>
      <c r="AF57" s="251"/>
      <c r="AG57" s="223"/>
      <c r="AH57" s="262"/>
      <c r="AI57" s="262"/>
      <c r="AJ57" s="262"/>
      <c r="AK57" s="262"/>
      <c r="AL57" s="262"/>
      <c r="AM57" s="262"/>
      <c r="AN57" s="263"/>
      <c r="AO57" s="263"/>
      <c r="AP57" s="263"/>
      <c r="AQ57" s="263"/>
      <c r="AR57" s="239"/>
      <c r="AS57" s="234"/>
      <c r="AT57" s="234"/>
      <c r="AU57" s="211"/>
      <c r="AV57" s="211"/>
    </row>
    <row r="58" spans="2:147" s="235" customFormat="1" ht="13.5" thickBot="1" x14ac:dyDescent="0.25">
      <c r="B58" s="265">
        <f t="shared" si="16"/>
        <v>2061</v>
      </c>
      <c r="C58" s="763">
        <f t="shared" si="0"/>
        <v>406337.4745477839</v>
      </c>
      <c r="D58" s="764">
        <f t="shared" si="1"/>
        <v>-28684.598121837771</v>
      </c>
      <c r="E58" s="764">
        <f t="shared" si="2"/>
        <v>-2430.9088833519277</v>
      </c>
      <c r="F58" s="764">
        <f t="shared" si="3"/>
        <v>-97373.823001979952</v>
      </c>
      <c r="G58" s="765">
        <f t="shared" si="4"/>
        <v>277848.14454061422</v>
      </c>
      <c r="H58" s="773"/>
      <c r="I58" s="767"/>
      <c r="J58" s="763">
        <f t="shared" si="5"/>
        <v>0</v>
      </c>
      <c r="K58" s="764">
        <f t="shared" si="6"/>
        <v>0</v>
      </c>
      <c r="L58" s="764">
        <f t="shared" si="7"/>
        <v>0</v>
      </c>
      <c r="M58" s="764">
        <f t="shared" si="8"/>
        <v>1940.2901498285173</v>
      </c>
      <c r="N58" s="764">
        <f t="shared" si="9"/>
        <v>0</v>
      </c>
      <c r="O58" s="765">
        <f t="shared" si="10"/>
        <v>4.3655745685100555E-10</v>
      </c>
      <c r="P58" s="770"/>
      <c r="Q58" s="771">
        <f t="shared" si="11"/>
        <v>0</v>
      </c>
      <c r="R58" s="770"/>
      <c r="S58" s="771">
        <f t="shared" si="12"/>
        <v>0</v>
      </c>
      <c r="T58" s="773"/>
      <c r="U58" s="771">
        <f t="shared" si="13"/>
        <v>0</v>
      </c>
      <c r="V58" s="773"/>
      <c r="W58" s="771">
        <f t="shared" si="14"/>
        <v>279788.43469044275</v>
      </c>
      <c r="X58" s="773"/>
      <c r="Y58" s="771">
        <f t="shared" ca="1" si="15"/>
        <v>-24746.779744873613</v>
      </c>
      <c r="Z58" s="772"/>
      <c r="AA58" s="771">
        <f t="shared" ca="1" si="17"/>
        <v>255041.65494556914</v>
      </c>
      <c r="AB58" s="261"/>
      <c r="AC58" s="251"/>
      <c r="AD58" s="261"/>
      <c r="AE58" s="251"/>
      <c r="AF58" s="251"/>
      <c r="AG58" s="223"/>
      <c r="AH58" s="262"/>
      <c r="AI58" s="262"/>
      <c r="AJ58" s="262"/>
      <c r="AK58" s="262"/>
      <c r="AL58" s="262"/>
      <c r="AM58" s="262"/>
      <c r="AN58" s="263"/>
      <c r="AO58" s="263"/>
      <c r="AP58" s="263"/>
      <c r="AQ58" s="263"/>
      <c r="AR58" s="239"/>
      <c r="AS58" s="234"/>
      <c r="AT58" s="234"/>
      <c r="AU58" s="211"/>
      <c r="AV58" s="211"/>
    </row>
    <row r="59" spans="2:147" ht="13.5" thickBot="1" x14ac:dyDescent="0.25">
      <c r="B59" s="266"/>
      <c r="C59" s="774">
        <f>+SUM(C15:C58)</f>
        <v>31174222.054212246</v>
      </c>
      <c r="D59" s="774">
        <f>+SUM(D15:D58)</f>
        <v>-2366387.7601875118</v>
      </c>
      <c r="E59" s="774">
        <f>+SUM(E15:E58)</f>
        <v>-167120.29139333681</v>
      </c>
      <c r="F59" s="774">
        <f>+SUM(F15:F58)</f>
        <v>-653094.12988906272</v>
      </c>
      <c r="G59" s="774">
        <f>+SUM(G15:G58)</f>
        <v>27987619.872742329</v>
      </c>
      <c r="H59" s="775"/>
      <c r="I59" s="776"/>
      <c r="J59" s="774">
        <f>+SUM(J15:J58)</f>
        <v>-2328255.6277704006</v>
      </c>
      <c r="K59" s="774">
        <f>+SUM(K15:K58)</f>
        <v>-1248464.7640623425</v>
      </c>
      <c r="L59" s="774">
        <f>+SUM(L15:L58)</f>
        <v>-3576720.3918327424</v>
      </c>
      <c r="M59" s="774">
        <f>+SUM(M15:M58)</f>
        <v>246032.33600601187</v>
      </c>
      <c r="N59" s="774">
        <f>+SUM(N15:N58)</f>
        <v>54490.350951437344</v>
      </c>
      <c r="O59" s="777" t="s">
        <v>368</v>
      </c>
      <c r="P59" s="778"/>
      <c r="Q59" s="774">
        <f>+SUM(Q15:Q48)</f>
        <v>-26174.85946658122</v>
      </c>
      <c r="R59" s="778"/>
      <c r="S59" s="774">
        <f>+SUM(S15:S48)</f>
        <v>-162825.76667157147</v>
      </c>
      <c r="T59" s="775"/>
      <c r="U59" s="774">
        <f>+SUM(U15:U48)</f>
        <v>92381.34348000004</v>
      </c>
      <c r="W59" s="267" t="s">
        <v>368</v>
      </c>
      <c r="Y59" s="267" t="s">
        <v>368</v>
      </c>
      <c r="Z59" s="268"/>
      <c r="AA59" s="267" t="s">
        <v>368</v>
      </c>
      <c r="AB59" s="261"/>
      <c r="AC59" s="268"/>
      <c r="AD59" s="261"/>
      <c r="AE59" s="268"/>
      <c r="AF59" s="268"/>
      <c r="AG59" s="223"/>
      <c r="AH59" s="223"/>
      <c r="AI59" s="223"/>
      <c r="AJ59" s="223"/>
      <c r="AK59" s="261"/>
      <c r="AL59" s="261"/>
      <c r="AM59" s="223"/>
      <c r="AN59" s="223"/>
      <c r="AO59" s="223"/>
      <c r="AP59" s="223"/>
      <c r="AQ59" s="223"/>
      <c r="AR59" s="239"/>
      <c r="AS59" s="234"/>
      <c r="AT59" s="234"/>
    </row>
    <row r="60" spans="2:147" x14ac:dyDescent="0.2">
      <c r="B60" s="266"/>
      <c r="C60" s="269"/>
      <c r="D60" s="269"/>
      <c r="E60" s="269"/>
      <c r="F60" s="269"/>
      <c r="G60" s="269"/>
      <c r="H60" s="269"/>
      <c r="I60" s="269"/>
      <c r="J60" s="269"/>
      <c r="K60" s="269"/>
      <c r="L60" s="269"/>
      <c r="M60" s="269"/>
      <c r="N60" s="235"/>
      <c r="O60" s="235"/>
      <c r="P60" s="235"/>
      <c r="Q60" s="235"/>
      <c r="R60" s="211"/>
      <c r="S60" s="211"/>
      <c r="T60" s="211"/>
      <c r="U60" s="211"/>
      <c r="V60" s="211"/>
      <c r="W60" s="211"/>
      <c r="X60" s="211"/>
      <c r="Y60" s="211"/>
      <c r="Z60" s="211"/>
      <c r="AA60" s="211"/>
      <c r="AB60" s="211"/>
      <c r="AC60" s="211"/>
      <c r="AD60" s="211"/>
      <c r="AE60" s="211"/>
      <c r="AF60" s="211"/>
      <c r="AG60" s="211"/>
      <c r="AH60" s="211"/>
      <c r="AI60" s="269"/>
      <c r="AJ60" s="269"/>
      <c r="AK60" s="269"/>
      <c r="AL60" s="269"/>
      <c r="AM60" s="269"/>
      <c r="AN60" s="269"/>
      <c r="AO60" s="269"/>
      <c r="AP60" s="237"/>
      <c r="AQ60" s="238"/>
      <c r="AR60" s="239"/>
      <c r="AS60" s="234"/>
      <c r="AT60" s="234"/>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69"/>
      <c r="BZ60" s="269"/>
      <c r="CA60" s="269"/>
      <c r="CB60" s="269"/>
      <c r="CC60" s="269"/>
      <c r="CD60" s="269"/>
      <c r="CE60" s="269"/>
      <c r="CF60" s="269"/>
      <c r="CG60" s="269"/>
      <c r="CH60" s="269"/>
      <c r="CI60" s="269"/>
      <c r="CJ60" s="269"/>
      <c r="CK60" s="269"/>
      <c r="CL60" s="269"/>
      <c r="CM60" s="269"/>
      <c r="CN60" s="269"/>
      <c r="CO60" s="269"/>
      <c r="CP60" s="269"/>
      <c r="CQ60" s="269"/>
      <c r="CR60" s="269"/>
      <c r="CS60" s="269"/>
      <c r="CT60" s="269"/>
      <c r="CU60" s="269"/>
      <c r="CV60" s="269"/>
      <c r="CW60" s="269"/>
      <c r="CX60" s="269"/>
      <c r="CY60" s="269"/>
      <c r="CZ60" s="269"/>
      <c r="DA60" s="269"/>
      <c r="DB60" s="269"/>
      <c r="DC60" s="269"/>
      <c r="DD60" s="269"/>
      <c r="DE60" s="269"/>
      <c r="DF60" s="269"/>
      <c r="DG60" s="269"/>
      <c r="DH60" s="269"/>
      <c r="DI60" s="269"/>
      <c r="DJ60" s="269"/>
      <c r="DK60" s="269"/>
      <c r="DL60" s="269"/>
      <c r="DM60" s="269"/>
      <c r="DN60" s="269"/>
      <c r="DO60" s="269"/>
      <c r="DP60" s="269"/>
      <c r="DQ60" s="269"/>
      <c r="DR60" s="269"/>
      <c r="DS60" s="269"/>
      <c r="DT60" s="269"/>
      <c r="DU60" s="269"/>
      <c r="DV60" s="269"/>
      <c r="DW60" s="269"/>
      <c r="DX60" s="269"/>
      <c r="DY60" s="269"/>
      <c r="DZ60" s="269"/>
      <c r="EA60" s="269"/>
      <c r="EB60" s="269"/>
      <c r="EC60" s="269"/>
      <c r="ED60" s="269"/>
      <c r="EE60" s="269"/>
      <c r="EF60" s="269"/>
      <c r="EG60" s="269"/>
      <c r="EH60" s="269"/>
      <c r="EI60" s="269"/>
      <c r="EJ60" s="269"/>
      <c r="EK60" s="269"/>
      <c r="EL60" s="269"/>
      <c r="EM60" s="269"/>
      <c r="EN60" s="269"/>
      <c r="EO60" s="269"/>
      <c r="EP60" s="269"/>
      <c r="EQ60" s="269"/>
    </row>
    <row r="61" spans="2:147" x14ac:dyDescent="0.2">
      <c r="C61" s="270"/>
      <c r="E61" s="271"/>
      <c r="F61" s="272"/>
      <c r="G61" s="211"/>
      <c r="H61" s="211"/>
      <c r="I61" s="223"/>
      <c r="J61" s="211"/>
      <c r="K61" s="211"/>
      <c r="L61" s="211"/>
      <c r="M61" s="211"/>
      <c r="N61" s="211"/>
      <c r="O61" s="211"/>
      <c r="P61" s="235"/>
      <c r="Q61" s="235"/>
      <c r="R61" s="235"/>
      <c r="S61" s="211"/>
      <c r="T61" s="211"/>
      <c r="U61" s="211"/>
      <c r="V61" s="211"/>
      <c r="W61" s="211"/>
      <c r="X61" s="211"/>
      <c r="Y61" s="211"/>
      <c r="Z61" s="211"/>
      <c r="AA61" s="211"/>
      <c r="AB61" s="211"/>
      <c r="AC61" s="211"/>
      <c r="AD61" s="211"/>
      <c r="AE61" s="211"/>
      <c r="AF61" s="211"/>
      <c r="AG61" s="211"/>
      <c r="AH61" s="211"/>
      <c r="AI61" s="211"/>
      <c r="AJ61" s="211"/>
      <c r="AK61" s="211"/>
      <c r="AL61" s="211"/>
      <c r="AM61" s="211"/>
      <c r="AQ61" s="238"/>
      <c r="AR61" s="239"/>
      <c r="AS61" s="234"/>
      <c r="AT61" s="234"/>
    </row>
    <row r="62" spans="2:147" x14ac:dyDescent="0.2">
      <c r="B62" s="273"/>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23"/>
      <c r="AI62" s="223"/>
      <c r="AJ62" s="223"/>
      <c r="AK62" s="223"/>
      <c r="AL62" s="223"/>
      <c r="AM62" s="223"/>
      <c r="AN62" s="235"/>
      <c r="AQ62" s="238"/>
      <c r="AR62" s="239"/>
      <c r="AS62" s="234"/>
      <c r="AT62" s="234"/>
    </row>
    <row r="63" spans="2:147" ht="9.75" customHeight="1" x14ac:dyDescent="0.2">
      <c r="B63" s="223"/>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23"/>
      <c r="AI63" s="223"/>
      <c r="AJ63" s="274"/>
      <c r="AK63" s="274"/>
      <c r="AL63" s="274"/>
      <c r="AM63" s="274"/>
      <c r="AN63" s="275"/>
      <c r="AQ63" s="238"/>
      <c r="AR63" s="239"/>
      <c r="AS63" s="234"/>
      <c r="AT63" s="234"/>
    </row>
    <row r="64" spans="2:147" ht="24.75" customHeight="1" x14ac:dyDescent="0.2">
      <c r="B64" s="240"/>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23"/>
      <c r="AI64" s="223"/>
      <c r="AJ64" s="223"/>
      <c r="AK64" s="223"/>
      <c r="AL64" s="223"/>
      <c r="AM64" s="223"/>
      <c r="AN64" s="223"/>
      <c r="AQ64" s="238"/>
      <c r="AR64" s="239"/>
      <c r="AS64" s="234"/>
      <c r="AT64" s="234"/>
    </row>
    <row r="65" spans="2:46" ht="9.75" customHeight="1" x14ac:dyDescent="0.2">
      <c r="B65" s="223"/>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23"/>
      <c r="AI65" s="223"/>
      <c r="AJ65" s="274"/>
      <c r="AK65" s="274"/>
      <c r="AL65" s="274"/>
      <c r="AM65" s="274"/>
      <c r="AN65" s="275"/>
      <c r="AQ65" s="238"/>
      <c r="AR65" s="239"/>
      <c r="AS65" s="234"/>
      <c r="AT65" s="234"/>
    </row>
    <row r="66" spans="2:46" ht="24.75" customHeight="1" x14ac:dyDescent="0.2">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23"/>
      <c r="AI66" s="223"/>
      <c r="AJ66" s="214"/>
      <c r="AK66" s="214"/>
      <c r="AL66" s="214"/>
      <c r="AM66" s="214"/>
      <c r="AN66" s="223"/>
      <c r="AQ66" s="238"/>
      <c r="AR66" s="239"/>
      <c r="AS66" s="234"/>
      <c r="AT66" s="234"/>
    </row>
    <row r="67" spans="2:46" ht="24.75" customHeight="1" x14ac:dyDescent="0.2">
      <c r="B67" s="276"/>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23"/>
      <c r="AI67" s="223"/>
      <c r="AJ67" s="277"/>
      <c r="AK67" s="223"/>
      <c r="AL67" s="223"/>
      <c r="AM67" s="277"/>
      <c r="AN67" s="223"/>
      <c r="AQ67" s="238"/>
      <c r="AR67" s="239"/>
      <c r="AS67" s="234"/>
      <c r="AT67" s="234"/>
    </row>
    <row r="68" spans="2:46" ht="24.75" customHeight="1" x14ac:dyDescent="0.2">
      <c r="B68" s="276"/>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23"/>
      <c r="AI68" s="223"/>
      <c r="AJ68" s="277"/>
      <c r="AK68" s="223"/>
      <c r="AL68" s="223"/>
      <c r="AM68" s="277"/>
      <c r="AN68" s="223"/>
      <c r="AQ68" s="238"/>
      <c r="AR68" s="239"/>
      <c r="AS68" s="234"/>
      <c r="AT68" s="234"/>
    </row>
    <row r="69" spans="2:46" ht="24.75" customHeight="1" x14ac:dyDescent="0.2">
      <c r="B69" s="276"/>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23"/>
      <c r="AI69" s="223"/>
      <c r="AJ69" s="277"/>
      <c r="AK69" s="223"/>
      <c r="AL69" s="223"/>
      <c r="AM69" s="277"/>
      <c r="AN69" s="278"/>
      <c r="AQ69" s="238"/>
      <c r="AR69" s="239"/>
      <c r="AS69" s="234"/>
      <c r="AT69" s="234"/>
    </row>
    <row r="70" spans="2:46" ht="24.75" customHeight="1" x14ac:dyDescent="0.2">
      <c r="B70" s="276"/>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23"/>
      <c r="AI70" s="223"/>
      <c r="AJ70" s="223"/>
      <c r="AK70" s="223"/>
      <c r="AL70" s="223"/>
      <c r="AM70" s="223"/>
      <c r="AN70" s="235"/>
      <c r="AQ70" s="238"/>
      <c r="AR70" s="239"/>
      <c r="AS70" s="234"/>
      <c r="AT70" s="234"/>
    </row>
    <row r="71" spans="2:46" ht="24.75" customHeight="1" x14ac:dyDescent="0.2">
      <c r="B71" s="276"/>
      <c r="E71" s="233"/>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23"/>
      <c r="AI71" s="223"/>
      <c r="AJ71" s="274"/>
      <c r="AK71" s="274"/>
      <c r="AL71" s="274"/>
      <c r="AM71" s="274"/>
      <c r="AN71" s="279"/>
      <c r="AQ71" s="238"/>
      <c r="AR71" s="239"/>
      <c r="AS71" s="234"/>
      <c r="AT71" s="234"/>
    </row>
    <row r="72" spans="2:46" ht="24.75" customHeight="1" x14ac:dyDescent="0.2">
      <c r="B72" s="276"/>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23"/>
      <c r="AI72" s="223"/>
      <c r="AJ72" s="223"/>
      <c r="AK72" s="223"/>
      <c r="AL72" s="223"/>
      <c r="AM72" s="223"/>
      <c r="AN72" s="223"/>
      <c r="AQ72" s="238"/>
      <c r="AR72" s="239"/>
      <c r="AS72" s="234"/>
      <c r="AT72" s="234"/>
    </row>
    <row r="73" spans="2:46" ht="21.75" customHeight="1" x14ac:dyDescent="0.2">
      <c r="B73" s="276"/>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23"/>
      <c r="AI73" s="223"/>
      <c r="AJ73" s="280"/>
      <c r="AK73" s="281"/>
      <c r="AL73" s="282"/>
      <c r="AM73" s="282"/>
      <c r="AN73" s="223"/>
      <c r="AQ73" s="238"/>
      <c r="AR73" s="239"/>
      <c r="AS73" s="234"/>
      <c r="AT73" s="234"/>
    </row>
    <row r="74" spans="2:46" x14ac:dyDescent="0.2">
      <c r="B74" s="276"/>
      <c r="C74" s="283"/>
      <c r="D74" s="283"/>
      <c r="E74" s="283"/>
      <c r="F74" s="283"/>
      <c r="G74" s="283"/>
      <c r="H74" s="283"/>
      <c r="I74" s="223"/>
      <c r="J74" s="223"/>
      <c r="K74" s="223"/>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23"/>
      <c r="AI74" s="223"/>
      <c r="AJ74" s="223"/>
      <c r="AK74" s="234"/>
      <c r="AL74" s="223"/>
      <c r="AM74" s="223"/>
      <c r="AN74" s="223"/>
      <c r="AQ74" s="238"/>
      <c r="AR74" s="239"/>
      <c r="AS74" s="234"/>
      <c r="AT74" s="234"/>
    </row>
    <row r="75" spans="2:46" x14ac:dyDescent="0.2">
      <c r="B75" s="276"/>
      <c r="C75" s="283"/>
      <c r="D75" s="283"/>
      <c r="E75" s="283"/>
      <c r="F75" s="283"/>
      <c r="G75" s="283"/>
      <c r="H75" s="283"/>
      <c r="I75" s="223"/>
      <c r="J75" s="223"/>
      <c r="K75" s="223"/>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23"/>
      <c r="AI75" s="223"/>
      <c r="AJ75" s="223"/>
      <c r="AK75" s="223"/>
      <c r="AL75" s="223"/>
      <c r="AM75" s="234"/>
      <c r="AN75" s="234"/>
      <c r="AQ75" s="238"/>
      <c r="AR75" s="239"/>
      <c r="AS75" s="234"/>
      <c r="AT75" s="234"/>
    </row>
    <row r="76" spans="2:46" x14ac:dyDescent="0.2">
      <c r="B76" s="276"/>
      <c r="C76" s="283"/>
      <c r="D76" s="283"/>
      <c r="E76" s="283"/>
      <c r="F76" s="283"/>
      <c r="G76" s="283"/>
      <c r="H76" s="283"/>
      <c r="I76" s="223"/>
      <c r="J76" s="223"/>
      <c r="K76" s="223"/>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23"/>
      <c r="AI76" s="223"/>
      <c r="AJ76" s="223"/>
      <c r="AK76" s="223"/>
      <c r="AL76" s="223"/>
      <c r="AM76" s="234"/>
      <c r="AN76" s="223"/>
      <c r="AQ76" s="238"/>
      <c r="AR76" s="239"/>
      <c r="AS76" s="234"/>
      <c r="AT76" s="234"/>
    </row>
    <row r="77" spans="2:46" x14ac:dyDescent="0.2">
      <c r="B77" s="276"/>
      <c r="C77" s="283"/>
      <c r="D77" s="283"/>
      <c r="E77" s="283"/>
      <c r="F77" s="283"/>
      <c r="G77" s="283"/>
      <c r="H77" s="283"/>
      <c r="I77" s="223"/>
      <c r="J77" s="223"/>
      <c r="K77" s="223"/>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23"/>
      <c r="AI77" s="223"/>
      <c r="AJ77" s="223"/>
      <c r="AK77" s="223"/>
      <c r="AL77" s="223"/>
      <c r="AM77" s="234"/>
      <c r="AN77" s="279"/>
      <c r="AQ77" s="238"/>
      <c r="AR77" s="239"/>
      <c r="AS77" s="234"/>
      <c r="AT77" s="234"/>
    </row>
    <row r="78" spans="2:46" x14ac:dyDescent="0.2">
      <c r="B78" s="276"/>
      <c r="C78" s="283"/>
      <c r="D78" s="283"/>
      <c r="E78" s="283"/>
      <c r="F78" s="283"/>
      <c r="G78" s="283"/>
      <c r="H78" s="283"/>
      <c r="I78" s="223"/>
      <c r="J78" s="223"/>
      <c r="K78" s="223"/>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23"/>
      <c r="AI78" s="223"/>
      <c r="AJ78" s="223"/>
      <c r="AK78" s="223"/>
      <c r="AL78" s="223"/>
      <c r="AM78" s="234"/>
      <c r="AN78" s="223"/>
      <c r="AQ78" s="238"/>
      <c r="AR78" s="239"/>
      <c r="AS78" s="234"/>
      <c r="AT78" s="234"/>
    </row>
    <row r="79" spans="2:46" x14ac:dyDescent="0.2">
      <c r="B79" s="276"/>
      <c r="C79" s="283"/>
      <c r="D79" s="283"/>
      <c r="E79" s="283"/>
      <c r="F79" s="283"/>
      <c r="G79" s="283"/>
      <c r="H79" s="283"/>
      <c r="I79" s="223"/>
      <c r="J79" s="223"/>
      <c r="K79" s="223"/>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23"/>
      <c r="AI79" s="223"/>
      <c r="AJ79" s="223"/>
      <c r="AK79" s="223"/>
      <c r="AL79" s="223"/>
      <c r="AM79" s="234"/>
      <c r="AN79" s="223"/>
      <c r="AQ79" s="238"/>
      <c r="AR79" s="239"/>
      <c r="AS79" s="234"/>
      <c r="AT79" s="234"/>
    </row>
    <row r="80" spans="2:46" x14ac:dyDescent="0.2">
      <c r="B80" s="276"/>
      <c r="C80" s="283"/>
      <c r="D80" s="283"/>
      <c r="E80" s="283"/>
      <c r="F80" s="283"/>
      <c r="G80" s="283"/>
      <c r="H80" s="283"/>
      <c r="I80" s="223"/>
      <c r="J80" s="223"/>
      <c r="K80" s="223"/>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23"/>
      <c r="AI80" s="223"/>
      <c r="AJ80" s="223"/>
      <c r="AK80" s="223"/>
      <c r="AL80" s="223"/>
      <c r="AM80" s="234"/>
      <c r="AN80" s="223"/>
      <c r="AQ80" s="238"/>
      <c r="AR80" s="239"/>
      <c r="AS80" s="234"/>
      <c r="AT80" s="234"/>
    </row>
    <row r="81" spans="2:46" x14ac:dyDescent="0.2">
      <c r="B81" s="276"/>
      <c r="C81" s="283"/>
      <c r="D81" s="283"/>
      <c r="E81" s="283"/>
      <c r="F81" s="283"/>
      <c r="G81" s="283"/>
      <c r="H81" s="283"/>
      <c r="I81" s="223"/>
      <c r="J81" s="223"/>
      <c r="K81" s="223"/>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23"/>
      <c r="AI81" s="223"/>
      <c r="AJ81" s="223"/>
      <c r="AK81" s="223"/>
      <c r="AL81" s="223"/>
      <c r="AM81" s="234"/>
      <c r="AN81" s="234"/>
      <c r="AQ81" s="238"/>
      <c r="AR81" s="239"/>
      <c r="AS81" s="234"/>
      <c r="AT81" s="234"/>
    </row>
    <row r="82" spans="2:46" x14ac:dyDescent="0.2">
      <c r="B82" s="276"/>
      <c r="C82" s="283"/>
      <c r="D82" s="283"/>
      <c r="E82" s="283"/>
      <c r="F82" s="283"/>
      <c r="G82" s="283"/>
      <c r="H82" s="283"/>
      <c r="I82" s="223"/>
      <c r="J82" s="223"/>
      <c r="K82" s="223"/>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23"/>
      <c r="AI82" s="223"/>
      <c r="AJ82" s="223"/>
      <c r="AK82" s="223"/>
      <c r="AL82" s="223"/>
      <c r="AM82" s="234"/>
      <c r="AN82" s="223"/>
      <c r="AQ82" s="238"/>
      <c r="AR82" s="239"/>
      <c r="AS82" s="234"/>
      <c r="AT82" s="234"/>
    </row>
    <row r="83" spans="2:46" x14ac:dyDescent="0.2">
      <c r="B83" s="276"/>
      <c r="C83" s="283"/>
      <c r="D83" s="283"/>
      <c r="E83" s="283"/>
      <c r="F83" s="283"/>
      <c r="G83" s="283"/>
      <c r="H83" s="283"/>
      <c r="I83" s="223"/>
      <c r="J83" s="223"/>
      <c r="K83" s="223"/>
      <c r="L83" s="211"/>
      <c r="M83" s="211"/>
      <c r="N83" s="211"/>
      <c r="O83" s="211"/>
      <c r="P83" s="211"/>
      <c r="Q83" s="211"/>
      <c r="R83" s="284"/>
      <c r="S83" s="211"/>
      <c r="T83" s="211"/>
      <c r="U83" s="211"/>
      <c r="V83" s="211"/>
      <c r="W83" s="211"/>
      <c r="X83" s="211"/>
      <c r="Y83" s="211"/>
      <c r="Z83" s="211"/>
      <c r="AA83" s="211"/>
      <c r="AB83" s="211"/>
      <c r="AC83" s="211"/>
      <c r="AD83" s="211"/>
      <c r="AE83" s="211"/>
      <c r="AF83" s="211"/>
      <c r="AG83" s="211"/>
      <c r="AH83" s="223"/>
      <c r="AI83" s="223"/>
      <c r="AJ83" s="223"/>
      <c r="AK83" s="223"/>
      <c r="AL83" s="223"/>
      <c r="AM83" s="234"/>
      <c r="AN83" s="223"/>
      <c r="AQ83" s="238"/>
      <c r="AR83" s="239"/>
      <c r="AS83" s="234"/>
      <c r="AT83" s="234"/>
    </row>
    <row r="84" spans="2:46" x14ac:dyDescent="0.2">
      <c r="B84" s="276"/>
      <c r="C84" s="283"/>
      <c r="D84" s="283"/>
      <c r="E84" s="283"/>
      <c r="F84" s="283"/>
      <c r="G84" s="283"/>
      <c r="H84" s="283"/>
      <c r="I84" s="223"/>
      <c r="J84" s="223"/>
      <c r="K84" s="223"/>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23"/>
      <c r="AI84" s="223"/>
      <c r="AJ84" s="223"/>
      <c r="AK84" s="223"/>
      <c r="AL84" s="223"/>
      <c r="AM84" s="234"/>
      <c r="AN84" s="223"/>
      <c r="AQ84" s="238"/>
      <c r="AR84" s="239"/>
      <c r="AS84" s="234"/>
      <c r="AT84" s="234"/>
    </row>
    <row r="85" spans="2:46" x14ac:dyDescent="0.2">
      <c r="B85" s="276"/>
      <c r="C85" s="283"/>
      <c r="D85" s="283"/>
      <c r="E85" s="283"/>
      <c r="F85" s="283"/>
      <c r="G85" s="283"/>
      <c r="H85" s="283"/>
      <c r="I85" s="223"/>
      <c r="J85" s="223"/>
      <c r="K85" s="223"/>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23"/>
      <c r="AI85" s="223"/>
      <c r="AJ85" s="223"/>
      <c r="AK85" s="223"/>
      <c r="AL85" s="223"/>
      <c r="AM85" s="234"/>
      <c r="AN85" s="223"/>
      <c r="AQ85" s="238"/>
      <c r="AR85" s="239"/>
      <c r="AS85" s="234"/>
      <c r="AT85" s="234"/>
    </row>
    <row r="86" spans="2:46" x14ac:dyDescent="0.2">
      <c r="B86" s="276"/>
      <c r="C86" s="283"/>
      <c r="D86" s="283"/>
      <c r="E86" s="283"/>
      <c r="F86" s="283"/>
      <c r="G86" s="283"/>
      <c r="H86" s="283"/>
      <c r="I86" s="223"/>
      <c r="J86" s="223"/>
      <c r="K86" s="223"/>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23"/>
      <c r="AI86" s="223"/>
      <c r="AJ86" s="223"/>
      <c r="AK86" s="223"/>
      <c r="AL86" s="223"/>
      <c r="AM86" s="234"/>
      <c r="AN86" s="223"/>
      <c r="AQ86" s="238"/>
      <c r="AR86" s="239"/>
      <c r="AS86" s="234"/>
      <c r="AT86" s="234"/>
    </row>
    <row r="87" spans="2:46" x14ac:dyDescent="0.2">
      <c r="B87" s="276"/>
      <c r="C87" s="283"/>
      <c r="D87" s="283"/>
      <c r="E87" s="283"/>
      <c r="F87" s="283"/>
      <c r="G87" s="283"/>
      <c r="H87" s="283"/>
      <c r="I87" s="223"/>
      <c r="J87" s="223"/>
      <c r="K87" s="223"/>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23"/>
      <c r="AI87" s="223"/>
      <c r="AJ87" s="223"/>
      <c r="AK87" s="223"/>
      <c r="AL87" s="223"/>
      <c r="AM87" s="234"/>
      <c r="AN87" s="223"/>
      <c r="AQ87" s="238"/>
      <c r="AR87" s="239"/>
      <c r="AS87" s="234"/>
      <c r="AT87" s="234"/>
    </row>
    <row r="88" spans="2:46" x14ac:dyDescent="0.2">
      <c r="B88" s="276"/>
      <c r="C88" s="283"/>
      <c r="D88" s="283"/>
      <c r="E88" s="283"/>
      <c r="F88" s="283"/>
      <c r="G88" s="283"/>
      <c r="H88" s="283"/>
      <c r="I88" s="223"/>
      <c r="J88" s="223"/>
      <c r="K88" s="223"/>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23"/>
      <c r="AI88" s="223"/>
      <c r="AJ88" s="223"/>
      <c r="AK88" s="223"/>
      <c r="AL88" s="223"/>
      <c r="AM88" s="234"/>
      <c r="AN88" s="223"/>
      <c r="AQ88" s="238"/>
      <c r="AR88" s="239"/>
      <c r="AS88" s="234"/>
      <c r="AT88" s="234"/>
    </row>
    <row r="89" spans="2:46" x14ac:dyDescent="0.2">
      <c r="B89" s="276"/>
      <c r="C89" s="283"/>
      <c r="D89" s="283"/>
      <c r="E89" s="283"/>
      <c r="F89" s="283"/>
      <c r="G89" s="283"/>
      <c r="H89" s="283"/>
      <c r="I89" s="223"/>
      <c r="J89" s="223"/>
      <c r="K89" s="223"/>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23"/>
      <c r="AI89" s="223"/>
      <c r="AJ89" s="223"/>
      <c r="AK89" s="223"/>
      <c r="AL89" s="223"/>
      <c r="AM89" s="234"/>
      <c r="AN89" s="223"/>
      <c r="AQ89" s="238"/>
      <c r="AR89" s="239"/>
      <c r="AS89" s="234"/>
      <c r="AT89" s="234"/>
    </row>
    <row r="90" spans="2:46" x14ac:dyDescent="0.2">
      <c r="B90" s="276"/>
      <c r="C90" s="283"/>
      <c r="D90" s="283"/>
      <c r="E90" s="283"/>
      <c r="F90" s="283"/>
      <c r="G90" s="283"/>
      <c r="H90" s="283"/>
      <c r="I90" s="223"/>
      <c r="J90" s="223"/>
      <c r="K90" s="223"/>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23"/>
      <c r="AI90" s="223"/>
      <c r="AJ90" s="223"/>
      <c r="AK90" s="223"/>
      <c r="AL90" s="223"/>
      <c r="AM90" s="234"/>
      <c r="AN90" s="223"/>
      <c r="AQ90" s="238"/>
      <c r="AR90" s="239"/>
      <c r="AS90" s="234"/>
      <c r="AT90" s="234"/>
    </row>
    <row r="91" spans="2:46" x14ac:dyDescent="0.2">
      <c r="B91" s="276"/>
      <c r="C91" s="283"/>
      <c r="D91" s="283"/>
      <c r="E91" s="283"/>
      <c r="F91" s="283"/>
      <c r="G91" s="283"/>
      <c r="H91" s="283"/>
      <c r="I91" s="223"/>
      <c r="J91" s="223"/>
      <c r="K91" s="223"/>
      <c r="L91" s="211"/>
      <c r="M91" s="211"/>
      <c r="N91" s="211"/>
      <c r="O91" s="211"/>
      <c r="P91" s="211"/>
      <c r="Q91" s="211"/>
      <c r="R91" s="211"/>
      <c r="S91" s="211" t="s">
        <v>370</v>
      </c>
      <c r="T91" s="211"/>
      <c r="U91" s="211"/>
      <c r="V91" s="211"/>
      <c r="W91" s="211"/>
      <c r="X91" s="211"/>
      <c r="Y91" s="211"/>
      <c r="Z91" s="211"/>
      <c r="AA91" s="211"/>
      <c r="AB91" s="211"/>
      <c r="AC91" s="211"/>
      <c r="AD91" s="211"/>
      <c r="AE91" s="211"/>
      <c r="AF91" s="211"/>
      <c r="AG91" s="211"/>
      <c r="AH91" s="223"/>
      <c r="AI91" s="223"/>
      <c r="AJ91" s="223"/>
      <c r="AK91" s="223"/>
      <c r="AL91" s="223"/>
      <c r="AM91" s="234"/>
      <c r="AN91" s="223"/>
      <c r="AQ91" s="238"/>
      <c r="AR91" s="239"/>
      <c r="AS91" s="234"/>
      <c r="AT91" s="234"/>
    </row>
    <row r="92" spans="2:46" x14ac:dyDescent="0.2">
      <c r="B92" s="276"/>
      <c r="C92" s="283"/>
      <c r="D92" s="283"/>
      <c r="E92" s="283"/>
      <c r="F92" s="283"/>
      <c r="G92" s="283"/>
      <c r="H92" s="283"/>
      <c r="I92" s="223"/>
      <c r="J92" s="223"/>
      <c r="K92" s="223"/>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23"/>
      <c r="AI92" s="223"/>
      <c r="AJ92" s="223"/>
      <c r="AK92" s="223"/>
      <c r="AL92" s="223"/>
      <c r="AM92" s="234"/>
      <c r="AN92" s="223"/>
      <c r="AQ92" s="238"/>
      <c r="AR92" s="239"/>
      <c r="AS92" s="234"/>
      <c r="AT92" s="234"/>
    </row>
    <row r="93" spans="2:46" x14ac:dyDescent="0.2">
      <c r="B93" s="276"/>
      <c r="C93" s="283"/>
      <c r="D93" s="283"/>
      <c r="E93" s="283"/>
      <c r="F93" s="283"/>
      <c r="G93" s="283"/>
      <c r="H93" s="283"/>
      <c r="I93" s="223"/>
      <c r="J93" s="223"/>
      <c r="K93" s="223"/>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23"/>
      <c r="AI93" s="223"/>
      <c r="AJ93" s="223"/>
      <c r="AK93" s="223"/>
      <c r="AL93" s="223"/>
      <c r="AM93" s="234"/>
      <c r="AN93" s="223"/>
      <c r="AQ93" s="238"/>
      <c r="AR93" s="239"/>
      <c r="AS93" s="234"/>
      <c r="AT93" s="234"/>
    </row>
    <row r="94" spans="2:46" x14ac:dyDescent="0.2">
      <c r="B94" s="276"/>
      <c r="C94" s="283"/>
      <c r="D94" s="283"/>
      <c r="E94" s="283"/>
      <c r="F94" s="283"/>
      <c r="G94" s="283"/>
      <c r="H94" s="283"/>
      <c r="I94" s="223"/>
      <c r="J94" s="223"/>
      <c r="K94" s="223"/>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23"/>
      <c r="AI94" s="223"/>
      <c r="AJ94" s="223"/>
      <c r="AK94" s="223"/>
      <c r="AL94" s="223"/>
      <c r="AM94" s="234"/>
      <c r="AN94" s="223"/>
      <c r="AQ94" s="238"/>
      <c r="AR94" s="239"/>
      <c r="AS94" s="234"/>
      <c r="AT94" s="234"/>
    </row>
    <row r="95" spans="2:46" x14ac:dyDescent="0.2">
      <c r="B95" s="276"/>
      <c r="C95" s="283"/>
      <c r="D95" s="283"/>
      <c r="E95" s="283"/>
      <c r="F95" s="283"/>
      <c r="G95" s="283"/>
      <c r="H95" s="283"/>
      <c r="I95" s="223"/>
      <c r="J95" s="223"/>
      <c r="K95" s="223"/>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23"/>
      <c r="AI95" s="223"/>
      <c r="AJ95" s="223"/>
      <c r="AK95" s="223"/>
      <c r="AL95" s="223"/>
      <c r="AM95" s="234"/>
      <c r="AN95" s="223"/>
      <c r="AQ95" s="238"/>
      <c r="AR95" s="239"/>
      <c r="AS95" s="234"/>
      <c r="AT95" s="234"/>
    </row>
    <row r="96" spans="2:46" x14ac:dyDescent="0.2">
      <c r="B96" s="276"/>
      <c r="C96" s="283"/>
      <c r="D96" s="283"/>
      <c r="E96" s="283"/>
      <c r="F96" s="283"/>
      <c r="G96" s="283"/>
      <c r="H96" s="283"/>
      <c r="I96" s="223"/>
      <c r="J96" s="223"/>
      <c r="K96" s="223"/>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23"/>
      <c r="AI96" s="223"/>
      <c r="AJ96" s="223"/>
      <c r="AK96" s="223"/>
      <c r="AL96" s="223"/>
      <c r="AM96" s="234"/>
      <c r="AN96" s="223"/>
      <c r="AQ96" s="238"/>
      <c r="AR96" s="239"/>
      <c r="AS96" s="234"/>
      <c r="AT96" s="234"/>
    </row>
    <row r="97" spans="2:65" x14ac:dyDescent="0.2">
      <c r="B97" s="276"/>
      <c r="C97" s="283"/>
      <c r="D97" s="283"/>
      <c r="E97" s="283"/>
      <c r="F97" s="283"/>
      <c r="G97" s="283"/>
      <c r="H97" s="283"/>
      <c r="I97" s="223"/>
      <c r="J97" s="223"/>
      <c r="K97" s="223"/>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23"/>
      <c r="AI97" s="223"/>
      <c r="AJ97" s="223"/>
      <c r="AK97" s="223"/>
      <c r="AL97" s="223"/>
      <c r="AM97" s="234"/>
      <c r="AN97" s="223"/>
      <c r="AQ97" s="238"/>
      <c r="AR97" s="239"/>
      <c r="AS97" s="234"/>
      <c r="AT97" s="234"/>
    </row>
    <row r="98" spans="2:65" x14ac:dyDescent="0.2">
      <c r="B98" s="276"/>
      <c r="C98" s="283"/>
      <c r="D98" s="283"/>
      <c r="E98" s="283"/>
      <c r="F98" s="283"/>
      <c r="G98" s="283"/>
      <c r="H98" s="283"/>
      <c r="I98" s="223"/>
      <c r="J98" s="223"/>
      <c r="K98" s="223"/>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23"/>
      <c r="AI98" s="223"/>
      <c r="AJ98" s="223"/>
      <c r="AK98" s="223"/>
      <c r="AL98" s="223"/>
      <c r="AM98" s="234"/>
      <c r="AN98" s="223"/>
      <c r="AQ98" s="238"/>
      <c r="AR98" s="239"/>
      <c r="AS98" s="234"/>
      <c r="AT98" s="234"/>
    </row>
    <row r="99" spans="2:65" x14ac:dyDescent="0.2">
      <c r="B99" s="276"/>
      <c r="C99" s="283"/>
      <c r="D99" s="283"/>
      <c r="E99" s="283"/>
      <c r="F99" s="283"/>
      <c r="G99" s="283"/>
      <c r="H99" s="283"/>
      <c r="I99" s="223"/>
      <c r="J99" s="223"/>
      <c r="K99" s="223"/>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23"/>
      <c r="AI99" s="223"/>
      <c r="AJ99" s="223"/>
      <c r="AK99" s="223"/>
      <c r="AL99" s="223"/>
      <c r="AM99" s="234"/>
      <c r="AN99" s="223"/>
      <c r="AQ99" s="238"/>
      <c r="AR99" s="239"/>
      <c r="AS99" s="234"/>
      <c r="AT99" s="234"/>
    </row>
    <row r="100" spans="2:65" x14ac:dyDescent="0.2">
      <c r="B100" s="276"/>
      <c r="C100" s="283"/>
      <c r="D100" s="283"/>
      <c r="E100" s="283"/>
      <c r="F100" s="283"/>
      <c r="G100" s="283"/>
      <c r="H100" s="283"/>
      <c r="I100" s="223"/>
      <c r="J100" s="223"/>
      <c r="K100" s="223"/>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23"/>
      <c r="AI100" s="223"/>
      <c r="AJ100" s="223"/>
      <c r="AK100" s="223"/>
      <c r="AL100" s="223"/>
      <c r="AM100" s="234"/>
      <c r="AN100" s="223"/>
      <c r="AQ100" s="238"/>
      <c r="AR100" s="239"/>
      <c r="AS100" s="234"/>
      <c r="AT100" s="234"/>
    </row>
    <row r="101" spans="2:65" x14ac:dyDescent="0.2">
      <c r="B101" s="276"/>
      <c r="C101" s="283"/>
      <c r="D101" s="283"/>
      <c r="E101" s="283"/>
      <c r="F101" s="283"/>
      <c r="G101" s="283"/>
      <c r="H101" s="283"/>
      <c r="I101" s="223"/>
      <c r="J101" s="223"/>
      <c r="K101" s="223"/>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23"/>
      <c r="AI101" s="223"/>
      <c r="AJ101" s="223"/>
      <c r="AK101" s="223"/>
      <c r="AL101" s="223"/>
      <c r="AM101" s="234"/>
      <c r="AN101" s="223"/>
      <c r="AQ101" s="238"/>
      <c r="AR101" s="239"/>
      <c r="AS101" s="234"/>
      <c r="AT101" s="234"/>
    </row>
    <row r="102" spans="2:65" x14ac:dyDescent="0.2">
      <c r="B102" s="276"/>
      <c r="C102" s="283"/>
      <c r="D102" s="283"/>
      <c r="E102" s="283"/>
      <c r="F102" s="283"/>
      <c r="G102" s="283"/>
      <c r="H102" s="283"/>
      <c r="I102" s="223"/>
      <c r="J102" s="223"/>
      <c r="K102" s="223"/>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23"/>
      <c r="AI102" s="223"/>
      <c r="AJ102" s="223"/>
      <c r="AK102" s="223"/>
      <c r="AL102" s="223"/>
      <c r="AM102" s="234"/>
      <c r="AN102" s="223"/>
      <c r="AQ102" s="238"/>
      <c r="AR102" s="239"/>
      <c r="AS102" s="234"/>
      <c r="AT102" s="234"/>
    </row>
    <row r="103" spans="2:65" x14ac:dyDescent="0.2">
      <c r="B103" s="276"/>
      <c r="C103" s="283"/>
      <c r="D103" s="283"/>
      <c r="E103" s="283"/>
      <c r="F103" s="283"/>
      <c r="G103" s="283"/>
      <c r="H103" s="283"/>
      <c r="I103" s="223"/>
      <c r="J103" s="223"/>
      <c r="K103" s="223"/>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23"/>
      <c r="AI103" s="223"/>
      <c r="AJ103" s="223"/>
      <c r="AK103" s="223"/>
      <c r="AL103" s="223"/>
      <c r="AM103" s="234"/>
      <c r="AN103" s="223"/>
      <c r="AQ103" s="238"/>
      <c r="AR103" s="239"/>
      <c r="AS103" s="234"/>
      <c r="AT103" s="234"/>
    </row>
    <row r="104" spans="2:65" x14ac:dyDescent="0.2">
      <c r="B104" s="276"/>
      <c r="C104" s="283"/>
      <c r="D104" s="283"/>
      <c r="E104" s="283"/>
      <c r="F104" s="283"/>
      <c r="G104" s="283"/>
      <c r="H104" s="283"/>
      <c r="I104" s="223"/>
      <c r="J104" s="223"/>
      <c r="K104" s="223"/>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23"/>
      <c r="AI104" s="223"/>
      <c r="AJ104" s="285"/>
      <c r="AK104" s="285"/>
      <c r="AL104" s="285"/>
      <c r="AM104" s="278"/>
      <c r="AN104" s="223"/>
      <c r="AQ104" s="238"/>
      <c r="AR104" s="239"/>
      <c r="AS104" s="234"/>
      <c r="AT104" s="234"/>
    </row>
    <row r="105" spans="2:65" x14ac:dyDescent="0.2">
      <c r="B105" s="276"/>
      <c r="C105" s="283"/>
      <c r="D105" s="283"/>
      <c r="E105" s="283"/>
      <c r="F105" s="283"/>
      <c r="G105" s="283"/>
      <c r="H105" s="283"/>
      <c r="I105" s="223"/>
      <c r="J105" s="223"/>
      <c r="K105" s="223"/>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23"/>
      <c r="AI105" s="223"/>
      <c r="AJ105" s="223"/>
      <c r="AK105" s="223"/>
      <c r="AL105" s="223"/>
      <c r="AM105" s="223"/>
      <c r="AN105" s="223"/>
      <c r="AQ105" s="238"/>
      <c r="AR105" s="239"/>
      <c r="AS105" s="234"/>
      <c r="AT105" s="234"/>
    </row>
    <row r="106" spans="2:65" x14ac:dyDescent="0.2">
      <c r="AQ106" s="238"/>
      <c r="AR106" s="239"/>
      <c r="AS106" s="234"/>
      <c r="AT106" s="234"/>
    </row>
    <row r="107" spans="2:65" x14ac:dyDescent="0.2">
      <c r="D107" s="235"/>
      <c r="E107" s="235">
        <v>2017</v>
      </c>
      <c r="F107" s="235">
        <f t="shared" ref="F107:AW107" si="18">+E107+1</f>
        <v>2018</v>
      </c>
      <c r="G107" s="235">
        <f t="shared" si="18"/>
        <v>2019</v>
      </c>
      <c r="H107" s="235">
        <f t="shared" si="18"/>
        <v>2020</v>
      </c>
      <c r="I107" s="235">
        <f t="shared" si="18"/>
        <v>2021</v>
      </c>
      <c r="J107" s="235">
        <f t="shared" si="18"/>
        <v>2022</v>
      </c>
      <c r="K107" s="235">
        <f t="shared" si="18"/>
        <v>2023</v>
      </c>
      <c r="L107" s="235">
        <f t="shared" si="18"/>
        <v>2024</v>
      </c>
      <c r="M107" s="235">
        <f t="shared" si="18"/>
        <v>2025</v>
      </c>
      <c r="N107" s="235">
        <f t="shared" si="18"/>
        <v>2026</v>
      </c>
      <c r="O107" s="235">
        <f t="shared" si="18"/>
        <v>2027</v>
      </c>
      <c r="P107" s="235">
        <f t="shared" si="18"/>
        <v>2028</v>
      </c>
      <c r="Q107" s="235">
        <f t="shared" si="18"/>
        <v>2029</v>
      </c>
      <c r="R107" s="235">
        <f t="shared" si="18"/>
        <v>2030</v>
      </c>
      <c r="S107" s="235">
        <f t="shared" si="18"/>
        <v>2031</v>
      </c>
      <c r="T107" s="235">
        <f t="shared" si="18"/>
        <v>2032</v>
      </c>
      <c r="U107" s="235">
        <f t="shared" si="18"/>
        <v>2033</v>
      </c>
      <c r="V107" s="235">
        <f t="shared" si="18"/>
        <v>2034</v>
      </c>
      <c r="W107" s="235">
        <f t="shared" si="18"/>
        <v>2035</v>
      </c>
      <c r="X107" s="235">
        <f t="shared" si="18"/>
        <v>2036</v>
      </c>
      <c r="Y107" s="235">
        <f t="shared" si="18"/>
        <v>2037</v>
      </c>
      <c r="Z107" s="235">
        <f t="shared" si="18"/>
        <v>2038</v>
      </c>
      <c r="AA107" s="235">
        <f t="shared" si="18"/>
        <v>2039</v>
      </c>
      <c r="AB107" s="235">
        <f t="shared" si="18"/>
        <v>2040</v>
      </c>
      <c r="AC107" s="235">
        <f t="shared" si="18"/>
        <v>2041</v>
      </c>
      <c r="AD107" s="235">
        <f t="shared" si="18"/>
        <v>2042</v>
      </c>
      <c r="AE107" s="235">
        <f t="shared" si="18"/>
        <v>2043</v>
      </c>
      <c r="AF107" s="235">
        <f t="shared" si="18"/>
        <v>2044</v>
      </c>
      <c r="AG107" s="235">
        <f t="shared" si="18"/>
        <v>2045</v>
      </c>
      <c r="AH107" s="235">
        <f t="shared" si="18"/>
        <v>2046</v>
      </c>
      <c r="AI107" s="235">
        <f t="shared" si="18"/>
        <v>2047</v>
      </c>
      <c r="AJ107" s="235">
        <f t="shared" si="18"/>
        <v>2048</v>
      </c>
      <c r="AK107" s="235">
        <f t="shared" si="18"/>
        <v>2049</v>
      </c>
      <c r="AL107" s="235">
        <f t="shared" si="18"/>
        <v>2050</v>
      </c>
      <c r="AM107" s="235">
        <f t="shared" si="18"/>
        <v>2051</v>
      </c>
      <c r="AN107" s="235">
        <f t="shared" si="18"/>
        <v>2052</v>
      </c>
      <c r="AO107" s="235">
        <f t="shared" si="18"/>
        <v>2053</v>
      </c>
      <c r="AP107" s="235">
        <f t="shared" si="18"/>
        <v>2054</v>
      </c>
      <c r="AQ107" s="235">
        <f t="shared" si="18"/>
        <v>2055</v>
      </c>
      <c r="AR107" s="235">
        <f t="shared" si="18"/>
        <v>2056</v>
      </c>
      <c r="AS107" s="235">
        <f t="shared" si="18"/>
        <v>2057</v>
      </c>
      <c r="AT107" s="235">
        <f t="shared" si="18"/>
        <v>2058</v>
      </c>
      <c r="AU107" s="235">
        <f t="shared" si="18"/>
        <v>2059</v>
      </c>
      <c r="AV107" s="235">
        <f t="shared" si="18"/>
        <v>2060</v>
      </c>
      <c r="AW107" s="235">
        <f t="shared" si="18"/>
        <v>2061</v>
      </c>
      <c r="BI107" s="213"/>
      <c r="BJ107" s="213"/>
      <c r="BK107" s="213"/>
      <c r="BL107" s="213"/>
      <c r="BM107" s="213"/>
    </row>
    <row r="108" spans="2:65" x14ac:dyDescent="0.2">
      <c r="B108" s="211" t="s">
        <v>267</v>
      </c>
      <c r="D108" s="286"/>
      <c r="E108" s="669">
        <f>+CF!R25+CF!R26+CF!R33+CF!R30</f>
        <v>0</v>
      </c>
      <c r="F108" s="669">
        <f>+CF!S25+CF!S26+CF!S33+CF!S30</f>
        <v>100675.3833614914</v>
      </c>
      <c r="G108" s="669">
        <f>+CF!T25+CF!T26+CF!T33+CF!T30</f>
        <v>110892.63499175895</v>
      </c>
      <c r="H108" s="669">
        <f>+CF!U25+CF!U26+CF!U33+CF!U30</f>
        <v>122977.44237811655</v>
      </c>
      <c r="I108" s="669">
        <f>+CF!V25+CF!V26+CF!V33+CF!V30</f>
        <v>136379.22243426612</v>
      </c>
      <c r="J108" s="669">
        <f>+CF!W25+CF!W26+CF!W33+CF!W30</f>
        <v>147989.64874127222</v>
      </c>
      <c r="K108" s="669">
        <f>+CF!X25+CF!X26+CF!X33+CF!X30</f>
        <v>160588.51006516948</v>
      </c>
      <c r="L108" s="669">
        <f>+CF!Y25+CF!Y26+CF!Y33+CF!Y30</f>
        <v>174259.95523536199</v>
      </c>
      <c r="M108" s="669">
        <f>+CF!Z25+CF!Z26+CF!Z33+CF!Z30</f>
        <v>189095.29695684407</v>
      </c>
      <c r="N108" s="669">
        <f>+CF!AA25+CF!AA26+CF!AA33+CF!AA30</f>
        <v>205193.6216952556</v>
      </c>
      <c r="O108" s="669">
        <f>+CF!AB25+CF!AB26+CF!AB33+CF!AB30</f>
        <v>218151.68779285997</v>
      </c>
      <c r="P108" s="669">
        <f>+CF!AC25+CF!AC26+CF!AC33+CF!AC30</f>
        <v>231928.06137781523</v>
      </c>
      <c r="Q108" s="669">
        <f>+CF!AD25+CF!AD26+CF!AD33+CF!AD30</f>
        <v>246574.41892242918</v>
      </c>
      <c r="R108" s="669">
        <f>+CF!AE25+CF!AE26+CF!AE33+CF!AE30</f>
        <v>262145.70029062143</v>
      </c>
      <c r="S108" s="669">
        <f>+CF!AF25+CF!AF26+CF!AF33+CF!AF30</f>
        <v>278700.31482251739</v>
      </c>
      <c r="T108" s="669">
        <f>+CF!AG25+CF!AG26+CF!AG33+CF!AG30</f>
        <v>305795.33461873961</v>
      </c>
      <c r="U108" s="669">
        <f>+CF!AH25+CF!AH26+CF!AH33+CF!AH30</f>
        <v>335524.51038362371</v>
      </c>
      <c r="V108" s="669">
        <f>+CF!AI25+CF!AI26+CF!AI33+CF!AI30</f>
        <v>368143.9326356274</v>
      </c>
      <c r="W108" s="669">
        <f>+CF!AJ25+CF!AJ26+CF!AJ33+CF!AJ30</f>
        <v>403934.58880684001</v>
      </c>
      <c r="X108" s="669">
        <f>+CF!AK25+CF!AK26+CF!AK33+CF!AK30</f>
        <v>443204.78370084305</v>
      </c>
      <c r="Y108" s="669">
        <f>+CF!AL25+CF!AL26+CF!AL33+CF!AL30</f>
        <v>486909.90690950124</v>
      </c>
      <c r="Z108" s="669">
        <f>+CF!AM25+CF!AM26+CF!AM33+CF!AM30</f>
        <v>534924.8612953726</v>
      </c>
      <c r="AA108" s="669">
        <f>+CF!AN25+CF!AN26+CF!AN33+CF!AN30</f>
        <v>587674.64611283329</v>
      </c>
      <c r="AB108" s="669">
        <f>+CF!AO25+CF!AO26+CF!AO33+CF!AO30</f>
        <v>645626.17046348774</v>
      </c>
      <c r="AC108" s="669">
        <f>+CF!AP25+CF!AP26+CF!AP33+CF!AP30</f>
        <v>709292.3860923493</v>
      </c>
      <c r="AD108" s="669">
        <f>+CF!AQ25+CF!AQ26+CF!AQ33+CF!AQ30</f>
        <v>750382.9050056797</v>
      </c>
      <c r="AE108" s="669">
        <f>+CF!AR25+CF!AR26+CF!AR33+CF!AR30</f>
        <v>793853.86783420376</v>
      </c>
      <c r="AF108" s="669">
        <f>+CF!AS25+CF!AS26+CF!AS33+CF!AS30</f>
        <v>839843.17775810137</v>
      </c>
      <c r="AG108" s="669">
        <f>+CF!AT25+CF!AT26+CF!AT33+CF!AT30</f>
        <v>888496.72692422429</v>
      </c>
      <c r="AH108" s="669">
        <f>+CF!AU25+CF!AU26+CF!AU33+CF!AU30</f>
        <v>939968.8592605762</v>
      </c>
      <c r="AI108" s="669">
        <f>+CF!AV25+CF!AV26+CF!AV33+CF!AV30</f>
        <v>993784.81824656378</v>
      </c>
      <c r="AJ108" s="669">
        <f>+CF!AW25+CF!AW26+CF!AW33+CF!AW30</f>
        <v>1050681.8978601643</v>
      </c>
      <c r="AK108" s="669">
        <f>+CF!AX25+CF!AX26+CF!AX33+CF!AX30</f>
        <v>1110836.5012446234</v>
      </c>
      <c r="AL108" s="669">
        <f>+CF!AY25+CF!AY26+CF!AY33+CF!AY30</f>
        <v>1174435.131137687</v>
      </c>
      <c r="AM108" s="669">
        <f>+CF!AZ25+CF!AZ26+CF!AZ33+CF!AZ30</f>
        <v>1241674.9681028472</v>
      </c>
      <c r="AN108" s="669">
        <f>+CF!BA25+CF!BA26+CF!BA33+CF!BA30</f>
        <v>1299492.443952414</v>
      </c>
      <c r="AO108" s="669">
        <f>+CF!BB25+CF!BB26+CF!BB33+CF!BB30</f>
        <v>1357551.063654965</v>
      </c>
      <c r="AP108" s="669">
        <f>+CF!BC25+CF!BC26+CF!BC33+CF!BC30</f>
        <v>1394940.8152210829</v>
      </c>
      <c r="AQ108" s="669">
        <f>+CF!BD25+CF!BD26+CF!BD33+CF!BD30</f>
        <v>1458244.9303068535</v>
      </c>
      <c r="AR108" s="669">
        <f>+CF!BE25+CF!BE26+CF!BE33+CF!BE30</f>
        <v>1524535.8384352427</v>
      </c>
      <c r="AS108" s="669">
        <f>+CF!BF25+CF!BF26+CF!BF33+CF!BF30</f>
        <v>1580645.9331800339</v>
      </c>
      <c r="AT108" s="669">
        <f>+CF!BG25+CF!BG26+CF!BG33+CF!BG30</f>
        <v>1638991.5349116041</v>
      </c>
      <c r="AU108" s="669">
        <f>+CF!BH25+CF!BH26+CF!BH33+CF!BH30</f>
        <v>1699161.8441716556</v>
      </c>
      <c r="AV108" s="669">
        <f>+CF!BI25+CF!BI26+CF!BI33+CF!BI30</f>
        <v>1623778.3023709413</v>
      </c>
      <c r="AW108" s="669">
        <f>+CF!BJ25+CF!BJ26+CF!BJ33+CF!BJ30</f>
        <v>406337.4745477839</v>
      </c>
      <c r="AX108" s="213"/>
      <c r="AY108" s="213"/>
      <c r="AZ108" s="213"/>
      <c r="BA108" s="213"/>
      <c r="BB108" s="213"/>
      <c r="BC108" s="213"/>
      <c r="BD108" s="213"/>
      <c r="BE108" s="213"/>
      <c r="BF108" s="213"/>
      <c r="BG108" s="213"/>
      <c r="BH108" s="213"/>
      <c r="BI108" s="213"/>
      <c r="BJ108" s="213"/>
      <c r="BK108" s="213"/>
      <c r="BL108" s="213"/>
      <c r="BM108" s="213"/>
    </row>
    <row r="109" spans="2:65" x14ac:dyDescent="0.2">
      <c r="B109" s="211" t="s">
        <v>353</v>
      </c>
      <c r="D109" s="286"/>
      <c r="E109" s="669">
        <f>+CF!R27</f>
        <v>0</v>
      </c>
      <c r="F109" s="669">
        <f>+CF!S27</f>
        <v>-17116.801882543594</v>
      </c>
      <c r="G109" s="669">
        <f>+CF!T27</f>
        <v>-18251.715924132259</v>
      </c>
      <c r="H109" s="669">
        <f>+CF!U27</f>
        <v>-19461.879413055398</v>
      </c>
      <c r="I109" s="669">
        <f>+CF!V27</f>
        <v>-20752.281695745118</v>
      </c>
      <c r="J109" s="669">
        <f>+CF!W27</f>
        <v>-21619.771470281008</v>
      </c>
      <c r="K109" s="669">
        <f>+CF!X27</f>
        <v>-22523.524173393016</v>
      </c>
      <c r="L109" s="669">
        <f>+CF!Y27</f>
        <v>-23465.055673080424</v>
      </c>
      <c r="M109" s="669">
        <f>+CF!Z27</f>
        <v>-24445.945203868072</v>
      </c>
      <c r="N109" s="669">
        <f>+CF!AA27</f>
        <v>-25467.838015662743</v>
      </c>
      <c r="O109" s="669">
        <f>+CF!AB27</f>
        <v>-26490.989749443772</v>
      </c>
      <c r="P109" s="669">
        <f>+CF!AC27</f>
        <v>-27555.245854537963</v>
      </c>
      <c r="Q109" s="669">
        <f>+CF!AD27</f>
        <v>-28662.257668948518</v>
      </c>
      <c r="R109" s="669">
        <f>+CF!AE27</f>
        <v>-29813.742871973129</v>
      </c>
      <c r="S109" s="669">
        <f>+CF!AF27</f>
        <v>-31011.48814941684</v>
      </c>
      <c r="T109" s="669">
        <f>+CF!AG27</f>
        <v>-32710.13366247325</v>
      </c>
      <c r="U109" s="669">
        <f>+CF!AH27</f>
        <v>-34501.822004210582</v>
      </c>
      <c r="V109" s="669">
        <f>+CF!AI27</f>
        <v>-36391.649569316498</v>
      </c>
      <c r="W109" s="669">
        <f>+CF!AJ27</f>
        <v>-38384.991906059637</v>
      </c>
      <c r="X109" s="669">
        <f>+CF!AK27</f>
        <v>-40487.519006848277</v>
      </c>
      <c r="Y109" s="669">
        <f>+CF!AL27</f>
        <v>-42936.801184184449</v>
      </c>
      <c r="Z109" s="669">
        <f>+CF!AM27</f>
        <v>-45534.252064651133</v>
      </c>
      <c r="AA109" s="669">
        <f>+CF!AN27</f>
        <v>-48288.835076305142</v>
      </c>
      <c r="AB109" s="669">
        <f>+CF!AO27</f>
        <v>-51210.055887506605</v>
      </c>
      <c r="AC109" s="669">
        <f>+CF!AP27</f>
        <v>-54307.995209608394</v>
      </c>
      <c r="AD109" s="669">
        <f>+CF!AQ27</f>
        <v>-56570.629298947191</v>
      </c>
      <c r="AE109" s="669">
        <f>+CF!AR27</f>
        <v>-58927.531515888171</v>
      </c>
      <c r="AF109" s="669">
        <f>+CF!AS27</f>
        <v>-61382.629353579039</v>
      </c>
      <c r="AG109" s="669">
        <f>+CF!AT27</f>
        <v>-63940.013936320618</v>
      </c>
      <c r="AH109" s="669">
        <f>+CF!AU27</f>
        <v>-66603.946836931951</v>
      </c>
      <c r="AI109" s="669">
        <f>+CF!AV27</f>
        <v>-69494.383668132767</v>
      </c>
      <c r="AJ109" s="669">
        <f>+CF!AW27</f>
        <v>-72510.257886634616</v>
      </c>
      <c r="AK109" s="669">
        <f>+CF!AX27</f>
        <v>-75657.0131464773</v>
      </c>
      <c r="AL109" s="669">
        <f>+CF!AY27</f>
        <v>-78940.329342026875</v>
      </c>
      <c r="AM109" s="666">
        <f>+CF!AZ27</f>
        <v>-82366.132860187121</v>
      </c>
      <c r="AN109" s="666">
        <f>+CF!BA27</f>
        <v>-85447.987193585664</v>
      </c>
      <c r="AO109" s="666">
        <f>+CF!BB27</f>
        <v>-88645.153801610621</v>
      </c>
      <c r="AP109" s="666">
        <f>+CF!BC27</f>
        <v>-91961.947268678021</v>
      </c>
      <c r="AQ109" s="288">
        <f>+CF!BD27</f>
        <v>-95402.843615952515</v>
      </c>
      <c r="AR109" s="289">
        <f>+CF!BE27</f>
        <v>-98972.486341749158</v>
      </c>
      <c r="AS109" s="290">
        <f>+CF!BF27</f>
        <v>-102223.65601555163</v>
      </c>
      <c r="AT109" s="290">
        <f>+CF!BG27</f>
        <v>-105581.62410008973</v>
      </c>
      <c r="AU109" s="667">
        <f>+CF!BH27</f>
        <v>-109049.89884060444</v>
      </c>
      <c r="AV109" s="667">
        <f>+CF!BI27</f>
        <v>-112632.10372548105</v>
      </c>
      <c r="AW109" s="667">
        <f>+CF!BJ27</f>
        <v>-28684.598121837771</v>
      </c>
      <c r="AX109" s="213"/>
      <c r="AY109" s="213"/>
      <c r="AZ109" s="213"/>
      <c r="BA109" s="213"/>
      <c r="BB109" s="213"/>
      <c r="BC109" s="213"/>
      <c r="BD109" s="213"/>
      <c r="BE109" s="213"/>
      <c r="BF109" s="213"/>
      <c r="BG109" s="213"/>
      <c r="BH109" s="213"/>
      <c r="BI109" s="213"/>
      <c r="BJ109" s="213"/>
      <c r="BK109" s="213"/>
      <c r="BL109" s="213"/>
      <c r="BM109" s="213"/>
    </row>
    <row r="110" spans="2:65" x14ac:dyDescent="0.2">
      <c r="B110" s="211" t="s">
        <v>118</v>
      </c>
      <c r="D110" s="286"/>
      <c r="E110" s="669">
        <f>+CF!R32</f>
        <v>0</v>
      </c>
      <c r="F110" s="669">
        <f>+CF!S32</f>
        <v>-361.09300000000002</v>
      </c>
      <c r="G110" s="669">
        <f>+CF!T32</f>
        <v>-597.58950622269083</v>
      </c>
      <c r="H110" s="669">
        <f>+CF!U32</f>
        <v>-650.56990692636111</v>
      </c>
      <c r="I110" s="669">
        <f>+CF!V32</f>
        <v>-722.18773524688527</v>
      </c>
      <c r="J110" s="669">
        <f>+CF!W32</f>
        <v>-784.25814883314024</v>
      </c>
      <c r="K110" s="669">
        <f>+CF!X32</f>
        <v>-851.32111459000021</v>
      </c>
      <c r="L110" s="669">
        <f>+CF!Y32</f>
        <v>-923.96444401930376</v>
      </c>
      <c r="M110" s="669">
        <f>+CF!Z32</f>
        <v>-1002.7409606390532</v>
      </c>
      <c r="N110" s="669">
        <f>+CF!AA32</f>
        <v>-1088.1588731859977</v>
      </c>
      <c r="O110" s="669">
        <f>+CF!AB32</f>
        <v>-1156.9138684982522</v>
      </c>
      <c r="P110" s="669">
        <f>+CF!AC32</f>
        <v>-1229.8568034216039</v>
      </c>
      <c r="Q110" s="669">
        <f>+CF!AD32</f>
        <v>-1307.2117529928701</v>
      </c>
      <c r="R110" s="669">
        <f>+CF!AE32</f>
        <v>-1389.8051747992881</v>
      </c>
      <c r="S110" s="669">
        <f>+CF!AF32</f>
        <v>-1477.3315725563468</v>
      </c>
      <c r="T110" s="669">
        <f>+CF!AG32</f>
        <v>-1620.3337565709298</v>
      </c>
      <c r="U110" s="669">
        <f>+CF!AH32</f>
        <v>-1777.8097391759304</v>
      </c>
      <c r="V110" s="669">
        <f>+CF!AI32</f>
        <v>-1950.6664582631711</v>
      </c>
      <c r="W110" s="669">
        <f>+CF!AJ32</f>
        <v>-2140.4390731711032</v>
      </c>
      <c r="X110" s="669">
        <f>+CF!AK32</f>
        <v>-2348.2116974152345</v>
      </c>
      <c r="Y110" s="669">
        <f>+CF!AL32</f>
        <v>-2578.9602560015287</v>
      </c>
      <c r="Z110" s="669">
        <f>+CF!AM32</f>
        <v>-2833.5411766374718</v>
      </c>
      <c r="AA110" s="669">
        <f>+CF!AN32</f>
        <v>-3114.8950804047963</v>
      </c>
      <c r="AB110" s="669">
        <f>+CF!AO32</f>
        <v>-3419.2747896454416</v>
      </c>
      <c r="AC110" s="669">
        <f>+CF!AP32</f>
        <v>-3754.882199395538</v>
      </c>
      <c r="AD110" s="669">
        <f>+CF!AQ32</f>
        <v>-3970.8258002969851</v>
      </c>
      <c r="AE110" s="669">
        <f>+CF!AR32</f>
        <v>-4199.9370837452852</v>
      </c>
      <c r="AF110" s="669">
        <f>+CF!AS32</f>
        <v>-4442.4574541090042</v>
      </c>
      <c r="AG110" s="669">
        <f>+CF!AT32</f>
        <v>-4699.1387628785442</v>
      </c>
      <c r="AH110" s="669">
        <f>+CF!AU32</f>
        <v>-4982.1206607893573</v>
      </c>
      <c r="AI110" s="669">
        <f>+CF!AV32</f>
        <v>-5265.2813049834103</v>
      </c>
      <c r="AJ110" s="669">
        <f>+CF!AW32</f>
        <v>-5565.7717310961307</v>
      </c>
      <c r="AK110" s="669">
        <f>+CF!AX32</f>
        <v>-5883.2775808855986</v>
      </c>
      <c r="AL110" s="669">
        <f>+CF!AY32</f>
        <v>-6220.2885607018206</v>
      </c>
      <c r="AM110" s="666">
        <f>+CF!AZ32</f>
        <v>-6574.7101266507943</v>
      </c>
      <c r="AN110" s="666">
        <f>+CF!BA32</f>
        <v>-6879.0669599911671</v>
      </c>
      <c r="AO110" s="666">
        <f>+CF!BB32</f>
        <v>-7197.6111291899551</v>
      </c>
      <c r="AP110" s="666">
        <f>+CF!BC32</f>
        <v>-7530.6082607729713</v>
      </c>
      <c r="AQ110" s="288">
        <f>+CF!BD32</f>
        <v>-7880.0440759600906</v>
      </c>
      <c r="AR110" s="289">
        <f>+CF!BE32</f>
        <v>-8235.2035936389293</v>
      </c>
      <c r="AS110" s="290">
        <f>+CF!BF32</f>
        <v>-8538.9392552796307</v>
      </c>
      <c r="AT110" s="290">
        <f>+CF!BG32</f>
        <v>-8852.8229607396916</v>
      </c>
      <c r="AU110" s="667">
        <f>+CF!BH32</f>
        <v>-9177.9562579234662</v>
      </c>
      <c r="AV110" s="667">
        <f>+CF!BI32</f>
        <v>-9511.3038617391248</v>
      </c>
      <c r="AW110" s="667">
        <f>+CF!BJ32</f>
        <v>-2430.9088833519277</v>
      </c>
      <c r="AX110" s="213"/>
      <c r="AY110" s="213"/>
      <c r="AZ110" s="213"/>
      <c r="BA110" s="213"/>
      <c r="BB110" s="213"/>
      <c r="BC110" s="213"/>
      <c r="BD110" s="213"/>
      <c r="BE110" s="213"/>
      <c r="BF110" s="213"/>
      <c r="BG110" s="213"/>
      <c r="BH110" s="213"/>
      <c r="BI110" s="213"/>
      <c r="BJ110" s="213"/>
      <c r="BK110" s="213"/>
      <c r="BL110" s="213"/>
      <c r="BM110" s="213"/>
    </row>
    <row r="111" spans="2:65" x14ac:dyDescent="0.2">
      <c r="B111" s="211" t="s">
        <v>354</v>
      </c>
      <c r="D111" s="286"/>
      <c r="E111" s="669">
        <f>+CF!R28+CF!R29+CF!R31</f>
        <v>0</v>
      </c>
      <c r="F111" s="669">
        <f>+CF!S28+CF!S29+CF!S31</f>
        <v>-2401.0519999999956</v>
      </c>
      <c r="G111" s="669">
        <f>+CF!T28+CF!T29+CF!T31</f>
        <v>-2271.9001843671922</v>
      </c>
      <c r="H111" s="669">
        <f>+CF!U28+CF!U29+CF!U31</f>
        <v>-3321.3370258702384</v>
      </c>
      <c r="I111" s="669">
        <f>+CF!V28+CF!V29+CF!V31</f>
        <v>-4855.5300603970763</v>
      </c>
      <c r="J111" s="669">
        <f>+CF!W28+CF!W29+CF!W31</f>
        <v>-5234.7233595289154</v>
      </c>
      <c r="K111" s="669">
        <f>+CF!X28+CF!X29+CF!X31</f>
        <v>-5643.5298123881421</v>
      </c>
      <c r="L111" s="669">
        <f>+CF!Y28+CF!Y29+CF!Y31</f>
        <v>-6084.2620623566136</v>
      </c>
      <c r="M111" s="669">
        <f>+CF!Z28+CF!Z29+CF!Z31</f>
        <v>-6559.4133590245247</v>
      </c>
      <c r="N111" s="669">
        <f>+CF!AA28+CF!AA29+CF!AA31</f>
        <v>-7071.6716626575071</v>
      </c>
      <c r="O111" s="669">
        <f>+CF!AB28+CF!AB29+CF!AB31</f>
        <v>-7112.6761485473016</v>
      </c>
      <c r="P111" s="669">
        <f>+CF!AC28+CF!AC29+CF!AC31</f>
        <v>-7153.9183954564542</v>
      </c>
      <c r="Q111" s="669">
        <f>+CF!AD28+CF!AD29+CF!AD31</f>
        <v>-7195.3997820219884</v>
      </c>
      <c r="R111" s="669">
        <f>+CF!AE28+CF!AE29+CF!AE31</f>
        <v>-7237.1216948748361</v>
      </c>
      <c r="S111" s="669">
        <f>+CF!AF28+CF!AF29+CF!AF31</f>
        <v>-7279.0855286861879</v>
      </c>
      <c r="T111" s="669">
        <f>+CF!AG28+CF!AG29+CF!AG31</f>
        <v>-7825.0840659259275</v>
      </c>
      <c r="U111" s="669">
        <f>+CF!AH28+CF!AH29+CF!AH31</f>
        <v>-8412.0375282717268</v>
      </c>
      <c r="V111" s="669">
        <f>+CF!AI28+CF!AI29+CF!AI31</f>
        <v>-9043.0179127639458</v>
      </c>
      <c r="W111" s="669">
        <f>+CF!AJ28+CF!AJ29+CF!AJ31</f>
        <v>-9721.3276445487663</v>
      </c>
      <c r="X111" s="669">
        <f>+CF!AK28+CF!AK29+CF!AK31</f>
        <v>-10450.516861110962</v>
      </c>
      <c r="Y111" s="669">
        <f>+CF!AL28+CF!AL29+CF!AL31</f>
        <v>-11402.936904942444</v>
      </c>
      <c r="Z111" s="669">
        <f>+CF!AM28+CF!AM29+CF!AM31</f>
        <v>-12442.156860390503</v>
      </c>
      <c r="AA111" s="669">
        <f>+CF!AN28+CF!AN29+CF!AN31</f>
        <v>-13576.087338645486</v>
      </c>
      <c r="AB111" s="669">
        <f>+CF!AO28+CF!AO29+CF!AO31</f>
        <v>-14813.35989367567</v>
      </c>
      <c r="AC111" s="669">
        <f>+CF!AP28+CF!AP29+CF!AP31</f>
        <v>-16163.392726188255</v>
      </c>
      <c r="AD111" s="669">
        <f>+CF!AQ28+CF!AQ29+CF!AQ31</f>
        <v>-14764.028626131159</v>
      </c>
      <c r="AE111" s="669">
        <f>+CF!AR28+CF!AR29+CF!AR31</f>
        <v>-13485.816063854612</v>
      </c>
      <c r="AF111" s="669">
        <f>+CF!AS28+CF!AS29+CF!AS31</f>
        <v>-12318.266207248376</v>
      </c>
      <c r="AG111" s="669">
        <f>+CF!AT28+CF!AT29+CF!AT31</f>
        <v>-11251.798306766013</v>
      </c>
      <c r="AH111" s="669">
        <f>+CF!AU28+CF!AU29+CF!AU31</f>
        <v>-10277.661077144619</v>
      </c>
      <c r="AI111" s="669">
        <f>+CF!AV28+CF!AV29+CF!AV31</f>
        <v>-11712.773240383072</v>
      </c>
      <c r="AJ111" s="669">
        <f>+CF!AW28+CF!AW29+CF!AW31</f>
        <v>-13348.276028065735</v>
      </c>
      <c r="AK111" s="669">
        <f>+CF!AX28+CF!AX29+CF!AX31</f>
        <v>-15212.150808753046</v>
      </c>
      <c r="AL111" s="669">
        <f>+CF!AY28+CF!AY29+CF!AY31</f>
        <v>-17336.286104789135</v>
      </c>
      <c r="AM111" s="669">
        <f>+CF!AZ28+CF!AZ29+CF!AZ31</f>
        <v>-19757.023164283295</v>
      </c>
      <c r="AN111" s="669">
        <f>+CF!BA28+CF!BA29+CF!BA31</f>
        <v>-18360.971768753996</v>
      </c>
      <c r="AO111" s="669">
        <f>+CF!BB28+CF!BB29+CF!BB31</f>
        <v>-17063.566787856769</v>
      </c>
      <c r="AP111" s="669">
        <f>+CF!BC28+CF!BC29+CF!BC31</f>
        <v>-15857.837765381382</v>
      </c>
      <c r="AQ111" s="669">
        <f>+CF!BD28+CF!BD29+CF!BD31</f>
        <v>-14737.306784658558</v>
      </c>
      <c r="AR111" s="669">
        <f>+CF!BE28+CF!BE29+CF!BE31</f>
        <v>-156965.00534037245</v>
      </c>
      <c r="AS111" s="669">
        <f>+CF!BF28+CF!BF29+CF!BF31</f>
        <v>0</v>
      </c>
      <c r="AT111" s="669">
        <f>+CF!BG28+CF!BG29+CF!BG31</f>
        <v>0</v>
      </c>
      <c r="AU111" s="669">
        <f>+CF!BH28+CF!BH29+CF!BH31</f>
        <v>0</v>
      </c>
      <c r="AV111" s="669">
        <f>+CF!BI28+CF!BI29+CF!BI31</f>
        <v>0</v>
      </c>
      <c r="AW111" s="669">
        <f>+CF!BJ28+CF!BJ29+CF!BJ31</f>
        <v>-97373.823001979952</v>
      </c>
      <c r="AX111" s="213"/>
      <c r="AY111" s="213"/>
      <c r="AZ111" s="213"/>
      <c r="BA111" s="213"/>
      <c r="BB111" s="213"/>
      <c r="BC111" s="213"/>
      <c r="BD111" s="213"/>
      <c r="BE111" s="213"/>
      <c r="BF111" s="213"/>
      <c r="BG111" s="213"/>
      <c r="BH111" s="213"/>
      <c r="BI111" s="213"/>
      <c r="BJ111" s="213"/>
      <c r="BK111" s="213"/>
      <c r="BL111" s="213"/>
      <c r="BM111" s="213"/>
    </row>
    <row r="112" spans="2:65" x14ac:dyDescent="0.2">
      <c r="B112" s="211" t="s">
        <v>363</v>
      </c>
      <c r="D112" s="286"/>
      <c r="E112" s="669">
        <f t="shared" ref="E112:AL112" si="19">SUM(E108:E111)</f>
        <v>0</v>
      </c>
      <c r="F112" s="669">
        <f t="shared" si="19"/>
        <v>80796.436478947813</v>
      </c>
      <c r="G112" s="669">
        <f t="shared" si="19"/>
        <v>89771.429377036824</v>
      </c>
      <c r="H112" s="669">
        <f t="shared" si="19"/>
        <v>99543.656032264553</v>
      </c>
      <c r="I112" s="669">
        <f t="shared" si="19"/>
        <v>110049.22294287704</v>
      </c>
      <c r="J112" s="669">
        <f t="shared" si="19"/>
        <v>120350.89576262917</v>
      </c>
      <c r="K112" s="669">
        <f t="shared" si="19"/>
        <v>131570.13496479829</v>
      </c>
      <c r="L112" s="669">
        <f t="shared" si="19"/>
        <v>143786.67305590565</v>
      </c>
      <c r="M112" s="669">
        <f t="shared" si="19"/>
        <v>157087.19743331242</v>
      </c>
      <c r="N112" s="669">
        <f t="shared" si="19"/>
        <v>171565.95314374933</v>
      </c>
      <c r="O112" s="669">
        <f t="shared" si="19"/>
        <v>183391.10802637064</v>
      </c>
      <c r="P112" s="669">
        <f t="shared" si="19"/>
        <v>195989.04032439922</v>
      </c>
      <c r="Q112" s="669">
        <f t="shared" si="19"/>
        <v>209409.54971846577</v>
      </c>
      <c r="R112" s="669">
        <f t="shared" si="19"/>
        <v>223705.03054897417</v>
      </c>
      <c r="S112" s="669">
        <f t="shared" si="19"/>
        <v>238932.40957185804</v>
      </c>
      <c r="T112" s="669">
        <f t="shared" si="19"/>
        <v>263639.78313376952</v>
      </c>
      <c r="U112" s="669">
        <f t="shared" si="19"/>
        <v>290832.84111196542</v>
      </c>
      <c r="V112" s="669">
        <f t="shared" si="19"/>
        <v>320758.59869528381</v>
      </c>
      <c r="W112" s="669">
        <f t="shared" si="19"/>
        <v>353687.83018306049</v>
      </c>
      <c r="X112" s="669">
        <f t="shared" si="19"/>
        <v>389918.53613546857</v>
      </c>
      <c r="Y112" s="669">
        <f t="shared" si="19"/>
        <v>429991.20856437285</v>
      </c>
      <c r="Z112" s="669">
        <f t="shared" si="19"/>
        <v>474114.91119369352</v>
      </c>
      <c r="AA112" s="669">
        <f t="shared" si="19"/>
        <v>522694.82861747779</v>
      </c>
      <c r="AB112" s="669">
        <f t="shared" si="19"/>
        <v>576183.47989266005</v>
      </c>
      <c r="AC112" s="669">
        <f t="shared" si="19"/>
        <v>635066.1159571571</v>
      </c>
      <c r="AD112" s="669">
        <f t="shared" si="19"/>
        <v>675077.42128030444</v>
      </c>
      <c r="AE112" s="669">
        <f t="shared" si="19"/>
        <v>717240.58317071572</v>
      </c>
      <c r="AF112" s="669">
        <f t="shared" si="19"/>
        <v>761699.82474316505</v>
      </c>
      <c r="AG112" s="669">
        <f t="shared" si="19"/>
        <v>808605.77591825917</v>
      </c>
      <c r="AH112" s="669">
        <f t="shared" si="19"/>
        <v>858105.13068571023</v>
      </c>
      <c r="AI112" s="669">
        <f t="shared" si="19"/>
        <v>907312.38003306463</v>
      </c>
      <c r="AJ112" s="669">
        <f t="shared" si="19"/>
        <v>959257.59221436782</v>
      </c>
      <c r="AK112" s="669">
        <f t="shared" si="19"/>
        <v>1014084.0597085075</v>
      </c>
      <c r="AL112" s="669">
        <f t="shared" si="19"/>
        <v>1071938.227130169</v>
      </c>
      <c r="AM112" s="669">
        <f t="shared" ref="AM112:AW112" si="20">SUM(AM108:AM111)</f>
        <v>1132977.101951726</v>
      </c>
      <c r="AN112" s="669">
        <f t="shared" si="20"/>
        <v>1188804.4180300832</v>
      </c>
      <c r="AO112" s="669">
        <f t="shared" si="20"/>
        <v>1244644.7319363076</v>
      </c>
      <c r="AP112" s="669">
        <f t="shared" si="20"/>
        <v>1279590.4219262504</v>
      </c>
      <c r="AQ112" s="669">
        <f t="shared" si="20"/>
        <v>1340224.7358302826</v>
      </c>
      <c r="AR112" s="669">
        <f t="shared" si="20"/>
        <v>1260363.1431594822</v>
      </c>
      <c r="AS112" s="669">
        <f t="shared" si="20"/>
        <v>1469883.3379092026</v>
      </c>
      <c r="AT112" s="669">
        <f t="shared" si="20"/>
        <v>1524557.0878507746</v>
      </c>
      <c r="AU112" s="669">
        <f t="shared" si="20"/>
        <v>1580933.9890731277</v>
      </c>
      <c r="AV112" s="669">
        <f t="shared" si="20"/>
        <v>1501634.8947837211</v>
      </c>
      <c r="AW112" s="669">
        <f t="shared" si="20"/>
        <v>277848.14454061422</v>
      </c>
      <c r="AX112" s="213"/>
      <c r="AY112" s="213"/>
      <c r="AZ112" s="213"/>
      <c r="BA112" s="213"/>
      <c r="BB112" s="213"/>
      <c r="BC112" s="213"/>
      <c r="BD112" s="213"/>
      <c r="BE112" s="213"/>
      <c r="BF112" s="213"/>
      <c r="BG112" s="213"/>
      <c r="BH112" s="213"/>
      <c r="BI112" s="213"/>
      <c r="BJ112" s="213"/>
      <c r="BK112" s="213"/>
      <c r="BL112" s="213"/>
      <c r="BM112" s="213"/>
    </row>
    <row r="113" spans="2:65" x14ac:dyDescent="0.2">
      <c r="D113" s="232"/>
      <c r="E113" s="287"/>
      <c r="F113" s="287"/>
      <c r="G113" s="287"/>
      <c r="H113" s="287"/>
      <c r="I113" s="291"/>
      <c r="J113" s="287"/>
      <c r="K113" s="287"/>
      <c r="L113" s="287"/>
      <c r="M113" s="287"/>
      <c r="N113" s="287"/>
      <c r="O113" s="287"/>
      <c r="P113" s="287"/>
      <c r="Q113" s="287"/>
      <c r="R113" s="287"/>
      <c r="S113" s="291"/>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8"/>
      <c r="AR113" s="289"/>
      <c r="AS113" s="290"/>
      <c r="AT113" s="290"/>
      <c r="AU113" s="232"/>
      <c r="AV113" s="232"/>
      <c r="AW113" s="287"/>
      <c r="AX113" s="213"/>
      <c r="AY113" s="213"/>
      <c r="AZ113" s="213"/>
      <c r="BA113" s="213"/>
      <c r="BB113" s="213"/>
      <c r="BC113" s="213"/>
      <c r="BD113" s="213"/>
      <c r="BE113" s="213"/>
      <c r="BF113" s="213"/>
      <c r="BG113" s="213"/>
      <c r="BH113" s="213"/>
      <c r="BI113" s="213"/>
      <c r="BJ113" s="213"/>
      <c r="BK113" s="213"/>
      <c r="BL113" s="213"/>
      <c r="BM113" s="213"/>
    </row>
    <row r="114" spans="2:65" x14ac:dyDescent="0.2">
      <c r="B114" s="292" t="s">
        <v>364</v>
      </c>
      <c r="D114" s="232"/>
      <c r="E114" s="287"/>
      <c r="F114" s="287"/>
      <c r="G114" s="287"/>
      <c r="H114" s="287"/>
      <c r="I114" s="291"/>
      <c r="J114" s="287"/>
      <c r="K114" s="287"/>
      <c r="L114" s="287"/>
      <c r="M114" s="287"/>
      <c r="N114" s="287"/>
      <c r="O114" s="287"/>
      <c r="P114" s="287"/>
      <c r="Q114" s="287"/>
      <c r="R114" s="287"/>
      <c r="S114" s="291"/>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8"/>
      <c r="AR114" s="289"/>
      <c r="AS114" s="290"/>
      <c r="AT114" s="290"/>
      <c r="AU114" s="232"/>
      <c r="AV114" s="232"/>
      <c r="AW114" s="287"/>
      <c r="AX114" s="213"/>
      <c r="AY114" s="213"/>
      <c r="AZ114" s="213"/>
      <c r="BA114" s="213"/>
      <c r="BB114" s="213"/>
      <c r="BC114" s="213"/>
      <c r="BD114" s="213"/>
      <c r="BE114" s="213"/>
      <c r="BF114" s="213"/>
      <c r="BG114" s="213"/>
      <c r="BH114" s="213"/>
      <c r="BI114" s="213"/>
      <c r="BJ114" s="213"/>
      <c r="BK114" s="213"/>
      <c r="BL114" s="213"/>
      <c r="BM114" s="213"/>
    </row>
    <row r="115" spans="2:65" x14ac:dyDescent="0.2">
      <c r="B115" s="211" t="s">
        <v>356</v>
      </c>
      <c r="D115" s="286"/>
      <c r="E115" s="669">
        <f>+SUM(CF!R38:R39)</f>
        <v>0</v>
      </c>
      <c r="F115" s="669">
        <f>+SUM(CF!S38:S39)</f>
        <v>-27873.78125</v>
      </c>
      <c r="G115" s="669">
        <f>+SUM(CF!T38:T39)</f>
        <v>-51331.867977289221</v>
      </c>
      <c r="H115" s="669">
        <f>+SUM(CF!U38:U39)</f>
        <v>-64057.537733381927</v>
      </c>
      <c r="I115" s="669">
        <f>+SUM(CF!V38:V39)</f>
        <v>-60574.304548409695</v>
      </c>
      <c r="J115" s="669">
        <f>+SUM(CF!W38:W39)</f>
        <v>-60817.557844132287</v>
      </c>
      <c r="K115" s="669">
        <f>+SUM(CF!X38:X39)</f>
        <v>-61079.639559874136</v>
      </c>
      <c r="L115" s="669">
        <f>+SUM(CF!Y38:Y39)</f>
        <v>-61463.866158914832</v>
      </c>
      <c r="M115" s="669">
        <f>+SUM(CF!Z38:Z39)</f>
        <v>-61915.302624581105</v>
      </c>
      <c r="N115" s="669">
        <f>+SUM(CF!AA38:AA39)</f>
        <v>-62350.744327486878</v>
      </c>
      <c r="O115" s="669">
        <f>+SUM(CF!AB38:AB39)</f>
        <v>-62735.83479662281</v>
      </c>
      <c r="P115" s="669">
        <f>+SUM(CF!AC38:AC39)</f>
        <v>-63162.398677456833</v>
      </c>
      <c r="Q115" s="669">
        <f>+SUM(CF!AD38:AD39)</f>
        <v>-64019.542773428861</v>
      </c>
      <c r="R115" s="669">
        <f>+SUM(CF!AE38:AE39)</f>
        <v>-67951.25769677553</v>
      </c>
      <c r="S115" s="669">
        <f>+SUM(CF!AF38:AF39)</f>
        <v>-64699.229384648839</v>
      </c>
      <c r="T115" s="669">
        <f>+SUM(CF!AG38:AG39)</f>
        <v>-65401.831442138006</v>
      </c>
      <c r="U115" s="669">
        <f>+SUM(CF!AH38:AH39)</f>
        <v>-66075.51153834365</v>
      </c>
      <c r="V115" s="669">
        <f>+SUM(CF!AI38:AI39)</f>
        <v>-67150.39278457778</v>
      </c>
      <c r="W115" s="669">
        <f>+SUM(CF!AJ38:AJ39)</f>
        <v>-68472.749394392638</v>
      </c>
      <c r="X115" s="669">
        <f>+SUM(CF!AK38:AK39)</f>
        <v>-70005.245705569992</v>
      </c>
      <c r="Y115" s="669">
        <f>+SUM(CF!AL38:AL39)</f>
        <v>-71540.723518566898</v>
      </c>
      <c r="Z115" s="669">
        <f>+SUM(CF!AM38:AM39)</f>
        <v>-74162.488459678716</v>
      </c>
      <c r="AA115" s="669">
        <f>+SUM(CF!AN38:AN39)</f>
        <v>-77735.155598207362</v>
      </c>
      <c r="AB115" s="669">
        <f>+SUM(CF!AO38:AO39)</f>
        <v>-78887.094203263288</v>
      </c>
      <c r="AC115" s="669">
        <f>+SUM(CF!AP38:AP39)</f>
        <v>-76361.587121869001</v>
      </c>
      <c r="AD115" s="669">
        <f>+SUM(CF!AQ38:AQ39)</f>
        <v>-77128.006407048131</v>
      </c>
      <c r="AE115" s="669">
        <f>+SUM(CF!AR38:AR39)</f>
        <v>-77828.3198658443</v>
      </c>
      <c r="AF115" s="669">
        <f>+SUM(CF!AS38:AS39)</f>
        <v>-78682.396995715535</v>
      </c>
      <c r="AG115" s="669">
        <f>+SUM(CF!AT38:AT39)</f>
        <v>-79053.048995894744</v>
      </c>
      <c r="AH115" s="669">
        <f>+SUM(CF!AU38:AU39)</f>
        <v>-78117.122934546627</v>
      </c>
      <c r="AI115" s="669">
        <f>+SUM(CF!AV38:AV39)</f>
        <v>-72630.694547570805</v>
      </c>
      <c r="AJ115" s="669">
        <f>+SUM(CF!AW38:AW39)</f>
        <v>-66830.968978054763</v>
      </c>
      <c r="AK115" s="669">
        <f>+SUM(CF!AX38:AX39)</f>
        <v>-61063.059318730331</v>
      </c>
      <c r="AL115" s="669">
        <f>+SUM(CF!AY38:AY39)</f>
        <v>-52909.304995889783</v>
      </c>
      <c r="AM115" s="666">
        <f>+SUM(CF!AZ38:AZ39)</f>
        <v>-44802.483153756322</v>
      </c>
      <c r="AN115" s="666">
        <f>+SUM(CF!BA38:BA39)</f>
        <v>-36368.995159053935</v>
      </c>
      <c r="AO115" s="666">
        <f>+SUM(CF!BB38:BB39)</f>
        <v>-27289.41883735358</v>
      </c>
      <c r="AP115" s="666">
        <f>+SUM(CF!BC38:BC39)</f>
        <v>-17837.301696393126</v>
      </c>
      <c r="AQ115" s="666">
        <f>+SUM(CF!BD38:BD39)</f>
        <v>-7888.8607649381784</v>
      </c>
      <c r="AR115" s="666">
        <f>+SUM(CF!BE38:BE39)</f>
        <v>0</v>
      </c>
      <c r="AS115" s="666">
        <f>+SUM(CF!BF38:BF39)</f>
        <v>0</v>
      </c>
      <c r="AT115" s="666">
        <f>+SUM(CF!BG38:BG39)</f>
        <v>0</v>
      </c>
      <c r="AU115" s="666">
        <f>+SUM(CF!BH38:BH39)</f>
        <v>0</v>
      </c>
      <c r="AV115" s="666">
        <f>+SUM(CF!BI38:BI39)</f>
        <v>0</v>
      </c>
      <c r="AW115" s="666">
        <f>+SUM(CF!BJ38:BJ39)</f>
        <v>0</v>
      </c>
      <c r="AX115" s="213"/>
      <c r="AY115" s="213"/>
      <c r="AZ115" s="213"/>
      <c r="BA115" s="213"/>
      <c r="BB115" s="213"/>
      <c r="BC115" s="213"/>
      <c r="BD115" s="213"/>
      <c r="BE115" s="213"/>
      <c r="BF115" s="213"/>
      <c r="BG115" s="213"/>
      <c r="BH115" s="213"/>
      <c r="BI115" s="213"/>
      <c r="BJ115" s="213"/>
      <c r="BK115" s="213"/>
      <c r="BL115" s="213"/>
      <c r="BM115" s="213"/>
    </row>
    <row r="116" spans="2:65" x14ac:dyDescent="0.2">
      <c r="B116" s="211" t="s">
        <v>357</v>
      </c>
      <c r="D116" s="286"/>
      <c r="E116" s="669">
        <f>+SUM(CF!R37,CF!R40)</f>
        <v>0</v>
      </c>
      <c r="F116" s="665">
        <f>+SUM(CF!S37,CF!S40)</f>
        <v>0</v>
      </c>
      <c r="G116" s="665">
        <f>+SUM(CF!T37,CF!T40)</f>
        <v>0</v>
      </c>
      <c r="H116" s="665">
        <f>+SUM(CF!U37,CF!U40)</f>
        <v>3321.3370258702384</v>
      </c>
      <c r="I116" s="665">
        <f>+SUM(CF!V37,CF!V40)</f>
        <v>4855.5300603970763</v>
      </c>
      <c r="J116" s="293">
        <f>+SUM(CF!W37,CF!W40)</f>
        <v>5234.7233595289154</v>
      </c>
      <c r="K116" s="665">
        <f>+SUM(CF!X37,CF!X40)</f>
        <v>5643.5298123881421</v>
      </c>
      <c r="L116" s="665">
        <f>+SUM(CF!Y37,CF!Y40)</f>
        <v>6084.2620623566145</v>
      </c>
      <c r="M116" s="665">
        <f>+SUM(CF!Z37,CF!Z40)</f>
        <v>6559.4133590245256</v>
      </c>
      <c r="N116" s="665">
        <f>+SUM(CF!AA37,CF!AA40)</f>
        <v>7071.6716626575071</v>
      </c>
      <c r="O116" s="665">
        <f>+SUM(CF!AB37,CF!AB40)</f>
        <v>7112.6761485473035</v>
      </c>
      <c r="P116" s="665">
        <f>+SUM(CF!AC37,CF!AC40)</f>
        <v>7153.9183954564542</v>
      </c>
      <c r="Q116" s="665">
        <f>+SUM(CF!AD37,CF!AD40)</f>
        <v>7195.3997820219884</v>
      </c>
      <c r="R116" s="665">
        <f>+SUM(CF!AE37,CF!AE40)</f>
        <v>7237.1216948748361</v>
      </c>
      <c r="S116" s="665">
        <f>+SUM(CF!AF37,CF!AF40)</f>
        <v>7279.0855286861879</v>
      </c>
      <c r="T116" s="293">
        <f>+SUM(CF!AG37,CF!AG40)</f>
        <v>7825.0840659259266</v>
      </c>
      <c r="U116" s="665">
        <f>+SUM(CF!AH37,CF!AH40)</f>
        <v>8412.0375282717287</v>
      </c>
      <c r="V116" s="665">
        <f>+SUM(CF!AI37,CF!AI40)</f>
        <v>9043.0179127639421</v>
      </c>
      <c r="W116" s="665">
        <f>+SUM(CF!AJ37,CF!AJ40)</f>
        <v>9721.3276445487572</v>
      </c>
      <c r="X116" s="665">
        <f>+SUM(CF!AK37,CF!AK40)</f>
        <v>10450.516861110955</v>
      </c>
      <c r="Y116" s="665">
        <f>+SUM(CF!AL37,CF!AL40)</f>
        <v>11402.936904942442</v>
      </c>
      <c r="Z116" s="665">
        <f>+SUM(CF!AM37,CF!AM40)</f>
        <v>12442.156860390503</v>
      </c>
      <c r="AA116" s="665">
        <f>+SUM(CF!AN37,CF!AN40)</f>
        <v>13576.087338645477</v>
      </c>
      <c r="AB116" s="665">
        <f>+SUM(CF!AO37,CF!AO40)</f>
        <v>14813.35989367567</v>
      </c>
      <c r="AC116" s="665">
        <f>+SUM(CF!AP37,CF!AP40)</f>
        <v>16163.392726188255</v>
      </c>
      <c r="AD116" s="665">
        <f>+SUM(CF!AQ37,CF!AQ40)</f>
        <v>14764.028626131159</v>
      </c>
      <c r="AE116" s="665">
        <f>+SUM(CF!AR37,CF!AR40)</f>
        <v>13485.816063854612</v>
      </c>
      <c r="AF116" s="665">
        <f>+SUM(CF!AS37,CF!AS40)</f>
        <v>12318.266207248376</v>
      </c>
      <c r="AG116" s="665">
        <f>+SUM(CF!AT37,CF!AT40)</f>
        <v>11251.798306766013</v>
      </c>
      <c r="AH116" s="665">
        <f>+SUM(CF!AU37,CF!AU40)</f>
        <v>-100214.76014151708</v>
      </c>
      <c r="AI116" s="669">
        <f>+SUM(CF!AV37,CF!AV40)</f>
        <v>-108126.29756378884</v>
      </c>
      <c r="AJ116" s="669">
        <f>+SUM(CF!AW37,CF!AW40)</f>
        <v>-122398.67018260507</v>
      </c>
      <c r="AK116" s="669">
        <f>+SUM(CF!AX37,CF!AX40)</f>
        <v>-128824.60036719183</v>
      </c>
      <c r="AL116" s="669">
        <f>+SUM(CF!AY37,CF!AY40)</f>
        <v>-150378.78197027749</v>
      </c>
      <c r="AM116" s="666">
        <f>+SUM(CF!AZ37,CF!AZ40)</f>
        <v>-158273.66802371704</v>
      </c>
      <c r="AN116" s="666">
        <f>+SUM(CF!BA37,CF!BA40)</f>
        <v>-166583.03559496219</v>
      </c>
      <c r="AO116" s="666">
        <f>+SUM(CF!BB37,CF!BB40)</f>
        <v>-175328.6449636977</v>
      </c>
      <c r="AP116" s="666">
        <f>+SUM(CF!BC37,CF!BC40)</f>
        <v>-184533.39882429174</v>
      </c>
      <c r="AQ116" s="666">
        <f>+SUM(CF!BD37,CF!BD40)</f>
        <v>-194221.40226256705</v>
      </c>
      <c r="AR116" s="666">
        <f>+SUM(CF!BE37,CF!BE40)</f>
        <v>0</v>
      </c>
      <c r="AS116" s="666">
        <f>+SUM(CF!BF37,CF!BF40)</f>
        <v>0</v>
      </c>
      <c r="AT116" s="666">
        <f>+SUM(CF!BG37,CF!BG40)</f>
        <v>0</v>
      </c>
      <c r="AU116" s="666">
        <f>+SUM(CF!BH37,CF!BH40)</f>
        <v>0</v>
      </c>
      <c r="AV116" s="666">
        <f>+SUM(CF!BI37,CF!BI40)</f>
        <v>0</v>
      </c>
      <c r="AW116" s="666">
        <f>+SUM(CF!BJ37,CF!BJ40)</f>
        <v>0</v>
      </c>
      <c r="AX116" s="213"/>
      <c r="AY116" s="213"/>
      <c r="AZ116" s="213"/>
      <c r="BA116" s="213"/>
      <c r="BB116" s="213"/>
      <c r="BC116" s="213"/>
      <c r="BD116" s="213"/>
      <c r="BE116" s="213"/>
      <c r="BF116" s="213"/>
      <c r="BG116" s="213"/>
      <c r="BH116" s="213"/>
      <c r="BI116" s="213"/>
      <c r="BJ116" s="213"/>
      <c r="BK116" s="213"/>
      <c r="BL116" s="213"/>
      <c r="BM116" s="213"/>
    </row>
    <row r="117" spans="2:65" x14ac:dyDescent="0.2">
      <c r="B117" s="211" t="s">
        <v>358</v>
      </c>
      <c r="D117" s="294"/>
      <c r="E117" s="668">
        <f t="shared" ref="E117:AP117" si="21">SUM(E115:E116)</f>
        <v>0</v>
      </c>
      <c r="F117" s="668">
        <f t="shared" si="21"/>
        <v>-27873.78125</v>
      </c>
      <c r="G117" s="668">
        <f t="shared" si="21"/>
        <v>-51331.867977289221</v>
      </c>
      <c r="H117" s="668">
        <f t="shared" si="21"/>
        <v>-60736.200707511685</v>
      </c>
      <c r="I117" s="668">
        <f t="shared" si="21"/>
        <v>-55718.774488012619</v>
      </c>
      <c r="J117" s="668">
        <f t="shared" si="21"/>
        <v>-55582.834484603372</v>
      </c>
      <c r="K117" s="668">
        <f t="shared" si="21"/>
        <v>-55436.109747485993</v>
      </c>
      <c r="L117" s="668">
        <f t="shared" si="21"/>
        <v>-55379.604096558221</v>
      </c>
      <c r="M117" s="668">
        <f t="shared" si="21"/>
        <v>-55355.88926555658</v>
      </c>
      <c r="N117" s="668">
        <f t="shared" si="21"/>
        <v>-55279.072664829371</v>
      </c>
      <c r="O117" s="668">
        <f t="shared" si="21"/>
        <v>-55623.158648075507</v>
      </c>
      <c r="P117" s="668">
        <f t="shared" si="21"/>
        <v>-56008.480282000382</v>
      </c>
      <c r="Q117" s="668">
        <f t="shared" si="21"/>
        <v>-56824.142991406872</v>
      </c>
      <c r="R117" s="668">
        <f t="shared" si="21"/>
        <v>-60714.136001900697</v>
      </c>
      <c r="S117" s="668">
        <f t="shared" si="21"/>
        <v>-57420.143855962655</v>
      </c>
      <c r="T117" s="668">
        <f t="shared" si="21"/>
        <v>-57576.747376212079</v>
      </c>
      <c r="U117" s="668">
        <f t="shared" si="21"/>
        <v>-57663.474010071921</v>
      </c>
      <c r="V117" s="668">
        <f t="shared" si="21"/>
        <v>-58107.374871813838</v>
      </c>
      <c r="W117" s="668">
        <f t="shared" si="21"/>
        <v>-58751.421749843881</v>
      </c>
      <c r="X117" s="668">
        <f t="shared" si="21"/>
        <v>-59554.728844459038</v>
      </c>
      <c r="Y117" s="668">
        <f t="shared" si="21"/>
        <v>-60137.786613624456</v>
      </c>
      <c r="Z117" s="668">
        <f t="shared" si="21"/>
        <v>-61720.331599288213</v>
      </c>
      <c r="AA117" s="668">
        <f t="shared" si="21"/>
        <v>-64159.068259561885</v>
      </c>
      <c r="AB117" s="668">
        <f t="shared" si="21"/>
        <v>-64073.73430958762</v>
      </c>
      <c r="AC117" s="668">
        <f t="shared" si="21"/>
        <v>-60198.194395680744</v>
      </c>
      <c r="AD117" s="668">
        <f t="shared" si="21"/>
        <v>-62363.977780916975</v>
      </c>
      <c r="AE117" s="668">
        <f t="shared" si="21"/>
        <v>-64342.503801989689</v>
      </c>
      <c r="AF117" s="668">
        <f t="shared" si="21"/>
        <v>-66364.130788467155</v>
      </c>
      <c r="AG117" s="668">
        <f t="shared" si="21"/>
        <v>-67801.250689128734</v>
      </c>
      <c r="AH117" s="668">
        <f t="shared" si="21"/>
        <v>-178331.88307606371</v>
      </c>
      <c r="AI117" s="668">
        <f t="shared" si="21"/>
        <v>-180756.99211135966</v>
      </c>
      <c r="AJ117" s="668">
        <f t="shared" si="21"/>
        <v>-189229.63916065983</v>
      </c>
      <c r="AK117" s="668">
        <f t="shared" si="21"/>
        <v>-189887.65968592215</v>
      </c>
      <c r="AL117" s="668">
        <f t="shared" si="21"/>
        <v>-203288.08696616726</v>
      </c>
      <c r="AM117" s="668">
        <f t="shared" si="21"/>
        <v>-203076.15117747337</v>
      </c>
      <c r="AN117" s="668">
        <f t="shared" si="21"/>
        <v>-202952.03075401613</v>
      </c>
      <c r="AO117" s="668">
        <f t="shared" si="21"/>
        <v>-202618.06380105129</v>
      </c>
      <c r="AP117" s="668">
        <f t="shared" si="21"/>
        <v>-202370.70052068486</v>
      </c>
      <c r="AQ117" s="668">
        <f t="shared" ref="AQ117:AW117" si="22">SUM(AQ115:AQ116)</f>
        <v>-202110.26302750522</v>
      </c>
      <c r="AR117" s="668">
        <f t="shared" si="22"/>
        <v>0</v>
      </c>
      <c r="AS117" s="668">
        <f t="shared" si="22"/>
        <v>0</v>
      </c>
      <c r="AT117" s="668">
        <f t="shared" si="22"/>
        <v>0</v>
      </c>
      <c r="AU117" s="668">
        <f t="shared" si="22"/>
        <v>0</v>
      </c>
      <c r="AV117" s="668">
        <f t="shared" si="22"/>
        <v>0</v>
      </c>
      <c r="AW117" s="668">
        <f t="shared" si="22"/>
        <v>0</v>
      </c>
      <c r="AX117" s="213"/>
      <c r="AY117" s="213"/>
      <c r="AZ117" s="213"/>
      <c r="BA117" s="213"/>
      <c r="BB117" s="213"/>
      <c r="BC117" s="213"/>
      <c r="BD117" s="213"/>
      <c r="BE117" s="213"/>
      <c r="BF117" s="213"/>
      <c r="BG117" s="213"/>
      <c r="BH117" s="213"/>
      <c r="BI117" s="213"/>
      <c r="BJ117" s="213"/>
      <c r="BK117" s="213"/>
      <c r="BL117" s="213"/>
      <c r="BM117" s="213"/>
    </row>
    <row r="118" spans="2:65" x14ac:dyDescent="0.2">
      <c r="B118" s="211" t="s">
        <v>374</v>
      </c>
      <c r="D118" s="294"/>
      <c r="E118" s="668">
        <f>+CF!R43</f>
        <v>0</v>
      </c>
      <c r="F118" s="668">
        <f>+CF!S43</f>
        <v>0</v>
      </c>
      <c r="G118" s="668">
        <f>+CF!T43</f>
        <v>2933.937622086924</v>
      </c>
      <c r="H118" s="668">
        <f>+CF!U43</f>
        <v>940.6351316665299</v>
      </c>
      <c r="I118" s="668">
        <f>+CF!V43</f>
        <v>1180.3461841882392</v>
      </c>
      <c r="J118" s="668">
        <f>+CF!W43</f>
        <v>1392.855798373562</v>
      </c>
      <c r="K118" s="668">
        <f>+CF!X43</f>
        <v>1567.8927138781878</v>
      </c>
      <c r="L118" s="668">
        <f>+CF!Y43</f>
        <v>1733.2721968863589</v>
      </c>
      <c r="M118" s="668">
        <f>+CF!Z43</f>
        <v>1902.9812601184744</v>
      </c>
      <c r="N118" s="668">
        <f>+CF!AA43</f>
        <v>2074.7351020773285</v>
      </c>
      <c r="O118" s="668">
        <f>+CF!AB43</f>
        <v>2212.8585877595424</v>
      </c>
      <c r="P118" s="668">
        <f>+CF!AC43</f>
        <v>2330.3773691569895</v>
      </c>
      <c r="Q118" s="668">
        <f>+CF!AD43</f>
        <v>2418.2959333556219</v>
      </c>
      <c r="R118" s="668">
        <f>+CF!AE43</f>
        <v>2579.0949092429973</v>
      </c>
      <c r="S118" s="668">
        <f>+CF!AF43</f>
        <v>2696.1751882153148</v>
      </c>
      <c r="T118" s="668">
        <f>+CF!AG43</f>
        <v>2839.6666328661431</v>
      </c>
      <c r="U118" s="668">
        <f>+CF!AH43</f>
        <v>3105.9161260773412</v>
      </c>
      <c r="V118" s="668">
        <f>+CF!AI43</f>
        <v>3411.5832240242535</v>
      </c>
      <c r="W118" s="668">
        <f>+CF!AJ43</f>
        <v>3768.0917971796848</v>
      </c>
      <c r="X118" s="668">
        <f>+CF!AK43</f>
        <v>4073.6348544397351</v>
      </c>
      <c r="Y118" s="668">
        <f>+CF!AL43</f>
        <v>4320.6180431709508</v>
      </c>
      <c r="Z118" s="668">
        <f>+CF!AM43</f>
        <v>4797.2675879554872</v>
      </c>
      <c r="AA118" s="668">
        <f>+CF!AN43</f>
        <v>5638.7025356995109</v>
      </c>
      <c r="AB118" s="668">
        <f>+CF!AO43</f>
        <v>5664.2656594535383</v>
      </c>
      <c r="AC118" s="668">
        <f>+CF!AP43</f>
        <v>5923.2709353723476</v>
      </c>
      <c r="AD118" s="668">
        <f>+CF!AQ43</f>
        <v>5964.8664794603264</v>
      </c>
      <c r="AE118" s="668">
        <f>+CF!AR43</f>
        <v>6134.1481172792337</v>
      </c>
      <c r="AF118" s="668">
        <f>+CF!AS43</f>
        <v>6339.194453137532</v>
      </c>
      <c r="AG118" s="668">
        <f>+CF!AT43</f>
        <v>6577.3231478792877</v>
      </c>
      <c r="AH118" s="668">
        <f>+CF!AU43</f>
        <v>9006.5046993014894</v>
      </c>
      <c r="AI118" s="668">
        <f>+CF!AV43</f>
        <v>9125.9065121812091</v>
      </c>
      <c r="AJ118" s="668">
        <f>+CF!AW43</f>
        <v>9465.0985390987535</v>
      </c>
      <c r="AK118" s="668">
        <f>+CF!AX43</f>
        <v>9787.7998764432105</v>
      </c>
      <c r="AL118" s="668">
        <f>+CF!AY43</f>
        <v>10381.737567421795</v>
      </c>
      <c r="AM118" s="668">
        <f>+CF!AZ43</f>
        <v>10650.770306827853</v>
      </c>
      <c r="AN118" s="668">
        <f>+CF!BA43</f>
        <v>10806.024617332281</v>
      </c>
      <c r="AO118" s="668">
        <f>+CF!BB43</f>
        <v>10971.409959314491</v>
      </c>
      <c r="AP118" s="668">
        <f>+CF!BC43</f>
        <v>11072.161126111594</v>
      </c>
      <c r="AQ118" s="668">
        <f>+CF!BD43</f>
        <v>11355.312685980001</v>
      </c>
      <c r="AR118" s="668">
        <f>+CF!BE43</f>
        <v>9642.6086918270485</v>
      </c>
      <c r="AS118" s="668">
        <f>+CF!BF43</f>
        <v>9736.9246790448087</v>
      </c>
      <c r="AT118" s="668">
        <f>+CF!BG43</f>
        <v>9624.1770197395927</v>
      </c>
      <c r="AU118" s="668">
        <f>+CF!BH43</f>
        <v>9434.8959840826774</v>
      </c>
      <c r="AV118" s="668">
        <f>+CF!BI43</f>
        <v>8508.7060004751474</v>
      </c>
      <c r="AW118" s="668">
        <f>+CF!BJ43</f>
        <v>1940.2901498285173</v>
      </c>
      <c r="AX118" s="213"/>
      <c r="AY118" s="213"/>
      <c r="AZ118" s="213"/>
      <c r="BA118" s="213"/>
      <c r="BB118" s="213"/>
      <c r="BC118" s="213"/>
      <c r="BD118" s="213"/>
      <c r="BE118" s="213"/>
      <c r="BF118" s="213"/>
      <c r="BG118" s="213"/>
      <c r="BH118" s="213"/>
      <c r="BI118" s="213"/>
      <c r="BJ118" s="213"/>
      <c r="BK118" s="213"/>
      <c r="BL118" s="213"/>
      <c r="BM118" s="213"/>
    </row>
    <row r="119" spans="2:65" x14ac:dyDescent="0.2">
      <c r="B119" s="211" t="s">
        <v>367</v>
      </c>
      <c r="D119" s="294"/>
      <c r="E119" s="668">
        <f>+Fin!R22+Fin!R23+Fin!R30+Fin!R31+Fin!R38+Fin!R39++Fin!R40+Fin!R54+Fin!R55</f>
        <v>34706.678972905356</v>
      </c>
      <c r="F119" s="668">
        <f>+Fin!S22+Fin!S23+Fin!S30+Fin!S31+Fin!S38+Fin!S39++Fin!S40+Fin!S54+Fin!S55</f>
        <v>36293.173843853452</v>
      </c>
      <c r="G119" s="668">
        <f>+Fin!T22+Fin!T23+Fin!T30+Fin!T31+Fin!T38+Fin!T39++Fin!T40+Fin!T54+Fin!T55</f>
        <v>18197.177107583895</v>
      </c>
      <c r="H119" s="668">
        <f>+Fin!U22+Fin!U23+Fin!U30+Fin!U31+Fin!U38+Fin!U39++Fin!U40+Fin!U54+Fin!U55</f>
        <v>0</v>
      </c>
      <c r="I119" s="668">
        <f>+Fin!V22+Fin!V23+Fin!V30+Fin!V31+Fin!V38+Fin!V39++Fin!V40+Fin!V54+Fin!V55</f>
        <v>0</v>
      </c>
      <c r="J119" s="668">
        <f>+Fin!W22+Fin!W23+Fin!W30+Fin!W31+Fin!W38+Fin!W39++Fin!W40+Fin!W54+Fin!W55</f>
        <v>0</v>
      </c>
      <c r="K119" s="668">
        <f>+Fin!X22+Fin!X23+Fin!X30+Fin!X31+Fin!X38+Fin!X39++Fin!X40+Fin!X54+Fin!X55</f>
        <v>0</v>
      </c>
      <c r="L119" s="668">
        <f>+Fin!Y22+Fin!Y23+Fin!Y30+Fin!Y31+Fin!Y38+Fin!Y39++Fin!Y40+Fin!Y54+Fin!Y55</f>
        <v>0</v>
      </c>
      <c r="M119" s="668">
        <f>+Fin!Z22+Fin!Z23+Fin!Z30+Fin!Z31+Fin!Z38+Fin!Z39++Fin!Z40+Fin!Z54+Fin!Z55</f>
        <v>0</v>
      </c>
      <c r="N119" s="668">
        <f>+Fin!AA22+Fin!AA23+Fin!AA30+Fin!AA31+Fin!AA38+Fin!AA39++Fin!AA40+Fin!AA54+Fin!AA55</f>
        <v>0</v>
      </c>
      <c r="O119" s="668">
        <f>+Fin!AB22+Fin!AB23+Fin!AB30+Fin!AB31+Fin!AB38+Fin!AB39++Fin!AB40+Fin!AB54+Fin!AB55</f>
        <v>0</v>
      </c>
      <c r="P119" s="668">
        <f>+Fin!AC22+Fin!AC23+Fin!AC30+Fin!AC31+Fin!AC38+Fin!AC39++Fin!AC40+Fin!AC54+Fin!AC55</f>
        <v>0</v>
      </c>
      <c r="Q119" s="668">
        <f>+Fin!AD22+Fin!AD23+Fin!AD30+Fin!AD31+Fin!AD38+Fin!AD39++Fin!AD40+Fin!AD54+Fin!AD55</f>
        <v>0</v>
      </c>
      <c r="R119" s="668">
        <f>+Fin!AE22+Fin!AE23+Fin!AE30+Fin!AE31+Fin!AE38+Fin!AE39++Fin!AE40+Fin!AE54+Fin!AE55</f>
        <v>0</v>
      </c>
      <c r="S119" s="668">
        <f>+Fin!AF22+Fin!AF23+Fin!AF30+Fin!AF31+Fin!AF38+Fin!AF39++Fin!AF40+Fin!AF54+Fin!AF55</f>
        <v>0</v>
      </c>
      <c r="T119" s="668">
        <f>+Fin!AG22+Fin!AG23+Fin!AG30+Fin!AG31+Fin!AG38+Fin!AG39++Fin!AG40+Fin!AG54+Fin!AG55</f>
        <v>0</v>
      </c>
      <c r="U119" s="668">
        <f>+Fin!AH22+Fin!AH23+Fin!AH30+Fin!AH31+Fin!AH38+Fin!AH39++Fin!AH40+Fin!AH54+Fin!AH55</f>
        <v>0</v>
      </c>
      <c r="V119" s="668">
        <f>+Fin!AI22+Fin!AI23+Fin!AI30+Fin!AI31+Fin!AI38+Fin!AI39++Fin!AI40+Fin!AI54+Fin!AI55</f>
        <v>0</v>
      </c>
      <c r="W119" s="668">
        <f>+Fin!AJ22+Fin!AJ23+Fin!AJ30+Fin!AJ31+Fin!AJ38+Fin!AJ39++Fin!AJ40+Fin!AJ54+Fin!AJ55</f>
        <v>0</v>
      </c>
      <c r="X119" s="668">
        <f>+Fin!AK22+Fin!AK23+Fin!AK30+Fin!AK31+Fin!AK38+Fin!AK39++Fin!AK40+Fin!AK54+Fin!AK55</f>
        <v>0</v>
      </c>
      <c r="Y119" s="668">
        <f>+Fin!AL22+Fin!AL23+Fin!AL30+Fin!AL31+Fin!AL38+Fin!AL39++Fin!AL40+Fin!AL54+Fin!AL55</f>
        <v>0</v>
      </c>
      <c r="Z119" s="668">
        <f>+Fin!AM22+Fin!AM23+Fin!AM30+Fin!AM31+Fin!AM38+Fin!AM39++Fin!AM40+Fin!AM54+Fin!AM55</f>
        <v>0</v>
      </c>
      <c r="AA119" s="668">
        <f>+Fin!AN22+Fin!AN23+Fin!AN30+Fin!AN31+Fin!AN38+Fin!AN39++Fin!AN40+Fin!AN54+Fin!AN55</f>
        <v>0</v>
      </c>
      <c r="AB119" s="668">
        <f>+Fin!AO22+Fin!AO23+Fin!AO30+Fin!AO31+Fin!AO38+Fin!AO39++Fin!AO40+Fin!AO54+Fin!AO55</f>
        <v>0</v>
      </c>
      <c r="AC119" s="668">
        <f>+Fin!AP22+Fin!AP23+Fin!AP30+Fin!AP31+Fin!AP38+Fin!AP39++Fin!AP40+Fin!AP54+Fin!AP55</f>
        <v>0</v>
      </c>
      <c r="AD119" s="668">
        <f>+Fin!AQ22+Fin!AQ23+Fin!AQ30+Fin!AQ31+Fin!AQ38+Fin!AQ39++Fin!AQ40+Fin!AQ54+Fin!AQ55</f>
        <v>0</v>
      </c>
      <c r="AE119" s="668">
        <f>+Fin!AR22+Fin!AR23+Fin!AR30+Fin!AR31+Fin!AR38+Fin!AR39++Fin!AR40+Fin!AR54+Fin!AR55</f>
        <v>0</v>
      </c>
      <c r="AF119" s="668">
        <f>+Fin!AS22+Fin!AS23+Fin!AS30+Fin!AS31+Fin!AS38+Fin!AS39++Fin!AS40+Fin!AS54+Fin!AS55</f>
        <v>0</v>
      </c>
      <c r="AG119" s="668">
        <f>+Fin!AT22+Fin!AT23+Fin!AT30+Fin!AT31+Fin!AT38+Fin!AT39++Fin!AT40+Fin!AT54+Fin!AT55</f>
        <v>0</v>
      </c>
      <c r="AH119" s="668">
        <f>+Fin!AU22+Fin!AU23+Fin!AU30+Fin!AU31+Fin!AU38+Fin!AU39++Fin!AU40+Fin!AU54+Fin!AU55</f>
        <v>0</v>
      </c>
      <c r="AI119" s="668">
        <f>+Fin!AV22+Fin!AV23+Fin!AV30+Fin!AV31+Fin!AV38+Fin!AV39++Fin!AV40+Fin!AV54+Fin!AV55</f>
        <v>0</v>
      </c>
      <c r="AJ119" s="668">
        <f>+Fin!AW22+Fin!AW23+Fin!AW30+Fin!AW31+Fin!AW38+Fin!AW39++Fin!AW40+Fin!AW54+Fin!AW55</f>
        <v>0</v>
      </c>
      <c r="AK119" s="668">
        <f>+Fin!AX22+Fin!AX23+Fin!AX30+Fin!AX31+Fin!AX38+Fin!AX39++Fin!AX40+Fin!AX54+Fin!AX55</f>
        <v>0</v>
      </c>
      <c r="AL119" s="668">
        <f>+Fin!AY22+Fin!AY23+Fin!AY30+Fin!AY31+Fin!AY38+Fin!AY39++Fin!AY40+Fin!AY54+Fin!AY55</f>
        <v>0</v>
      </c>
      <c r="AM119" s="668">
        <f>+Fin!AZ22+Fin!AZ23+Fin!AZ30+Fin!AZ31+Fin!AZ38+Fin!AZ39++Fin!AZ40+Fin!AZ54+Fin!AZ55</f>
        <v>0</v>
      </c>
      <c r="AN119" s="668">
        <f>+Fin!BA22+Fin!BA23+Fin!BA30+Fin!BA31+Fin!BA38+Fin!BA39++Fin!BA40+Fin!BA54+Fin!BA55</f>
        <v>0</v>
      </c>
      <c r="AO119" s="668">
        <f>+Fin!BB22+Fin!BB23+Fin!BB30+Fin!BB31+Fin!BB38+Fin!BB39++Fin!BB40+Fin!BB54+Fin!BB55</f>
        <v>0</v>
      </c>
      <c r="AP119" s="668">
        <f>+Fin!BC22+Fin!BC23+Fin!BC30+Fin!BC31+Fin!BC38+Fin!BC39++Fin!BC40+Fin!BC54+Fin!BC55</f>
        <v>0</v>
      </c>
      <c r="AQ119" s="668">
        <f>+Fin!BD22+Fin!BD23+Fin!BD30+Fin!BD31+Fin!BD38+Fin!BD39++Fin!BD40+Fin!BD54+Fin!BD55</f>
        <v>0</v>
      </c>
      <c r="AR119" s="668">
        <f>+Fin!BE22+Fin!BE23+Fin!BE30+Fin!BE31+Fin!BE38+Fin!BE39++Fin!BE40+Fin!BE54+Fin!BE55</f>
        <v>0</v>
      </c>
      <c r="AS119" s="668">
        <f>+Fin!BF22+Fin!BF23+Fin!BF30+Fin!BF31+Fin!BF38+Fin!BF39++Fin!BF40+Fin!BF54+Fin!BF55</f>
        <v>0</v>
      </c>
      <c r="AT119" s="668">
        <f>+Fin!BG22+Fin!BG23+Fin!BG30+Fin!BG31+Fin!BG38+Fin!BG39++Fin!BG40+Fin!BG54+Fin!BG55</f>
        <v>0</v>
      </c>
      <c r="AU119" s="668">
        <f>+Fin!BH22+Fin!BH23+Fin!BH30+Fin!BH31+Fin!BH38+Fin!BH39++Fin!BH40+Fin!BH54+Fin!BH55</f>
        <v>0</v>
      </c>
      <c r="AV119" s="668">
        <f>+Fin!BI22+Fin!BI23+Fin!BI30+Fin!BI31+Fin!BI38+Fin!BI39++Fin!BI40+Fin!BI54+Fin!BI55</f>
        <v>0</v>
      </c>
      <c r="AW119" s="668">
        <f>+Fin!BJ22+Fin!BJ23+Fin!BJ30+Fin!BJ31+Fin!BJ38+Fin!BJ39++Fin!BJ40+Fin!BJ54+Fin!BJ55</f>
        <v>0</v>
      </c>
      <c r="AX119" s="213"/>
      <c r="AY119" s="213"/>
      <c r="AZ119" s="213"/>
      <c r="BA119" s="213"/>
      <c r="BB119" s="213"/>
      <c r="BC119" s="213"/>
      <c r="BD119" s="213"/>
      <c r="BE119" s="213"/>
      <c r="BF119" s="213"/>
      <c r="BG119" s="213"/>
      <c r="BH119" s="213"/>
      <c r="BI119" s="213"/>
      <c r="BJ119" s="213"/>
      <c r="BK119" s="213"/>
      <c r="BL119" s="213"/>
      <c r="BM119" s="213"/>
    </row>
    <row r="120" spans="2:65" x14ac:dyDescent="0.2">
      <c r="B120" s="211" t="s">
        <v>359</v>
      </c>
      <c r="D120" s="294"/>
      <c r="E120" s="668">
        <f>+Fin!R25+Fin!R33+Fin!R46+Fin!R57</f>
        <v>1193974.4131109053</v>
      </c>
      <c r="F120" s="668">
        <f>+Fin!S25+Fin!S33+Fin!S46+Fin!S57</f>
        <v>1230267.586954759</v>
      </c>
      <c r="G120" s="668">
        <f>+Fin!T25+Fin!T33+Fin!T46+Fin!T57</f>
        <v>1248464.7640623427</v>
      </c>
      <c r="H120" s="668">
        <f>+Fin!U25+Fin!U33+Fin!U46+Fin!U57</f>
        <v>1251786.101088213</v>
      </c>
      <c r="I120" s="668">
        <f>+Fin!V25+Fin!V33+Fin!V46+Fin!V57</f>
        <v>1256641.6311486103</v>
      </c>
      <c r="J120" s="668">
        <f>+Fin!W25+Fin!W33+Fin!W46+Fin!W57</f>
        <v>1261876.3545081392</v>
      </c>
      <c r="K120" s="668">
        <f>+Fin!X25+Fin!X33+Fin!X46+Fin!X57</f>
        <v>1267519.8843205273</v>
      </c>
      <c r="L120" s="668">
        <f>+Fin!Y25+Fin!Y33+Fin!Y46+Fin!Y57</f>
        <v>1273604.1463828839</v>
      </c>
      <c r="M120" s="668">
        <f>+Fin!Z25+Fin!Z33+Fin!Z46+Fin!Z57</f>
        <v>1280163.5597419085</v>
      </c>
      <c r="N120" s="668">
        <f>+Fin!AA25+Fin!AA33+Fin!AA46+Fin!AA57</f>
        <v>1287235.2314045662</v>
      </c>
      <c r="O120" s="668">
        <f>+Fin!AB25+Fin!AB33+Fin!AB46+Fin!AB57</f>
        <v>1294347.9075531135</v>
      </c>
      <c r="P120" s="668">
        <f>+Fin!AC25+Fin!AC33+Fin!AC46+Fin!AC57</f>
        <v>1301501.8259485697</v>
      </c>
      <c r="Q120" s="668">
        <f>+Fin!AD25+Fin!AD33+Fin!AD46+Fin!AD57</f>
        <v>1308697.2257305915</v>
      </c>
      <c r="R120" s="668">
        <f>+Fin!AE25+Fin!AE33+Fin!AE46+Fin!AE57</f>
        <v>1315934.3474254664</v>
      </c>
      <c r="S120" s="668">
        <f>+Fin!AF25+Fin!AF33+Fin!AF46+Fin!AF57</f>
        <v>1323213.4329541526</v>
      </c>
      <c r="T120" s="668">
        <f>+Fin!AG25+Fin!AG33+Fin!AG46+Fin!AG57</f>
        <v>1331038.5170200784</v>
      </c>
      <c r="U120" s="668">
        <f>+Fin!AH25+Fin!AH33+Fin!AH46+Fin!AH57</f>
        <v>1339450.5545483504</v>
      </c>
      <c r="V120" s="668">
        <f>+Fin!AI25+Fin!AI33+Fin!AI46+Fin!AI57</f>
        <v>1348493.5724611143</v>
      </c>
      <c r="W120" s="668">
        <f>+Fin!AJ25+Fin!AJ33+Fin!AJ46+Fin!AJ57</f>
        <v>1358214.9001056631</v>
      </c>
      <c r="X120" s="668">
        <f>+Fin!AK25+Fin!AK33+Fin!AK46+Fin!AK57</f>
        <v>1368665.416966774</v>
      </c>
      <c r="Y120" s="668">
        <f>+Fin!AL25+Fin!AL33+Fin!AL46+Fin!AL57</f>
        <v>1380068.3538717167</v>
      </c>
      <c r="Z120" s="668">
        <f>+Fin!AM25+Fin!AM33+Fin!AM46+Fin!AM57</f>
        <v>1392510.5107321071</v>
      </c>
      <c r="AA120" s="668">
        <f>+Fin!AN25+Fin!AN33+Fin!AN46+Fin!AN57</f>
        <v>1406086.5980707526</v>
      </c>
      <c r="AB120" s="668">
        <f>+Fin!AO25+Fin!AO33+Fin!AO46+Fin!AO57</f>
        <v>1420899.9579644282</v>
      </c>
      <c r="AC120" s="668">
        <f>+Fin!AP25+Fin!AP33+Fin!AP46+Fin!AP57</f>
        <v>1437063.3506906165</v>
      </c>
      <c r="AD120" s="668">
        <f>+Fin!AQ25+Fin!AQ33+Fin!AQ46+Fin!AQ57</f>
        <v>1451827.3793167477</v>
      </c>
      <c r="AE120" s="668">
        <f>+Fin!AR25+Fin!AR33+Fin!AR46+Fin!AR57</f>
        <v>1465313.1953806023</v>
      </c>
      <c r="AF120" s="668">
        <f>+Fin!AS25+Fin!AS33+Fin!AS46+Fin!AS57</f>
        <v>1477631.4615878507</v>
      </c>
      <c r="AG120" s="668">
        <f>+Fin!AT25+Fin!AT33+Fin!AT46+Fin!AT57</f>
        <v>1488883.2598946167</v>
      </c>
      <c r="AH120" s="668">
        <f>+Fin!AU25+Fin!AU33+Fin!AU46+Fin!AU57</f>
        <v>1388668.4997530996</v>
      </c>
      <c r="AI120" s="668">
        <f>+Fin!AV25+Fin!AV33+Fin!AV46+Fin!AV57</f>
        <v>1280542.2021893107</v>
      </c>
      <c r="AJ120" s="668">
        <f>+Fin!AW25+Fin!AW33+Fin!AW46+Fin!AW57</f>
        <v>1158143.5320067056</v>
      </c>
      <c r="AK120" s="668">
        <f>+Fin!AX25+Fin!AX33+Fin!AX46+Fin!AX57</f>
        <v>1029318.9316395138</v>
      </c>
      <c r="AL120" s="668">
        <f>+Fin!AY25+Fin!AY33+Fin!AY46+Fin!AY57</f>
        <v>878940.14966923627</v>
      </c>
      <c r="AM120" s="668">
        <f>+Fin!AZ25+Fin!AZ33+Fin!AZ46+Fin!AZ57</f>
        <v>720666.48164551926</v>
      </c>
      <c r="AN120" s="668">
        <f>+Fin!BA25+Fin!BA33+Fin!BA46+Fin!BA57</f>
        <v>554083.44605055696</v>
      </c>
      <c r="AO120" s="668">
        <f>+Fin!BB25+Fin!BB33+Fin!BB46+Fin!BB57</f>
        <v>378754.8010868592</v>
      </c>
      <c r="AP120" s="668">
        <f>+Fin!BC25+Fin!BC33+Fin!BC46+Fin!BC57</f>
        <v>194221.40226256748</v>
      </c>
      <c r="AQ120" s="668">
        <f>+Fin!BD25+Fin!BD33+Fin!BD46+Fin!BD57</f>
        <v>4.3655745685100555E-10</v>
      </c>
      <c r="AR120" s="668">
        <f>+Fin!BE25+Fin!BE33+Fin!BE46+Fin!BE57</f>
        <v>4.3655745685100555E-10</v>
      </c>
      <c r="AS120" s="668">
        <f>+Fin!BF25+Fin!BF33+Fin!BF46+Fin!BF57</f>
        <v>4.3655745685100555E-10</v>
      </c>
      <c r="AT120" s="668">
        <f>+Fin!BG25+Fin!BG33+Fin!BG46+Fin!BG57</f>
        <v>4.3655745685100555E-10</v>
      </c>
      <c r="AU120" s="668">
        <f>+Fin!BH25+Fin!BH33+Fin!BH46+Fin!BH57</f>
        <v>4.3655745685100555E-10</v>
      </c>
      <c r="AV120" s="668">
        <f>+Fin!BI25+Fin!BI33+Fin!BI46+Fin!BI57</f>
        <v>4.3655745685100555E-10</v>
      </c>
      <c r="AW120" s="668">
        <f>+Fin!BJ25+Fin!BJ33+Fin!BJ46+Fin!BJ57</f>
        <v>4.3655745685100555E-10</v>
      </c>
      <c r="AX120" s="213"/>
      <c r="AY120" s="213"/>
      <c r="AZ120" s="213"/>
      <c r="BA120" s="213"/>
      <c r="BB120" s="213"/>
      <c r="BC120" s="213"/>
      <c r="BD120" s="213"/>
      <c r="BE120" s="213"/>
      <c r="BF120" s="213"/>
      <c r="BG120" s="213"/>
      <c r="BH120" s="213"/>
      <c r="BI120" s="213"/>
      <c r="BJ120" s="213"/>
      <c r="BK120" s="213"/>
      <c r="BL120" s="213"/>
      <c r="BM120" s="213"/>
    </row>
    <row r="121" spans="2:65" x14ac:dyDescent="0.2">
      <c r="D121" s="232"/>
      <c r="E121" s="287"/>
      <c r="F121" s="287"/>
      <c r="G121" s="287"/>
      <c r="H121" s="287"/>
      <c r="I121" s="291"/>
      <c r="J121" s="287"/>
      <c r="K121" s="287"/>
      <c r="L121" s="287"/>
      <c r="M121" s="287"/>
      <c r="N121" s="287"/>
      <c r="O121" s="287"/>
      <c r="P121" s="287"/>
      <c r="Q121" s="287"/>
      <c r="R121" s="287"/>
      <c r="S121" s="291"/>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287"/>
      <c r="AP121" s="287"/>
      <c r="AQ121" s="288"/>
      <c r="AR121" s="289"/>
      <c r="AS121" s="290"/>
      <c r="AT121" s="290"/>
      <c r="AU121" s="232"/>
      <c r="AV121" s="232"/>
      <c r="AW121" s="287"/>
      <c r="AX121" s="213"/>
      <c r="AY121" s="213"/>
      <c r="AZ121" s="213"/>
      <c r="BA121" s="213"/>
      <c r="BB121" s="213"/>
      <c r="BC121" s="213"/>
      <c r="BD121" s="213"/>
      <c r="BE121" s="213"/>
      <c r="BF121" s="213"/>
      <c r="BG121" s="213"/>
      <c r="BH121" s="213"/>
      <c r="BI121" s="213"/>
      <c r="BJ121" s="213"/>
      <c r="BK121" s="213"/>
      <c r="BL121" s="213"/>
      <c r="BM121" s="213"/>
    </row>
    <row r="122" spans="2:65" x14ac:dyDescent="0.2">
      <c r="D122" s="232"/>
      <c r="E122" s="287"/>
      <c r="F122" s="287"/>
      <c r="G122" s="287"/>
      <c r="H122" s="287"/>
      <c r="I122" s="291"/>
      <c r="J122" s="287"/>
      <c r="K122" s="287"/>
      <c r="L122" s="287"/>
      <c r="M122" s="287"/>
      <c r="N122" s="287"/>
      <c r="O122" s="287"/>
      <c r="P122" s="287"/>
      <c r="Q122" s="287"/>
      <c r="R122" s="287"/>
      <c r="S122" s="291"/>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7"/>
      <c r="AP122" s="287"/>
      <c r="AQ122" s="288"/>
      <c r="AR122" s="289"/>
      <c r="AS122" s="290"/>
      <c r="AT122" s="290"/>
      <c r="AU122" s="232"/>
      <c r="AV122" s="232"/>
      <c r="AW122" s="287"/>
      <c r="AX122" s="213"/>
      <c r="AY122" s="213"/>
      <c r="AZ122" s="213"/>
      <c r="BA122" s="213"/>
      <c r="BB122" s="213"/>
      <c r="BC122" s="213"/>
      <c r="BD122" s="213"/>
      <c r="BE122" s="213"/>
      <c r="BF122" s="213"/>
      <c r="BG122" s="213"/>
      <c r="BH122" s="213"/>
      <c r="BI122" s="213"/>
      <c r="BJ122" s="213"/>
      <c r="BK122" s="213"/>
      <c r="BL122" s="213"/>
      <c r="BM122" s="213"/>
    </row>
    <row r="123" spans="2:65" x14ac:dyDescent="0.2">
      <c r="B123" s="211" t="s">
        <v>365</v>
      </c>
      <c r="D123" s="670"/>
      <c r="E123" s="670">
        <f>+CF!R47</f>
        <v>0</v>
      </c>
      <c r="F123" s="670">
        <f>+CF!S47</f>
        <v>0</v>
      </c>
      <c r="G123" s="670">
        <f>+CF!T47</f>
        <v>7436.1096886952218</v>
      </c>
      <c r="H123" s="670">
        <f>+CF!U47</f>
        <v>-2192.2508882111033</v>
      </c>
      <c r="I123" s="670">
        <f>+CF!V47</f>
        <v>-1152.3829106810408</v>
      </c>
      <c r="J123" s="670">
        <f>+CF!W47</f>
        <v>-1165.6896100149825</v>
      </c>
      <c r="K123" s="670">
        <f>+CF!X47</f>
        <v>-1077.3390840669235</v>
      </c>
      <c r="L123" s="670">
        <f>+CF!Y47</f>
        <v>-878.79692120167601</v>
      </c>
      <c r="M123" s="670">
        <f>+CF!Z47</f>
        <v>-560.85876089457088</v>
      </c>
      <c r="N123" s="670">
        <f>+CF!AA47</f>
        <v>-113.59795395841502</v>
      </c>
      <c r="O123" s="670">
        <f>+CF!AB47</f>
        <v>-189.82534897685036</v>
      </c>
      <c r="P123" s="670">
        <f>+CF!AC47</f>
        <v>-372.92136785891125</v>
      </c>
      <c r="Q123" s="670">
        <f>+CF!AD47</f>
        <v>-671.48865754544022</v>
      </c>
      <c r="R123" s="670">
        <f>+CF!AE47</f>
        <v>-1094.7785436807753</v>
      </c>
      <c r="S123" s="670">
        <f>+CF!AF47</f>
        <v>-1652.7397072168424</v>
      </c>
      <c r="T123" s="670">
        <f>+CF!AG47</f>
        <v>-1801.9906624508185</v>
      </c>
      <c r="U123" s="670">
        <f>+CF!AH47</f>
        <v>-1998.4477418736533</v>
      </c>
      <c r="V123" s="670">
        <f>+CF!AI47</f>
        <v>-2248.9337378696146</v>
      </c>
      <c r="W123" s="670">
        <f>+CF!AJ47</f>
        <v>-2561.0823147478986</v>
      </c>
      <c r="X123" s="670">
        <f>+CF!AK47</f>
        <v>-2943.4260904036419</v>
      </c>
      <c r="Y123" s="670">
        <f>+CF!AL47</f>
        <v>-2780.8135980043371</v>
      </c>
      <c r="Z123" s="670">
        <f>+CF!AM47</f>
        <v>-2066.1971091353334</v>
      </c>
      <c r="AA123" s="670">
        <f>+CF!AN47</f>
        <v>-795.77642134398047</v>
      </c>
      <c r="AB123" s="670">
        <f>+CF!AO47</f>
        <v>1038.6214282925066</v>
      </c>
      <c r="AC123" s="670">
        <f>+CF!AP47</f>
        <v>3449.5920875071097</v>
      </c>
      <c r="AD123" s="670">
        <f>+CF!AQ47</f>
        <v>2802.2028777644227</v>
      </c>
      <c r="AE123" s="670">
        <f>+CF!AR47</f>
        <v>1697.1840901436044</v>
      </c>
      <c r="AF123" s="670">
        <f>+CF!AS47</f>
        <v>102.42854510110919</v>
      </c>
      <c r="AG123" s="670">
        <f>+CF!AT47</f>
        <v>-2021.4067551599474</v>
      </c>
      <c r="AH123" s="670">
        <f>+CF!AU47</f>
        <v>-4721.6726877533074</v>
      </c>
      <c r="AI123" s="670">
        <f>+CF!AV47</f>
        <v>-4757.7584081274181</v>
      </c>
      <c r="AJ123" s="670">
        <f>+CF!AW47</f>
        <v>-4011.9591608319606</v>
      </c>
      <c r="AK123" s="670">
        <f>+CF!AX47</f>
        <v>-2430.7019616284524</v>
      </c>
      <c r="AL123" s="670">
        <f>+CF!AY47</f>
        <v>50.99588459579536</v>
      </c>
      <c r="AM123" s="666">
        <f>+CF!AZ47</f>
        <v>3510.8423349569057</v>
      </c>
      <c r="AN123" s="666">
        <f>+CF!BA47</f>
        <v>2589.4183160436442</v>
      </c>
      <c r="AO123" s="666">
        <f>+CF!BB47</f>
        <v>662.19565314528882</v>
      </c>
      <c r="AP123" s="666">
        <f>+CF!BC47</f>
        <v>-2475.0822503910676</v>
      </c>
      <c r="AQ123" s="288">
        <f>+CF!BD47</f>
        <v>45398.327747783354</v>
      </c>
      <c r="AR123" s="289">
        <f>+CF!BE47</f>
        <v>0</v>
      </c>
      <c r="AS123" s="290">
        <f>+CF!BF47</f>
        <v>0</v>
      </c>
      <c r="AT123" s="290">
        <f>+CF!BG47</f>
        <v>0</v>
      </c>
      <c r="AU123" s="667">
        <f>+CF!BH47</f>
        <v>0</v>
      </c>
      <c r="AV123" s="667">
        <f>+CF!BI47</f>
        <v>0</v>
      </c>
      <c r="AW123" s="666">
        <f>+CF!BJ47</f>
        <v>0</v>
      </c>
      <c r="AX123" s="213"/>
      <c r="AY123" s="213"/>
      <c r="AZ123" s="213"/>
      <c r="BA123" s="213"/>
      <c r="BB123" s="213"/>
      <c r="BC123" s="213"/>
      <c r="BD123" s="213"/>
      <c r="BE123" s="213"/>
      <c r="BF123" s="213"/>
      <c r="BG123" s="213"/>
      <c r="BH123" s="213"/>
      <c r="BI123" s="213"/>
      <c r="BJ123" s="213"/>
      <c r="BK123" s="213"/>
      <c r="BL123" s="213"/>
      <c r="BM123" s="213"/>
    </row>
    <row r="124" spans="2:65" x14ac:dyDescent="0.2">
      <c r="B124" s="211" t="s">
        <v>366</v>
      </c>
      <c r="D124" s="669"/>
      <c r="E124" s="669">
        <f>+CF!R48</f>
        <v>0</v>
      </c>
      <c r="F124" s="669">
        <f>+CF!S48</f>
        <v>0</v>
      </c>
      <c r="G124" s="669">
        <f>+CF!T48</f>
        <v>13120.896909061044</v>
      </c>
      <c r="H124" s="669">
        <f>+CF!U48</f>
        <v>-3123.7625325438967</v>
      </c>
      <c r="I124" s="669">
        <f>+CF!V48</f>
        <v>-1743.7398546694785</v>
      </c>
      <c r="J124" s="669">
        <f>+CF!W48</f>
        <v>-283.87906886167548</v>
      </c>
      <c r="K124" s="669">
        <f>+CF!X48</f>
        <v>-398.35545633168658</v>
      </c>
      <c r="L124" s="669">
        <f>+CF!Y48</f>
        <v>-534.00689913669339</v>
      </c>
      <c r="M124" s="669">
        <f>+CF!Z48</f>
        <v>-1053.3304213477895</v>
      </c>
      <c r="N124" s="669">
        <f>+CF!AA48</f>
        <v>-1029.6386888656489</v>
      </c>
      <c r="O124" s="669">
        <f>+CF!AB48</f>
        <v>-898.72885941236746</v>
      </c>
      <c r="P124" s="669">
        <f>+CF!AC48</f>
        <v>-552.14204539332422</v>
      </c>
      <c r="Q124" s="669">
        <f>+CF!AD48</f>
        <v>-447.77963088238903</v>
      </c>
      <c r="R124" s="669">
        <f>+CF!AE48</f>
        <v>-581.67224522642937</v>
      </c>
      <c r="S124" s="669">
        <f>+CF!AF48</f>
        <v>-1364.1546601728187</v>
      </c>
      <c r="T124" s="669">
        <f>+CF!AG48</f>
        <v>-1691.2391074448242</v>
      </c>
      <c r="U124" s="669">
        <f>+CF!AH48</f>
        <v>-2502.3625661997939</v>
      </c>
      <c r="V124" s="669">
        <f>+CF!AI48</f>
        <v>-3658.9380575457399</v>
      </c>
      <c r="W124" s="669">
        <f>+CF!AJ48</f>
        <v>-4975.923824801197</v>
      </c>
      <c r="X124" s="669">
        <f>+CF!AK48</f>
        <v>-5725.3670420089475</v>
      </c>
      <c r="Y124" s="669">
        <f>+CF!AL48</f>
        <v>-7537.7580407859787</v>
      </c>
      <c r="Z124" s="669">
        <f>+CF!AM48</f>
        <v>-24216.804033349283</v>
      </c>
      <c r="AA124" s="669">
        <f>+CF!AN48</f>
        <v>13951.148182811303</v>
      </c>
      <c r="AB124" s="669">
        <f>+CF!AO48</f>
        <v>-600.8737173708214</v>
      </c>
      <c r="AC124" s="669">
        <f>+CF!AP48</f>
        <v>-841.74217909373692</v>
      </c>
      <c r="AD124" s="669">
        <f>+CF!AQ48</f>
        <v>-768.86739303356444</v>
      </c>
      <c r="AE124" s="669">
        <f>+CF!AR48</f>
        <v>-916.44243553685374</v>
      </c>
      <c r="AF124" s="669">
        <f>+CF!AS48</f>
        <v>-427.35863446997246</v>
      </c>
      <c r="AG124" s="669">
        <f>+CF!AT48</f>
        <v>-109608.02706168141</v>
      </c>
      <c r="AH124" s="669">
        <f>+CF!AU48</f>
        <v>-361.22280793695245</v>
      </c>
      <c r="AI124" s="669">
        <f>+CF!AV48</f>
        <v>-342.28079697943758</v>
      </c>
      <c r="AJ124" s="669">
        <f>+CF!AW48</f>
        <v>357.0440438396181</v>
      </c>
      <c r="AK124" s="669">
        <f>+CF!AX48</f>
        <v>-14410.127698145108</v>
      </c>
      <c r="AL124" s="669">
        <f>+CF!AY48</f>
        <v>214.71074657491408</v>
      </c>
      <c r="AM124" s="666">
        <f>+CF!AZ48</f>
        <v>126.95920536946505</v>
      </c>
      <c r="AN124" s="666">
        <f>+CF!BA48</f>
        <v>336.87102686107391</v>
      </c>
      <c r="AO124" s="666">
        <f>+CF!BB48</f>
        <v>250.33414796224679</v>
      </c>
      <c r="AP124" s="666">
        <f>+CF!BC48</f>
        <v>263.47669073019642</v>
      </c>
      <c r="AQ124" s="288">
        <f>+CF!BD48</f>
        <v>201975.08480601796</v>
      </c>
      <c r="AR124" s="289">
        <f>+CF!BE48</f>
        <v>0</v>
      </c>
      <c r="AS124" s="290">
        <f>+CF!BF48</f>
        <v>0</v>
      </c>
      <c r="AT124" s="290">
        <f>+CF!BG48</f>
        <v>0</v>
      </c>
      <c r="AU124" s="667">
        <f>+CF!BH48</f>
        <v>0</v>
      </c>
      <c r="AV124" s="667">
        <f>+CF!BI48</f>
        <v>0</v>
      </c>
      <c r="AW124" s="666">
        <f>+CF!BJ48</f>
        <v>0</v>
      </c>
      <c r="AX124" s="213"/>
      <c r="AY124" s="213"/>
      <c r="AZ124" s="213"/>
      <c r="BA124" s="213"/>
      <c r="BB124" s="213"/>
      <c r="BC124" s="213"/>
      <c r="BD124" s="213"/>
      <c r="BE124" s="213"/>
      <c r="BF124" s="213"/>
      <c r="BG124" s="213"/>
      <c r="BH124" s="213"/>
      <c r="BI124" s="213"/>
      <c r="BJ124" s="213"/>
      <c r="BK124" s="213"/>
      <c r="BL124" s="213"/>
      <c r="BM124" s="213"/>
    </row>
    <row r="125" spans="2:65" x14ac:dyDescent="0.2">
      <c r="D125" s="232"/>
      <c r="E125" s="287"/>
      <c r="F125" s="287"/>
      <c r="G125" s="287"/>
      <c r="H125" s="287"/>
      <c r="I125" s="291"/>
      <c r="J125" s="287"/>
      <c r="K125" s="287"/>
      <c r="L125" s="287"/>
      <c r="M125" s="287"/>
      <c r="N125" s="287"/>
      <c r="O125" s="287"/>
      <c r="P125" s="287"/>
      <c r="Q125" s="287"/>
      <c r="R125" s="287"/>
      <c r="S125" s="291"/>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7"/>
      <c r="AP125" s="287"/>
      <c r="AQ125" s="288"/>
      <c r="AR125" s="289"/>
      <c r="AS125" s="290"/>
      <c r="AT125" s="290"/>
      <c r="AU125" s="232"/>
      <c r="AV125" s="232"/>
      <c r="AW125" s="287"/>
      <c r="AX125" s="213"/>
      <c r="AY125" s="213"/>
      <c r="AZ125" s="213"/>
      <c r="BA125" s="213"/>
      <c r="BB125" s="213"/>
      <c r="BC125" s="213"/>
      <c r="BD125" s="213"/>
      <c r="BE125" s="213"/>
      <c r="BF125" s="213"/>
      <c r="BG125" s="213"/>
      <c r="BH125" s="213"/>
      <c r="BI125" s="213"/>
      <c r="BJ125" s="213"/>
      <c r="BK125" s="213"/>
      <c r="BL125" s="213"/>
      <c r="BM125" s="213"/>
    </row>
    <row r="126" spans="2:65" x14ac:dyDescent="0.2">
      <c r="B126" s="211" t="s">
        <v>352</v>
      </c>
      <c r="D126" s="668"/>
      <c r="E126" s="668">
        <f>+CF!R49</f>
        <v>0</v>
      </c>
      <c r="F126" s="668">
        <f>+CF!S49</f>
        <v>-52922.655228947813</v>
      </c>
      <c r="G126" s="668">
        <f>+CF!T49</f>
        <v>145303.99870894785</v>
      </c>
      <c r="H126" s="668">
        <f>+CF!U49</f>
        <v>0</v>
      </c>
      <c r="I126" s="668">
        <f>+CF!V49</f>
        <v>0</v>
      </c>
      <c r="J126" s="668">
        <f>+CF!W49</f>
        <v>0</v>
      </c>
      <c r="K126" s="668">
        <f>+CF!X49</f>
        <v>0</v>
      </c>
      <c r="L126" s="668">
        <f>+CF!Y49</f>
        <v>0</v>
      </c>
      <c r="M126" s="668">
        <f>+CF!Z49</f>
        <v>0</v>
      </c>
      <c r="N126" s="668">
        <f>+CF!AA49</f>
        <v>0</v>
      </c>
      <c r="O126" s="668">
        <f>+CF!AB49</f>
        <v>0</v>
      </c>
      <c r="P126" s="668">
        <f>+CF!AC49</f>
        <v>0</v>
      </c>
      <c r="Q126" s="668">
        <f>+CF!AD49</f>
        <v>0</v>
      </c>
      <c r="R126" s="668">
        <f>+CF!AE49</f>
        <v>0</v>
      </c>
      <c r="S126" s="668">
        <f>+CF!AF49</f>
        <v>0</v>
      </c>
      <c r="T126" s="668">
        <f>+CF!AG49</f>
        <v>0</v>
      </c>
      <c r="U126" s="668">
        <f>+CF!AH49</f>
        <v>0</v>
      </c>
      <c r="V126" s="668">
        <f>+CF!AI49</f>
        <v>0</v>
      </c>
      <c r="W126" s="668">
        <f>+CF!AJ49</f>
        <v>0</v>
      </c>
      <c r="X126" s="668">
        <f>+CF!AK49</f>
        <v>0</v>
      </c>
      <c r="Y126" s="668">
        <f>+CF!AL49</f>
        <v>0</v>
      </c>
      <c r="Z126" s="668">
        <f>+CF!AM49</f>
        <v>0</v>
      </c>
      <c r="AA126" s="668">
        <f>+CF!AN49</f>
        <v>0</v>
      </c>
      <c r="AB126" s="668">
        <f>+CF!AO49</f>
        <v>0</v>
      </c>
      <c r="AC126" s="668">
        <f>+CF!AP49</f>
        <v>0</v>
      </c>
      <c r="AD126" s="668">
        <f>+CF!AQ49</f>
        <v>0</v>
      </c>
      <c r="AE126" s="668">
        <f>+CF!AR49</f>
        <v>0</v>
      </c>
      <c r="AF126" s="668">
        <f>+CF!AS49</f>
        <v>0</v>
      </c>
      <c r="AG126" s="668">
        <f>+CF!AT49</f>
        <v>0</v>
      </c>
      <c r="AH126" s="668">
        <f>+CF!AU49</f>
        <v>0</v>
      </c>
      <c r="AI126" s="668">
        <f>+CF!AV49</f>
        <v>0</v>
      </c>
      <c r="AJ126" s="668">
        <f>+CF!AW49</f>
        <v>0</v>
      </c>
      <c r="AK126" s="668">
        <f>+CF!AX49</f>
        <v>0</v>
      </c>
      <c r="AL126" s="668">
        <f>+CF!AY49</f>
        <v>0</v>
      </c>
      <c r="AM126" s="666">
        <f>+CF!AZ49</f>
        <v>0</v>
      </c>
      <c r="AN126" s="666">
        <f>+CF!BA49</f>
        <v>0</v>
      </c>
      <c r="AO126" s="666">
        <f>+CF!BB49</f>
        <v>0</v>
      </c>
      <c r="AP126" s="666">
        <f>+CF!BC49</f>
        <v>0</v>
      </c>
      <c r="AQ126" s="288">
        <f>+CF!BD49</f>
        <v>0</v>
      </c>
      <c r="AR126" s="289">
        <f>+CF!BE49</f>
        <v>0</v>
      </c>
      <c r="AS126" s="290">
        <f>+CF!BF49</f>
        <v>0</v>
      </c>
      <c r="AT126" s="290">
        <f>+CF!BG49</f>
        <v>0</v>
      </c>
      <c r="AU126" s="667">
        <f>+CF!BH49</f>
        <v>0</v>
      </c>
      <c r="AV126" s="667">
        <f>+CF!BI49</f>
        <v>0</v>
      </c>
      <c r="AW126" s="666">
        <f>+CF!BJ49</f>
        <v>0</v>
      </c>
      <c r="AX126" s="213"/>
      <c r="AY126" s="213"/>
      <c r="AZ126" s="213"/>
      <c r="BA126" s="213"/>
      <c r="BB126" s="213"/>
      <c r="BC126" s="213"/>
      <c r="BD126" s="213"/>
      <c r="BE126" s="213"/>
      <c r="BF126" s="213"/>
      <c r="BG126" s="213"/>
      <c r="BH126" s="213"/>
      <c r="BI126" s="213"/>
      <c r="BJ126" s="213"/>
      <c r="BK126" s="213"/>
      <c r="BL126" s="213"/>
      <c r="BM126" s="213"/>
    </row>
    <row r="127" spans="2:65" x14ac:dyDescent="0.2">
      <c r="D127" s="232"/>
      <c r="E127" s="287"/>
      <c r="F127" s="287"/>
      <c r="G127" s="287"/>
      <c r="H127" s="287"/>
      <c r="I127" s="291"/>
      <c r="J127" s="287"/>
      <c r="K127" s="287"/>
      <c r="L127" s="287"/>
      <c r="M127" s="287"/>
      <c r="N127" s="287"/>
      <c r="O127" s="287"/>
      <c r="P127" s="287"/>
      <c r="Q127" s="287"/>
      <c r="R127" s="287"/>
      <c r="S127" s="291"/>
      <c r="T127" s="287"/>
      <c r="U127" s="287"/>
      <c r="V127" s="287"/>
      <c r="W127" s="287"/>
      <c r="X127" s="287"/>
      <c r="Y127" s="287"/>
      <c r="Z127" s="287"/>
      <c r="AA127" s="287"/>
      <c r="AB127" s="287"/>
      <c r="AC127" s="287"/>
      <c r="AD127" s="287"/>
      <c r="AE127" s="287"/>
      <c r="AF127" s="287"/>
      <c r="AG127" s="287"/>
      <c r="AH127" s="287"/>
      <c r="AI127" s="287"/>
      <c r="AJ127" s="287"/>
      <c r="AK127" s="287"/>
      <c r="AL127" s="287"/>
      <c r="AM127" s="287"/>
      <c r="AN127" s="287"/>
      <c r="AO127" s="287"/>
      <c r="AP127" s="287"/>
      <c r="AQ127" s="288"/>
      <c r="AR127" s="289"/>
      <c r="AS127" s="290"/>
      <c r="AT127" s="290"/>
      <c r="AU127" s="232"/>
      <c r="AV127" s="232"/>
      <c r="AW127" s="287"/>
      <c r="AX127" s="213"/>
      <c r="AY127" s="213"/>
      <c r="AZ127" s="213"/>
      <c r="BA127" s="213"/>
      <c r="BB127" s="213"/>
      <c r="BC127" s="213"/>
      <c r="BD127" s="213"/>
      <c r="BE127" s="213"/>
      <c r="BF127" s="213"/>
      <c r="BG127" s="213"/>
      <c r="BH127" s="213"/>
      <c r="BI127" s="213"/>
      <c r="BJ127" s="213"/>
      <c r="BK127" s="213"/>
      <c r="BL127" s="213"/>
      <c r="BM127" s="213"/>
    </row>
    <row r="128" spans="2:65" x14ac:dyDescent="0.2">
      <c r="B128" s="211" t="s">
        <v>441</v>
      </c>
      <c r="D128" s="232"/>
      <c r="E128" s="666">
        <f>+'Valuation &amp; IRR'!Y23</f>
        <v>0</v>
      </c>
      <c r="F128" s="666">
        <f ca="1">+'Valuation &amp; IRR'!Z23</f>
        <v>0</v>
      </c>
      <c r="G128" s="666">
        <f ca="1">+'Valuation &amp; IRR'!AA23</f>
        <v>0</v>
      </c>
      <c r="H128" s="666">
        <f ca="1">+'Valuation &amp; IRR'!AB23</f>
        <v>0</v>
      </c>
      <c r="I128" s="291">
        <f ca="1">+'Valuation &amp; IRR'!AC23</f>
        <v>0</v>
      </c>
      <c r="J128" s="666">
        <f ca="1">+'Valuation &amp; IRR'!AD23</f>
        <v>-929.3738079812872</v>
      </c>
      <c r="K128" s="666">
        <f ca="1">+'Valuation &amp; IRR'!AE23</f>
        <v>-1260.9782924544436</v>
      </c>
      <c r="L128" s="666">
        <f ca="1">+'Valuation &amp; IRR'!AF23</f>
        <v>-1622.0407220497921</v>
      </c>
      <c r="M128" s="666">
        <f ca="1">+'Valuation &amp; IRR'!AG23</f>
        <v>-2015.1204332253692</v>
      </c>
      <c r="N128" s="666">
        <f ca="1">+'Valuation &amp; IRR'!AH23</f>
        <v>-2442.9997950553357</v>
      </c>
      <c r="O128" s="666">
        <f ca="1">+'Valuation &amp; IRR'!AI23</f>
        <v>-2778.0044040307534</v>
      </c>
      <c r="P128" s="666">
        <f ca="1">+'Valuation &amp; IRR'!AJ23</f>
        <v>-3135.6552904007704</v>
      </c>
      <c r="Q128" s="666">
        <f ca="1">+'Valuation &amp; IRR'!AK23</f>
        <v>-3517.4161392962587</v>
      </c>
      <c r="R128" s="666">
        <f ca="1">+'Valuation &amp; IRR'!AL23</f>
        <v>-3924.8269163783161</v>
      </c>
      <c r="S128" s="291">
        <f ca="1">+'Valuation &amp; IRR'!AM23</f>
        <v>-4359.5608378431998</v>
      </c>
      <c r="T128" s="666">
        <f ca="1">+'Valuation &amp; IRR'!AN23</f>
        <v>-6290.0356695301507</v>
      </c>
      <c r="U128" s="666">
        <f ca="1">+'Valuation &amp; IRR'!AO23</f>
        <v>-32170.743504270693</v>
      </c>
      <c r="V128" s="666">
        <f ca="1">+'Valuation &amp; IRR'!AP23</f>
        <v>-47566.912272813344</v>
      </c>
      <c r="W128" s="666">
        <f ca="1">+'Valuation &amp; IRR'!AQ23</f>
        <v>-52440.863878350596</v>
      </c>
      <c r="X128" s="666">
        <f ca="1">+'Valuation &amp; IRR'!AR23</f>
        <v>-57811.24856012618</v>
      </c>
      <c r="Y128" s="666">
        <f ca="1">+'Valuation &amp; IRR'!AS23</f>
        <v>-63787.106282971334</v>
      </c>
      <c r="Z128" s="666">
        <f ca="1">+'Valuation &amp; IRR'!AT23</f>
        <v>-70365.60741018728</v>
      </c>
      <c r="AA128" s="666">
        <f ca="1">+'Valuation &amp; IRR'!AU23</f>
        <v>-77606.916506716632</v>
      </c>
      <c r="AB128" s="666">
        <f ca="1">+'Valuation &amp; IRR'!AV23</f>
        <v>-85642.918171278521</v>
      </c>
      <c r="AC128" s="666">
        <f ca="1">+'Valuation &amp; IRR'!AW23</f>
        <v>-119995.84084922296</v>
      </c>
      <c r="AD128" s="666">
        <f ca="1">+'Valuation &amp; IRR'!AX23</f>
        <v>-127824.85142555331</v>
      </c>
      <c r="AE128" s="666">
        <f ca="1">+'Valuation &amp; IRR'!AY23</f>
        <v>-136192.05516737021</v>
      </c>
      <c r="AF128" s="666">
        <f ca="1">+'Valuation &amp; IRR'!AZ23</f>
        <v>-145058.36739359697</v>
      </c>
      <c r="AG128" s="666">
        <f ca="1">+'Valuation &amp; IRR'!BA23</f>
        <v>-154585.10885717039</v>
      </c>
      <c r="AH128" s="666">
        <f ca="1">+'Valuation &amp; IRR'!BB23</f>
        <v>-165425.87166622997</v>
      </c>
      <c r="AI128" s="666">
        <f ca="1">+'Valuation &amp; IRR'!BC23</f>
        <v>-177196.01186774566</v>
      </c>
      <c r="AJ128" s="666">
        <f ca="1">+'Valuation &amp; IRR'!BD23</f>
        <v>-189682.70705804136</v>
      </c>
      <c r="AK128" s="666">
        <f ca="1">+'Valuation &amp; IRR'!BE23</f>
        <v>-202797.59990605837</v>
      </c>
      <c r="AL128" s="666">
        <f ca="1">+'Valuation &amp; IRR'!BF23</f>
        <v>-217143.69093913306</v>
      </c>
      <c r="AM128" s="666">
        <f ca="1">+'Valuation &amp; IRR'!BG23</f>
        <v>-232122.52947783371</v>
      </c>
      <c r="AN128" s="666">
        <f ca="1">+'Valuation &amp; IRR'!BH23</f>
        <v>-245226.43985707659</v>
      </c>
      <c r="AO128" s="666">
        <f ca="1">+'Valuation &amp; IRR'!BI23</f>
        <v>-258524.48019267526</v>
      </c>
      <c r="AP128" s="666">
        <f ca="1">+'Valuation &amp; IRR'!BJ23</f>
        <v>-267551.27460148802</v>
      </c>
      <c r="AQ128" s="288">
        <f ca="1">+'Valuation &amp; IRR'!BK23</f>
        <v>-282165.8589325865</v>
      </c>
      <c r="AR128" s="289">
        <f ca="1">+'Valuation &amp; IRR'!BL23</f>
        <v>-296560.79883380956</v>
      </c>
      <c r="AS128" s="290">
        <f ca="1">+'Valuation &amp; IRR'!BM23</f>
        <v>-307651.73911394196</v>
      </c>
      <c r="AT128" s="290">
        <f ca="1">+'Valuation &amp; IRR'!BN23</f>
        <v>-319075.20595337643</v>
      </c>
      <c r="AU128" s="667">
        <f ca="1">+'Valuation &amp; IRR'!BO23</f>
        <v>-330760.39684407483</v>
      </c>
      <c r="AV128" s="667">
        <f ca="1">+'Valuation &amp; IRR'!BP23</f>
        <v>-313704.62886215287</v>
      </c>
      <c r="AW128" s="666">
        <f ca="1">+'Valuation &amp; IRR'!BQ23</f>
        <v>-24746.779744873613</v>
      </c>
      <c r="AX128" s="213"/>
      <c r="AY128" s="213"/>
      <c r="AZ128" s="213"/>
      <c r="BA128" s="213"/>
      <c r="BB128" s="213"/>
      <c r="BC128" s="213"/>
      <c r="BD128" s="213"/>
      <c r="BE128" s="213"/>
      <c r="BF128" s="213"/>
      <c r="BG128" s="213"/>
      <c r="BH128" s="213"/>
      <c r="BI128" s="213"/>
      <c r="BJ128" s="213"/>
      <c r="BK128" s="213"/>
      <c r="BL128" s="213"/>
      <c r="BM128" s="213"/>
    </row>
    <row r="129" spans="1:89" x14ac:dyDescent="0.2">
      <c r="B129" s="295"/>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87"/>
      <c r="AN129" s="287"/>
      <c r="AO129" s="287"/>
      <c r="AP129" s="287"/>
      <c r="AQ129" s="287"/>
      <c r="AR129" s="287"/>
      <c r="AS129" s="287"/>
      <c r="AT129" s="287"/>
      <c r="AU129" s="287"/>
      <c r="AV129" s="287"/>
      <c r="AW129" s="287"/>
      <c r="AX129" s="213"/>
      <c r="AY129" s="213"/>
      <c r="AZ129" s="213"/>
      <c r="BA129" s="213"/>
      <c r="BB129" s="213"/>
      <c r="BC129" s="213"/>
      <c r="BD129" s="213"/>
      <c r="BE129" s="213"/>
      <c r="BF129" s="213"/>
      <c r="BG129" s="213"/>
      <c r="BH129" s="213"/>
      <c r="BI129" s="213"/>
      <c r="BJ129" s="213"/>
      <c r="BK129" s="213"/>
      <c r="BL129" s="213"/>
      <c r="BM129" s="213"/>
    </row>
    <row r="130" spans="1:89" x14ac:dyDescent="0.2">
      <c r="B130" s="211" t="s">
        <v>369</v>
      </c>
      <c r="D130" s="667"/>
      <c r="E130" s="666">
        <f>+E112+E117+E124+E123+E126+E118</f>
        <v>0</v>
      </c>
      <c r="F130" s="666">
        <f t="shared" ref="F130:AW130" si="23">+F112+F117+F124+F123+F126+F118</f>
        <v>0</v>
      </c>
      <c r="G130" s="666">
        <f t="shared" si="23"/>
        <v>207234.50432853866</v>
      </c>
      <c r="H130" s="666">
        <f t="shared" si="23"/>
        <v>34432.077035664399</v>
      </c>
      <c r="I130" s="291">
        <f t="shared" si="23"/>
        <v>52614.671873702129</v>
      </c>
      <c r="J130" s="666">
        <f t="shared" si="23"/>
        <v>64711.348397522699</v>
      </c>
      <c r="K130" s="666">
        <f t="shared" si="23"/>
        <v>76226.223390791885</v>
      </c>
      <c r="L130" s="666">
        <f t="shared" si="23"/>
        <v>88727.537335895424</v>
      </c>
      <c r="M130" s="666">
        <f t="shared" si="23"/>
        <v>102020.10024563195</v>
      </c>
      <c r="N130" s="666">
        <f t="shared" si="23"/>
        <v>117218.37893817323</v>
      </c>
      <c r="O130" s="666">
        <f t="shared" si="23"/>
        <v>128892.25375766546</v>
      </c>
      <c r="P130" s="666">
        <f t="shared" si="23"/>
        <v>141385.87399830358</v>
      </c>
      <c r="Q130" s="666">
        <f t="shared" si="23"/>
        <v>153884.43437198669</v>
      </c>
      <c r="R130" s="666">
        <f t="shared" si="23"/>
        <v>163893.53866740927</v>
      </c>
      <c r="S130" s="291">
        <f t="shared" si="23"/>
        <v>181191.54653672103</v>
      </c>
      <c r="T130" s="666">
        <f t="shared" si="23"/>
        <v>205409.47262052793</v>
      </c>
      <c r="U130" s="666">
        <f t="shared" si="23"/>
        <v>231774.47291989741</v>
      </c>
      <c r="V130" s="666">
        <f t="shared" si="23"/>
        <v>260154.93525207884</v>
      </c>
      <c r="W130" s="666">
        <f t="shared" si="23"/>
        <v>291167.49409084715</v>
      </c>
      <c r="X130" s="666">
        <f t="shared" si="23"/>
        <v>325768.64901303669</v>
      </c>
      <c r="Y130" s="666">
        <f t="shared" si="23"/>
        <v>363855.46835512907</v>
      </c>
      <c r="Z130" s="666">
        <f t="shared" si="23"/>
        <v>390908.84603987617</v>
      </c>
      <c r="AA130" s="666">
        <f t="shared" si="23"/>
        <v>477329.83465508278</v>
      </c>
      <c r="AB130" s="666">
        <f t="shared" si="23"/>
        <v>518211.75895344763</v>
      </c>
      <c r="AC130" s="666">
        <f t="shared" si="23"/>
        <v>583399.04240526201</v>
      </c>
      <c r="AD130" s="666">
        <f t="shared" si="23"/>
        <v>620711.64546357875</v>
      </c>
      <c r="AE130" s="666">
        <f t="shared" si="23"/>
        <v>659812.96914061205</v>
      </c>
      <c r="AF130" s="666">
        <f t="shared" si="23"/>
        <v>701349.95831846667</v>
      </c>
      <c r="AG130" s="666">
        <f t="shared" si="23"/>
        <v>635752.4145601684</v>
      </c>
      <c r="AH130" s="666">
        <f t="shared" si="23"/>
        <v>683696.85681325768</v>
      </c>
      <c r="AI130" s="666">
        <f t="shared" si="23"/>
        <v>730581.25522877916</v>
      </c>
      <c r="AJ130" s="666">
        <f t="shared" si="23"/>
        <v>775838.13647581439</v>
      </c>
      <c r="AK130" s="666">
        <f t="shared" si="23"/>
        <v>817143.37023925513</v>
      </c>
      <c r="AL130" s="666">
        <f t="shared" si="23"/>
        <v>879297.58436259429</v>
      </c>
      <c r="AM130" s="666">
        <f t="shared" si="23"/>
        <v>944189.52262140682</v>
      </c>
      <c r="AN130" s="666">
        <f t="shared" si="23"/>
        <v>999584.70123630413</v>
      </c>
      <c r="AO130" s="666">
        <f t="shared" si="23"/>
        <v>1053910.6078956784</v>
      </c>
      <c r="AP130" s="666">
        <f t="shared" si="23"/>
        <v>1086080.2769720163</v>
      </c>
      <c r="AQ130" s="666">
        <f t="shared" si="23"/>
        <v>1396843.1980425587</v>
      </c>
      <c r="AR130" s="666">
        <f t="shared" si="23"/>
        <v>1270005.7518513093</v>
      </c>
      <c r="AS130" s="666">
        <f t="shared" si="23"/>
        <v>1479620.2625882474</v>
      </c>
      <c r="AT130" s="666">
        <f t="shared" si="23"/>
        <v>1534181.2648705142</v>
      </c>
      <c r="AU130" s="666">
        <f t="shared" si="23"/>
        <v>1590368.8850572105</v>
      </c>
      <c r="AV130" s="666">
        <f t="shared" si="23"/>
        <v>1510143.6007841963</v>
      </c>
      <c r="AW130" s="666">
        <f t="shared" si="23"/>
        <v>279788.43469044275</v>
      </c>
      <c r="AX130" s="213"/>
      <c r="AY130" s="213"/>
      <c r="AZ130" s="213"/>
      <c r="BA130" s="213"/>
      <c r="BB130" s="213"/>
      <c r="BC130" s="213"/>
      <c r="BD130" s="213"/>
      <c r="BE130" s="213"/>
      <c r="BF130" s="213"/>
      <c r="BG130" s="213"/>
      <c r="BH130" s="213"/>
      <c r="BI130" s="213"/>
      <c r="BJ130" s="213"/>
      <c r="BK130" s="213"/>
      <c r="BL130" s="213"/>
      <c r="BM130" s="213"/>
    </row>
    <row r="131" spans="1:89" x14ac:dyDescent="0.2">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row>
    <row r="132" spans="1:89" x14ac:dyDescent="0.2">
      <c r="B132" s="211" t="s">
        <v>441</v>
      </c>
      <c r="D132" s="296"/>
      <c r="E132" s="665">
        <f t="shared" ref="E132:AW132" si="24">-E128</f>
        <v>0</v>
      </c>
      <c r="F132" s="665">
        <f t="shared" ca="1" si="24"/>
        <v>0</v>
      </c>
      <c r="G132" s="665">
        <f t="shared" ca="1" si="24"/>
        <v>0</v>
      </c>
      <c r="H132" s="665">
        <f t="shared" ca="1" si="24"/>
        <v>0</v>
      </c>
      <c r="I132" s="665">
        <f t="shared" ca="1" si="24"/>
        <v>0</v>
      </c>
      <c r="J132" s="665">
        <f t="shared" ca="1" si="24"/>
        <v>929.3738079812872</v>
      </c>
      <c r="K132" s="665">
        <f t="shared" ca="1" si="24"/>
        <v>1260.9782924544436</v>
      </c>
      <c r="L132" s="665">
        <f t="shared" ca="1" si="24"/>
        <v>1622.0407220497921</v>
      </c>
      <c r="M132" s="665">
        <f t="shared" ca="1" si="24"/>
        <v>2015.1204332253692</v>
      </c>
      <c r="N132" s="665">
        <f t="shared" ca="1" si="24"/>
        <v>2442.9997950553357</v>
      </c>
      <c r="O132" s="665">
        <f t="shared" ca="1" si="24"/>
        <v>2778.0044040307534</v>
      </c>
      <c r="P132" s="665">
        <f t="shared" ca="1" si="24"/>
        <v>3135.6552904007704</v>
      </c>
      <c r="Q132" s="665">
        <f t="shared" ca="1" si="24"/>
        <v>3517.4161392962587</v>
      </c>
      <c r="R132" s="665">
        <f t="shared" ca="1" si="24"/>
        <v>3924.8269163783161</v>
      </c>
      <c r="S132" s="665">
        <f t="shared" ca="1" si="24"/>
        <v>4359.5608378431998</v>
      </c>
      <c r="T132" s="665">
        <f t="shared" ca="1" si="24"/>
        <v>6290.0356695301507</v>
      </c>
      <c r="U132" s="665">
        <f t="shared" ca="1" si="24"/>
        <v>32170.743504270693</v>
      </c>
      <c r="V132" s="665">
        <f t="shared" ca="1" si="24"/>
        <v>47566.912272813344</v>
      </c>
      <c r="W132" s="665">
        <f t="shared" ca="1" si="24"/>
        <v>52440.863878350596</v>
      </c>
      <c r="X132" s="665">
        <f t="shared" ca="1" si="24"/>
        <v>57811.24856012618</v>
      </c>
      <c r="Y132" s="665">
        <f t="shared" ca="1" si="24"/>
        <v>63787.106282971334</v>
      </c>
      <c r="Z132" s="665">
        <f t="shared" ca="1" si="24"/>
        <v>70365.60741018728</v>
      </c>
      <c r="AA132" s="665">
        <f t="shared" ca="1" si="24"/>
        <v>77606.916506716632</v>
      </c>
      <c r="AB132" s="665">
        <f t="shared" ca="1" si="24"/>
        <v>85642.918171278521</v>
      </c>
      <c r="AC132" s="665">
        <f t="shared" ca="1" si="24"/>
        <v>119995.84084922296</v>
      </c>
      <c r="AD132" s="665">
        <f t="shared" ca="1" si="24"/>
        <v>127824.85142555331</v>
      </c>
      <c r="AE132" s="665">
        <f t="shared" ca="1" si="24"/>
        <v>136192.05516737021</v>
      </c>
      <c r="AF132" s="665">
        <f t="shared" ca="1" si="24"/>
        <v>145058.36739359697</v>
      </c>
      <c r="AG132" s="665">
        <f t="shared" ca="1" si="24"/>
        <v>154585.10885717039</v>
      </c>
      <c r="AH132" s="665">
        <f t="shared" ca="1" si="24"/>
        <v>165425.87166622997</v>
      </c>
      <c r="AI132" s="665">
        <f t="shared" ca="1" si="24"/>
        <v>177196.01186774566</v>
      </c>
      <c r="AJ132" s="665">
        <f t="shared" ca="1" si="24"/>
        <v>189682.70705804136</v>
      </c>
      <c r="AK132" s="665">
        <f t="shared" ca="1" si="24"/>
        <v>202797.59990605837</v>
      </c>
      <c r="AL132" s="665">
        <f t="shared" ca="1" si="24"/>
        <v>217143.69093913306</v>
      </c>
      <c r="AM132" s="666">
        <f t="shared" ca="1" si="24"/>
        <v>232122.52947783371</v>
      </c>
      <c r="AN132" s="666">
        <f t="shared" ca="1" si="24"/>
        <v>245226.43985707659</v>
      </c>
      <c r="AO132" s="666">
        <f t="shared" ca="1" si="24"/>
        <v>258524.48019267526</v>
      </c>
      <c r="AP132" s="666">
        <f t="shared" ca="1" si="24"/>
        <v>267551.27460148802</v>
      </c>
      <c r="AQ132" s="666">
        <f t="shared" ca="1" si="24"/>
        <v>282165.8589325865</v>
      </c>
      <c r="AR132" s="666">
        <f t="shared" ca="1" si="24"/>
        <v>296560.79883380956</v>
      </c>
      <c r="AS132" s="666">
        <f t="shared" ca="1" si="24"/>
        <v>307651.73911394196</v>
      </c>
      <c r="AT132" s="666">
        <f t="shared" ca="1" si="24"/>
        <v>319075.20595337643</v>
      </c>
      <c r="AU132" s="666">
        <f t="shared" ca="1" si="24"/>
        <v>330760.39684407483</v>
      </c>
      <c r="AV132" s="666">
        <f t="shared" ca="1" si="24"/>
        <v>313704.62886215287</v>
      </c>
      <c r="AW132" s="666">
        <f t="shared" ca="1" si="24"/>
        <v>24746.779744873613</v>
      </c>
      <c r="AX132" s="213"/>
      <c r="AY132" s="213"/>
      <c r="AZ132" s="213"/>
      <c r="BA132" s="213"/>
      <c r="BB132" s="213"/>
      <c r="BC132" s="213"/>
      <c r="BD132" s="213"/>
      <c r="BE132" s="213"/>
      <c r="BF132" s="213"/>
      <c r="BG132" s="213"/>
      <c r="BH132" s="213"/>
      <c r="BI132" s="213"/>
      <c r="BJ132" s="213"/>
      <c r="BK132" s="213"/>
      <c r="BL132" s="213"/>
      <c r="BM132" s="213"/>
    </row>
    <row r="133" spans="1:89" x14ac:dyDescent="0.2">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row>
    <row r="134" spans="1:89" x14ac:dyDescent="0.2">
      <c r="B134" s="211" t="s">
        <v>442</v>
      </c>
      <c r="D134" s="296"/>
      <c r="E134" s="665">
        <f t="shared" ref="E134:AW134" si="25">+E130-E132</f>
        <v>0</v>
      </c>
      <c r="F134" s="665">
        <f t="shared" ca="1" si="25"/>
        <v>0</v>
      </c>
      <c r="G134" s="665">
        <f t="shared" ca="1" si="25"/>
        <v>207234.50432853866</v>
      </c>
      <c r="H134" s="665">
        <f t="shared" ca="1" si="25"/>
        <v>34432.077035664399</v>
      </c>
      <c r="I134" s="293">
        <f t="shared" ca="1" si="25"/>
        <v>52614.671873702129</v>
      </c>
      <c r="J134" s="665">
        <f t="shared" ca="1" si="25"/>
        <v>63781.974589541409</v>
      </c>
      <c r="K134" s="665">
        <f t="shared" ca="1" si="25"/>
        <v>74965.245098337444</v>
      </c>
      <c r="L134" s="665">
        <f t="shared" ca="1" si="25"/>
        <v>87105.496613845637</v>
      </c>
      <c r="M134" s="665">
        <f t="shared" ca="1" si="25"/>
        <v>100004.97981240659</v>
      </c>
      <c r="N134" s="665">
        <f t="shared" ca="1" si="25"/>
        <v>114775.3791431179</v>
      </c>
      <c r="O134" s="665">
        <f t="shared" ca="1" si="25"/>
        <v>126114.2493536347</v>
      </c>
      <c r="P134" s="665">
        <f t="shared" ca="1" si="25"/>
        <v>138250.21870790279</v>
      </c>
      <c r="Q134" s="665">
        <f t="shared" ca="1" si="25"/>
        <v>150367.01823269043</v>
      </c>
      <c r="R134" s="665">
        <f t="shared" ca="1" si="25"/>
        <v>159968.71175103096</v>
      </c>
      <c r="S134" s="293">
        <f t="shared" ca="1" si="25"/>
        <v>176831.98569887783</v>
      </c>
      <c r="T134" s="665">
        <f t="shared" ca="1" si="25"/>
        <v>199119.43695099777</v>
      </c>
      <c r="U134" s="665">
        <f t="shared" ca="1" si="25"/>
        <v>199603.72941562673</v>
      </c>
      <c r="V134" s="665">
        <f t="shared" ca="1" si="25"/>
        <v>212588.02297926549</v>
      </c>
      <c r="W134" s="665">
        <f t="shared" ca="1" si="25"/>
        <v>238726.63021249656</v>
      </c>
      <c r="X134" s="665">
        <f t="shared" ca="1" si="25"/>
        <v>267957.40045291052</v>
      </c>
      <c r="Y134" s="665">
        <f t="shared" ca="1" si="25"/>
        <v>300068.36207215773</v>
      </c>
      <c r="Z134" s="665">
        <f t="shared" ca="1" si="25"/>
        <v>320543.23862968886</v>
      </c>
      <c r="AA134" s="665">
        <f t="shared" ca="1" si="25"/>
        <v>399722.91814836615</v>
      </c>
      <c r="AB134" s="665">
        <f t="shared" ca="1" si="25"/>
        <v>432568.84078216914</v>
      </c>
      <c r="AC134" s="665">
        <f t="shared" ca="1" si="25"/>
        <v>463403.20155603904</v>
      </c>
      <c r="AD134" s="665">
        <f t="shared" ca="1" si="25"/>
        <v>492886.79403802543</v>
      </c>
      <c r="AE134" s="665">
        <f t="shared" ca="1" si="25"/>
        <v>523620.91397324181</v>
      </c>
      <c r="AF134" s="665">
        <f t="shared" ca="1" si="25"/>
        <v>556291.59092486976</v>
      </c>
      <c r="AG134" s="665">
        <f t="shared" ca="1" si="25"/>
        <v>481167.30570299801</v>
      </c>
      <c r="AH134" s="665">
        <f t="shared" ca="1" si="25"/>
        <v>518270.98514702771</v>
      </c>
      <c r="AI134" s="665">
        <f t="shared" ca="1" si="25"/>
        <v>553385.2433610335</v>
      </c>
      <c r="AJ134" s="665">
        <f t="shared" ca="1" si="25"/>
        <v>586155.42941777303</v>
      </c>
      <c r="AK134" s="665">
        <f t="shared" ca="1" si="25"/>
        <v>614345.77033319674</v>
      </c>
      <c r="AL134" s="665">
        <f t="shared" ca="1" si="25"/>
        <v>662153.89342346124</v>
      </c>
      <c r="AM134" s="666">
        <f t="shared" ca="1" si="25"/>
        <v>712066.99314357317</v>
      </c>
      <c r="AN134" s="666">
        <f t="shared" ca="1" si="25"/>
        <v>754358.26137922751</v>
      </c>
      <c r="AO134" s="666">
        <f t="shared" ca="1" si="25"/>
        <v>795386.12770300312</v>
      </c>
      <c r="AP134" s="666">
        <f t="shared" ca="1" si="25"/>
        <v>818529.00237052829</v>
      </c>
      <c r="AQ134" s="666">
        <f t="shared" ca="1" si="25"/>
        <v>1114677.3391099721</v>
      </c>
      <c r="AR134" s="666">
        <f t="shared" ca="1" si="25"/>
        <v>973444.95301749976</v>
      </c>
      <c r="AS134" s="666">
        <f t="shared" ca="1" si="25"/>
        <v>1171968.5234743054</v>
      </c>
      <c r="AT134" s="666">
        <f t="shared" ca="1" si="25"/>
        <v>1215106.0589171378</v>
      </c>
      <c r="AU134" s="666">
        <f t="shared" ca="1" si="25"/>
        <v>1259608.4882131356</v>
      </c>
      <c r="AV134" s="666">
        <f t="shared" ca="1" si="25"/>
        <v>1196438.9719220435</v>
      </c>
      <c r="AW134" s="666">
        <f t="shared" ca="1" si="25"/>
        <v>255041.65494556914</v>
      </c>
      <c r="AX134" s="213"/>
      <c r="AY134" s="213"/>
      <c r="AZ134" s="213"/>
      <c r="BA134" s="213"/>
      <c r="BB134" s="213"/>
      <c r="BC134" s="213"/>
      <c r="BD134" s="213"/>
      <c r="BE134" s="213"/>
      <c r="BF134" s="213"/>
      <c r="BG134" s="213"/>
      <c r="BH134" s="213"/>
      <c r="BI134" s="213"/>
      <c r="BJ134" s="213"/>
      <c r="BK134" s="213"/>
      <c r="BL134" s="213"/>
      <c r="BM134" s="213"/>
    </row>
    <row r="135" spans="1:89" x14ac:dyDescent="0.2">
      <c r="D135" s="296"/>
      <c r="E135" s="297"/>
      <c r="F135" s="297"/>
      <c r="G135" s="297"/>
      <c r="H135" s="297"/>
      <c r="I135" s="298"/>
      <c r="J135" s="297"/>
      <c r="K135" s="297"/>
      <c r="L135" s="297"/>
      <c r="M135" s="297"/>
      <c r="N135" s="297"/>
      <c r="O135" s="297"/>
      <c r="P135" s="297"/>
      <c r="Q135" s="297"/>
      <c r="R135" s="297"/>
      <c r="S135" s="298"/>
      <c r="T135" s="297"/>
      <c r="U135" s="297"/>
      <c r="V135" s="297"/>
      <c r="W135" s="297"/>
      <c r="X135" s="297"/>
      <c r="Y135" s="297"/>
      <c r="Z135" s="297"/>
      <c r="AA135" s="297"/>
      <c r="AB135" s="297"/>
      <c r="AC135" s="297"/>
      <c r="AD135" s="297"/>
      <c r="AE135" s="297"/>
      <c r="AF135" s="297"/>
      <c r="AG135" s="297"/>
      <c r="AH135" s="297"/>
      <c r="AI135" s="297"/>
      <c r="AJ135" s="297"/>
      <c r="AK135" s="297"/>
      <c r="AL135" s="297"/>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c r="BI135" s="213"/>
      <c r="BJ135" s="213"/>
      <c r="BK135" s="213"/>
      <c r="BL135" s="213"/>
      <c r="BM135" s="213"/>
    </row>
    <row r="136" spans="1:89" s="528" customFormat="1" ht="13.5" thickBot="1" x14ac:dyDescent="0.25">
      <c r="B136" s="543" t="s">
        <v>433</v>
      </c>
      <c r="C136" s="543"/>
      <c r="D136" s="543"/>
      <c r="E136" s="543"/>
      <c r="F136" s="664">
        <v>2017</v>
      </c>
      <c r="G136" s="664">
        <f t="shared" ref="G136:AX136" si="26">+F136+1</f>
        <v>2018</v>
      </c>
      <c r="H136" s="664">
        <f t="shared" si="26"/>
        <v>2019</v>
      </c>
      <c r="I136" s="664">
        <f t="shared" si="26"/>
        <v>2020</v>
      </c>
      <c r="J136" s="664">
        <f t="shared" si="26"/>
        <v>2021</v>
      </c>
      <c r="K136" s="664">
        <f t="shared" si="26"/>
        <v>2022</v>
      </c>
      <c r="L136" s="664">
        <f t="shared" si="26"/>
        <v>2023</v>
      </c>
      <c r="M136" s="664">
        <f t="shared" si="26"/>
        <v>2024</v>
      </c>
      <c r="N136" s="664">
        <f t="shared" si="26"/>
        <v>2025</v>
      </c>
      <c r="O136" s="664">
        <f t="shared" si="26"/>
        <v>2026</v>
      </c>
      <c r="P136" s="664">
        <f t="shared" si="26"/>
        <v>2027</v>
      </c>
      <c r="Q136" s="664">
        <f t="shared" si="26"/>
        <v>2028</v>
      </c>
      <c r="R136" s="664">
        <f t="shared" si="26"/>
        <v>2029</v>
      </c>
      <c r="S136" s="664">
        <f t="shared" si="26"/>
        <v>2030</v>
      </c>
      <c r="T136" s="664">
        <f t="shared" si="26"/>
        <v>2031</v>
      </c>
      <c r="U136" s="664">
        <f t="shared" si="26"/>
        <v>2032</v>
      </c>
      <c r="V136" s="664">
        <f t="shared" si="26"/>
        <v>2033</v>
      </c>
      <c r="W136" s="664">
        <f t="shared" si="26"/>
        <v>2034</v>
      </c>
      <c r="X136" s="664">
        <f t="shared" si="26"/>
        <v>2035</v>
      </c>
      <c r="Y136" s="664">
        <f t="shared" si="26"/>
        <v>2036</v>
      </c>
      <c r="Z136" s="664">
        <f t="shared" si="26"/>
        <v>2037</v>
      </c>
      <c r="AA136" s="664">
        <f t="shared" si="26"/>
        <v>2038</v>
      </c>
      <c r="AB136" s="664">
        <f t="shared" si="26"/>
        <v>2039</v>
      </c>
      <c r="AC136" s="664">
        <f t="shared" si="26"/>
        <v>2040</v>
      </c>
      <c r="AD136" s="664">
        <f t="shared" si="26"/>
        <v>2041</v>
      </c>
      <c r="AE136" s="664">
        <f t="shared" si="26"/>
        <v>2042</v>
      </c>
      <c r="AF136" s="664">
        <f t="shared" si="26"/>
        <v>2043</v>
      </c>
      <c r="AG136" s="664">
        <f t="shared" si="26"/>
        <v>2044</v>
      </c>
      <c r="AH136" s="664">
        <f t="shared" si="26"/>
        <v>2045</v>
      </c>
      <c r="AI136" s="664">
        <f t="shared" si="26"/>
        <v>2046</v>
      </c>
      <c r="AJ136" s="664">
        <f t="shared" si="26"/>
        <v>2047</v>
      </c>
      <c r="AK136" s="664">
        <f t="shared" si="26"/>
        <v>2048</v>
      </c>
      <c r="AL136" s="664">
        <f t="shared" si="26"/>
        <v>2049</v>
      </c>
      <c r="AM136" s="664">
        <f t="shared" si="26"/>
        <v>2050</v>
      </c>
      <c r="AN136" s="664">
        <f t="shared" si="26"/>
        <v>2051</v>
      </c>
      <c r="AO136" s="664">
        <f t="shared" si="26"/>
        <v>2052</v>
      </c>
      <c r="AP136" s="664">
        <f t="shared" si="26"/>
        <v>2053</v>
      </c>
      <c r="AQ136" s="664">
        <f t="shared" si="26"/>
        <v>2054</v>
      </c>
      <c r="AR136" s="664">
        <f t="shared" si="26"/>
        <v>2055</v>
      </c>
      <c r="AS136" s="664">
        <f t="shared" si="26"/>
        <v>2056</v>
      </c>
      <c r="AT136" s="664">
        <f t="shared" si="26"/>
        <v>2057</v>
      </c>
      <c r="AU136" s="664">
        <f t="shared" si="26"/>
        <v>2058</v>
      </c>
      <c r="AV136" s="664">
        <f t="shared" si="26"/>
        <v>2059</v>
      </c>
      <c r="AW136" s="664">
        <f t="shared" si="26"/>
        <v>2060</v>
      </c>
      <c r="AX136" s="664">
        <f t="shared" si="26"/>
        <v>2061</v>
      </c>
      <c r="AY136" s="213"/>
      <c r="AZ136" s="213"/>
      <c r="BA136" s="213"/>
      <c r="BB136" s="213"/>
      <c r="BC136" s="213"/>
      <c r="BD136" s="213"/>
      <c r="BE136" s="213"/>
      <c r="BF136" s="213"/>
      <c r="BG136" s="213"/>
      <c r="BH136" s="213"/>
      <c r="BI136" s="213"/>
      <c r="BJ136" s="213"/>
      <c r="BK136" s="213"/>
      <c r="BL136" s="213"/>
      <c r="BM136" s="213"/>
      <c r="BN136" s="211"/>
      <c r="BO136" s="211"/>
      <c r="BP136" s="211"/>
      <c r="BQ136" s="211"/>
      <c r="BR136" s="211"/>
      <c r="BS136" s="211"/>
      <c r="BT136" s="211"/>
      <c r="BU136" s="211"/>
      <c r="BV136" s="211"/>
      <c r="BW136" s="211"/>
      <c r="BX136" s="211"/>
      <c r="BY136" s="211"/>
      <c r="BZ136" s="211"/>
      <c r="CA136" s="211"/>
      <c r="CB136" s="211"/>
      <c r="CC136" s="211"/>
      <c r="CD136" s="211"/>
      <c r="CE136" s="211"/>
      <c r="CF136" s="211"/>
      <c r="CG136" s="211"/>
      <c r="CH136" s="211"/>
      <c r="CI136" s="211"/>
      <c r="CJ136" s="211"/>
      <c r="CK136" s="211"/>
    </row>
    <row r="137" spans="1:89" s="528" customFormat="1" x14ac:dyDescent="0.2">
      <c r="AY137" s="213"/>
      <c r="AZ137" s="213"/>
      <c r="BA137" s="213"/>
      <c r="BB137" s="213"/>
      <c r="BC137" s="213"/>
      <c r="BD137" s="213"/>
      <c r="BE137" s="213"/>
      <c r="BF137" s="213"/>
      <c r="BG137" s="213"/>
      <c r="BH137" s="213"/>
      <c r="BI137" s="213"/>
      <c r="BJ137" s="213"/>
      <c r="BK137" s="213"/>
      <c r="BL137" s="213"/>
      <c r="BM137" s="213"/>
      <c r="BN137" s="211"/>
      <c r="BO137" s="211"/>
      <c r="BP137" s="211"/>
      <c r="BQ137" s="211"/>
      <c r="BR137" s="211"/>
      <c r="BS137" s="211"/>
      <c r="BT137" s="211"/>
      <c r="BU137" s="211"/>
      <c r="BV137" s="211"/>
      <c r="BW137" s="211"/>
      <c r="BX137" s="211"/>
      <c r="BY137" s="211"/>
      <c r="BZ137" s="211"/>
      <c r="CA137" s="211"/>
      <c r="CB137" s="211"/>
      <c r="CC137" s="211"/>
      <c r="CD137" s="211"/>
      <c r="CE137" s="211"/>
      <c r="CF137" s="211"/>
      <c r="CG137" s="211"/>
      <c r="CH137" s="211"/>
      <c r="CI137" s="211"/>
      <c r="CJ137" s="211"/>
      <c r="CK137" s="211"/>
    </row>
    <row r="138" spans="1:89" s="528" customFormat="1" x14ac:dyDescent="0.2">
      <c r="A138" s="532"/>
      <c r="B138" s="532" t="s">
        <v>63</v>
      </c>
      <c r="C138" s="532"/>
      <c r="D138" s="542"/>
      <c r="E138" s="542"/>
      <c r="F138" s="663">
        <f>+CF!R25</f>
        <v>0</v>
      </c>
      <c r="G138" s="663">
        <f>+CF!S25</f>
        <v>99995.383361491404</v>
      </c>
      <c r="H138" s="663">
        <f>+CF!T25</f>
        <v>110892.63499175895</v>
      </c>
      <c r="I138" s="663">
        <f>+CF!U25</f>
        <v>122977.44237811655</v>
      </c>
      <c r="J138" s="663">
        <f>+CF!V25</f>
        <v>136379.22243426612</v>
      </c>
      <c r="K138" s="663">
        <f>+CF!W25</f>
        <v>147989.64874127222</v>
      </c>
      <c r="L138" s="663">
        <f>+CF!X25</f>
        <v>160588.51006516948</v>
      </c>
      <c r="M138" s="663">
        <f>+CF!Y25</f>
        <v>174259.95523536199</v>
      </c>
      <c r="N138" s="663">
        <f>+CF!Z25</f>
        <v>189095.29695684407</v>
      </c>
      <c r="O138" s="663">
        <f>+CF!AA25</f>
        <v>205193.6216952556</v>
      </c>
      <c r="P138" s="663">
        <f>+CF!AB25</f>
        <v>218151.68779285997</v>
      </c>
      <c r="Q138" s="663">
        <f>+CF!AC25</f>
        <v>231928.06137781523</v>
      </c>
      <c r="R138" s="663">
        <f>+CF!AD25</f>
        <v>246574.41892242918</v>
      </c>
      <c r="S138" s="663">
        <f>+CF!AE25</f>
        <v>262145.70029062143</v>
      </c>
      <c r="T138" s="663">
        <f>+CF!AF25</f>
        <v>278700.31482251739</v>
      </c>
      <c r="U138" s="663">
        <f>+CF!AG25</f>
        <v>305795.33461873961</v>
      </c>
      <c r="V138" s="663">
        <f>+CF!AH25</f>
        <v>335524.51038362371</v>
      </c>
      <c r="W138" s="663">
        <f>+CF!AI25</f>
        <v>368143.9326356274</v>
      </c>
      <c r="X138" s="663">
        <f>+CF!AJ25</f>
        <v>403934.58880684001</v>
      </c>
      <c r="Y138" s="663">
        <f>+CF!AK25</f>
        <v>443204.78370084305</v>
      </c>
      <c r="Z138" s="663">
        <f>+CF!AL25</f>
        <v>486909.90690950124</v>
      </c>
      <c r="AA138" s="663">
        <f>+CF!AM25</f>
        <v>534924.8612953726</v>
      </c>
      <c r="AB138" s="663">
        <f>+CF!AN25</f>
        <v>587674.64611283329</v>
      </c>
      <c r="AC138" s="663">
        <f>+CF!AO25</f>
        <v>645626.17046348774</v>
      </c>
      <c r="AD138" s="663">
        <f>+CF!AP25</f>
        <v>709292.3860923493</v>
      </c>
      <c r="AE138" s="663">
        <f>+CF!AQ25</f>
        <v>750382.9050056797</v>
      </c>
      <c r="AF138" s="663">
        <f>+CF!AR25</f>
        <v>793853.86783420376</v>
      </c>
      <c r="AG138" s="663">
        <f>+CF!AS25</f>
        <v>839843.17775810137</v>
      </c>
      <c r="AH138" s="663">
        <f>+CF!AT25</f>
        <v>888496.72692422429</v>
      </c>
      <c r="AI138" s="663">
        <f>+CF!AU25</f>
        <v>939968.8592605762</v>
      </c>
      <c r="AJ138" s="663">
        <f>+CF!AV25</f>
        <v>993784.81824656378</v>
      </c>
      <c r="AK138" s="663">
        <f>+CF!AW25</f>
        <v>1050681.8978601643</v>
      </c>
      <c r="AL138" s="663">
        <f>+CF!AX25</f>
        <v>1110836.5012446234</v>
      </c>
      <c r="AM138" s="663">
        <f>+CF!AY25</f>
        <v>1174435.131137687</v>
      </c>
      <c r="AN138" s="663">
        <f>+CF!AZ25</f>
        <v>1241674.9681028472</v>
      </c>
      <c r="AO138" s="663">
        <f>+CF!BA25</f>
        <v>1299492.443952414</v>
      </c>
      <c r="AP138" s="663">
        <f>+CF!BB25</f>
        <v>1360002.1384578201</v>
      </c>
      <c r="AQ138" s="663">
        <f>+CF!BC25</f>
        <v>1423329.4123544544</v>
      </c>
      <c r="AR138" s="663">
        <f>+CF!BD25</f>
        <v>1489605.4636873708</v>
      </c>
      <c r="AS138" s="663">
        <f>+CF!BE25</f>
        <v>1558967.5996203499</v>
      </c>
      <c r="AT138" s="663">
        <f>+CF!BF25</f>
        <v>1616727.695374218</v>
      </c>
      <c r="AU138" s="663">
        <f>+CF!BG25</f>
        <v>1676627.8155021067</v>
      </c>
      <c r="AV138" s="663">
        <f>+CF!BH25</f>
        <v>1738747.248382292</v>
      </c>
      <c r="AW138" s="663">
        <f>+CF!BI25</f>
        <v>1803168.2200450725</v>
      </c>
      <c r="AX138" s="663">
        <f>+CF!BJ25</f>
        <v>461089.97334577679</v>
      </c>
      <c r="AY138" s="213"/>
      <c r="AZ138" s="213"/>
      <c r="BA138" s="213"/>
      <c r="BB138" s="213"/>
      <c r="BC138" s="213"/>
      <c r="BD138" s="213"/>
      <c r="BE138" s="213"/>
      <c r="BF138" s="213"/>
      <c r="BG138" s="213"/>
      <c r="BH138" s="213"/>
      <c r="BI138" s="213"/>
      <c r="BJ138" s="213"/>
      <c r="BK138" s="213"/>
      <c r="BL138" s="213"/>
      <c r="BM138" s="213"/>
      <c r="BN138" s="211"/>
      <c r="BO138" s="211"/>
      <c r="BP138" s="211"/>
      <c r="BQ138" s="211"/>
      <c r="BR138" s="211"/>
      <c r="BS138" s="211"/>
      <c r="BT138" s="211"/>
      <c r="BU138" s="211"/>
      <c r="BV138" s="211"/>
      <c r="BW138" s="211"/>
      <c r="BX138" s="211"/>
      <c r="BY138" s="211"/>
      <c r="BZ138" s="211"/>
      <c r="CA138" s="211"/>
      <c r="CB138" s="211"/>
      <c r="CC138" s="211"/>
      <c r="CD138" s="211"/>
      <c r="CE138" s="211"/>
      <c r="CF138" s="211"/>
      <c r="CG138" s="211"/>
      <c r="CH138" s="211"/>
      <c r="CI138" s="211"/>
      <c r="CJ138" s="211"/>
      <c r="CK138" s="211"/>
    </row>
    <row r="139" spans="1:89" s="528" customFormat="1" x14ac:dyDescent="0.2">
      <c r="A139" s="532"/>
      <c r="B139" s="532" t="s">
        <v>18</v>
      </c>
      <c r="C139" s="532"/>
      <c r="D139" s="542"/>
      <c r="E139" s="542"/>
      <c r="F139" s="663">
        <f>+CF!R26</f>
        <v>0</v>
      </c>
      <c r="G139" s="663">
        <f>+CF!S26</f>
        <v>0</v>
      </c>
      <c r="H139" s="663">
        <f>+CF!T26</f>
        <v>0</v>
      </c>
      <c r="I139" s="663">
        <f>+CF!U26</f>
        <v>0</v>
      </c>
      <c r="J139" s="663">
        <f>+CF!V26</f>
        <v>0</v>
      </c>
      <c r="K139" s="663">
        <f>+CF!W26</f>
        <v>0</v>
      </c>
      <c r="L139" s="663">
        <f>+CF!X26</f>
        <v>0</v>
      </c>
      <c r="M139" s="663">
        <f>+CF!Y26</f>
        <v>0</v>
      </c>
      <c r="N139" s="663">
        <f>+CF!Z26</f>
        <v>0</v>
      </c>
      <c r="O139" s="663">
        <f>+CF!AA26</f>
        <v>0</v>
      </c>
      <c r="P139" s="663">
        <f>+CF!AB26</f>
        <v>0</v>
      </c>
      <c r="Q139" s="663">
        <f>+CF!AC26</f>
        <v>0</v>
      </c>
      <c r="R139" s="663">
        <f>+CF!AD26</f>
        <v>0</v>
      </c>
      <c r="S139" s="663">
        <f>+CF!AE26</f>
        <v>0</v>
      </c>
      <c r="T139" s="663">
        <f>+CF!AF26</f>
        <v>0</v>
      </c>
      <c r="U139" s="663">
        <f>+CF!AG26</f>
        <v>0</v>
      </c>
      <c r="V139" s="663">
        <f>+CF!AH26</f>
        <v>0</v>
      </c>
      <c r="W139" s="663">
        <f>+CF!AI26</f>
        <v>0</v>
      </c>
      <c r="X139" s="663">
        <f>+CF!AJ26</f>
        <v>0</v>
      </c>
      <c r="Y139" s="663">
        <f>+CF!AK26</f>
        <v>0</v>
      </c>
      <c r="Z139" s="663">
        <f>+CF!AL26</f>
        <v>0</v>
      </c>
      <c r="AA139" s="663">
        <f>+CF!AM26</f>
        <v>0</v>
      </c>
      <c r="AB139" s="663">
        <f>+CF!AN26</f>
        <v>0</v>
      </c>
      <c r="AC139" s="663">
        <f>+CF!AO26</f>
        <v>0</v>
      </c>
      <c r="AD139" s="663">
        <f>+CF!AP26</f>
        <v>0</v>
      </c>
      <c r="AE139" s="663">
        <f>+CF!AQ26</f>
        <v>0</v>
      </c>
      <c r="AF139" s="663">
        <f>+CF!AR26</f>
        <v>0</v>
      </c>
      <c r="AG139" s="663">
        <f>+CF!AS26</f>
        <v>0</v>
      </c>
      <c r="AH139" s="663">
        <f>+CF!AT26</f>
        <v>0</v>
      </c>
      <c r="AI139" s="663">
        <f>+CF!AU26</f>
        <v>0</v>
      </c>
      <c r="AJ139" s="663">
        <f>+CF!AV26</f>
        <v>0</v>
      </c>
      <c r="AK139" s="663">
        <f>+CF!AW26</f>
        <v>0</v>
      </c>
      <c r="AL139" s="663">
        <f>+CF!AX26</f>
        <v>0</v>
      </c>
      <c r="AM139" s="663">
        <f>+CF!AY26</f>
        <v>0</v>
      </c>
      <c r="AN139" s="663">
        <f>+CF!AZ26</f>
        <v>0</v>
      </c>
      <c r="AO139" s="663">
        <f>+CF!BA26</f>
        <v>0</v>
      </c>
      <c r="AP139" s="663">
        <f>+CF!BB26</f>
        <v>-2451.0748028550297</v>
      </c>
      <c r="AQ139" s="663">
        <f>+CF!BC26</f>
        <v>-28388.597133371513</v>
      </c>
      <c r="AR139" s="663">
        <f>+CF!BD26</f>
        <v>-31360.53338051727</v>
      </c>
      <c r="AS139" s="663">
        <f>+CF!BE26</f>
        <v>-34431.761185107287</v>
      </c>
      <c r="AT139" s="663">
        <f>+CF!BF26</f>
        <v>-36081.762194184121</v>
      </c>
      <c r="AU139" s="663">
        <f>+CF!BG26</f>
        <v>-37636.280590502545</v>
      </c>
      <c r="AV139" s="663">
        <f>+CF!BH26</f>
        <v>-39585.404210636392</v>
      </c>
      <c r="AW139" s="663">
        <f>+CF!BI26</f>
        <v>-179389.91767413123</v>
      </c>
      <c r="AX139" s="663">
        <f>+CF!BJ26</f>
        <v>-57636.246668221895</v>
      </c>
      <c r="AY139" s="213"/>
      <c r="AZ139" s="213"/>
      <c r="BA139" s="213"/>
      <c r="BB139" s="213"/>
      <c r="BC139" s="213"/>
      <c r="BD139" s="213"/>
      <c r="BE139" s="213"/>
      <c r="BF139" s="213"/>
      <c r="BG139" s="213"/>
      <c r="BH139" s="213"/>
      <c r="BI139" s="213"/>
      <c r="BJ139" s="213"/>
      <c r="BK139" s="213"/>
      <c r="BL139" s="213"/>
      <c r="BM139" s="213"/>
      <c r="BN139" s="211"/>
      <c r="BO139" s="211"/>
      <c r="BP139" s="211"/>
      <c r="BQ139" s="211"/>
      <c r="BR139" s="211"/>
      <c r="BS139" s="211"/>
      <c r="BT139" s="211"/>
      <c r="BU139" s="211"/>
      <c r="BV139" s="211"/>
      <c r="BW139" s="211"/>
      <c r="BX139" s="211"/>
      <c r="BY139" s="211"/>
      <c r="BZ139" s="211"/>
      <c r="CA139" s="211"/>
      <c r="CB139" s="211"/>
      <c r="CC139" s="211"/>
      <c r="CD139" s="211"/>
      <c r="CE139" s="211"/>
      <c r="CF139" s="211"/>
      <c r="CG139" s="211"/>
      <c r="CH139" s="211"/>
      <c r="CI139" s="211"/>
      <c r="CJ139" s="211"/>
      <c r="CK139" s="211"/>
    </row>
    <row r="140" spans="1:89" s="528" customFormat="1" x14ac:dyDescent="0.2">
      <c r="A140" s="532"/>
      <c r="B140" s="532" t="s">
        <v>64</v>
      </c>
      <c r="C140" s="532"/>
      <c r="D140" s="542"/>
      <c r="E140" s="542"/>
      <c r="F140" s="663">
        <f>+CF!R27</f>
        <v>0</v>
      </c>
      <c r="G140" s="663">
        <f>+CF!S27</f>
        <v>-17116.801882543594</v>
      </c>
      <c r="H140" s="663">
        <f>+CF!T27</f>
        <v>-18251.715924132259</v>
      </c>
      <c r="I140" s="663">
        <f>+CF!U27</f>
        <v>-19461.879413055398</v>
      </c>
      <c r="J140" s="663">
        <f>+CF!V27</f>
        <v>-20752.281695745118</v>
      </c>
      <c r="K140" s="663">
        <f>+CF!W27</f>
        <v>-21619.771470281008</v>
      </c>
      <c r="L140" s="663">
        <f>+CF!X27</f>
        <v>-22523.524173393016</v>
      </c>
      <c r="M140" s="663">
        <f>+CF!Y27</f>
        <v>-23465.055673080424</v>
      </c>
      <c r="N140" s="663">
        <f>+CF!Z27</f>
        <v>-24445.945203868072</v>
      </c>
      <c r="O140" s="663">
        <f>+CF!AA27</f>
        <v>-25467.838015662743</v>
      </c>
      <c r="P140" s="663">
        <f>+CF!AB27</f>
        <v>-26490.989749443772</v>
      </c>
      <c r="Q140" s="663">
        <f>+CF!AC27</f>
        <v>-27555.245854537963</v>
      </c>
      <c r="R140" s="663">
        <f>+CF!AD27</f>
        <v>-28662.257668948518</v>
      </c>
      <c r="S140" s="663">
        <f>+CF!AE27</f>
        <v>-29813.742871973129</v>
      </c>
      <c r="T140" s="663">
        <f>+CF!AF27</f>
        <v>-31011.48814941684</v>
      </c>
      <c r="U140" s="663">
        <f>+CF!AG27</f>
        <v>-32710.13366247325</v>
      </c>
      <c r="V140" s="663">
        <f>+CF!AH27</f>
        <v>-34501.822004210582</v>
      </c>
      <c r="W140" s="663">
        <f>+CF!AI27</f>
        <v>-36391.649569316498</v>
      </c>
      <c r="X140" s="663">
        <f>+CF!AJ27</f>
        <v>-38384.991906059637</v>
      </c>
      <c r="Y140" s="663">
        <f>+CF!AK27</f>
        <v>-40487.519006848277</v>
      </c>
      <c r="Z140" s="663">
        <f>+CF!AL27</f>
        <v>-42936.801184184449</v>
      </c>
      <c r="AA140" s="663">
        <f>+CF!AM27</f>
        <v>-45534.252064651133</v>
      </c>
      <c r="AB140" s="663">
        <f>+CF!AN27</f>
        <v>-48288.835076305142</v>
      </c>
      <c r="AC140" s="663">
        <f>+CF!AO27</f>
        <v>-51210.055887506605</v>
      </c>
      <c r="AD140" s="663">
        <f>+CF!AP27</f>
        <v>-54307.995209608394</v>
      </c>
      <c r="AE140" s="663">
        <f>+CF!AQ27</f>
        <v>-56570.629298947191</v>
      </c>
      <c r="AF140" s="663">
        <f>+CF!AR27</f>
        <v>-58927.531515888171</v>
      </c>
      <c r="AG140" s="663">
        <f>+CF!AS27</f>
        <v>-61382.629353579039</v>
      </c>
      <c r="AH140" s="663">
        <f>+CF!AT27</f>
        <v>-63940.013936320618</v>
      </c>
      <c r="AI140" s="663">
        <f>+CF!AU27</f>
        <v>-66603.946836931951</v>
      </c>
      <c r="AJ140" s="663">
        <f>+CF!AV27</f>
        <v>-69494.383668132767</v>
      </c>
      <c r="AK140" s="663">
        <f>+CF!AW27</f>
        <v>-72510.257886634616</v>
      </c>
      <c r="AL140" s="663">
        <f>+CF!AX27</f>
        <v>-75657.0131464773</v>
      </c>
      <c r="AM140" s="663">
        <f>+CF!AY27</f>
        <v>-78940.329342026875</v>
      </c>
      <c r="AN140" s="663">
        <f>+CF!AZ27</f>
        <v>-82366.132860187121</v>
      </c>
      <c r="AO140" s="663">
        <f>+CF!BA27</f>
        <v>-85447.987193585664</v>
      </c>
      <c r="AP140" s="663">
        <f>+CF!BB27</f>
        <v>-88645.153801610621</v>
      </c>
      <c r="AQ140" s="663">
        <f>+CF!BC27</f>
        <v>-91961.947268678021</v>
      </c>
      <c r="AR140" s="663">
        <f>+CF!BD27</f>
        <v>-95402.843615952515</v>
      </c>
      <c r="AS140" s="663">
        <f>+CF!BE27</f>
        <v>-98972.486341749158</v>
      </c>
      <c r="AT140" s="663">
        <f>+CF!BF27</f>
        <v>-102223.65601555163</v>
      </c>
      <c r="AU140" s="663">
        <f>+CF!BG27</f>
        <v>-105581.62410008973</v>
      </c>
      <c r="AV140" s="663">
        <f>+CF!BH27</f>
        <v>-109049.89884060444</v>
      </c>
      <c r="AW140" s="663">
        <f>+CF!BI27</f>
        <v>-112632.10372548105</v>
      </c>
      <c r="AX140" s="663">
        <f>+CF!BJ27</f>
        <v>-28684.598121837771</v>
      </c>
      <c r="AY140" s="213"/>
      <c r="AZ140" s="213"/>
      <c r="BA140" s="213"/>
      <c r="BB140" s="213"/>
      <c r="BC140" s="213"/>
      <c r="BD140" s="213"/>
      <c r="BE140" s="213"/>
      <c r="BF140" s="213"/>
      <c r="BG140" s="213"/>
      <c r="BH140" s="213"/>
      <c r="BI140" s="213"/>
      <c r="BJ140" s="213"/>
      <c r="BK140" s="213"/>
      <c r="BL140" s="213"/>
      <c r="BM140" s="213"/>
      <c r="BN140" s="211"/>
      <c r="BO140" s="211"/>
      <c r="BP140" s="211"/>
      <c r="BQ140" s="211"/>
      <c r="BR140" s="211"/>
      <c r="BS140" s="211"/>
      <c r="BT140" s="211"/>
      <c r="BU140" s="211"/>
      <c r="BV140" s="211"/>
      <c r="BW140" s="211"/>
      <c r="BX140" s="211"/>
      <c r="BY140" s="211"/>
      <c r="BZ140" s="211"/>
      <c r="CA140" s="211"/>
      <c r="CB140" s="211"/>
      <c r="CC140" s="211"/>
      <c r="CD140" s="211"/>
      <c r="CE140" s="211"/>
      <c r="CF140" s="211"/>
      <c r="CG140" s="211"/>
      <c r="CH140" s="211"/>
      <c r="CI140" s="211"/>
      <c r="CJ140" s="211"/>
      <c r="CK140" s="211"/>
    </row>
    <row r="141" spans="1:89" s="528" customFormat="1" x14ac:dyDescent="0.2">
      <c r="A141" s="536"/>
      <c r="B141" s="536" t="s">
        <v>65</v>
      </c>
      <c r="C141" s="536"/>
      <c r="D141" s="542"/>
      <c r="E141" s="542"/>
      <c r="F141" s="663">
        <f>+CF!R28</f>
        <v>0</v>
      </c>
      <c r="G141" s="663">
        <f>+CF!S28</f>
        <v>-2401.0519999999956</v>
      </c>
      <c r="H141" s="663">
        <f>+CF!T28</f>
        <v>-2271.9001843671922</v>
      </c>
      <c r="I141" s="663">
        <f>+CF!U28</f>
        <v>-3321.3370258702384</v>
      </c>
      <c r="J141" s="663">
        <f>+CF!V28</f>
        <v>-4855.5300603970763</v>
      </c>
      <c r="K141" s="663">
        <f>+CF!W28</f>
        <v>-5234.7233595289154</v>
      </c>
      <c r="L141" s="663">
        <f>+CF!X28</f>
        <v>-5643.5298123881421</v>
      </c>
      <c r="M141" s="663">
        <f>+CF!Y28</f>
        <v>-6084.2620623566136</v>
      </c>
      <c r="N141" s="663">
        <f>+CF!Z28</f>
        <v>-6559.4133590245247</v>
      </c>
      <c r="O141" s="663">
        <f>+CF!AA28</f>
        <v>-7071.6716626575071</v>
      </c>
      <c r="P141" s="663">
        <f>+CF!AB28</f>
        <v>-7112.6761485473016</v>
      </c>
      <c r="Q141" s="663">
        <f>+CF!AC28</f>
        <v>-7153.9183954564542</v>
      </c>
      <c r="R141" s="663">
        <f>+CF!AD28</f>
        <v>-7195.3997820219884</v>
      </c>
      <c r="S141" s="663">
        <f>+CF!AE28</f>
        <v>-7237.1216948748361</v>
      </c>
      <c r="T141" s="663">
        <f>+CF!AF28</f>
        <v>-7279.0855286861879</v>
      </c>
      <c r="U141" s="663">
        <f>+CF!AG28</f>
        <v>-7825.0840659259275</v>
      </c>
      <c r="V141" s="663">
        <f>+CF!AH28</f>
        <v>-8412.0375282717268</v>
      </c>
      <c r="W141" s="663">
        <f>+CF!AI28</f>
        <v>-9043.0179127639458</v>
      </c>
      <c r="X141" s="663">
        <f>+CF!AJ28</f>
        <v>-9721.3276445487663</v>
      </c>
      <c r="Y141" s="663">
        <f>+CF!AK28</f>
        <v>-10450.516861110962</v>
      </c>
      <c r="Z141" s="663">
        <f>+CF!AL28</f>
        <v>-11402.936904942444</v>
      </c>
      <c r="AA141" s="663">
        <f>+CF!AM28</f>
        <v>-12442.156860390503</v>
      </c>
      <c r="AB141" s="663">
        <f>+CF!AN28</f>
        <v>-13576.087338645486</v>
      </c>
      <c r="AC141" s="663">
        <f>+CF!AO28</f>
        <v>-14813.35989367567</v>
      </c>
      <c r="AD141" s="663">
        <f>+CF!AP28</f>
        <v>-16163.392726188255</v>
      </c>
      <c r="AE141" s="663">
        <f>+CF!AQ28</f>
        <v>-14764.028626131159</v>
      </c>
      <c r="AF141" s="663">
        <f>+CF!AR28</f>
        <v>-13485.816063854612</v>
      </c>
      <c r="AG141" s="663">
        <f>+CF!AS28</f>
        <v>-12318.266207248376</v>
      </c>
      <c r="AH141" s="663">
        <f>+CF!AT28</f>
        <v>-11251.798306766013</v>
      </c>
      <c r="AI141" s="663">
        <f>+CF!AU28</f>
        <v>-10277.661077144619</v>
      </c>
      <c r="AJ141" s="663">
        <f>+CF!AV28</f>
        <v>-11712.773240383072</v>
      </c>
      <c r="AK141" s="663">
        <f>+CF!AW28</f>
        <v>-13348.276028065735</v>
      </c>
      <c r="AL141" s="663">
        <f>+CF!AX28</f>
        <v>-15212.150808753046</v>
      </c>
      <c r="AM141" s="663">
        <f>+CF!AY28</f>
        <v>-17336.286104789135</v>
      </c>
      <c r="AN141" s="663">
        <f>+CF!AZ28</f>
        <v>-19757.023164283295</v>
      </c>
      <c r="AO141" s="663">
        <f>+CF!BA28</f>
        <v>-18360.971768753996</v>
      </c>
      <c r="AP141" s="663">
        <f>+CF!BB28</f>
        <v>-17063.566787856769</v>
      </c>
      <c r="AQ141" s="663">
        <f>+CF!BC28</f>
        <v>-15857.837765381382</v>
      </c>
      <c r="AR141" s="663">
        <f>+CF!BD28</f>
        <v>-14737.306784658558</v>
      </c>
      <c r="AS141" s="663">
        <f>+CF!BE28</f>
        <v>-13695.953665213941</v>
      </c>
      <c r="AT141" s="663">
        <f>+CF!BF28</f>
        <v>-17217.14575767015</v>
      </c>
      <c r="AU141" s="663">
        <f>+CF!BG28</f>
        <v>-21643.626671558894</v>
      </c>
      <c r="AV141" s="663">
        <f>+CF!BH28</f>
        <v>-27208.143677887198</v>
      </c>
      <c r="AW141" s="663">
        <f>+CF!BI28</f>
        <v>-34203.282732155618</v>
      </c>
      <c r="AX141" s="663">
        <f>+CF!BJ28+CF!$BJ$31</f>
        <v>-140370.67583786655</v>
      </c>
      <c r="AY141" s="213"/>
      <c r="AZ141" s="213"/>
      <c r="BA141" s="213"/>
      <c r="BB141" s="213"/>
      <c r="BC141" s="213"/>
      <c r="BD141" s="213"/>
      <c r="BE141" s="213"/>
      <c r="BF141" s="213"/>
      <c r="BG141" s="213"/>
      <c r="BH141" s="213"/>
      <c r="BI141" s="213"/>
      <c r="BJ141" s="213"/>
      <c r="BK141" s="213"/>
      <c r="BL141" s="213"/>
      <c r="BM141" s="213"/>
      <c r="BN141" s="211"/>
      <c r="BO141" s="211"/>
      <c r="BP141" s="211"/>
      <c r="BQ141" s="211"/>
      <c r="BR141" s="211"/>
      <c r="BS141" s="211"/>
      <c r="BT141" s="211"/>
      <c r="BU141" s="211"/>
      <c r="BV141" s="211"/>
      <c r="BW141" s="211"/>
      <c r="BX141" s="211"/>
      <c r="BY141" s="211"/>
      <c r="BZ141" s="211"/>
      <c r="CA141" s="211"/>
      <c r="CB141" s="211"/>
      <c r="CC141" s="211"/>
      <c r="CD141" s="211"/>
      <c r="CE141" s="211"/>
      <c r="CF141" s="211"/>
      <c r="CG141" s="211"/>
      <c r="CH141" s="211"/>
      <c r="CI141" s="211"/>
      <c r="CJ141" s="211"/>
      <c r="CK141" s="211"/>
    </row>
    <row r="142" spans="1:89" s="528" customFormat="1" x14ac:dyDescent="0.2">
      <c r="A142" s="536"/>
      <c r="B142" s="536" t="s">
        <v>498</v>
      </c>
      <c r="C142" s="536"/>
      <c r="D142" s="542"/>
      <c r="E142" s="542"/>
      <c r="F142" s="663">
        <f>+CF!R30</f>
        <v>0</v>
      </c>
      <c r="G142" s="663">
        <f>+CF!S30</f>
        <v>680</v>
      </c>
      <c r="H142" s="663">
        <f>+CF!T30</f>
        <v>0</v>
      </c>
      <c r="I142" s="663">
        <f>+CF!U30</f>
        <v>0</v>
      </c>
      <c r="J142" s="663">
        <f>+CF!V30</f>
        <v>0</v>
      </c>
      <c r="K142" s="663">
        <f>+CF!W30</f>
        <v>0</v>
      </c>
      <c r="L142" s="663">
        <f>+CF!X30</f>
        <v>0</v>
      </c>
      <c r="M142" s="663">
        <f>+CF!Y30</f>
        <v>0</v>
      </c>
      <c r="N142" s="663">
        <f>+CF!Z30</f>
        <v>0</v>
      </c>
      <c r="O142" s="663">
        <f>+CF!AA30</f>
        <v>0</v>
      </c>
      <c r="P142" s="663">
        <f>+CF!AB30</f>
        <v>0</v>
      </c>
      <c r="Q142" s="663">
        <f>+CF!AC30</f>
        <v>0</v>
      </c>
      <c r="R142" s="663">
        <f>+CF!AD30</f>
        <v>0</v>
      </c>
      <c r="S142" s="663">
        <f>+CF!AE30</f>
        <v>0</v>
      </c>
      <c r="T142" s="663">
        <f>+CF!AF30</f>
        <v>0</v>
      </c>
      <c r="U142" s="663">
        <f>+CF!AG30</f>
        <v>0</v>
      </c>
      <c r="V142" s="663">
        <f>+CF!AH30</f>
        <v>0</v>
      </c>
      <c r="W142" s="663">
        <f>+CF!AI30</f>
        <v>0</v>
      </c>
      <c r="X142" s="663">
        <f>+CF!AJ30</f>
        <v>0</v>
      </c>
      <c r="Y142" s="663">
        <f>+CF!AK30</f>
        <v>0</v>
      </c>
      <c r="Z142" s="663">
        <f>+CF!AL30</f>
        <v>0</v>
      </c>
      <c r="AA142" s="663">
        <f>+CF!AM30</f>
        <v>0</v>
      </c>
      <c r="AB142" s="663">
        <f>+CF!AN30</f>
        <v>0</v>
      </c>
      <c r="AC142" s="663">
        <f>+CF!AO30</f>
        <v>0</v>
      </c>
      <c r="AD142" s="663">
        <f>+CF!AP30</f>
        <v>0</v>
      </c>
      <c r="AE142" s="663">
        <f>+CF!AQ30</f>
        <v>0</v>
      </c>
      <c r="AF142" s="663">
        <f>+CF!AR30</f>
        <v>0</v>
      </c>
      <c r="AG142" s="663">
        <f>+CF!AS30</f>
        <v>0</v>
      </c>
      <c r="AH142" s="663">
        <f>+CF!AT30</f>
        <v>0</v>
      </c>
      <c r="AI142" s="663">
        <f>+CF!AU30</f>
        <v>0</v>
      </c>
      <c r="AJ142" s="663">
        <f>+CF!AV30</f>
        <v>0</v>
      </c>
      <c r="AK142" s="663">
        <f>+CF!AW30</f>
        <v>0</v>
      </c>
      <c r="AL142" s="663">
        <f>+CF!AX30</f>
        <v>0</v>
      </c>
      <c r="AM142" s="663">
        <f>+CF!AY30</f>
        <v>0</v>
      </c>
      <c r="AN142" s="663">
        <f>+CF!AZ30</f>
        <v>0</v>
      </c>
      <c r="AO142" s="663">
        <f>+CF!BA30</f>
        <v>0</v>
      </c>
      <c r="AP142" s="663">
        <f>+CF!BB30</f>
        <v>0</v>
      </c>
      <c r="AQ142" s="663">
        <f>+CF!BC30</f>
        <v>0</v>
      </c>
      <c r="AR142" s="663">
        <f>+CF!BD30</f>
        <v>0</v>
      </c>
      <c r="AS142" s="663">
        <f>+CF!BE30</f>
        <v>0</v>
      </c>
      <c r="AT142" s="663">
        <f>+CF!BF30</f>
        <v>0</v>
      </c>
      <c r="AU142" s="663">
        <f>+CF!BG30</f>
        <v>0</v>
      </c>
      <c r="AV142" s="663">
        <f>+CF!BH30</f>
        <v>0</v>
      </c>
      <c r="AW142" s="663">
        <f>+CF!BI30</f>
        <v>0</v>
      </c>
      <c r="AX142" s="663">
        <f>+CF!BJ30</f>
        <v>0</v>
      </c>
      <c r="AY142" s="213"/>
      <c r="AZ142" s="213"/>
      <c r="BA142" s="213"/>
      <c r="BB142" s="213"/>
      <c r="BC142" s="213"/>
      <c r="BD142" s="213"/>
      <c r="BE142" s="213"/>
      <c r="BF142" s="213"/>
      <c r="BG142" s="213"/>
      <c r="BH142" s="213"/>
      <c r="BI142" s="213"/>
      <c r="BJ142" s="213"/>
      <c r="BK142" s="213"/>
      <c r="BL142" s="213"/>
      <c r="BM142" s="213"/>
      <c r="BN142" s="211"/>
      <c r="BO142" s="211"/>
      <c r="BP142" s="211"/>
      <c r="BQ142" s="211"/>
      <c r="BR142" s="211"/>
      <c r="BS142" s="211"/>
      <c r="BT142" s="211"/>
      <c r="BU142" s="211"/>
      <c r="BV142" s="211"/>
      <c r="BW142" s="211"/>
      <c r="BX142" s="211"/>
      <c r="BY142" s="211"/>
      <c r="BZ142" s="211"/>
      <c r="CA142" s="211"/>
      <c r="CB142" s="211"/>
      <c r="CC142" s="211"/>
      <c r="CD142" s="211"/>
      <c r="CE142" s="211"/>
      <c r="CF142" s="211"/>
      <c r="CG142" s="211"/>
      <c r="CH142" s="211"/>
      <c r="CI142" s="211"/>
      <c r="CJ142" s="211"/>
      <c r="CK142" s="211"/>
    </row>
    <row r="143" spans="1:89" s="528" customFormat="1" x14ac:dyDescent="0.2">
      <c r="A143" s="532"/>
      <c r="B143" s="532" t="s">
        <v>315</v>
      </c>
      <c r="C143" s="532"/>
      <c r="D143" s="542"/>
      <c r="E143" s="542"/>
      <c r="F143" s="663">
        <f>+CF!R29</f>
        <v>0</v>
      </c>
      <c r="G143" s="663">
        <f>+CF!S29</f>
        <v>0</v>
      </c>
      <c r="H143" s="663">
        <f>+CF!T29</f>
        <v>0</v>
      </c>
      <c r="I143" s="663">
        <f>+CF!U29</f>
        <v>0</v>
      </c>
      <c r="J143" s="663">
        <f>+CF!V29</f>
        <v>0</v>
      </c>
      <c r="K143" s="663">
        <f>+CF!W29</f>
        <v>0</v>
      </c>
      <c r="L143" s="663">
        <f>+CF!X29</f>
        <v>0</v>
      </c>
      <c r="M143" s="663">
        <f>+CF!Y29</f>
        <v>0</v>
      </c>
      <c r="N143" s="663">
        <f>+CF!Z29</f>
        <v>0</v>
      </c>
      <c r="O143" s="663">
        <f>+CF!AA29</f>
        <v>0</v>
      </c>
      <c r="P143" s="663">
        <f>+CF!AB29</f>
        <v>0</v>
      </c>
      <c r="Q143" s="663">
        <f>+CF!AC29</f>
        <v>0</v>
      </c>
      <c r="R143" s="663">
        <f>+CF!AD29</f>
        <v>0</v>
      </c>
      <c r="S143" s="663">
        <f>+CF!AE29</f>
        <v>0</v>
      </c>
      <c r="T143" s="663">
        <f>+CF!AF29</f>
        <v>0</v>
      </c>
      <c r="U143" s="663">
        <f>+CF!AG29</f>
        <v>0</v>
      </c>
      <c r="V143" s="663">
        <f>+CF!AH29</f>
        <v>0</v>
      </c>
      <c r="W143" s="663">
        <f>+CF!AI29</f>
        <v>0</v>
      </c>
      <c r="X143" s="663">
        <f>+CF!AJ29</f>
        <v>0</v>
      </c>
      <c r="Y143" s="663">
        <f>+CF!AK29</f>
        <v>0</v>
      </c>
      <c r="Z143" s="663">
        <f>+CF!AL29</f>
        <v>0</v>
      </c>
      <c r="AA143" s="663">
        <f>+CF!AM29</f>
        <v>0</v>
      </c>
      <c r="AB143" s="663">
        <f>+CF!AN29</f>
        <v>0</v>
      </c>
      <c r="AC143" s="663">
        <f>+CF!AO29</f>
        <v>0</v>
      </c>
      <c r="AD143" s="663">
        <f>+CF!AP29</f>
        <v>0</v>
      </c>
      <c r="AE143" s="663">
        <f>+CF!AQ29</f>
        <v>0</v>
      </c>
      <c r="AF143" s="663">
        <f>+CF!AR29</f>
        <v>0</v>
      </c>
      <c r="AG143" s="663">
        <f>+CF!AS29</f>
        <v>0</v>
      </c>
      <c r="AH143" s="663">
        <f>+CF!AT29</f>
        <v>0</v>
      </c>
      <c r="AI143" s="663">
        <f>+CF!AU29</f>
        <v>0</v>
      </c>
      <c r="AJ143" s="663">
        <f>+CF!AV29</f>
        <v>0</v>
      </c>
      <c r="AK143" s="663">
        <f>+CF!AW29</f>
        <v>0</v>
      </c>
      <c r="AL143" s="663">
        <f>+CF!AX29</f>
        <v>0</v>
      </c>
      <c r="AM143" s="663">
        <f>+CF!AY29</f>
        <v>0</v>
      </c>
      <c r="AN143" s="663">
        <f>+CF!AZ29</f>
        <v>0</v>
      </c>
      <c r="AO143" s="663">
        <f>+CF!BA29</f>
        <v>0</v>
      </c>
      <c r="AP143" s="663">
        <f>+CF!BB29</f>
        <v>0</v>
      </c>
      <c r="AQ143" s="663">
        <f>+CF!BC29</f>
        <v>0</v>
      </c>
      <c r="AR143" s="663">
        <f>+CF!BD29</f>
        <v>0</v>
      </c>
      <c r="AS143" s="663">
        <f>+CF!BE29</f>
        <v>-143269.05167515849</v>
      </c>
      <c r="AT143" s="663">
        <f>+CF!BF29</f>
        <v>17217.14575767015</v>
      </c>
      <c r="AU143" s="663">
        <f>+CF!BG29</f>
        <v>21643.626671558894</v>
      </c>
      <c r="AV143" s="663">
        <f>+CF!BH29</f>
        <v>27208.143677887198</v>
      </c>
      <c r="AW143" s="663">
        <f>+CF!BI29</f>
        <v>34203.282732155618</v>
      </c>
      <c r="AX143" s="663">
        <f>+CF!BJ29</f>
        <v>42996.852835886602</v>
      </c>
      <c r="AY143" s="213"/>
      <c r="AZ143" s="213"/>
      <c r="BA143" s="213"/>
      <c r="BB143" s="213"/>
      <c r="BC143" s="213"/>
      <c r="BD143" s="213"/>
      <c r="BE143" s="213"/>
      <c r="BF143" s="213"/>
      <c r="BG143" s="213"/>
      <c r="BH143" s="213"/>
      <c r="BI143" s="213"/>
      <c r="BJ143" s="213"/>
      <c r="BK143" s="213"/>
      <c r="BL143" s="213"/>
      <c r="BM143" s="213"/>
      <c r="BN143" s="211"/>
      <c r="BO143" s="211"/>
      <c r="BP143" s="211"/>
      <c r="BQ143" s="211"/>
      <c r="BR143" s="211"/>
      <c r="BS143" s="211"/>
      <c r="BT143" s="211"/>
      <c r="BU143" s="211"/>
      <c r="BV143" s="211"/>
      <c r="BW143" s="211"/>
      <c r="BX143" s="211"/>
      <c r="BY143" s="211"/>
      <c r="BZ143" s="211"/>
      <c r="CA143" s="211"/>
      <c r="CB143" s="211"/>
      <c r="CC143" s="211"/>
      <c r="CD143" s="211"/>
      <c r="CE143" s="211"/>
      <c r="CF143" s="211"/>
      <c r="CG143" s="211"/>
      <c r="CH143" s="211"/>
      <c r="CI143" s="211"/>
      <c r="CJ143" s="211"/>
      <c r="CK143" s="211"/>
    </row>
    <row r="144" spans="1:89" s="528" customFormat="1" x14ac:dyDescent="0.2">
      <c r="A144" s="532"/>
      <c r="B144" s="532" t="s">
        <v>271</v>
      </c>
      <c r="C144" s="532"/>
      <c r="D144" s="542"/>
      <c r="E144" s="542"/>
      <c r="F144" s="663">
        <f>+CF!R32</f>
        <v>0</v>
      </c>
      <c r="G144" s="663">
        <f>+CF!S32</f>
        <v>-361.09300000000002</v>
      </c>
      <c r="H144" s="663">
        <f>+CF!T32</f>
        <v>-597.58950622269083</v>
      </c>
      <c r="I144" s="663">
        <f>+CF!U32</f>
        <v>-650.56990692636111</v>
      </c>
      <c r="J144" s="663">
        <f>+CF!V32</f>
        <v>-722.18773524688527</v>
      </c>
      <c r="K144" s="663">
        <f>+CF!W32</f>
        <v>-784.25814883314024</v>
      </c>
      <c r="L144" s="663">
        <f>+CF!X32</f>
        <v>-851.32111459000021</v>
      </c>
      <c r="M144" s="663">
        <f>+CF!Y32</f>
        <v>-923.96444401930376</v>
      </c>
      <c r="N144" s="663">
        <f>+CF!Z32</f>
        <v>-1002.7409606390532</v>
      </c>
      <c r="O144" s="663">
        <f>+CF!AA32</f>
        <v>-1088.1588731859977</v>
      </c>
      <c r="P144" s="663">
        <f>+CF!AB32</f>
        <v>-1156.9138684982522</v>
      </c>
      <c r="Q144" s="663">
        <f>+CF!AC32</f>
        <v>-1229.8568034216039</v>
      </c>
      <c r="R144" s="663">
        <f>+CF!AD32</f>
        <v>-1307.2117529928701</v>
      </c>
      <c r="S144" s="663">
        <f>+CF!AE32</f>
        <v>-1389.8051747992881</v>
      </c>
      <c r="T144" s="663">
        <f>+CF!AF32</f>
        <v>-1477.3315725563468</v>
      </c>
      <c r="U144" s="663">
        <f>+CF!AG32</f>
        <v>-1620.3337565709298</v>
      </c>
      <c r="V144" s="663">
        <f>+CF!AH32</f>
        <v>-1777.8097391759304</v>
      </c>
      <c r="W144" s="663">
        <f>+CF!AI32</f>
        <v>-1950.6664582631711</v>
      </c>
      <c r="X144" s="663">
        <f>+CF!AJ32</f>
        <v>-2140.4390731711032</v>
      </c>
      <c r="Y144" s="663">
        <f>+CF!AK32</f>
        <v>-2348.2116974152345</v>
      </c>
      <c r="Z144" s="663">
        <f>+CF!AL32</f>
        <v>-2578.9602560015287</v>
      </c>
      <c r="AA144" s="663">
        <f>+CF!AM32</f>
        <v>-2833.5411766374718</v>
      </c>
      <c r="AB144" s="663">
        <f>+CF!AN32</f>
        <v>-3114.8950804047963</v>
      </c>
      <c r="AC144" s="663">
        <f>+CF!AO32</f>
        <v>-3419.2747896454416</v>
      </c>
      <c r="AD144" s="663">
        <f>+CF!AP32</f>
        <v>-3754.882199395538</v>
      </c>
      <c r="AE144" s="663">
        <f>+CF!AQ32</f>
        <v>-3970.8258002969851</v>
      </c>
      <c r="AF144" s="663">
        <f>+CF!AR32</f>
        <v>-4199.9370837452852</v>
      </c>
      <c r="AG144" s="663">
        <f>+CF!AS32</f>
        <v>-4442.4574541090042</v>
      </c>
      <c r="AH144" s="663">
        <f>+CF!AT32</f>
        <v>-4699.1387628785442</v>
      </c>
      <c r="AI144" s="663">
        <f>+CF!AU32</f>
        <v>-4982.1206607893573</v>
      </c>
      <c r="AJ144" s="663">
        <f>+CF!AV32</f>
        <v>-5265.2813049834103</v>
      </c>
      <c r="AK144" s="663">
        <f>+CF!AW32</f>
        <v>-5565.7717310961307</v>
      </c>
      <c r="AL144" s="663">
        <f>+CF!AX32</f>
        <v>-5883.2775808855986</v>
      </c>
      <c r="AM144" s="663">
        <f>+CF!AY32</f>
        <v>-6220.2885607018206</v>
      </c>
      <c r="AN144" s="663">
        <f>+CF!AZ32</f>
        <v>-6574.7101266507943</v>
      </c>
      <c r="AO144" s="663">
        <f>+CF!BA32</f>
        <v>-6879.0669599911671</v>
      </c>
      <c r="AP144" s="663">
        <f>+CF!BB32</f>
        <v>-7197.6111291899551</v>
      </c>
      <c r="AQ144" s="663">
        <f>+CF!BC32</f>
        <v>-7530.6082607729713</v>
      </c>
      <c r="AR144" s="663">
        <f>+CF!BD32</f>
        <v>-7880.0440759600906</v>
      </c>
      <c r="AS144" s="663">
        <f>+CF!BE32</f>
        <v>-8235.2035936389293</v>
      </c>
      <c r="AT144" s="663">
        <f>+CF!BF32</f>
        <v>-8538.9392552796307</v>
      </c>
      <c r="AU144" s="663">
        <f>+CF!BG32</f>
        <v>-8852.8229607396916</v>
      </c>
      <c r="AV144" s="663">
        <f>+CF!BH32</f>
        <v>-9177.9562579234662</v>
      </c>
      <c r="AW144" s="663">
        <f>+CF!BI32</f>
        <v>-9511.3038617391248</v>
      </c>
      <c r="AX144" s="663">
        <f>+CF!BJ32</f>
        <v>-2430.9088833519277</v>
      </c>
      <c r="AY144" s="213"/>
      <c r="AZ144" s="213"/>
      <c r="BA144" s="213"/>
      <c r="BB144" s="213"/>
      <c r="BC144" s="213"/>
      <c r="BD144" s="213"/>
      <c r="BE144" s="213"/>
      <c r="BF144" s="213"/>
      <c r="BG144" s="213"/>
      <c r="BH144" s="213"/>
      <c r="BI144" s="213"/>
      <c r="BJ144" s="213"/>
      <c r="BK144" s="213"/>
      <c r="BL144" s="213"/>
      <c r="BM144" s="213"/>
      <c r="BN144" s="211"/>
      <c r="BO144" s="211"/>
      <c r="BP144" s="211"/>
      <c r="BQ144" s="211"/>
      <c r="BR144" s="211"/>
      <c r="BS144" s="211"/>
      <c r="BT144" s="211"/>
      <c r="BU144" s="211"/>
      <c r="BV144" s="211"/>
      <c r="BW144" s="211"/>
      <c r="BX144" s="211"/>
      <c r="BY144" s="211"/>
      <c r="BZ144" s="211"/>
      <c r="CA144" s="211"/>
      <c r="CB144" s="211"/>
      <c r="CC144" s="211"/>
      <c r="CD144" s="211"/>
      <c r="CE144" s="211"/>
      <c r="CF144" s="211"/>
      <c r="CG144" s="211"/>
      <c r="CH144" s="211"/>
      <c r="CI144" s="211"/>
      <c r="CJ144" s="211"/>
      <c r="CK144" s="211"/>
    </row>
    <row r="145" spans="1:89" s="528" customFormat="1" x14ac:dyDescent="0.2">
      <c r="A145" s="532"/>
      <c r="B145" s="532" t="s">
        <v>344</v>
      </c>
      <c r="C145" s="532"/>
      <c r="D145" s="542"/>
      <c r="E145" s="542"/>
      <c r="F145" s="663">
        <f>+CF!R33</f>
        <v>0</v>
      </c>
      <c r="G145" s="663">
        <f>+CF!S33</f>
        <v>0</v>
      </c>
      <c r="H145" s="663">
        <f>+CF!T33</f>
        <v>0</v>
      </c>
      <c r="I145" s="663">
        <f>+CF!U33</f>
        <v>0</v>
      </c>
      <c r="J145" s="663">
        <f>+CF!V33</f>
        <v>0</v>
      </c>
      <c r="K145" s="663">
        <f>+CF!W33</f>
        <v>0</v>
      </c>
      <c r="L145" s="663">
        <f>+CF!X33</f>
        <v>0</v>
      </c>
      <c r="M145" s="663">
        <f>+CF!Y33</f>
        <v>0</v>
      </c>
      <c r="N145" s="663">
        <f>+CF!Z33</f>
        <v>0</v>
      </c>
      <c r="O145" s="663">
        <f>+CF!AA33</f>
        <v>0</v>
      </c>
      <c r="P145" s="663">
        <f>+CF!AB33</f>
        <v>0</v>
      </c>
      <c r="Q145" s="663">
        <f>+CF!AC33</f>
        <v>0</v>
      </c>
      <c r="R145" s="663">
        <f>+CF!AD33</f>
        <v>0</v>
      </c>
      <c r="S145" s="663">
        <f>+CF!AE33</f>
        <v>0</v>
      </c>
      <c r="T145" s="663">
        <f>+CF!AF33</f>
        <v>0</v>
      </c>
      <c r="U145" s="663">
        <f>+CF!AG33</f>
        <v>0</v>
      </c>
      <c r="V145" s="663">
        <f>+CF!AH33</f>
        <v>0</v>
      </c>
      <c r="W145" s="663">
        <f>+CF!AI33</f>
        <v>0</v>
      </c>
      <c r="X145" s="663">
        <f>+CF!AJ33</f>
        <v>0</v>
      </c>
      <c r="Y145" s="663">
        <f>+CF!AK33</f>
        <v>0</v>
      </c>
      <c r="Z145" s="663">
        <f>+CF!AL33</f>
        <v>0</v>
      </c>
      <c r="AA145" s="663">
        <f>+CF!AM33</f>
        <v>0</v>
      </c>
      <c r="AB145" s="663">
        <f>+CF!AN33</f>
        <v>0</v>
      </c>
      <c r="AC145" s="663">
        <f>+CF!AO33</f>
        <v>0</v>
      </c>
      <c r="AD145" s="663">
        <f>+CF!AP33</f>
        <v>0</v>
      </c>
      <c r="AE145" s="663">
        <f>+CF!AQ33</f>
        <v>0</v>
      </c>
      <c r="AF145" s="663">
        <f>+CF!AR33</f>
        <v>0</v>
      </c>
      <c r="AG145" s="663">
        <f>+CF!AS33</f>
        <v>0</v>
      </c>
      <c r="AH145" s="663">
        <f>+CF!AT33</f>
        <v>0</v>
      </c>
      <c r="AI145" s="663">
        <f>+CF!AU33</f>
        <v>0</v>
      </c>
      <c r="AJ145" s="663">
        <f>+CF!AV33</f>
        <v>0</v>
      </c>
      <c r="AK145" s="663">
        <f>+CF!AW33</f>
        <v>0</v>
      </c>
      <c r="AL145" s="663">
        <f>+CF!AX33</f>
        <v>0</v>
      </c>
      <c r="AM145" s="663">
        <f>+CF!AY33</f>
        <v>0</v>
      </c>
      <c r="AN145" s="663">
        <f>+CF!AZ33</f>
        <v>0</v>
      </c>
      <c r="AO145" s="663">
        <f>+CF!BA33</f>
        <v>0</v>
      </c>
      <c r="AP145" s="663">
        <f>+CF!BB33</f>
        <v>0</v>
      </c>
      <c r="AQ145" s="663">
        <f>+CF!BC33</f>
        <v>0</v>
      </c>
      <c r="AR145" s="663">
        <f>+CF!BD33</f>
        <v>0</v>
      </c>
      <c r="AS145" s="663">
        <f>+CF!BE33</f>
        <v>0</v>
      </c>
      <c r="AT145" s="663">
        <f>+CF!BF33</f>
        <v>0</v>
      </c>
      <c r="AU145" s="663">
        <f>+CF!BG33</f>
        <v>0</v>
      </c>
      <c r="AV145" s="663">
        <f>+CF!BH33</f>
        <v>0</v>
      </c>
      <c r="AW145" s="663">
        <f>+CF!BI33</f>
        <v>0</v>
      </c>
      <c r="AX145" s="663">
        <f>+CF!BJ33</f>
        <v>2883.7478702290005</v>
      </c>
      <c r="AY145" s="213"/>
      <c r="AZ145" s="213"/>
      <c r="BA145" s="213"/>
      <c r="BB145" s="213"/>
      <c r="BC145" s="213"/>
      <c r="BD145" s="213"/>
      <c r="BE145" s="213"/>
      <c r="BF145" s="213"/>
      <c r="BG145" s="213"/>
      <c r="BH145" s="213"/>
      <c r="BI145" s="213"/>
      <c r="BJ145" s="213"/>
      <c r="BK145" s="213"/>
      <c r="BL145" s="213"/>
      <c r="BM145" s="213"/>
      <c r="BN145" s="211"/>
      <c r="BO145" s="211"/>
      <c r="BP145" s="211"/>
      <c r="BQ145" s="211"/>
      <c r="BR145" s="211"/>
      <c r="BS145" s="211"/>
      <c r="BT145" s="211"/>
      <c r="BU145" s="211"/>
      <c r="BV145" s="211"/>
      <c r="BW145" s="211"/>
      <c r="BX145" s="211"/>
      <c r="BY145" s="211"/>
      <c r="BZ145" s="211"/>
      <c r="CA145" s="211"/>
      <c r="CB145" s="211"/>
      <c r="CC145" s="211"/>
      <c r="CD145" s="211"/>
      <c r="CE145" s="211"/>
      <c r="CF145" s="211"/>
      <c r="CG145" s="211"/>
      <c r="CH145" s="211"/>
      <c r="CI145" s="211"/>
      <c r="CJ145" s="211"/>
      <c r="CK145" s="211"/>
    </row>
    <row r="146" spans="1:89" s="528" customFormat="1" x14ac:dyDescent="0.2">
      <c r="A146" s="536"/>
      <c r="B146" s="536" t="s">
        <v>67</v>
      </c>
      <c r="C146" s="536"/>
      <c r="D146" s="542"/>
      <c r="E146" s="542"/>
      <c r="F146" s="663">
        <f>+CF!R37</f>
        <v>0</v>
      </c>
      <c r="G146" s="663">
        <f>+CF!S37</f>
        <v>0</v>
      </c>
      <c r="H146" s="663">
        <f>+CF!T37</f>
        <v>400000</v>
      </c>
      <c r="I146" s="663">
        <f>+CF!U37</f>
        <v>3321.3370258702384</v>
      </c>
      <c r="J146" s="663">
        <f>+CF!V37</f>
        <v>4855.5300603970763</v>
      </c>
      <c r="K146" s="663">
        <f>+CF!W37</f>
        <v>5234.7233595289154</v>
      </c>
      <c r="L146" s="663">
        <f>+CF!X37</f>
        <v>5643.5298123881421</v>
      </c>
      <c r="M146" s="663">
        <f>+CF!Y37</f>
        <v>8374.1046980874198</v>
      </c>
      <c r="N146" s="663">
        <f>+CF!Z37</f>
        <v>19621.907719577626</v>
      </c>
      <c r="O146" s="663">
        <f>+CF!AA37</f>
        <v>20288.656840787982</v>
      </c>
      <c r="P146" s="663">
        <f>+CF!AB37</f>
        <v>16508.127427618201</v>
      </c>
      <c r="Q146" s="663">
        <f>+CF!AC37</f>
        <v>12674.945589399376</v>
      </c>
      <c r="R146" s="663">
        <f>+CF!AD37</f>
        <v>69036.485568968012</v>
      </c>
      <c r="S146" s="663">
        <f>+CF!AE37</f>
        <v>7237.1216948748361</v>
      </c>
      <c r="T146" s="663">
        <f>+CF!AF37</f>
        <v>21999.501092860253</v>
      </c>
      <c r="U146" s="663">
        <f>+CF!AG37</f>
        <v>30571.252388052017</v>
      </c>
      <c r="V146" s="663">
        <f>+CF!AH37</f>
        <v>41319.387906036922</v>
      </c>
      <c r="W146" s="663">
        <f>+CF!AI37</f>
        <v>64086.303096119562</v>
      </c>
      <c r="X146" s="663">
        <f>+CF!AJ37</f>
        <v>89078.807756174501</v>
      </c>
      <c r="Y146" s="663">
        <f>+CF!AK37</f>
        <v>106569.06698689944</v>
      </c>
      <c r="Z146" s="663">
        <f>+CF!AL37</f>
        <v>127643.71991012018</v>
      </c>
      <c r="AA146" s="663">
        <f>+CF!AM37</f>
        <v>191998.67816823407</v>
      </c>
      <c r="AB146" s="663">
        <f>+CF!AN37</f>
        <v>317645.24497716688</v>
      </c>
      <c r="AC146" s="663">
        <f>+CF!AO37</f>
        <v>14813.35989367567</v>
      </c>
      <c r="AD146" s="663">
        <f>+CF!AP37</f>
        <v>16163.392726188255</v>
      </c>
      <c r="AE146" s="663">
        <f>+CF!AQ37</f>
        <v>14764.028626131159</v>
      </c>
      <c r="AF146" s="663">
        <f>+CF!AR37</f>
        <v>13485.816063854612</v>
      </c>
      <c r="AG146" s="663">
        <f>+CF!AS37</f>
        <v>12318.266207248376</v>
      </c>
      <c r="AH146" s="663">
        <f>+CF!AT37</f>
        <v>11251.798306766013</v>
      </c>
      <c r="AI146" s="663">
        <f>+CF!AU37</f>
        <v>10277.661077144619</v>
      </c>
      <c r="AJ146" s="663">
        <f>+CF!AV37</f>
        <v>8166.9757688525569</v>
      </c>
      <c r="AK146" s="663">
        <f>+CF!AW37</f>
        <v>0</v>
      </c>
      <c r="AL146" s="663">
        <f>+CF!AX37</f>
        <v>101241.29866986125</v>
      </c>
      <c r="AM146" s="663">
        <f>+CF!AY37</f>
        <v>0</v>
      </c>
      <c r="AN146" s="663">
        <f>+CF!AZ37</f>
        <v>0</v>
      </c>
      <c r="AO146" s="663">
        <f>+CF!BA37</f>
        <v>0</v>
      </c>
      <c r="AP146" s="663">
        <f>+CF!BB37</f>
        <v>0</v>
      </c>
      <c r="AQ146" s="663">
        <f>+CF!BC37</f>
        <v>0</v>
      </c>
      <c r="AR146" s="663">
        <f>+CF!BD37</f>
        <v>0</v>
      </c>
      <c r="AS146" s="663">
        <f>+CF!BE37</f>
        <v>0</v>
      </c>
      <c r="AT146" s="663">
        <f>+CF!BF37</f>
        <v>0</v>
      </c>
      <c r="AU146" s="663">
        <f>+CF!BG37</f>
        <v>0</v>
      </c>
      <c r="AV146" s="663">
        <f>+CF!BH37</f>
        <v>0</v>
      </c>
      <c r="AW146" s="663">
        <f>+CF!BI37</f>
        <v>0</v>
      </c>
      <c r="AX146" s="663">
        <f>+CF!BJ37</f>
        <v>0</v>
      </c>
      <c r="AY146" s="213"/>
      <c r="AZ146" s="213"/>
      <c r="BA146" s="213"/>
      <c r="BB146" s="213"/>
      <c r="BC146" s="213"/>
      <c r="BD146" s="213"/>
      <c r="BE146" s="213"/>
      <c r="BF146" s="213"/>
      <c r="BG146" s="213"/>
      <c r="BH146" s="213"/>
      <c r="BI146" s="213"/>
      <c r="BJ146" s="213"/>
      <c r="BK146" s="213"/>
      <c r="BL146" s="213"/>
      <c r="BM146" s="213"/>
      <c r="BN146" s="211"/>
      <c r="BO146" s="211"/>
      <c r="BP146" s="211"/>
      <c r="BQ146" s="211"/>
      <c r="BR146" s="211"/>
      <c r="BS146" s="211"/>
      <c r="BT146" s="211"/>
      <c r="BU146" s="211"/>
      <c r="BV146" s="211"/>
      <c r="BW146" s="211"/>
      <c r="BX146" s="211"/>
      <c r="BY146" s="211"/>
      <c r="BZ146" s="211"/>
      <c r="CA146" s="211"/>
      <c r="CB146" s="211"/>
      <c r="CC146" s="211"/>
      <c r="CD146" s="211"/>
      <c r="CE146" s="211"/>
      <c r="CF146" s="211"/>
      <c r="CG146" s="211"/>
      <c r="CH146" s="211"/>
      <c r="CI146" s="211"/>
      <c r="CJ146" s="211"/>
      <c r="CK146" s="211"/>
    </row>
    <row r="147" spans="1:89" s="528" customFormat="1" x14ac:dyDescent="0.2">
      <c r="A147" s="536"/>
      <c r="B147" s="536" t="s">
        <v>68</v>
      </c>
      <c r="C147" s="536"/>
      <c r="D147" s="542"/>
      <c r="E147" s="542"/>
      <c r="F147" s="663">
        <f>+CF!R38</f>
        <v>0</v>
      </c>
      <c r="G147" s="663">
        <f>+CF!S38</f>
        <v>0</v>
      </c>
      <c r="H147" s="663">
        <f>+CF!T38</f>
        <v>-4127.168904518021</v>
      </c>
      <c r="I147" s="663">
        <f>+CF!U38</f>
        <v>-4312.6113068250797</v>
      </c>
      <c r="J147" s="663">
        <f>+CF!V38</f>
        <v>-690.62458930895025</v>
      </c>
      <c r="K147" s="663">
        <f>+CF!W38</f>
        <v>-670.3760303620669</v>
      </c>
      <c r="L147" s="663">
        <f>+CF!X38</f>
        <v>-648.37767724224011</v>
      </c>
      <c r="M147" s="663">
        <f>+CF!Y38</f>
        <v>-647.3874308431333</v>
      </c>
      <c r="N147" s="663">
        <f>+CF!Z38</f>
        <v>-729.18336675298258</v>
      </c>
      <c r="O147" s="663">
        <f>+CF!AA38</f>
        <v>-702.59226652727841</v>
      </c>
      <c r="P147" s="663">
        <f>+CF!AB38</f>
        <v>-633.8591103193686</v>
      </c>
      <c r="Q147" s="663">
        <f>+CF!AC38</f>
        <v>-564.47903347406316</v>
      </c>
      <c r="R147" s="663">
        <f>+CF!AD38</f>
        <v>-1096.9264358438415</v>
      </c>
      <c r="S147" s="663">
        <f>+CF!AE38</f>
        <v>-4644.4828122026092</v>
      </c>
      <c r="T147" s="663">
        <f>+CF!AF38</f>
        <v>-893.95160278707374</v>
      </c>
      <c r="U147" s="663">
        <f>+CF!AG38</f>
        <v>-943.10828668651152</v>
      </c>
      <c r="V147" s="663">
        <f>+CF!AH38</f>
        <v>-1011.0867622217945</v>
      </c>
      <c r="W147" s="663">
        <f>+CF!AI38</f>
        <v>-1196.0857109827239</v>
      </c>
      <c r="X147" s="663">
        <f>+CF!AJ38</f>
        <v>-1399.9309548842241</v>
      </c>
      <c r="Y147" s="663">
        <f>+CF!AK38</f>
        <v>-1525.0835878858845</v>
      </c>
      <c r="Z147" s="663">
        <f>+CF!AL38</f>
        <v>-1680.4444403280509</v>
      </c>
      <c r="AA147" s="663">
        <f>+CF!AM38</f>
        <v>-2263.2676538979686</v>
      </c>
      <c r="AB147" s="663">
        <f>+CF!AN38</f>
        <v>-3453.1727902986563</v>
      </c>
      <c r="AC147" s="663">
        <f>+CF!AO38</f>
        <v>-3639.5562601556812</v>
      </c>
      <c r="AD147" s="663">
        <f>+CF!AP38</f>
        <v>-513.17546139057026</v>
      </c>
      <c r="AE147" s="663">
        <f>+CF!AQ38</f>
        <v>-437.85256747595884</v>
      </c>
      <c r="AF147" s="663">
        <f>+CF!AR38</f>
        <v>-369.29863323855659</v>
      </c>
      <c r="AG147" s="663">
        <f>+CF!AS38</f>
        <v>-306.93332757294644</v>
      </c>
      <c r="AH147" s="663">
        <f>+CF!AT38</f>
        <v>-250.22669328218672</v>
      </c>
      <c r="AI147" s="663">
        <f>+CF!AU38</f>
        <v>-198.69478891433511</v>
      </c>
      <c r="AJ147" s="663">
        <f>+CF!AV38</f>
        <v>-151.89570798127258</v>
      </c>
      <c r="AK147" s="663">
        <f>+CF!AW38</f>
        <v>-115.28619144946826</v>
      </c>
      <c r="AL147" s="663">
        <f>+CF!AX38</f>
        <v>-1130.3507605514185</v>
      </c>
      <c r="AM147" s="663">
        <f>+CF!AY38</f>
        <v>-120.65034265142054</v>
      </c>
      <c r="AN147" s="663">
        <f>+CF!AZ38</f>
        <v>-123.4253005324032</v>
      </c>
      <c r="AO147" s="663">
        <f>+CF!BA38</f>
        <v>-126.26408244464847</v>
      </c>
      <c r="AP147" s="663">
        <f>+CF!BB38</f>
        <v>-129.16815634087538</v>
      </c>
      <c r="AQ147" s="663">
        <f>+CF!BC38</f>
        <v>-132.13902393671552</v>
      </c>
      <c r="AR147" s="663">
        <f>+CF!BD38</f>
        <v>-135.17822148725995</v>
      </c>
      <c r="AS147" s="663">
        <f>+CF!BE38</f>
        <v>0</v>
      </c>
      <c r="AT147" s="663">
        <f>+CF!BF38</f>
        <v>0</v>
      </c>
      <c r="AU147" s="663">
        <f>+CF!BG38</f>
        <v>0</v>
      </c>
      <c r="AV147" s="663">
        <f>+CF!BH38</f>
        <v>0</v>
      </c>
      <c r="AW147" s="663">
        <f>+CF!BI38</f>
        <v>0</v>
      </c>
      <c r="AX147" s="663">
        <f>+CF!BJ38</f>
        <v>0</v>
      </c>
      <c r="AY147" s="213"/>
      <c r="AZ147" s="213"/>
      <c r="BA147" s="213"/>
      <c r="BB147" s="213"/>
      <c r="BC147" s="213"/>
      <c r="BD147" s="213"/>
      <c r="BE147" s="213"/>
      <c r="BF147" s="213"/>
      <c r="BG147" s="213"/>
      <c r="BH147" s="213"/>
      <c r="BI147" s="213"/>
      <c r="BJ147" s="213"/>
      <c r="BK147" s="213"/>
      <c r="BL147" s="213"/>
      <c r="BM147" s="213"/>
      <c r="BN147" s="211"/>
      <c r="BO147" s="211"/>
      <c r="BP147" s="211"/>
      <c r="BQ147" s="211"/>
      <c r="BR147" s="211"/>
      <c r="BS147" s="211"/>
      <c r="BT147" s="211"/>
      <c r="BU147" s="211"/>
      <c r="BV147" s="211"/>
      <c r="BW147" s="211"/>
      <c r="BX147" s="211"/>
      <c r="BY147" s="211"/>
      <c r="BZ147" s="211"/>
      <c r="CA147" s="211"/>
      <c r="CB147" s="211"/>
      <c r="CC147" s="211"/>
      <c r="CD147" s="211"/>
      <c r="CE147" s="211"/>
      <c r="CF147" s="211"/>
      <c r="CG147" s="211"/>
      <c r="CH147" s="211"/>
      <c r="CI147" s="211"/>
      <c r="CJ147" s="211"/>
      <c r="CK147" s="211"/>
    </row>
    <row r="148" spans="1:89" s="528" customFormat="1" x14ac:dyDescent="0.2">
      <c r="A148" s="536"/>
      <c r="B148" s="536" t="s">
        <v>69</v>
      </c>
      <c r="C148" s="536"/>
      <c r="D148" s="542"/>
      <c r="E148" s="542"/>
      <c r="F148" s="663">
        <f>+CF!R39</f>
        <v>0</v>
      </c>
      <c r="G148" s="663">
        <f>+CF!S39</f>
        <v>-27873.78125</v>
      </c>
      <c r="H148" s="663">
        <f>+CF!T39</f>
        <v>-47204.699072771196</v>
      </c>
      <c r="I148" s="663">
        <f>+CF!U39</f>
        <v>-59744.926426556849</v>
      </c>
      <c r="J148" s="663">
        <f>+CF!V39</f>
        <v>-59883.679959100744</v>
      </c>
      <c r="K148" s="663">
        <f>+CF!W39</f>
        <v>-60147.181813770221</v>
      </c>
      <c r="L148" s="663">
        <f>+CF!X39</f>
        <v>-60431.261882631894</v>
      </c>
      <c r="M148" s="663">
        <f>+CF!Y39</f>
        <v>-60816.478728071699</v>
      </c>
      <c r="N148" s="663">
        <f>+CF!Z39</f>
        <v>-61186.119257828126</v>
      </c>
      <c r="O148" s="663">
        <f>+CF!AA39</f>
        <v>-61648.152060959597</v>
      </c>
      <c r="P148" s="663">
        <f>+CF!AB39</f>
        <v>-62101.975686303442</v>
      </c>
      <c r="Q148" s="663">
        <f>+CF!AC39</f>
        <v>-62597.919643982772</v>
      </c>
      <c r="R148" s="663">
        <f>+CF!AD39</f>
        <v>-62922.616337585016</v>
      </c>
      <c r="S148" s="663">
        <f>+CF!AE39</f>
        <v>-63306.774884572922</v>
      </c>
      <c r="T148" s="663">
        <f>+CF!AF39</f>
        <v>-63805.277781861769</v>
      </c>
      <c r="U148" s="663">
        <f>+CF!AG39</f>
        <v>-64458.723155451495</v>
      </c>
      <c r="V148" s="663">
        <f>+CF!AH39</f>
        <v>-65064.424776121858</v>
      </c>
      <c r="W148" s="663">
        <f>+CF!AI39</f>
        <v>-65954.307073595061</v>
      </c>
      <c r="X148" s="663">
        <f>+CF!AJ39</f>
        <v>-67072.81843950841</v>
      </c>
      <c r="Y148" s="663">
        <f>+CF!AK39</f>
        <v>-68480.162117684114</v>
      </c>
      <c r="Z148" s="663">
        <f>+CF!AL39</f>
        <v>-69860.279078238847</v>
      </c>
      <c r="AA148" s="663">
        <f>+CF!AM39</f>
        <v>-71899.220805780744</v>
      </c>
      <c r="AB148" s="663">
        <f>+CF!AN39</f>
        <v>-74281.982807908702</v>
      </c>
      <c r="AC148" s="663">
        <f>+CF!AO39</f>
        <v>-75247.537943107614</v>
      </c>
      <c r="AD148" s="663">
        <f>+CF!AP39</f>
        <v>-75848.411660478436</v>
      </c>
      <c r="AE148" s="663">
        <f>+CF!AQ39</f>
        <v>-76690.153839572173</v>
      </c>
      <c r="AF148" s="663">
        <f>+CF!AR39</f>
        <v>-77459.021232605737</v>
      </c>
      <c r="AG148" s="663">
        <f>+CF!AS39</f>
        <v>-78375.463668142591</v>
      </c>
      <c r="AH148" s="663">
        <f>+CF!AT39</f>
        <v>-78802.822302612563</v>
      </c>
      <c r="AI148" s="663">
        <f>+CF!AU39</f>
        <v>-77918.428145632293</v>
      </c>
      <c r="AJ148" s="663">
        <f>+CF!AV39</f>
        <v>-72478.798839589537</v>
      </c>
      <c r="AK148" s="663">
        <f>+CF!AW39</f>
        <v>-66715.682786605292</v>
      </c>
      <c r="AL148" s="663">
        <f>+CF!AX39</f>
        <v>-59932.708558178914</v>
      </c>
      <c r="AM148" s="663">
        <f>+CF!AY39</f>
        <v>-52788.654653238365</v>
      </c>
      <c r="AN148" s="663">
        <f>+CF!AZ39</f>
        <v>-44679.057853223916</v>
      </c>
      <c r="AO148" s="663">
        <f>+CF!BA39</f>
        <v>-36242.731076609285</v>
      </c>
      <c r="AP148" s="663">
        <f>+CF!BB39</f>
        <v>-27160.250681012705</v>
      </c>
      <c r="AQ148" s="663">
        <f>+CF!BC39</f>
        <v>-17705.162672456412</v>
      </c>
      <c r="AR148" s="663">
        <f>+CF!BD39</f>
        <v>-7753.6825434509183</v>
      </c>
      <c r="AS148" s="663">
        <f>+CF!BE39</f>
        <v>0</v>
      </c>
      <c r="AT148" s="663">
        <f>+CF!BF39</f>
        <v>0</v>
      </c>
      <c r="AU148" s="663">
        <f>+CF!BG39</f>
        <v>0</v>
      </c>
      <c r="AV148" s="663">
        <f>+CF!BH39</f>
        <v>0</v>
      </c>
      <c r="AW148" s="663">
        <f>+CF!BI39</f>
        <v>0</v>
      </c>
      <c r="AX148" s="663">
        <f>+CF!BJ39</f>
        <v>0</v>
      </c>
      <c r="AY148" s="213"/>
      <c r="AZ148" s="213"/>
      <c r="BA148" s="213"/>
      <c r="BB148" s="213"/>
      <c r="BC148" s="213"/>
      <c r="BD148" s="213"/>
      <c r="BE148" s="213"/>
      <c r="BF148" s="213"/>
      <c r="BG148" s="213"/>
      <c r="BH148" s="213"/>
      <c r="BI148" s="213"/>
      <c r="BJ148" s="213"/>
      <c r="BK148" s="213"/>
      <c r="BL148" s="213"/>
      <c r="BM148" s="213"/>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row>
    <row r="149" spans="1:89" s="528" customFormat="1" x14ac:dyDescent="0.2">
      <c r="A149" s="536"/>
      <c r="B149" s="536" t="s">
        <v>70</v>
      </c>
      <c r="C149" s="536"/>
      <c r="D149" s="542"/>
      <c r="E149" s="542"/>
      <c r="F149" s="663">
        <f>+CF!R40</f>
        <v>0</v>
      </c>
      <c r="G149" s="663">
        <f>+CF!S40</f>
        <v>0</v>
      </c>
      <c r="H149" s="663">
        <f>+CF!T40</f>
        <v>-400000</v>
      </c>
      <c r="I149" s="663">
        <f>+CF!U40</f>
        <v>0</v>
      </c>
      <c r="J149" s="663">
        <f>+CF!V40</f>
        <v>0</v>
      </c>
      <c r="K149" s="663">
        <f>+CF!W40</f>
        <v>0</v>
      </c>
      <c r="L149" s="663">
        <f>+CF!X40</f>
        <v>0</v>
      </c>
      <c r="M149" s="663">
        <f>+CF!Y40</f>
        <v>-2289.8426357308053</v>
      </c>
      <c r="N149" s="663">
        <f>+CF!Z40</f>
        <v>-13062.494360553101</v>
      </c>
      <c r="O149" s="663">
        <f>+CF!AA40</f>
        <v>-13216.985178130475</v>
      </c>
      <c r="P149" s="663">
        <f>+CF!AB40</f>
        <v>-9395.4512790708977</v>
      </c>
      <c r="Q149" s="663">
        <f>+CF!AC40</f>
        <v>-5521.0271939429222</v>
      </c>
      <c r="R149" s="663">
        <f>+CF!AD40</f>
        <v>-61841.085786946023</v>
      </c>
      <c r="S149" s="663">
        <f>+CF!AE40</f>
        <v>0</v>
      </c>
      <c r="T149" s="663">
        <f>+CF!AF40</f>
        <v>-14720.415564174065</v>
      </c>
      <c r="U149" s="663">
        <f>+CF!AG40</f>
        <v>-22746.16832212609</v>
      </c>
      <c r="V149" s="663">
        <f>+CF!AH40</f>
        <v>-32907.350377765193</v>
      </c>
      <c r="W149" s="663">
        <f>+CF!AI40</f>
        <v>-55043.28518335562</v>
      </c>
      <c r="X149" s="663">
        <f>+CF!AJ40</f>
        <v>-79357.480111625744</v>
      </c>
      <c r="Y149" s="663">
        <f>+CF!AK40</f>
        <v>-96118.55012578849</v>
      </c>
      <c r="Z149" s="663">
        <f>+CF!AL40</f>
        <v>-116240.78300517774</v>
      </c>
      <c r="AA149" s="663">
        <f>+CF!AM40</f>
        <v>-179556.52130784356</v>
      </c>
      <c r="AB149" s="663">
        <f>+CF!AN40</f>
        <v>-304069.1576385214</v>
      </c>
      <c r="AC149" s="663">
        <f>+CF!AO40</f>
        <v>0</v>
      </c>
      <c r="AD149" s="663">
        <f>+CF!AP40</f>
        <v>0</v>
      </c>
      <c r="AE149" s="663">
        <f>+CF!AQ40</f>
        <v>0</v>
      </c>
      <c r="AF149" s="663">
        <f>+CF!AR40</f>
        <v>0</v>
      </c>
      <c r="AG149" s="663">
        <f>+CF!AS40</f>
        <v>0</v>
      </c>
      <c r="AH149" s="663">
        <f>+CF!AT40</f>
        <v>0</v>
      </c>
      <c r="AI149" s="663">
        <f>+CF!AU40</f>
        <v>-110492.42121866169</v>
      </c>
      <c r="AJ149" s="663">
        <f>+CF!AV40</f>
        <v>-116293.2733326414</v>
      </c>
      <c r="AK149" s="663">
        <f>+CF!AW40</f>
        <v>-122398.67018260507</v>
      </c>
      <c r="AL149" s="663">
        <f>+CF!AX40</f>
        <v>-230065.89903705308</v>
      </c>
      <c r="AM149" s="663">
        <f>+CF!AY40</f>
        <v>-150378.78197027749</v>
      </c>
      <c r="AN149" s="663">
        <f>+CF!AZ40</f>
        <v>-158273.66802371704</v>
      </c>
      <c r="AO149" s="663">
        <f>+CF!BA40</f>
        <v>-166583.03559496219</v>
      </c>
      <c r="AP149" s="663">
        <f>+CF!BB40</f>
        <v>-175328.6449636977</v>
      </c>
      <c r="AQ149" s="663">
        <f>+CF!BC40</f>
        <v>-184533.39882429174</v>
      </c>
      <c r="AR149" s="663">
        <f>+CF!BD40</f>
        <v>-194221.40226256705</v>
      </c>
      <c r="AS149" s="663">
        <f>+CF!BE40</f>
        <v>0</v>
      </c>
      <c r="AT149" s="663">
        <f>+CF!BF40</f>
        <v>0</v>
      </c>
      <c r="AU149" s="663">
        <f>+CF!BG40</f>
        <v>0</v>
      </c>
      <c r="AV149" s="663">
        <f>+CF!BH40</f>
        <v>0</v>
      </c>
      <c r="AW149" s="663">
        <f>+CF!BI40</f>
        <v>0</v>
      </c>
      <c r="AX149" s="663">
        <f>+CF!BJ40</f>
        <v>0</v>
      </c>
      <c r="AY149" s="213"/>
      <c r="AZ149" s="213"/>
      <c r="BA149" s="213"/>
      <c r="BB149" s="213"/>
      <c r="BC149" s="213"/>
      <c r="BD149" s="213"/>
      <c r="BE149" s="213"/>
      <c r="BF149" s="213"/>
      <c r="BG149" s="213"/>
      <c r="BH149" s="213"/>
      <c r="BI149" s="213"/>
      <c r="BJ149" s="213"/>
      <c r="BK149" s="213"/>
      <c r="BL149" s="213"/>
      <c r="BM149" s="213"/>
      <c r="BN149" s="211"/>
      <c r="BO149" s="211"/>
      <c r="BP149" s="211"/>
      <c r="BQ149" s="211"/>
      <c r="BR149" s="211"/>
      <c r="BS149" s="211"/>
      <c r="BT149" s="211"/>
      <c r="BU149" s="211"/>
      <c r="BV149" s="211"/>
      <c r="BW149" s="211"/>
      <c r="BX149" s="211"/>
      <c r="BY149" s="211"/>
      <c r="BZ149" s="211"/>
      <c r="CA149" s="211"/>
      <c r="CB149" s="211"/>
      <c r="CC149" s="211"/>
      <c r="CD149" s="211"/>
      <c r="CE149" s="211"/>
      <c r="CF149" s="211"/>
      <c r="CG149" s="211"/>
      <c r="CH149" s="211"/>
      <c r="CI149" s="211"/>
      <c r="CJ149" s="211"/>
      <c r="CK149" s="211"/>
    </row>
    <row r="150" spans="1:89" s="528" customFormat="1" x14ac:dyDescent="0.2">
      <c r="A150" s="536"/>
      <c r="B150" s="536" t="s">
        <v>72</v>
      </c>
      <c r="C150" s="536"/>
      <c r="D150" s="542"/>
      <c r="E150" s="542"/>
      <c r="F150" s="663">
        <f>+CF!R43</f>
        <v>0</v>
      </c>
      <c r="G150" s="663">
        <f>+CF!S43</f>
        <v>0</v>
      </c>
      <c r="H150" s="663">
        <f>+CF!T43</f>
        <v>2933.937622086924</v>
      </c>
      <c r="I150" s="663">
        <f>+CF!U43</f>
        <v>940.6351316665299</v>
      </c>
      <c r="J150" s="663">
        <f>+CF!V43</f>
        <v>1180.3461841882392</v>
      </c>
      <c r="K150" s="663">
        <f>+CF!W43</f>
        <v>1392.855798373562</v>
      </c>
      <c r="L150" s="663">
        <f>+CF!X43</f>
        <v>1567.8927138781878</v>
      </c>
      <c r="M150" s="663">
        <f>+CF!Y43</f>
        <v>1733.2721968863589</v>
      </c>
      <c r="N150" s="663">
        <f>+CF!Z43</f>
        <v>1902.9812601184744</v>
      </c>
      <c r="O150" s="663">
        <f>+CF!AA43</f>
        <v>2074.7351020773285</v>
      </c>
      <c r="P150" s="663">
        <f>+CF!AB43</f>
        <v>2212.8585877595424</v>
      </c>
      <c r="Q150" s="663">
        <f>+CF!AC43</f>
        <v>2330.3773691569895</v>
      </c>
      <c r="R150" s="663">
        <f>+CF!AD43</f>
        <v>2418.2959333556219</v>
      </c>
      <c r="S150" s="663">
        <f>+CF!AE43</f>
        <v>2579.0949092429973</v>
      </c>
      <c r="T150" s="663">
        <f>+CF!AF43</f>
        <v>2696.1751882153148</v>
      </c>
      <c r="U150" s="663">
        <f>+CF!AG43</f>
        <v>2839.6666328661431</v>
      </c>
      <c r="V150" s="663">
        <f>+CF!AH43</f>
        <v>3105.9161260773412</v>
      </c>
      <c r="W150" s="663">
        <f>+CF!AI43</f>
        <v>3411.5832240242535</v>
      </c>
      <c r="X150" s="663">
        <f>+CF!AJ43</f>
        <v>3768.0917971796848</v>
      </c>
      <c r="Y150" s="663">
        <f>+CF!AK43</f>
        <v>4073.6348544397351</v>
      </c>
      <c r="Z150" s="663">
        <f>+CF!AL43</f>
        <v>4320.6180431709508</v>
      </c>
      <c r="AA150" s="663">
        <f>+CF!AM43</f>
        <v>4797.2675879554872</v>
      </c>
      <c r="AB150" s="663">
        <f>+CF!AN43</f>
        <v>5638.7025356995109</v>
      </c>
      <c r="AC150" s="663">
        <f>+CF!AO43</f>
        <v>5664.2656594535383</v>
      </c>
      <c r="AD150" s="663">
        <f>+CF!AP43</f>
        <v>5923.2709353723476</v>
      </c>
      <c r="AE150" s="663">
        <f>+CF!AQ43</f>
        <v>5964.8664794603264</v>
      </c>
      <c r="AF150" s="663">
        <f>+CF!AR43</f>
        <v>6134.1481172792337</v>
      </c>
      <c r="AG150" s="663">
        <f>+CF!AS43</f>
        <v>6339.194453137532</v>
      </c>
      <c r="AH150" s="663">
        <f>+CF!AT43</f>
        <v>6577.3231478792877</v>
      </c>
      <c r="AI150" s="663">
        <f>+CF!AU43</f>
        <v>9006.5046993014894</v>
      </c>
      <c r="AJ150" s="663">
        <f>+CF!AV43</f>
        <v>9125.9065121812091</v>
      </c>
      <c r="AK150" s="663">
        <f>+CF!AW43</f>
        <v>9465.0985390987535</v>
      </c>
      <c r="AL150" s="663">
        <f>+CF!AX43</f>
        <v>9787.7998764432105</v>
      </c>
      <c r="AM150" s="663">
        <f>+CF!AY43</f>
        <v>10381.737567421795</v>
      </c>
      <c r="AN150" s="663">
        <f>+CF!AZ43</f>
        <v>10650.770306827853</v>
      </c>
      <c r="AO150" s="663">
        <f>+CF!BA43</f>
        <v>10806.024617332281</v>
      </c>
      <c r="AP150" s="663">
        <f>+CF!BB43</f>
        <v>10971.409959314491</v>
      </c>
      <c r="AQ150" s="663">
        <f>+CF!BC43</f>
        <v>11072.161126111594</v>
      </c>
      <c r="AR150" s="663">
        <f>+CF!BD43</f>
        <v>11355.312685980001</v>
      </c>
      <c r="AS150" s="663">
        <f>+CF!BE43</f>
        <v>9642.6086918270485</v>
      </c>
      <c r="AT150" s="663">
        <f>+CF!BF43</f>
        <v>9736.9246790448087</v>
      </c>
      <c r="AU150" s="663">
        <f>+CF!BG43</f>
        <v>9624.1770197395927</v>
      </c>
      <c r="AV150" s="663">
        <f>+CF!BH43</f>
        <v>9434.8959840826774</v>
      </c>
      <c r="AW150" s="663">
        <f>+CF!BI43</f>
        <v>8508.7060004751474</v>
      </c>
      <c r="AX150" s="663">
        <f>+CF!BJ43</f>
        <v>1940.2901498285173</v>
      </c>
      <c r="AY150" s="213"/>
      <c r="AZ150" s="213"/>
      <c r="BA150" s="213"/>
      <c r="BB150" s="213"/>
      <c r="BC150" s="213"/>
      <c r="BD150" s="213"/>
      <c r="BE150" s="213"/>
      <c r="BF150" s="213"/>
      <c r="BG150" s="213"/>
      <c r="BH150" s="213"/>
      <c r="BI150" s="213"/>
      <c r="BJ150" s="213"/>
      <c r="BK150" s="213"/>
      <c r="BL150" s="213"/>
      <c r="BM150" s="213"/>
      <c r="BN150" s="211"/>
      <c r="BO150" s="211"/>
      <c r="BP150" s="211"/>
      <c r="BQ150" s="211"/>
      <c r="BR150" s="211"/>
      <c r="BS150" s="211"/>
      <c r="BT150" s="211"/>
      <c r="BU150" s="211"/>
      <c r="BV150" s="211"/>
      <c r="BW150" s="211"/>
      <c r="BX150" s="211"/>
      <c r="BY150" s="211"/>
      <c r="BZ150" s="211"/>
      <c r="CA150" s="211"/>
      <c r="CB150" s="211"/>
      <c r="CC150" s="211"/>
      <c r="CD150" s="211"/>
      <c r="CE150" s="211"/>
      <c r="CF150" s="211"/>
      <c r="CG150" s="211"/>
      <c r="CH150" s="211"/>
      <c r="CI150" s="211"/>
      <c r="CJ150" s="211"/>
      <c r="CK150" s="211"/>
    </row>
    <row r="151" spans="1:89" s="528" customFormat="1" x14ac:dyDescent="0.2">
      <c r="A151" s="536"/>
      <c r="B151" s="536" t="s">
        <v>32</v>
      </c>
      <c r="C151" s="536"/>
      <c r="D151" s="542"/>
      <c r="E151" s="542"/>
      <c r="F151" s="663">
        <f>+CF!R47</f>
        <v>0</v>
      </c>
      <c r="G151" s="663">
        <f>+CF!S47</f>
        <v>0</v>
      </c>
      <c r="H151" s="663">
        <f>+CF!T47</f>
        <v>7436.1096886952218</v>
      </c>
      <c r="I151" s="663">
        <f>+CF!U47</f>
        <v>-2192.2508882111033</v>
      </c>
      <c r="J151" s="663">
        <f>+CF!V47</f>
        <v>-1152.3829106810408</v>
      </c>
      <c r="K151" s="663">
        <f>+CF!W47</f>
        <v>-1165.6896100149825</v>
      </c>
      <c r="L151" s="663">
        <f>+CF!X47</f>
        <v>-1077.3390840669235</v>
      </c>
      <c r="M151" s="663">
        <f>+CF!Y47</f>
        <v>-878.79692120167601</v>
      </c>
      <c r="N151" s="663">
        <f>+CF!Z47</f>
        <v>-560.85876089457088</v>
      </c>
      <c r="O151" s="663">
        <f>+CF!AA47</f>
        <v>-113.59795395841502</v>
      </c>
      <c r="P151" s="663">
        <f>+CF!AB47</f>
        <v>-189.82534897685036</v>
      </c>
      <c r="Q151" s="663">
        <f>+CF!AC47</f>
        <v>-372.92136785891125</v>
      </c>
      <c r="R151" s="663">
        <f>+CF!AD47</f>
        <v>-671.48865754544022</v>
      </c>
      <c r="S151" s="663">
        <f>+CF!AE47</f>
        <v>-1094.7785436807753</v>
      </c>
      <c r="T151" s="663">
        <f>+CF!AF47</f>
        <v>-1652.7397072168424</v>
      </c>
      <c r="U151" s="663">
        <f>+CF!AG47</f>
        <v>-1801.9906624508185</v>
      </c>
      <c r="V151" s="663">
        <f>+CF!AH47</f>
        <v>-1998.4477418736533</v>
      </c>
      <c r="W151" s="663">
        <f>+CF!AI47</f>
        <v>-2248.9337378696146</v>
      </c>
      <c r="X151" s="663">
        <f>+CF!AJ47</f>
        <v>-2561.0823147478986</v>
      </c>
      <c r="Y151" s="663">
        <f>+CF!AK47</f>
        <v>-2943.4260904036419</v>
      </c>
      <c r="Z151" s="663">
        <f>+CF!AL47</f>
        <v>-2780.8135980043371</v>
      </c>
      <c r="AA151" s="663">
        <f>+CF!AM47</f>
        <v>-2066.1971091353334</v>
      </c>
      <c r="AB151" s="663">
        <f>+CF!AN47</f>
        <v>-795.77642134398047</v>
      </c>
      <c r="AC151" s="663">
        <f>+CF!AO47</f>
        <v>1038.6214282925066</v>
      </c>
      <c r="AD151" s="663">
        <f>+CF!AP47</f>
        <v>3449.5920875071097</v>
      </c>
      <c r="AE151" s="663">
        <f>+CF!AQ47</f>
        <v>2802.2028777644227</v>
      </c>
      <c r="AF151" s="663">
        <f>+CF!AR47</f>
        <v>1697.1840901436044</v>
      </c>
      <c r="AG151" s="663">
        <f>+CF!AS47</f>
        <v>102.42854510110919</v>
      </c>
      <c r="AH151" s="663">
        <f>+CF!AT47</f>
        <v>-2021.4067551599474</v>
      </c>
      <c r="AI151" s="663">
        <f>+CF!AU47</f>
        <v>-4721.6726877533074</v>
      </c>
      <c r="AJ151" s="663">
        <f>+CF!AV47</f>
        <v>-4757.7584081274181</v>
      </c>
      <c r="AK151" s="663">
        <f>+CF!AW47</f>
        <v>-4011.9591608319606</v>
      </c>
      <c r="AL151" s="663">
        <f>+CF!AX47</f>
        <v>-2430.7019616284524</v>
      </c>
      <c r="AM151" s="663">
        <f>+CF!AY47</f>
        <v>50.99588459579536</v>
      </c>
      <c r="AN151" s="663">
        <f>+CF!AZ47</f>
        <v>3510.8423349569057</v>
      </c>
      <c r="AO151" s="663">
        <f>+CF!BA47</f>
        <v>2589.4183160436442</v>
      </c>
      <c r="AP151" s="663">
        <f>+CF!BB47</f>
        <v>662.19565314528882</v>
      </c>
      <c r="AQ151" s="663">
        <f>+CF!BC47</f>
        <v>-2475.0822503910676</v>
      </c>
      <c r="AR151" s="663">
        <f>+CF!BD47</f>
        <v>45398.327747783354</v>
      </c>
      <c r="AS151" s="663">
        <f>+CF!BE47</f>
        <v>0</v>
      </c>
      <c r="AT151" s="663">
        <f>+CF!BF47</f>
        <v>0</v>
      </c>
      <c r="AU151" s="663">
        <f>+CF!BG47</f>
        <v>0</v>
      </c>
      <c r="AV151" s="663">
        <f>+CF!BH47</f>
        <v>0</v>
      </c>
      <c r="AW151" s="663">
        <f>+CF!BI47</f>
        <v>0</v>
      </c>
      <c r="AX151" s="663">
        <f>+CF!BJ47</f>
        <v>0</v>
      </c>
      <c r="AY151" s="213"/>
      <c r="AZ151" s="213"/>
      <c r="BA151" s="213"/>
      <c r="BB151" s="213"/>
      <c r="BC151" s="213"/>
      <c r="BD151" s="213"/>
      <c r="BE151" s="213"/>
      <c r="BF151" s="213"/>
      <c r="BG151" s="213"/>
      <c r="BH151" s="213"/>
      <c r="BI151" s="213"/>
      <c r="BJ151" s="213"/>
      <c r="BK151" s="213"/>
      <c r="BL151" s="213"/>
      <c r="BM151" s="213"/>
      <c r="BN151" s="211"/>
      <c r="BO151" s="211"/>
      <c r="BP151" s="211"/>
      <c r="BQ151" s="211"/>
      <c r="BR151" s="211"/>
      <c r="BS151" s="211"/>
      <c r="BT151" s="211"/>
      <c r="BU151" s="211"/>
      <c r="BV151" s="211"/>
      <c r="BW151" s="211"/>
      <c r="BX151" s="211"/>
      <c r="BY151" s="211"/>
      <c r="BZ151" s="211"/>
      <c r="CA151" s="211"/>
      <c r="CB151" s="211"/>
      <c r="CC151" s="211"/>
      <c r="CD151" s="211"/>
      <c r="CE151" s="211"/>
      <c r="CF151" s="211"/>
      <c r="CG151" s="211"/>
      <c r="CH151" s="211"/>
      <c r="CI151" s="211"/>
      <c r="CJ151" s="211"/>
      <c r="CK151" s="211"/>
    </row>
    <row r="152" spans="1:89" s="528" customFormat="1" x14ac:dyDescent="0.2">
      <c r="A152" s="536"/>
      <c r="B152" s="536" t="s">
        <v>42</v>
      </c>
      <c r="C152" s="536"/>
      <c r="D152" s="542"/>
      <c r="E152" s="542"/>
      <c r="F152" s="663">
        <f>+CF!R48</f>
        <v>0</v>
      </c>
      <c r="G152" s="663">
        <f>+CF!S48</f>
        <v>0</v>
      </c>
      <c r="H152" s="663">
        <f>+CF!T48</f>
        <v>13120.896909061044</v>
      </c>
      <c r="I152" s="663">
        <f>+CF!U48</f>
        <v>-3123.7625325438967</v>
      </c>
      <c r="J152" s="663">
        <f>+CF!V48</f>
        <v>-1743.7398546694785</v>
      </c>
      <c r="K152" s="663">
        <f>+CF!W48</f>
        <v>-283.87906886167548</v>
      </c>
      <c r="L152" s="663">
        <f>+CF!X48</f>
        <v>-398.35545633168658</v>
      </c>
      <c r="M152" s="663">
        <f>+CF!Y48</f>
        <v>-534.00689913669339</v>
      </c>
      <c r="N152" s="663">
        <f>+CF!Z48</f>
        <v>-1053.3304213477895</v>
      </c>
      <c r="O152" s="663">
        <f>+CF!AA48</f>
        <v>-1029.6386888656489</v>
      </c>
      <c r="P152" s="663">
        <f>+CF!AB48</f>
        <v>-898.72885941236746</v>
      </c>
      <c r="Q152" s="663">
        <f>+CF!AC48</f>
        <v>-552.14204539332422</v>
      </c>
      <c r="R152" s="663">
        <f>+CF!AD48</f>
        <v>-447.77963088238903</v>
      </c>
      <c r="S152" s="663">
        <f>+CF!AE48</f>
        <v>-581.67224522642937</v>
      </c>
      <c r="T152" s="663">
        <f>+CF!AF48</f>
        <v>-1364.1546601728187</v>
      </c>
      <c r="U152" s="663">
        <f>+CF!AG48</f>
        <v>-1691.2391074448242</v>
      </c>
      <c r="V152" s="663">
        <f>+CF!AH48</f>
        <v>-2502.3625661997939</v>
      </c>
      <c r="W152" s="663">
        <f>+CF!AI48</f>
        <v>-3658.9380575457399</v>
      </c>
      <c r="X152" s="663">
        <f>+CF!AJ48</f>
        <v>-4975.923824801197</v>
      </c>
      <c r="Y152" s="663">
        <f>+CF!AK48</f>
        <v>-5725.3670420089475</v>
      </c>
      <c r="Z152" s="663">
        <f>+CF!AL48</f>
        <v>-7537.7580407859787</v>
      </c>
      <c r="AA152" s="663">
        <f>+CF!AM48</f>
        <v>-24216.804033349283</v>
      </c>
      <c r="AB152" s="663">
        <f>+CF!AN48</f>
        <v>13951.148182811303</v>
      </c>
      <c r="AC152" s="663">
        <f>+CF!AO48</f>
        <v>-600.8737173708214</v>
      </c>
      <c r="AD152" s="663">
        <f>+CF!AP48</f>
        <v>-841.74217909373692</v>
      </c>
      <c r="AE152" s="663">
        <f>+CF!AQ48</f>
        <v>-768.86739303356444</v>
      </c>
      <c r="AF152" s="663">
        <f>+CF!AR48</f>
        <v>-916.44243553685374</v>
      </c>
      <c r="AG152" s="663">
        <f>+CF!AS48</f>
        <v>-427.35863446997246</v>
      </c>
      <c r="AH152" s="663">
        <f>+CF!AT48</f>
        <v>-109608.02706168141</v>
      </c>
      <c r="AI152" s="663">
        <f>+CF!AU48</f>
        <v>-361.22280793695245</v>
      </c>
      <c r="AJ152" s="663">
        <f>+CF!AV48</f>
        <v>-342.28079697943758</v>
      </c>
      <c r="AK152" s="663">
        <f>+CF!AW48</f>
        <v>357.0440438396181</v>
      </c>
      <c r="AL152" s="663">
        <f>+CF!AX48</f>
        <v>-14410.127698145108</v>
      </c>
      <c r="AM152" s="663">
        <f>+CF!AY48</f>
        <v>214.71074657491408</v>
      </c>
      <c r="AN152" s="663">
        <f>+CF!AZ48</f>
        <v>126.95920536946505</v>
      </c>
      <c r="AO152" s="663">
        <f>+CF!BA48</f>
        <v>336.87102686107391</v>
      </c>
      <c r="AP152" s="663">
        <f>+CF!BB48</f>
        <v>250.33414796224679</v>
      </c>
      <c r="AQ152" s="663">
        <f>+CF!BC48</f>
        <v>263.47669073019642</v>
      </c>
      <c r="AR152" s="663">
        <f>+CF!BD48</f>
        <v>201975.08480601796</v>
      </c>
      <c r="AS152" s="663">
        <f>+CF!BE48</f>
        <v>0</v>
      </c>
      <c r="AT152" s="663">
        <f>+CF!BF48</f>
        <v>0</v>
      </c>
      <c r="AU152" s="663">
        <f>+CF!BG48</f>
        <v>0</v>
      </c>
      <c r="AV152" s="663">
        <f>+CF!BH48</f>
        <v>0</v>
      </c>
      <c r="AW152" s="663">
        <f>+CF!BI48</f>
        <v>0</v>
      </c>
      <c r="AX152" s="663">
        <f>+CF!BJ48</f>
        <v>0</v>
      </c>
      <c r="AY152" s="213"/>
      <c r="AZ152" s="213"/>
      <c r="BA152" s="213"/>
      <c r="BB152" s="213"/>
      <c r="BC152" s="213"/>
      <c r="BD152" s="213"/>
      <c r="BE152" s="213"/>
      <c r="BF152" s="213"/>
      <c r="BG152" s="213"/>
      <c r="BH152" s="213"/>
      <c r="BI152" s="213"/>
      <c r="BJ152" s="213"/>
      <c r="BK152" s="213"/>
      <c r="BL152" s="213"/>
      <c r="BM152" s="213"/>
      <c r="BN152" s="211"/>
      <c r="BO152" s="211"/>
      <c r="BP152" s="211"/>
      <c r="BQ152" s="211"/>
      <c r="BR152" s="211"/>
      <c r="BS152" s="211"/>
      <c r="BT152" s="211"/>
      <c r="BU152" s="211"/>
      <c r="BV152" s="211"/>
      <c r="BW152" s="211"/>
      <c r="BX152" s="211"/>
      <c r="BY152" s="211"/>
      <c r="BZ152" s="211"/>
      <c r="CA152" s="211"/>
      <c r="CB152" s="211"/>
      <c r="CC152" s="211"/>
      <c r="CD152" s="211"/>
      <c r="CE152" s="211"/>
      <c r="CF152" s="211"/>
      <c r="CG152" s="211"/>
      <c r="CH152" s="211"/>
      <c r="CI152" s="211"/>
      <c r="CJ152" s="211"/>
      <c r="CK152" s="211"/>
    </row>
    <row r="153" spans="1:89" s="528" customFormat="1" x14ac:dyDescent="0.2">
      <c r="A153" s="536"/>
      <c r="B153" s="536" t="s">
        <v>74</v>
      </c>
      <c r="C153" s="536"/>
      <c r="D153" s="542"/>
      <c r="E153" s="542"/>
      <c r="F153" s="663">
        <f>+CF!R49</f>
        <v>0</v>
      </c>
      <c r="G153" s="663">
        <f>+CF!S49</f>
        <v>-52922.655228947813</v>
      </c>
      <c r="H153" s="663">
        <f>+CF!T49</f>
        <v>145303.99870894785</v>
      </c>
      <c r="I153" s="663">
        <f>+CF!U49</f>
        <v>0</v>
      </c>
      <c r="J153" s="663">
        <f>+CF!V49</f>
        <v>0</v>
      </c>
      <c r="K153" s="663">
        <f>+CF!W49</f>
        <v>0</v>
      </c>
      <c r="L153" s="663">
        <f>+CF!X49</f>
        <v>0</v>
      </c>
      <c r="M153" s="663">
        <f>+CF!Y49</f>
        <v>0</v>
      </c>
      <c r="N153" s="663">
        <f>+CF!Z49</f>
        <v>0</v>
      </c>
      <c r="O153" s="663">
        <f>+CF!AA49</f>
        <v>0</v>
      </c>
      <c r="P153" s="663">
        <f>+CF!AB49</f>
        <v>0</v>
      </c>
      <c r="Q153" s="663">
        <f>+CF!AC49</f>
        <v>0</v>
      </c>
      <c r="R153" s="663">
        <f>+CF!AD49</f>
        <v>0</v>
      </c>
      <c r="S153" s="663">
        <f>+CF!AE49</f>
        <v>0</v>
      </c>
      <c r="T153" s="663">
        <f>+CF!AF49</f>
        <v>0</v>
      </c>
      <c r="U153" s="663">
        <f>+CF!AG49</f>
        <v>0</v>
      </c>
      <c r="V153" s="663">
        <f>+CF!AH49</f>
        <v>0</v>
      </c>
      <c r="W153" s="663">
        <f>+CF!AI49</f>
        <v>0</v>
      </c>
      <c r="X153" s="663">
        <f>+CF!AJ49</f>
        <v>0</v>
      </c>
      <c r="Y153" s="663">
        <f>+CF!AK49</f>
        <v>0</v>
      </c>
      <c r="Z153" s="663">
        <f>+CF!AL49</f>
        <v>0</v>
      </c>
      <c r="AA153" s="663">
        <f>+CF!AM49</f>
        <v>0</v>
      </c>
      <c r="AB153" s="663">
        <f>+CF!AN49</f>
        <v>0</v>
      </c>
      <c r="AC153" s="663">
        <f>+CF!AO49</f>
        <v>0</v>
      </c>
      <c r="AD153" s="663">
        <f>+CF!AP49</f>
        <v>0</v>
      </c>
      <c r="AE153" s="663">
        <f>+CF!AQ49</f>
        <v>0</v>
      </c>
      <c r="AF153" s="663">
        <f>+CF!AR49</f>
        <v>0</v>
      </c>
      <c r="AG153" s="663">
        <f>+CF!AS49</f>
        <v>0</v>
      </c>
      <c r="AH153" s="663">
        <f>+CF!AT49</f>
        <v>0</v>
      </c>
      <c r="AI153" s="663">
        <f>+CF!AU49</f>
        <v>0</v>
      </c>
      <c r="AJ153" s="663">
        <f>+CF!AV49</f>
        <v>0</v>
      </c>
      <c r="AK153" s="663">
        <f>+CF!AW49</f>
        <v>0</v>
      </c>
      <c r="AL153" s="663">
        <f>+CF!AX49</f>
        <v>0</v>
      </c>
      <c r="AM153" s="663">
        <f>+CF!AY49</f>
        <v>0</v>
      </c>
      <c r="AN153" s="663">
        <f>+CF!AZ49</f>
        <v>0</v>
      </c>
      <c r="AO153" s="663">
        <f>+CF!BA49</f>
        <v>0</v>
      </c>
      <c r="AP153" s="663">
        <f>+CF!BB49</f>
        <v>0</v>
      </c>
      <c r="AQ153" s="663">
        <f>+CF!BC49</f>
        <v>0</v>
      </c>
      <c r="AR153" s="663">
        <f>+CF!BD49</f>
        <v>0</v>
      </c>
      <c r="AS153" s="663">
        <f>+CF!BE49</f>
        <v>0</v>
      </c>
      <c r="AT153" s="663">
        <f>+CF!BF49</f>
        <v>0</v>
      </c>
      <c r="AU153" s="663">
        <f>+CF!BG49</f>
        <v>0</v>
      </c>
      <c r="AV153" s="663">
        <f>+CF!BH49</f>
        <v>0</v>
      </c>
      <c r="AW153" s="663">
        <f>+CF!BI49</f>
        <v>0</v>
      </c>
      <c r="AX153" s="663">
        <f>+CF!BJ49</f>
        <v>0</v>
      </c>
      <c r="AY153" s="213"/>
      <c r="AZ153" s="213"/>
      <c r="BA153" s="213"/>
      <c r="BB153" s="213"/>
      <c r="BC153" s="213"/>
      <c r="BD153" s="213"/>
      <c r="BE153" s="213"/>
      <c r="BF153" s="213"/>
      <c r="BG153" s="213"/>
      <c r="BH153" s="213"/>
      <c r="BI153" s="213"/>
      <c r="BJ153" s="213"/>
      <c r="BK153" s="213"/>
      <c r="BL153" s="213"/>
      <c r="BM153" s="213"/>
      <c r="BN153" s="211"/>
      <c r="BO153" s="211"/>
      <c r="BP153" s="211"/>
      <c r="BQ153" s="211"/>
      <c r="BR153" s="211"/>
      <c r="BS153" s="211"/>
      <c r="BT153" s="211"/>
      <c r="BU153" s="211"/>
      <c r="BV153" s="211"/>
      <c r="BW153" s="211"/>
      <c r="BX153" s="211"/>
      <c r="BY153" s="211"/>
      <c r="BZ153" s="211"/>
      <c r="CA153" s="211"/>
      <c r="CB153" s="211"/>
      <c r="CC153" s="211"/>
      <c r="CD153" s="211"/>
      <c r="CE153" s="211"/>
      <c r="CF153" s="211"/>
      <c r="CG153" s="211"/>
      <c r="CH153" s="211"/>
      <c r="CI153" s="211"/>
      <c r="CJ153" s="211"/>
      <c r="CK153" s="211"/>
    </row>
    <row r="154" spans="1:89" s="528" customFormat="1" x14ac:dyDescent="0.2">
      <c r="A154" s="536"/>
      <c r="B154" s="536" t="s">
        <v>75</v>
      </c>
      <c r="C154" s="536"/>
      <c r="D154" s="542"/>
      <c r="E154" s="542"/>
      <c r="F154" s="663">
        <f>+CF!R51</f>
        <v>0</v>
      </c>
      <c r="G154" s="663">
        <f>+CF!S51</f>
        <v>0</v>
      </c>
      <c r="H154" s="663">
        <f>+CF!T51</f>
        <v>207234.50432853866</v>
      </c>
      <c r="I154" s="663">
        <f>+CF!U51</f>
        <v>34432.077035664392</v>
      </c>
      <c r="J154" s="663">
        <f>+CF!V51</f>
        <v>52614.671873702144</v>
      </c>
      <c r="K154" s="663">
        <f>+CF!W51</f>
        <v>64711.348397522699</v>
      </c>
      <c r="L154" s="663">
        <f>+CF!X51</f>
        <v>76226.223390791885</v>
      </c>
      <c r="M154" s="663">
        <f>+CF!Y51</f>
        <v>88727.537335895409</v>
      </c>
      <c r="N154" s="663">
        <f>+CF!Z51</f>
        <v>102020.10024563194</v>
      </c>
      <c r="O154" s="663">
        <f>+CF!AA51</f>
        <v>117218.37893817326</v>
      </c>
      <c r="P154" s="663">
        <f>+CF!AB51</f>
        <v>128892.25375766546</v>
      </c>
      <c r="Q154" s="663">
        <f>+CF!AC51</f>
        <v>141385.87399830358</v>
      </c>
      <c r="R154" s="663">
        <f>+CF!AD51</f>
        <v>153884.43437198672</v>
      </c>
      <c r="S154" s="663">
        <f>+CF!AE51</f>
        <v>163893.53866740924</v>
      </c>
      <c r="T154" s="663">
        <f>+CF!AF51</f>
        <v>181191.54653672103</v>
      </c>
      <c r="U154" s="663">
        <f>+CF!AG51</f>
        <v>205409.47262052793</v>
      </c>
      <c r="V154" s="663">
        <f>+CF!AH51</f>
        <v>231774.47291989741</v>
      </c>
      <c r="W154" s="663">
        <f>+CF!AI51</f>
        <v>260154.93525207887</v>
      </c>
      <c r="X154" s="663">
        <f>+CF!AJ51</f>
        <v>291167.49409084721</v>
      </c>
      <c r="Y154" s="663">
        <f>+CF!AK51</f>
        <v>325768.64901303669</v>
      </c>
      <c r="Z154" s="663">
        <f>+CF!AL51</f>
        <v>363855.46835512907</v>
      </c>
      <c r="AA154" s="663">
        <f>+CF!AM51</f>
        <v>390908.84603987617</v>
      </c>
      <c r="AB154" s="663">
        <f>+CF!AN51</f>
        <v>477329.83465508278</v>
      </c>
      <c r="AC154" s="663">
        <f>+CF!AO51</f>
        <v>518211.75895344769</v>
      </c>
      <c r="AD154" s="663">
        <f>+CF!AP51</f>
        <v>583399.04240526201</v>
      </c>
      <c r="AE154" s="663">
        <f>+CF!AQ51</f>
        <v>620711.64546357875</v>
      </c>
      <c r="AF154" s="663">
        <f>+CF!AR51</f>
        <v>659812.96914061205</v>
      </c>
      <c r="AG154" s="663">
        <f>+CF!AS51</f>
        <v>701349.95831846655</v>
      </c>
      <c r="AH154" s="663">
        <f>+CF!AT51</f>
        <v>635752.4145601684</v>
      </c>
      <c r="AI154" s="663">
        <f>+CF!AU51</f>
        <v>683696.85681325768</v>
      </c>
      <c r="AJ154" s="663">
        <f>+CF!AV51</f>
        <v>730581.25522877916</v>
      </c>
      <c r="AK154" s="663">
        <f>+CF!AW51</f>
        <v>775838.13647581427</v>
      </c>
      <c r="AL154" s="663">
        <f>+CF!AX51</f>
        <v>817143.37023925502</v>
      </c>
      <c r="AM154" s="663">
        <f>+CF!AY51</f>
        <v>879297.58436259429</v>
      </c>
      <c r="AN154" s="663">
        <f>+CF!AZ51</f>
        <v>944189.52262140682</v>
      </c>
      <c r="AO154" s="663">
        <f>+CF!BA51</f>
        <v>999584.70123630413</v>
      </c>
      <c r="AP154" s="663">
        <f>+CF!BB51</f>
        <v>1053910.6078956781</v>
      </c>
      <c r="AQ154" s="663">
        <f>+CF!BC51</f>
        <v>1086080.2769720163</v>
      </c>
      <c r="AR154" s="663">
        <f>+CF!BD51</f>
        <v>1396843.1980425587</v>
      </c>
      <c r="AS154" s="663">
        <f>+CF!BE51</f>
        <v>1270005.7518513093</v>
      </c>
      <c r="AT154" s="663">
        <f>+CF!BF51</f>
        <v>1479620.2625882474</v>
      </c>
      <c r="AU154" s="663">
        <f>+CF!BG51</f>
        <v>1534181.2648705142</v>
      </c>
      <c r="AV154" s="663">
        <f>+CF!BH51</f>
        <v>1590368.8850572105</v>
      </c>
      <c r="AW154" s="663">
        <f>+CF!BI51</f>
        <v>1510143.6007841963</v>
      </c>
      <c r="AX154" s="663">
        <f>+CF!BJ51</f>
        <v>279788.43469044275</v>
      </c>
      <c r="AY154" s="213"/>
      <c r="AZ154" s="213"/>
      <c r="BA154" s="213"/>
      <c r="BB154" s="213"/>
      <c r="BC154" s="213"/>
      <c r="BD154" s="213"/>
      <c r="BE154" s="213"/>
      <c r="BF154" s="213"/>
      <c r="BG154" s="213"/>
      <c r="BH154" s="213"/>
      <c r="BI154" s="213"/>
      <c r="BJ154" s="213"/>
      <c r="BK154" s="213"/>
      <c r="BL154" s="213"/>
      <c r="BM154" s="213"/>
      <c r="BN154" s="211"/>
      <c r="BO154" s="211"/>
      <c r="BP154" s="211"/>
      <c r="BQ154" s="211"/>
      <c r="BR154" s="211"/>
      <c r="BS154" s="211"/>
      <c r="BT154" s="211"/>
      <c r="BU154" s="211"/>
      <c r="BV154" s="211"/>
      <c r="BW154" s="211"/>
      <c r="BX154" s="211"/>
      <c r="BY154" s="211"/>
      <c r="BZ154" s="211"/>
      <c r="CA154" s="211"/>
      <c r="CB154" s="211"/>
      <c r="CC154" s="211"/>
      <c r="CD154" s="211"/>
      <c r="CE154" s="211"/>
      <c r="CF154" s="211"/>
      <c r="CG154" s="211"/>
      <c r="CH154" s="211"/>
      <c r="CI154" s="211"/>
      <c r="CJ154" s="211"/>
      <c r="CK154" s="211"/>
    </row>
    <row r="155" spans="1:89" s="528" customFormat="1" x14ac:dyDescent="0.2">
      <c r="A155" s="536"/>
      <c r="B155" s="533"/>
      <c r="C155" s="536"/>
      <c r="D155" s="542"/>
      <c r="E155" s="542"/>
      <c r="F155" s="542"/>
      <c r="G155" s="542"/>
      <c r="H155" s="542"/>
      <c r="I155" s="542"/>
      <c r="J155" s="542"/>
      <c r="K155" s="542"/>
      <c r="L155" s="542"/>
      <c r="M155" s="542"/>
      <c r="N155" s="542"/>
      <c r="O155" s="542"/>
      <c r="P155" s="542"/>
      <c r="Q155" s="542"/>
      <c r="R155" s="542"/>
      <c r="S155" s="542"/>
      <c r="T155" s="542"/>
      <c r="U155" s="542"/>
      <c r="V155" s="542"/>
      <c r="W155" s="542"/>
      <c r="X155" s="542"/>
      <c r="Y155" s="542"/>
      <c r="Z155" s="542"/>
      <c r="AA155" s="542"/>
      <c r="AB155" s="542"/>
      <c r="AC155" s="542"/>
      <c r="AD155" s="542"/>
      <c r="AE155" s="542"/>
      <c r="AF155" s="542"/>
      <c r="AG155" s="542"/>
      <c r="AH155" s="542"/>
      <c r="AI155" s="542"/>
      <c r="AJ155" s="542"/>
      <c r="AK155" s="542"/>
      <c r="AL155" s="542"/>
      <c r="AM155" s="542"/>
      <c r="AN155" s="542"/>
      <c r="AO155" s="542"/>
      <c r="AP155" s="542"/>
      <c r="AQ155" s="542"/>
      <c r="AR155" s="542"/>
      <c r="AS155" s="542"/>
      <c r="AT155" s="542"/>
      <c r="AU155" s="542"/>
      <c r="AV155" s="542"/>
      <c r="AW155" s="542"/>
      <c r="AX155" s="542"/>
      <c r="AY155" s="213"/>
      <c r="AZ155" s="213"/>
      <c r="BA155" s="213"/>
      <c r="BB155" s="213"/>
      <c r="BC155" s="213"/>
      <c r="BD155" s="213"/>
      <c r="BE155" s="213"/>
      <c r="BF155" s="213"/>
      <c r="BG155" s="213"/>
      <c r="BH155" s="213"/>
      <c r="BI155" s="213"/>
      <c r="BJ155" s="213"/>
      <c r="BK155" s="213"/>
      <c r="BL155" s="213"/>
      <c r="BM155" s="213"/>
      <c r="BN155" s="211"/>
      <c r="BO155" s="211"/>
      <c r="BP155" s="211"/>
      <c r="BQ155" s="211"/>
      <c r="BR155" s="211"/>
      <c r="BS155" s="211"/>
      <c r="BT155" s="211"/>
      <c r="BU155" s="211"/>
      <c r="BV155" s="211"/>
      <c r="BW155" s="211"/>
      <c r="BX155" s="211"/>
      <c r="BY155" s="211"/>
      <c r="BZ155" s="211"/>
      <c r="CA155" s="211"/>
      <c r="CB155" s="211"/>
      <c r="CC155" s="211"/>
      <c r="CD155" s="211"/>
      <c r="CE155" s="211"/>
      <c r="CF155" s="211"/>
      <c r="CG155" s="211"/>
      <c r="CH155" s="211"/>
      <c r="CI155" s="211"/>
      <c r="CJ155" s="211"/>
      <c r="CK155" s="211"/>
    </row>
    <row r="156" spans="1:89" s="528" customFormat="1" ht="13.5" thickBot="1" x14ac:dyDescent="0.25">
      <c r="AY156" s="213"/>
      <c r="AZ156" s="213"/>
      <c r="BA156" s="213"/>
      <c r="BB156" s="213"/>
      <c r="BC156" s="213"/>
      <c r="BD156" s="213"/>
      <c r="BE156" s="213"/>
      <c r="BF156" s="213"/>
      <c r="BG156" s="213"/>
      <c r="BH156" s="213"/>
      <c r="BI156" s="213"/>
      <c r="BJ156" s="213"/>
      <c r="BK156" s="213"/>
      <c r="BL156" s="213"/>
      <c r="BM156" s="213"/>
      <c r="BN156" s="211"/>
      <c r="BO156" s="211"/>
      <c r="BP156" s="211"/>
      <c r="BQ156" s="211"/>
      <c r="BR156" s="211"/>
      <c r="BS156" s="211"/>
      <c r="BT156" s="211"/>
      <c r="BU156" s="211"/>
      <c r="BV156" s="211"/>
      <c r="BW156" s="211"/>
      <c r="BX156" s="211"/>
      <c r="BY156" s="211"/>
      <c r="BZ156" s="211"/>
      <c r="CA156" s="211"/>
      <c r="CB156" s="211"/>
      <c r="CC156" s="211"/>
      <c r="CD156" s="211"/>
      <c r="CE156" s="211"/>
      <c r="CF156" s="211"/>
      <c r="CG156" s="211"/>
      <c r="CH156" s="211"/>
      <c r="CI156" s="211"/>
      <c r="CJ156" s="211"/>
      <c r="CK156" s="211"/>
    </row>
    <row r="157" spans="1:89" s="528" customFormat="1" x14ac:dyDescent="0.2">
      <c r="B157" s="541" t="s">
        <v>267</v>
      </c>
      <c r="C157" s="540"/>
      <c r="D157" s="539"/>
      <c r="E157" s="539"/>
      <c r="F157" s="661">
        <f>(+F138+F139+F150+F142+(MAX(F151,0)+MAX(F152,0)+MAX(F153,0)+MAX(F143,0)+MAX(F145,0)))/10^3</f>
        <v>0</v>
      </c>
      <c r="G157" s="661">
        <f t="shared" ref="G157:AX157" si="27">(+G138+G139+G150+G142+(MAX(G151,0)+MAX(G152,0)+MAX(G153,0)+MAX(G143,0)+MAX(G145,0)))/10^3</f>
        <v>100.6753833614914</v>
      </c>
      <c r="H157" s="661">
        <f t="shared" si="27"/>
        <v>279.68757792055004</v>
      </c>
      <c r="I157" s="661">
        <f t="shared" si="27"/>
        <v>123.91807750978307</v>
      </c>
      <c r="J157" s="661">
        <f t="shared" si="27"/>
        <v>137.55956861845436</v>
      </c>
      <c r="K157" s="661">
        <f t="shared" si="27"/>
        <v>149.38250453964577</v>
      </c>
      <c r="L157" s="661">
        <f t="shared" si="27"/>
        <v>162.15640277904768</v>
      </c>
      <c r="M157" s="661">
        <f t="shared" si="27"/>
        <v>175.99322743224835</v>
      </c>
      <c r="N157" s="661">
        <f t="shared" si="27"/>
        <v>190.99827821696255</v>
      </c>
      <c r="O157" s="661">
        <f t="shared" si="27"/>
        <v>207.26835679733293</v>
      </c>
      <c r="P157" s="661">
        <f t="shared" si="27"/>
        <v>220.36454638061952</v>
      </c>
      <c r="Q157" s="661">
        <f t="shared" si="27"/>
        <v>234.25843874697222</v>
      </c>
      <c r="R157" s="661">
        <f t="shared" si="27"/>
        <v>248.99271485578481</v>
      </c>
      <c r="S157" s="661">
        <f t="shared" si="27"/>
        <v>264.72479519986445</v>
      </c>
      <c r="T157" s="661">
        <f t="shared" si="27"/>
        <v>281.39649001073275</v>
      </c>
      <c r="U157" s="661">
        <f t="shared" si="27"/>
        <v>308.63500125160573</v>
      </c>
      <c r="V157" s="661">
        <f t="shared" si="27"/>
        <v>338.63042650970107</v>
      </c>
      <c r="W157" s="661">
        <f t="shared" si="27"/>
        <v>371.55551585965168</v>
      </c>
      <c r="X157" s="661">
        <f t="shared" si="27"/>
        <v>407.70268060401969</v>
      </c>
      <c r="Y157" s="661">
        <f t="shared" si="27"/>
        <v>447.27841855528283</v>
      </c>
      <c r="Z157" s="661">
        <f t="shared" si="27"/>
        <v>491.23052495267217</v>
      </c>
      <c r="AA157" s="661">
        <f t="shared" si="27"/>
        <v>539.72212888332808</v>
      </c>
      <c r="AB157" s="661">
        <f t="shared" si="27"/>
        <v>607.2644968313441</v>
      </c>
      <c r="AC157" s="661">
        <f t="shared" si="27"/>
        <v>652.32905755123375</v>
      </c>
      <c r="AD157" s="661">
        <f t="shared" si="27"/>
        <v>718.66524911522879</v>
      </c>
      <c r="AE157" s="661">
        <f t="shared" si="27"/>
        <v>759.14997436290457</v>
      </c>
      <c r="AF157" s="661">
        <f t="shared" si="27"/>
        <v>801.68520004162667</v>
      </c>
      <c r="AG157" s="661">
        <f t="shared" si="27"/>
        <v>846.28480075634002</v>
      </c>
      <c r="AH157" s="661">
        <f t="shared" si="27"/>
        <v>895.07405007210366</v>
      </c>
      <c r="AI157" s="661">
        <f t="shared" si="27"/>
        <v>948.97536395987765</v>
      </c>
      <c r="AJ157" s="661">
        <f t="shared" si="27"/>
        <v>1002.9107247587449</v>
      </c>
      <c r="AK157" s="661">
        <f t="shared" si="27"/>
        <v>1060.5040404431029</v>
      </c>
      <c r="AL157" s="661">
        <f t="shared" si="27"/>
        <v>1120.6243011210665</v>
      </c>
      <c r="AM157" s="661">
        <f t="shared" si="27"/>
        <v>1185.0825753362797</v>
      </c>
      <c r="AN157" s="661">
        <f t="shared" si="27"/>
        <v>1255.9635399500016</v>
      </c>
      <c r="AO157" s="661">
        <f t="shared" si="27"/>
        <v>1313.2247579126508</v>
      </c>
      <c r="AP157" s="661">
        <f t="shared" si="27"/>
        <v>1369.435003415387</v>
      </c>
      <c r="AQ157" s="661">
        <f t="shared" si="27"/>
        <v>1406.2764530379245</v>
      </c>
      <c r="AR157" s="661">
        <f t="shared" si="27"/>
        <v>1716.973655546635</v>
      </c>
      <c r="AS157" s="661">
        <f t="shared" si="27"/>
        <v>1534.1784471270698</v>
      </c>
      <c r="AT157" s="661">
        <f t="shared" si="27"/>
        <v>1607.6000036167488</v>
      </c>
      <c r="AU157" s="661">
        <f t="shared" si="27"/>
        <v>1670.2593386029025</v>
      </c>
      <c r="AV157" s="661">
        <f t="shared" si="27"/>
        <v>1735.8048838336256</v>
      </c>
      <c r="AW157" s="661">
        <f t="shared" si="27"/>
        <v>1666.4902911035722</v>
      </c>
      <c r="AX157" s="661">
        <f t="shared" si="27"/>
        <v>451.27461753349905</v>
      </c>
      <c r="AY157" s="213"/>
      <c r="AZ157" s="213"/>
      <c r="BA157" s="213"/>
      <c r="BB157" s="213"/>
      <c r="BC157" s="213"/>
      <c r="BD157" s="213"/>
      <c r="BE157" s="213"/>
      <c r="BF157" s="213"/>
      <c r="BG157" s="213"/>
      <c r="BH157" s="213"/>
      <c r="BI157" s="213"/>
      <c r="BJ157" s="213"/>
      <c r="BK157" s="213"/>
      <c r="BL157" s="213"/>
      <c r="BM157" s="213"/>
      <c r="BN157" s="211"/>
      <c r="BO157" s="211"/>
      <c r="BP157" s="211"/>
      <c r="BQ157" s="211"/>
      <c r="BR157" s="211"/>
      <c r="BS157" s="211"/>
      <c r="BT157" s="211"/>
      <c r="BU157" s="211"/>
      <c r="BV157" s="211"/>
      <c r="BW157" s="211"/>
      <c r="BX157" s="211"/>
      <c r="BY157" s="211"/>
      <c r="BZ157" s="211"/>
      <c r="CA157" s="211"/>
      <c r="CB157" s="211"/>
      <c r="CC157" s="211"/>
      <c r="CD157" s="211"/>
      <c r="CE157" s="211"/>
      <c r="CF157" s="211"/>
      <c r="CG157" s="211"/>
      <c r="CH157" s="211"/>
      <c r="CI157" s="211"/>
      <c r="CJ157" s="211"/>
      <c r="CK157" s="211"/>
    </row>
    <row r="158" spans="1:89" s="528" customFormat="1" x14ac:dyDescent="0.2">
      <c r="A158" s="532"/>
      <c r="B158" s="535" t="s">
        <v>467</v>
      </c>
      <c r="C158" s="534"/>
      <c r="D158" s="533"/>
      <c r="E158" s="533"/>
      <c r="F158" s="662">
        <f t="shared" ref="F158:AX158" si="28">-F140/10^3</f>
        <v>0</v>
      </c>
      <c r="G158" s="662">
        <f t="shared" si="28"/>
        <v>17.116801882543594</v>
      </c>
      <c r="H158" s="662">
        <f t="shared" si="28"/>
        <v>18.25171592413226</v>
      </c>
      <c r="I158" s="662">
        <f t="shared" si="28"/>
        <v>19.461879413055399</v>
      </c>
      <c r="J158" s="662">
        <f t="shared" si="28"/>
        <v>20.752281695745118</v>
      </c>
      <c r="K158" s="662">
        <f t="shared" si="28"/>
        <v>21.619771470281009</v>
      </c>
      <c r="L158" s="662">
        <f t="shared" si="28"/>
        <v>22.523524173393017</v>
      </c>
      <c r="M158" s="662">
        <f t="shared" si="28"/>
        <v>23.465055673080425</v>
      </c>
      <c r="N158" s="662">
        <f t="shared" si="28"/>
        <v>24.445945203868071</v>
      </c>
      <c r="O158" s="662">
        <f t="shared" si="28"/>
        <v>25.467838015662743</v>
      </c>
      <c r="P158" s="662">
        <f t="shared" si="28"/>
        <v>26.490989749443774</v>
      </c>
      <c r="Q158" s="662">
        <f t="shared" si="28"/>
        <v>27.555245854537961</v>
      </c>
      <c r="R158" s="662">
        <f t="shared" si="28"/>
        <v>28.662257668948516</v>
      </c>
      <c r="S158" s="662">
        <f t="shared" si="28"/>
        <v>29.81374287197313</v>
      </c>
      <c r="T158" s="662">
        <f t="shared" si="28"/>
        <v>31.011488149416842</v>
      </c>
      <c r="U158" s="662">
        <f t="shared" si="28"/>
        <v>32.710133662473247</v>
      </c>
      <c r="V158" s="662">
        <f t="shared" si="28"/>
        <v>34.501822004210581</v>
      </c>
      <c r="W158" s="662">
        <f t="shared" si="28"/>
        <v>36.391649569316499</v>
      </c>
      <c r="X158" s="662">
        <f t="shared" si="28"/>
        <v>38.384991906059639</v>
      </c>
      <c r="Y158" s="662">
        <f t="shared" si="28"/>
        <v>40.487519006848274</v>
      </c>
      <c r="Z158" s="662">
        <f t="shared" si="28"/>
        <v>42.936801184184446</v>
      </c>
      <c r="AA158" s="662">
        <f t="shared" si="28"/>
        <v>45.534252064651135</v>
      </c>
      <c r="AB158" s="662">
        <f t="shared" si="28"/>
        <v>48.288835076305141</v>
      </c>
      <c r="AC158" s="662">
        <f t="shared" si="28"/>
        <v>51.210055887506606</v>
      </c>
      <c r="AD158" s="662">
        <f t="shared" si="28"/>
        <v>54.307995209608393</v>
      </c>
      <c r="AE158" s="662">
        <f t="shared" si="28"/>
        <v>56.570629298947189</v>
      </c>
      <c r="AF158" s="662">
        <f t="shared" si="28"/>
        <v>58.92753151588817</v>
      </c>
      <c r="AG158" s="662">
        <f t="shared" si="28"/>
        <v>61.382629353579041</v>
      </c>
      <c r="AH158" s="662">
        <f t="shared" si="28"/>
        <v>63.940013936320618</v>
      </c>
      <c r="AI158" s="662">
        <f t="shared" si="28"/>
        <v>66.603946836931954</v>
      </c>
      <c r="AJ158" s="662">
        <f t="shared" si="28"/>
        <v>69.49438366813277</v>
      </c>
      <c r="AK158" s="662">
        <f t="shared" si="28"/>
        <v>72.510257886634619</v>
      </c>
      <c r="AL158" s="662">
        <f t="shared" si="28"/>
        <v>75.657013146477297</v>
      </c>
      <c r="AM158" s="662">
        <f t="shared" si="28"/>
        <v>78.940329342026871</v>
      </c>
      <c r="AN158" s="662">
        <f t="shared" si="28"/>
        <v>82.366132860187122</v>
      </c>
      <c r="AO158" s="662">
        <f t="shared" si="28"/>
        <v>85.447987193585661</v>
      </c>
      <c r="AP158" s="662">
        <f t="shared" si="28"/>
        <v>88.645153801610618</v>
      </c>
      <c r="AQ158" s="662">
        <f t="shared" si="28"/>
        <v>91.961947268678017</v>
      </c>
      <c r="AR158" s="662">
        <f t="shared" si="28"/>
        <v>95.40284361595252</v>
      </c>
      <c r="AS158" s="662">
        <f t="shared" si="28"/>
        <v>98.97248634174916</v>
      </c>
      <c r="AT158" s="662">
        <f t="shared" si="28"/>
        <v>102.22365601555164</v>
      </c>
      <c r="AU158" s="662">
        <f t="shared" si="28"/>
        <v>105.58162410008973</v>
      </c>
      <c r="AV158" s="662">
        <f t="shared" si="28"/>
        <v>109.04989884060444</v>
      </c>
      <c r="AW158" s="662">
        <f t="shared" si="28"/>
        <v>112.63210372548104</v>
      </c>
      <c r="AX158" s="662">
        <f t="shared" si="28"/>
        <v>28.684598121837769</v>
      </c>
      <c r="AY158" s="213"/>
      <c r="AZ158" s="213"/>
      <c r="BA158" s="213"/>
      <c r="BB158" s="213"/>
      <c r="BC158" s="213"/>
      <c r="BD158" s="213"/>
      <c r="BE158" s="213"/>
      <c r="BF158" s="213"/>
      <c r="BG158" s="213"/>
      <c r="BH158" s="213"/>
      <c r="BI158" s="213"/>
      <c r="BJ158" s="213"/>
      <c r="BK158" s="213"/>
      <c r="BL158" s="213"/>
      <c r="BM158" s="213"/>
      <c r="BN158" s="211"/>
      <c r="BO158" s="211"/>
      <c r="BP158" s="211"/>
      <c r="BQ158" s="211"/>
      <c r="BR158" s="211"/>
      <c r="BS158" s="211"/>
      <c r="BT158" s="211"/>
      <c r="BU158" s="211"/>
      <c r="BV158" s="211"/>
      <c r="BW158" s="211"/>
      <c r="BX158" s="211"/>
      <c r="BY158" s="211"/>
      <c r="BZ158" s="211"/>
      <c r="CA158" s="211"/>
      <c r="CB158" s="211"/>
      <c r="CC158" s="211"/>
      <c r="CD158" s="211"/>
      <c r="CE158" s="211"/>
      <c r="CF158" s="211"/>
      <c r="CG158" s="211"/>
      <c r="CH158" s="211"/>
      <c r="CI158" s="211"/>
      <c r="CJ158" s="211"/>
      <c r="CK158" s="211"/>
    </row>
    <row r="159" spans="1:89" s="528" customFormat="1" x14ac:dyDescent="0.2">
      <c r="A159" s="532"/>
      <c r="B159" s="535" t="s">
        <v>118</v>
      </c>
      <c r="C159" s="534"/>
      <c r="D159" s="533"/>
      <c r="E159" s="533"/>
      <c r="F159" s="662">
        <f t="shared" ref="F159:AX159" si="29">-F144/10^3</f>
        <v>0</v>
      </c>
      <c r="G159" s="662">
        <f t="shared" si="29"/>
        <v>0.361093</v>
      </c>
      <c r="H159" s="662">
        <f t="shared" si="29"/>
        <v>0.5975895062226908</v>
      </c>
      <c r="I159" s="662">
        <f t="shared" si="29"/>
        <v>0.65056990692636107</v>
      </c>
      <c r="J159" s="662">
        <f t="shared" si="29"/>
        <v>0.72218773524688529</v>
      </c>
      <c r="K159" s="662">
        <f t="shared" si="29"/>
        <v>0.78425814883314027</v>
      </c>
      <c r="L159" s="662">
        <f t="shared" si="29"/>
        <v>0.85132111459000026</v>
      </c>
      <c r="M159" s="662">
        <f t="shared" si="29"/>
        <v>0.92396444401930378</v>
      </c>
      <c r="N159" s="662">
        <f t="shared" si="29"/>
        <v>1.0027409606390532</v>
      </c>
      <c r="O159" s="662">
        <f t="shared" si="29"/>
        <v>1.0881588731859977</v>
      </c>
      <c r="P159" s="662">
        <f t="shared" si="29"/>
        <v>1.1569138684982523</v>
      </c>
      <c r="Q159" s="662">
        <f t="shared" si="29"/>
        <v>1.229856803421604</v>
      </c>
      <c r="R159" s="662">
        <f t="shared" si="29"/>
        <v>1.30721175299287</v>
      </c>
      <c r="S159" s="662">
        <f t="shared" si="29"/>
        <v>1.3898051747992881</v>
      </c>
      <c r="T159" s="662">
        <f t="shared" si="29"/>
        <v>1.4773315725563467</v>
      </c>
      <c r="U159" s="662">
        <f t="shared" si="29"/>
        <v>1.6203337565709299</v>
      </c>
      <c r="V159" s="662">
        <f t="shared" si="29"/>
        <v>1.7778097391759304</v>
      </c>
      <c r="W159" s="662">
        <f t="shared" si="29"/>
        <v>1.950666458263171</v>
      </c>
      <c r="X159" s="662">
        <f t="shared" si="29"/>
        <v>2.1404390731711032</v>
      </c>
      <c r="Y159" s="662">
        <f t="shared" si="29"/>
        <v>2.3482116974152345</v>
      </c>
      <c r="Z159" s="662">
        <f t="shared" si="29"/>
        <v>2.5789602560015288</v>
      </c>
      <c r="AA159" s="662">
        <f t="shared" si="29"/>
        <v>2.8335411766374716</v>
      </c>
      <c r="AB159" s="662">
        <f t="shared" si="29"/>
        <v>3.1148950804047963</v>
      </c>
      <c r="AC159" s="662">
        <f t="shared" si="29"/>
        <v>3.4192747896454416</v>
      </c>
      <c r="AD159" s="662">
        <f t="shared" si="29"/>
        <v>3.7548821993955381</v>
      </c>
      <c r="AE159" s="662">
        <f t="shared" si="29"/>
        <v>3.9708258002969852</v>
      </c>
      <c r="AF159" s="662">
        <f t="shared" si="29"/>
        <v>4.1999370837452856</v>
      </c>
      <c r="AG159" s="662">
        <f t="shared" si="29"/>
        <v>4.4424574541090038</v>
      </c>
      <c r="AH159" s="662">
        <f t="shared" si="29"/>
        <v>4.6991387628785439</v>
      </c>
      <c r="AI159" s="662">
        <f t="shared" si="29"/>
        <v>4.9821206607893576</v>
      </c>
      <c r="AJ159" s="662">
        <f t="shared" si="29"/>
        <v>5.26528130498341</v>
      </c>
      <c r="AK159" s="662">
        <f t="shared" si="29"/>
        <v>5.565771731096131</v>
      </c>
      <c r="AL159" s="662">
        <f t="shared" si="29"/>
        <v>5.8832775808855988</v>
      </c>
      <c r="AM159" s="662">
        <f t="shared" si="29"/>
        <v>6.220288560701821</v>
      </c>
      <c r="AN159" s="662">
        <f t="shared" si="29"/>
        <v>6.5747101266507944</v>
      </c>
      <c r="AO159" s="662">
        <f t="shared" si="29"/>
        <v>6.8790669599911674</v>
      </c>
      <c r="AP159" s="662">
        <f t="shared" si="29"/>
        <v>7.1976111291899549</v>
      </c>
      <c r="AQ159" s="662">
        <f t="shared" si="29"/>
        <v>7.5306082607729712</v>
      </c>
      <c r="AR159" s="662">
        <f t="shared" si="29"/>
        <v>7.8800440759600905</v>
      </c>
      <c r="AS159" s="662">
        <f t="shared" si="29"/>
        <v>8.2352035936389285</v>
      </c>
      <c r="AT159" s="662">
        <f t="shared" si="29"/>
        <v>8.5389392552796313</v>
      </c>
      <c r="AU159" s="662">
        <f t="shared" si="29"/>
        <v>8.852822960739692</v>
      </c>
      <c r="AV159" s="662">
        <f t="shared" si="29"/>
        <v>9.1779562579234657</v>
      </c>
      <c r="AW159" s="662">
        <f t="shared" si="29"/>
        <v>9.5113038617391243</v>
      </c>
      <c r="AX159" s="662">
        <f t="shared" si="29"/>
        <v>2.4309088833519277</v>
      </c>
      <c r="AY159" s="213"/>
      <c r="AZ159" s="213"/>
      <c r="BA159" s="213"/>
      <c r="BB159" s="213"/>
      <c r="BC159" s="213"/>
      <c r="BD159" s="213"/>
      <c r="BE159" s="213"/>
      <c r="BF159" s="213"/>
      <c r="BG159" s="213"/>
      <c r="BH159" s="213"/>
      <c r="BI159" s="213"/>
      <c r="BJ159" s="213"/>
      <c r="BK159" s="213"/>
      <c r="BL159" s="213"/>
      <c r="BM159" s="213"/>
      <c r="BN159" s="211"/>
      <c r="BO159" s="211"/>
      <c r="BP159" s="211"/>
      <c r="BQ159" s="211"/>
      <c r="BR159" s="211"/>
      <c r="BS159" s="211"/>
      <c r="BT159" s="211"/>
      <c r="BU159" s="211"/>
      <c r="BV159" s="211"/>
      <c r="BW159" s="211"/>
      <c r="BX159" s="211"/>
      <c r="BY159" s="211"/>
      <c r="BZ159" s="211"/>
      <c r="CA159" s="211"/>
      <c r="CB159" s="211"/>
      <c r="CC159" s="211"/>
      <c r="CD159" s="211"/>
      <c r="CE159" s="211"/>
      <c r="CF159" s="211"/>
      <c r="CG159" s="211"/>
      <c r="CH159" s="211"/>
      <c r="CI159" s="211"/>
      <c r="CJ159" s="211"/>
      <c r="CK159" s="211"/>
    </row>
    <row r="160" spans="1:89" s="528" customFormat="1" x14ac:dyDescent="0.2">
      <c r="A160" s="538"/>
      <c r="B160" s="535" t="s">
        <v>466</v>
      </c>
      <c r="C160" s="534"/>
      <c r="D160" s="533"/>
      <c r="E160" s="533"/>
      <c r="F160" s="662">
        <f t="shared" ref="F160:AX160" si="30">-F141/10^3</f>
        <v>0</v>
      </c>
      <c r="G160" s="662">
        <f t="shared" si="30"/>
        <v>2.4010519999999955</v>
      </c>
      <c r="H160" s="662">
        <f t="shared" si="30"/>
        <v>2.2719001843671922</v>
      </c>
      <c r="I160" s="662">
        <f t="shared" si="30"/>
        <v>3.3213370258702386</v>
      </c>
      <c r="J160" s="662">
        <f t="shared" si="30"/>
        <v>4.8555300603970766</v>
      </c>
      <c r="K160" s="662">
        <f t="shared" si="30"/>
        <v>5.2347233595289158</v>
      </c>
      <c r="L160" s="662">
        <f t="shared" si="30"/>
        <v>5.6435298123881417</v>
      </c>
      <c r="M160" s="662">
        <f t="shared" si="30"/>
        <v>6.0842620623566139</v>
      </c>
      <c r="N160" s="662">
        <f t="shared" si="30"/>
        <v>6.5594133590245249</v>
      </c>
      <c r="O160" s="662">
        <f t="shared" si="30"/>
        <v>7.0716716626575069</v>
      </c>
      <c r="P160" s="662">
        <f t="shared" si="30"/>
        <v>7.112676148547302</v>
      </c>
      <c r="Q160" s="662">
        <f t="shared" si="30"/>
        <v>7.1539183954564542</v>
      </c>
      <c r="R160" s="662">
        <f t="shared" si="30"/>
        <v>7.1953997820219886</v>
      </c>
      <c r="S160" s="662">
        <f t="shared" si="30"/>
        <v>7.237121694874836</v>
      </c>
      <c r="T160" s="662">
        <f t="shared" si="30"/>
        <v>7.2790855286861875</v>
      </c>
      <c r="U160" s="662">
        <f t="shared" si="30"/>
        <v>7.8250840659259273</v>
      </c>
      <c r="V160" s="662">
        <f t="shared" si="30"/>
        <v>8.4120375282717266</v>
      </c>
      <c r="W160" s="662">
        <f t="shared" si="30"/>
        <v>9.0430179127639452</v>
      </c>
      <c r="X160" s="662">
        <f t="shared" si="30"/>
        <v>9.7213276445487669</v>
      </c>
      <c r="Y160" s="662">
        <f t="shared" si="30"/>
        <v>10.450516861110962</v>
      </c>
      <c r="Z160" s="662">
        <f t="shared" si="30"/>
        <v>11.402936904942443</v>
      </c>
      <c r="AA160" s="662">
        <f t="shared" si="30"/>
        <v>12.442156860390503</v>
      </c>
      <c r="AB160" s="662">
        <f t="shared" si="30"/>
        <v>13.576087338645486</v>
      </c>
      <c r="AC160" s="662">
        <f t="shared" si="30"/>
        <v>14.813359893675671</v>
      </c>
      <c r="AD160" s="662">
        <f t="shared" si="30"/>
        <v>16.163392726188256</v>
      </c>
      <c r="AE160" s="662">
        <f t="shared" si="30"/>
        <v>14.764028626131159</v>
      </c>
      <c r="AF160" s="662">
        <f t="shared" si="30"/>
        <v>13.485816063854612</v>
      </c>
      <c r="AG160" s="662">
        <f t="shared" si="30"/>
        <v>12.318266207248376</v>
      </c>
      <c r="AH160" s="662">
        <f t="shared" si="30"/>
        <v>11.251798306766013</v>
      </c>
      <c r="AI160" s="662">
        <f t="shared" si="30"/>
        <v>10.27766107714462</v>
      </c>
      <c r="AJ160" s="662">
        <f t="shared" si="30"/>
        <v>11.712773240383072</v>
      </c>
      <c r="AK160" s="662">
        <f t="shared" si="30"/>
        <v>13.348276028065735</v>
      </c>
      <c r="AL160" s="662">
        <f t="shared" si="30"/>
        <v>15.212150808753046</v>
      </c>
      <c r="AM160" s="662">
        <f t="shared" si="30"/>
        <v>17.336286104789135</v>
      </c>
      <c r="AN160" s="662">
        <f t="shared" si="30"/>
        <v>19.757023164283297</v>
      </c>
      <c r="AO160" s="662">
        <f t="shared" si="30"/>
        <v>18.360971768753995</v>
      </c>
      <c r="AP160" s="662">
        <f t="shared" si="30"/>
        <v>17.063566787856768</v>
      </c>
      <c r="AQ160" s="662">
        <f t="shared" si="30"/>
        <v>15.857837765381383</v>
      </c>
      <c r="AR160" s="662">
        <f t="shared" si="30"/>
        <v>14.737306784658559</v>
      </c>
      <c r="AS160" s="662">
        <f t="shared" si="30"/>
        <v>13.695953665213942</v>
      </c>
      <c r="AT160" s="662">
        <f t="shared" si="30"/>
        <v>17.217145757670149</v>
      </c>
      <c r="AU160" s="662">
        <f t="shared" si="30"/>
        <v>21.643626671558895</v>
      </c>
      <c r="AV160" s="662">
        <f t="shared" si="30"/>
        <v>27.208143677887197</v>
      </c>
      <c r="AW160" s="662">
        <f t="shared" si="30"/>
        <v>34.203282732155621</v>
      </c>
      <c r="AX160" s="662">
        <f t="shared" si="30"/>
        <v>140.37067583786654</v>
      </c>
      <c r="AY160" s="213"/>
      <c r="AZ160" s="213"/>
      <c r="BA160" s="213"/>
      <c r="BB160" s="213"/>
      <c r="BC160" s="213"/>
      <c r="BD160" s="213"/>
      <c r="BE160" s="213"/>
      <c r="BF160" s="213"/>
      <c r="BG160" s="213"/>
      <c r="BH160" s="213"/>
      <c r="BI160" s="213"/>
      <c r="BJ160" s="213"/>
      <c r="BK160" s="213"/>
      <c r="BL160" s="213"/>
      <c r="BM160" s="213"/>
      <c r="BN160" s="211"/>
      <c r="BO160" s="211"/>
      <c r="BP160" s="211"/>
      <c r="BQ160" s="211"/>
      <c r="BR160" s="211"/>
      <c r="BS160" s="211"/>
      <c r="BT160" s="211"/>
      <c r="BU160" s="211"/>
      <c r="BV160" s="211"/>
      <c r="BW160" s="211"/>
      <c r="BX160" s="211"/>
      <c r="BY160" s="211"/>
      <c r="BZ160" s="211"/>
      <c r="CA160" s="211"/>
      <c r="CB160" s="211"/>
      <c r="CC160" s="211"/>
      <c r="CD160" s="211"/>
      <c r="CE160" s="211"/>
      <c r="CF160" s="211"/>
      <c r="CG160" s="211"/>
      <c r="CH160" s="211"/>
      <c r="CI160" s="211"/>
      <c r="CJ160" s="211"/>
      <c r="CK160" s="211"/>
    </row>
    <row r="161" spans="1:89" s="528" customFormat="1" x14ac:dyDescent="0.2">
      <c r="A161" s="536"/>
      <c r="B161" s="535" t="s">
        <v>465</v>
      </c>
      <c r="C161" s="534"/>
      <c r="D161" s="533"/>
      <c r="E161" s="533"/>
      <c r="F161" s="662">
        <f t="shared" ref="F161:AX161" si="31">(-F147-F148)/10^3</f>
        <v>0</v>
      </c>
      <c r="G161" s="662">
        <f t="shared" si="31"/>
        <v>27.87378125</v>
      </c>
      <c r="H161" s="662">
        <f t="shared" si="31"/>
        <v>51.331867977289221</v>
      </c>
      <c r="I161" s="662">
        <f t="shared" si="31"/>
        <v>64.05753773338192</v>
      </c>
      <c r="J161" s="662">
        <f t="shared" si="31"/>
        <v>60.574304548409692</v>
      </c>
      <c r="K161" s="662">
        <f t="shared" si="31"/>
        <v>60.817557844132288</v>
      </c>
      <c r="L161" s="662">
        <f t="shared" si="31"/>
        <v>61.079639559874138</v>
      </c>
      <c r="M161" s="662">
        <f t="shared" si="31"/>
        <v>61.463866158914833</v>
      </c>
      <c r="N161" s="662">
        <f t="shared" si="31"/>
        <v>61.915302624581102</v>
      </c>
      <c r="O161" s="662">
        <f t="shared" si="31"/>
        <v>62.350744327486879</v>
      </c>
      <c r="P161" s="662">
        <f t="shared" si="31"/>
        <v>62.735834796622811</v>
      </c>
      <c r="Q161" s="662">
        <f t="shared" si="31"/>
        <v>63.162398677456835</v>
      </c>
      <c r="R161" s="662">
        <f t="shared" si="31"/>
        <v>64.019542773428867</v>
      </c>
      <c r="S161" s="662">
        <f t="shared" si="31"/>
        <v>67.951257696775528</v>
      </c>
      <c r="T161" s="662">
        <f t="shared" si="31"/>
        <v>64.699229384648845</v>
      </c>
      <c r="U161" s="662">
        <f t="shared" si="31"/>
        <v>65.401831442138004</v>
      </c>
      <c r="V161" s="662">
        <f t="shared" si="31"/>
        <v>66.075511538343648</v>
      </c>
      <c r="W161" s="662">
        <f t="shared" si="31"/>
        <v>67.150392784577775</v>
      </c>
      <c r="X161" s="662">
        <f t="shared" si="31"/>
        <v>68.472749394392636</v>
      </c>
      <c r="Y161" s="662">
        <f t="shared" si="31"/>
        <v>70.00524570556999</v>
      </c>
      <c r="Z161" s="662">
        <f t="shared" si="31"/>
        <v>71.540723518566892</v>
      </c>
      <c r="AA161" s="662">
        <f t="shared" si="31"/>
        <v>74.162488459678713</v>
      </c>
      <c r="AB161" s="662">
        <f t="shared" si="31"/>
        <v>77.735155598207356</v>
      </c>
      <c r="AC161" s="662">
        <f t="shared" si="31"/>
        <v>78.887094203263288</v>
      </c>
      <c r="AD161" s="662">
        <f t="shared" si="31"/>
        <v>76.361587121869007</v>
      </c>
      <c r="AE161" s="662">
        <f t="shared" si="31"/>
        <v>77.128006407048133</v>
      </c>
      <c r="AF161" s="662">
        <f t="shared" si="31"/>
        <v>77.828319865844293</v>
      </c>
      <c r="AG161" s="662">
        <f t="shared" si="31"/>
        <v>78.682396995715536</v>
      </c>
      <c r="AH161" s="662">
        <f t="shared" si="31"/>
        <v>79.053048995894741</v>
      </c>
      <c r="AI161" s="662">
        <f t="shared" si="31"/>
        <v>78.117122934546629</v>
      </c>
      <c r="AJ161" s="662">
        <f t="shared" si="31"/>
        <v>72.630694547570812</v>
      </c>
      <c r="AK161" s="662">
        <f t="shared" si="31"/>
        <v>66.83096897805477</v>
      </c>
      <c r="AL161" s="662">
        <f t="shared" si="31"/>
        <v>61.063059318730332</v>
      </c>
      <c r="AM161" s="662">
        <f t="shared" si="31"/>
        <v>52.909304995889784</v>
      </c>
      <c r="AN161" s="662">
        <f t="shared" si="31"/>
        <v>44.80248315375632</v>
      </c>
      <c r="AO161" s="662">
        <f t="shared" si="31"/>
        <v>36.368995159053938</v>
      </c>
      <c r="AP161" s="662">
        <f t="shared" si="31"/>
        <v>27.28941883735358</v>
      </c>
      <c r="AQ161" s="662">
        <f t="shared" si="31"/>
        <v>17.837301696393126</v>
      </c>
      <c r="AR161" s="662">
        <f t="shared" si="31"/>
        <v>7.8888607649381788</v>
      </c>
      <c r="AS161" s="662">
        <f t="shared" si="31"/>
        <v>0</v>
      </c>
      <c r="AT161" s="662">
        <f t="shared" si="31"/>
        <v>0</v>
      </c>
      <c r="AU161" s="662">
        <f t="shared" si="31"/>
        <v>0</v>
      </c>
      <c r="AV161" s="662">
        <f t="shared" si="31"/>
        <v>0</v>
      </c>
      <c r="AW161" s="662">
        <f t="shared" si="31"/>
        <v>0</v>
      </c>
      <c r="AX161" s="662">
        <f t="shared" si="31"/>
        <v>0</v>
      </c>
      <c r="AY161" s="213"/>
      <c r="AZ161" s="213"/>
      <c r="BA161" s="213"/>
      <c r="BB161" s="213"/>
      <c r="BC161" s="213"/>
      <c r="BD161" s="213"/>
      <c r="BE161" s="213"/>
      <c r="BF161" s="213"/>
      <c r="BG161" s="213"/>
      <c r="BH161" s="213"/>
      <c r="BI161" s="213"/>
      <c r="BJ161" s="213"/>
      <c r="BK161" s="213"/>
      <c r="BL161" s="213"/>
      <c r="BM161" s="213"/>
      <c r="BN161" s="211"/>
      <c r="BO161" s="211"/>
      <c r="BP161" s="211"/>
      <c r="BQ161" s="211"/>
      <c r="BR161" s="211"/>
      <c r="BS161" s="211"/>
      <c r="BT161" s="211"/>
      <c r="BU161" s="211"/>
      <c r="BV161" s="211"/>
      <c r="BW161" s="211"/>
      <c r="BX161" s="211"/>
      <c r="BY161" s="211"/>
      <c r="BZ161" s="211"/>
      <c r="CA161" s="211"/>
      <c r="CB161" s="211"/>
      <c r="CC161" s="211"/>
      <c r="CD161" s="211"/>
      <c r="CE161" s="211"/>
      <c r="CF161" s="211"/>
      <c r="CG161" s="211"/>
      <c r="CH161" s="211"/>
      <c r="CI161" s="211"/>
      <c r="CJ161" s="211"/>
      <c r="CK161" s="211"/>
    </row>
    <row r="162" spans="1:89" s="528" customFormat="1" x14ac:dyDescent="0.2">
      <c r="A162" s="536"/>
      <c r="B162" s="537" t="s">
        <v>464</v>
      </c>
      <c r="C162" s="534"/>
      <c r="D162" s="534"/>
      <c r="E162" s="533"/>
      <c r="F162" s="662">
        <f t="shared" ref="F162:AX162" si="32">(-F146-F149)/10^3</f>
        <v>0</v>
      </c>
      <c r="G162" s="662">
        <f t="shared" si="32"/>
        <v>0</v>
      </c>
      <c r="H162" s="662">
        <f t="shared" si="32"/>
        <v>0</v>
      </c>
      <c r="I162" s="662">
        <f t="shared" si="32"/>
        <v>-3.3213370258702386</v>
      </c>
      <c r="J162" s="662">
        <f t="shared" si="32"/>
        <v>-4.8555300603970766</v>
      </c>
      <c r="K162" s="662">
        <f t="shared" si="32"/>
        <v>-5.2347233595289158</v>
      </c>
      <c r="L162" s="662">
        <f t="shared" si="32"/>
        <v>-5.6435298123881417</v>
      </c>
      <c r="M162" s="662">
        <f t="shared" si="32"/>
        <v>-6.0842620623566148</v>
      </c>
      <c r="N162" s="662">
        <f t="shared" si="32"/>
        <v>-6.5594133590245258</v>
      </c>
      <c r="O162" s="662">
        <f t="shared" si="32"/>
        <v>-7.0716716626575069</v>
      </c>
      <c r="P162" s="662">
        <f t="shared" si="32"/>
        <v>-7.1126761485473038</v>
      </c>
      <c r="Q162" s="662">
        <f t="shared" si="32"/>
        <v>-7.1539183954564542</v>
      </c>
      <c r="R162" s="662">
        <f t="shared" si="32"/>
        <v>-7.1953997820219886</v>
      </c>
      <c r="S162" s="662">
        <f t="shared" si="32"/>
        <v>-7.237121694874836</v>
      </c>
      <c r="T162" s="662">
        <f t="shared" si="32"/>
        <v>-7.2790855286861875</v>
      </c>
      <c r="U162" s="662">
        <f t="shared" si="32"/>
        <v>-7.8250840659259264</v>
      </c>
      <c r="V162" s="662">
        <f t="shared" si="32"/>
        <v>-8.4120375282717283</v>
      </c>
      <c r="W162" s="662">
        <f t="shared" si="32"/>
        <v>-9.0430179127639416</v>
      </c>
      <c r="X162" s="662">
        <f t="shared" si="32"/>
        <v>-9.721327644548758</v>
      </c>
      <c r="Y162" s="662">
        <f t="shared" si="32"/>
        <v>-10.450516861110955</v>
      </c>
      <c r="Z162" s="662">
        <f t="shared" si="32"/>
        <v>-11.402936904942441</v>
      </c>
      <c r="AA162" s="662">
        <f t="shared" si="32"/>
        <v>-12.442156860390503</v>
      </c>
      <c r="AB162" s="662">
        <f t="shared" si="32"/>
        <v>-13.576087338645477</v>
      </c>
      <c r="AC162" s="662">
        <f t="shared" si="32"/>
        <v>-14.813359893675671</v>
      </c>
      <c r="AD162" s="662">
        <f t="shared" si="32"/>
        <v>-16.163392726188256</v>
      </c>
      <c r="AE162" s="662">
        <f t="shared" si="32"/>
        <v>-14.764028626131159</v>
      </c>
      <c r="AF162" s="662">
        <f t="shared" si="32"/>
        <v>-13.485816063854612</v>
      </c>
      <c r="AG162" s="662">
        <f t="shared" si="32"/>
        <v>-12.318266207248376</v>
      </c>
      <c r="AH162" s="662">
        <f t="shared" si="32"/>
        <v>-11.251798306766013</v>
      </c>
      <c r="AI162" s="662">
        <f t="shared" si="32"/>
        <v>100.21476014151708</v>
      </c>
      <c r="AJ162" s="662">
        <f t="shared" si="32"/>
        <v>108.12629756378884</v>
      </c>
      <c r="AK162" s="662">
        <f t="shared" si="32"/>
        <v>122.39867018260507</v>
      </c>
      <c r="AL162" s="662">
        <f t="shared" si="32"/>
        <v>128.82460036719183</v>
      </c>
      <c r="AM162" s="662">
        <f t="shared" si="32"/>
        <v>150.37878197027749</v>
      </c>
      <c r="AN162" s="662">
        <f t="shared" si="32"/>
        <v>158.27366802371705</v>
      </c>
      <c r="AO162" s="662">
        <f t="shared" si="32"/>
        <v>166.58303559496218</v>
      </c>
      <c r="AP162" s="662">
        <f t="shared" si="32"/>
        <v>175.32864496369771</v>
      </c>
      <c r="AQ162" s="662">
        <f t="shared" si="32"/>
        <v>184.53339882429174</v>
      </c>
      <c r="AR162" s="662">
        <f t="shared" si="32"/>
        <v>194.22140226256704</v>
      </c>
      <c r="AS162" s="662">
        <f t="shared" si="32"/>
        <v>0</v>
      </c>
      <c r="AT162" s="662">
        <f t="shared" si="32"/>
        <v>0</v>
      </c>
      <c r="AU162" s="662">
        <f t="shared" si="32"/>
        <v>0</v>
      </c>
      <c r="AV162" s="662">
        <f t="shared" si="32"/>
        <v>0</v>
      </c>
      <c r="AW162" s="662">
        <f t="shared" si="32"/>
        <v>0</v>
      </c>
      <c r="AX162" s="662">
        <f t="shared" si="32"/>
        <v>0</v>
      </c>
      <c r="AY162" s="213"/>
      <c r="AZ162" s="213"/>
      <c r="BA162" s="213"/>
      <c r="BB162" s="213"/>
      <c r="BC162" s="213"/>
      <c r="BD162" s="213"/>
      <c r="BE162" s="213"/>
      <c r="BF162" s="213"/>
      <c r="BG162" s="213"/>
      <c r="BH162" s="213"/>
      <c r="BI162" s="213"/>
      <c r="BJ162" s="213"/>
      <c r="BK162" s="213"/>
      <c r="BL162" s="213"/>
      <c r="BM162" s="213"/>
      <c r="BN162" s="211"/>
      <c r="BO162" s="211"/>
      <c r="BP162" s="211"/>
      <c r="BQ162" s="211"/>
      <c r="BR162" s="211"/>
      <c r="BS162" s="211"/>
      <c r="BT162" s="211"/>
      <c r="BU162" s="211"/>
      <c r="BV162" s="211"/>
      <c r="BW162" s="211"/>
      <c r="BX162" s="211"/>
      <c r="BY162" s="211"/>
      <c r="BZ162" s="211"/>
      <c r="CA162" s="211"/>
      <c r="CB162" s="211"/>
      <c r="CC162" s="211"/>
      <c r="CD162" s="211"/>
      <c r="CE162" s="211"/>
      <c r="CF162" s="211"/>
      <c r="CG162" s="211"/>
      <c r="CH162" s="211"/>
      <c r="CI162" s="211"/>
      <c r="CJ162" s="211"/>
      <c r="CK162" s="211"/>
    </row>
    <row r="163" spans="1:89" s="528" customFormat="1" x14ac:dyDescent="0.2">
      <c r="A163" s="536"/>
      <c r="B163" s="535" t="s">
        <v>463</v>
      </c>
      <c r="C163" s="534"/>
      <c r="D163" s="533"/>
      <c r="E163" s="533"/>
      <c r="F163" s="662">
        <f t="shared" ref="F163:AX163" si="33">-(MIN(F151,0)+MIN(F152,0)+MIN(F153,0)+MIN(F143,0)+MIN(F145,0))/10^3</f>
        <v>0</v>
      </c>
      <c r="G163" s="662">
        <f t="shared" si="33"/>
        <v>52.922655228947811</v>
      </c>
      <c r="H163" s="662">
        <f t="shared" si="33"/>
        <v>0</v>
      </c>
      <c r="I163" s="662">
        <f t="shared" si="33"/>
        <v>5.3160134207549996</v>
      </c>
      <c r="J163" s="662">
        <f t="shared" si="33"/>
        <v>2.8961227653505195</v>
      </c>
      <c r="K163" s="662">
        <f t="shared" si="33"/>
        <v>1.449568678876658</v>
      </c>
      <c r="L163" s="662">
        <f t="shared" si="33"/>
        <v>1.4756945403986101</v>
      </c>
      <c r="M163" s="662">
        <f t="shared" si="33"/>
        <v>1.4128038203383695</v>
      </c>
      <c r="N163" s="662">
        <f t="shared" si="33"/>
        <v>1.6141891822423604</v>
      </c>
      <c r="O163" s="662">
        <f t="shared" si="33"/>
        <v>1.1432366428240639</v>
      </c>
      <c r="P163" s="662">
        <f t="shared" si="33"/>
        <v>1.0885542083892179</v>
      </c>
      <c r="Q163" s="662">
        <f t="shared" si="33"/>
        <v>0.92506341325223551</v>
      </c>
      <c r="R163" s="662">
        <f t="shared" si="33"/>
        <v>1.1192682884278293</v>
      </c>
      <c r="S163" s="662">
        <f t="shared" si="33"/>
        <v>1.6764507889072047</v>
      </c>
      <c r="T163" s="662">
        <f t="shared" si="33"/>
        <v>3.0168943673896611</v>
      </c>
      <c r="U163" s="662">
        <f t="shared" si="33"/>
        <v>3.4932297698956427</v>
      </c>
      <c r="V163" s="662">
        <f t="shared" si="33"/>
        <v>4.5008103080734472</v>
      </c>
      <c r="W163" s="662">
        <f t="shared" si="33"/>
        <v>5.9078717954153541</v>
      </c>
      <c r="X163" s="662">
        <f t="shared" si="33"/>
        <v>7.5370061395490957</v>
      </c>
      <c r="Y163" s="662">
        <f t="shared" si="33"/>
        <v>8.6687931324125902</v>
      </c>
      <c r="Z163" s="662">
        <f t="shared" si="33"/>
        <v>10.318571638790315</v>
      </c>
      <c r="AA163" s="662">
        <f t="shared" si="33"/>
        <v>26.283001142484615</v>
      </c>
      <c r="AB163" s="662">
        <f t="shared" si="33"/>
        <v>0.79577642134398052</v>
      </c>
      <c r="AC163" s="662">
        <f t="shared" si="33"/>
        <v>0.6008737173708214</v>
      </c>
      <c r="AD163" s="662">
        <f t="shared" si="33"/>
        <v>0.84174217909373694</v>
      </c>
      <c r="AE163" s="662">
        <f t="shared" si="33"/>
        <v>0.76886739303356444</v>
      </c>
      <c r="AF163" s="662">
        <f t="shared" si="33"/>
        <v>0.91644243553685378</v>
      </c>
      <c r="AG163" s="662">
        <f t="shared" si="33"/>
        <v>0.42735863446997246</v>
      </c>
      <c r="AH163" s="662">
        <f t="shared" si="33"/>
        <v>111.62943381684136</v>
      </c>
      <c r="AI163" s="662">
        <f t="shared" si="33"/>
        <v>5.0828954956902601</v>
      </c>
      <c r="AJ163" s="662">
        <f t="shared" si="33"/>
        <v>5.1000392051068557</v>
      </c>
      <c r="AK163" s="662">
        <f t="shared" si="33"/>
        <v>4.0119591608319602</v>
      </c>
      <c r="AL163" s="662">
        <f t="shared" si="33"/>
        <v>16.840829659773561</v>
      </c>
      <c r="AM163" s="662">
        <f t="shared" si="33"/>
        <v>0</v>
      </c>
      <c r="AN163" s="662">
        <f t="shared" si="33"/>
        <v>0</v>
      </c>
      <c r="AO163" s="662">
        <f t="shared" si="33"/>
        <v>0</v>
      </c>
      <c r="AP163" s="662">
        <f t="shared" si="33"/>
        <v>0</v>
      </c>
      <c r="AQ163" s="662">
        <f t="shared" si="33"/>
        <v>2.4750822503910674</v>
      </c>
      <c r="AR163" s="662">
        <f t="shared" si="33"/>
        <v>0</v>
      </c>
      <c r="AS163" s="662">
        <f t="shared" si="33"/>
        <v>143.26905167515849</v>
      </c>
      <c r="AT163" s="662">
        <f t="shared" si="33"/>
        <v>0</v>
      </c>
      <c r="AU163" s="662">
        <f t="shared" si="33"/>
        <v>0</v>
      </c>
      <c r="AV163" s="662">
        <f t="shared" si="33"/>
        <v>0</v>
      </c>
      <c r="AW163" s="662">
        <f t="shared" si="33"/>
        <v>0</v>
      </c>
      <c r="AX163" s="662">
        <f t="shared" si="33"/>
        <v>0</v>
      </c>
      <c r="AY163" s="213"/>
      <c r="AZ163" s="213"/>
      <c r="BA163" s="213"/>
      <c r="BB163" s="213"/>
      <c r="BC163" s="213"/>
      <c r="BD163" s="213"/>
      <c r="BE163" s="213"/>
      <c r="BF163" s="213"/>
      <c r="BG163" s="213"/>
      <c r="BH163" s="213"/>
      <c r="BI163" s="213"/>
      <c r="BJ163" s="213"/>
      <c r="BK163" s="213"/>
      <c r="BL163" s="213"/>
      <c r="BM163" s="213"/>
      <c r="BN163" s="211"/>
      <c r="BO163" s="211"/>
      <c r="BP163" s="211"/>
      <c r="BQ163" s="211"/>
      <c r="BR163" s="211"/>
      <c r="BS163" s="211"/>
      <c r="BT163" s="211"/>
      <c r="BU163" s="211"/>
      <c r="BV163" s="211"/>
      <c r="BW163" s="211"/>
      <c r="BX163" s="211"/>
      <c r="BY163" s="211"/>
      <c r="BZ163" s="211"/>
      <c r="CA163" s="211"/>
      <c r="CB163" s="211"/>
      <c r="CC163" s="211"/>
      <c r="CD163" s="211"/>
      <c r="CE163" s="211"/>
      <c r="CF163" s="211"/>
      <c r="CG163" s="211"/>
      <c r="CH163" s="211"/>
      <c r="CI163" s="211"/>
      <c r="CJ163" s="211"/>
      <c r="CK163" s="211"/>
    </row>
    <row r="164" spans="1:89" s="528" customFormat="1" x14ac:dyDescent="0.2">
      <c r="A164" s="532"/>
      <c r="B164" s="535" t="s">
        <v>462</v>
      </c>
      <c r="C164" s="534"/>
      <c r="D164" s="534"/>
      <c r="E164" s="533"/>
      <c r="F164" s="662">
        <f t="shared" ref="F164:AX164" si="34">+F154/10^3</f>
        <v>0</v>
      </c>
      <c r="G164" s="662">
        <f t="shared" si="34"/>
        <v>0</v>
      </c>
      <c r="H164" s="662">
        <f t="shared" si="34"/>
        <v>207.23450432853866</v>
      </c>
      <c r="I164" s="662">
        <f t="shared" si="34"/>
        <v>34.432077035664392</v>
      </c>
      <c r="J164" s="662">
        <f t="shared" si="34"/>
        <v>52.614671873702143</v>
      </c>
      <c r="K164" s="662">
        <f t="shared" si="34"/>
        <v>64.711348397522698</v>
      </c>
      <c r="L164" s="662">
        <f t="shared" si="34"/>
        <v>76.226223390791887</v>
      </c>
      <c r="M164" s="662">
        <f t="shared" si="34"/>
        <v>88.727537335895406</v>
      </c>
      <c r="N164" s="662">
        <f t="shared" si="34"/>
        <v>102.02010024563194</v>
      </c>
      <c r="O164" s="662">
        <f t="shared" si="34"/>
        <v>117.21837893817326</v>
      </c>
      <c r="P164" s="662">
        <f t="shared" si="34"/>
        <v>128.89225375766546</v>
      </c>
      <c r="Q164" s="662">
        <f t="shared" si="34"/>
        <v>141.38587399830357</v>
      </c>
      <c r="R164" s="662">
        <f t="shared" si="34"/>
        <v>153.88443437198671</v>
      </c>
      <c r="S164" s="662">
        <f t="shared" si="34"/>
        <v>163.89353866740925</v>
      </c>
      <c r="T164" s="662">
        <f t="shared" si="34"/>
        <v>181.19154653672103</v>
      </c>
      <c r="U164" s="662">
        <f t="shared" si="34"/>
        <v>205.40947262052794</v>
      </c>
      <c r="V164" s="662">
        <f t="shared" si="34"/>
        <v>231.77447291989742</v>
      </c>
      <c r="W164" s="662">
        <f t="shared" si="34"/>
        <v>260.15493525207887</v>
      </c>
      <c r="X164" s="662">
        <f t="shared" si="34"/>
        <v>291.16749409084719</v>
      </c>
      <c r="Y164" s="662">
        <f t="shared" si="34"/>
        <v>325.76864901303668</v>
      </c>
      <c r="Z164" s="662">
        <f t="shared" si="34"/>
        <v>363.85546835512906</v>
      </c>
      <c r="AA164" s="662">
        <f t="shared" si="34"/>
        <v>390.90884603987615</v>
      </c>
      <c r="AB164" s="662">
        <f t="shared" si="34"/>
        <v>477.32983465508278</v>
      </c>
      <c r="AC164" s="662">
        <f t="shared" si="34"/>
        <v>518.21175895344766</v>
      </c>
      <c r="AD164" s="662">
        <f t="shared" si="34"/>
        <v>583.39904240526198</v>
      </c>
      <c r="AE164" s="662">
        <f t="shared" si="34"/>
        <v>620.71164546357875</v>
      </c>
      <c r="AF164" s="662">
        <f t="shared" si="34"/>
        <v>659.81296914061204</v>
      </c>
      <c r="AG164" s="662">
        <f t="shared" si="34"/>
        <v>701.34995831846652</v>
      </c>
      <c r="AH164" s="662">
        <f t="shared" si="34"/>
        <v>635.7524145601684</v>
      </c>
      <c r="AI164" s="662">
        <f t="shared" si="34"/>
        <v>683.69685681325768</v>
      </c>
      <c r="AJ164" s="662">
        <f t="shared" si="34"/>
        <v>730.58125522877913</v>
      </c>
      <c r="AK164" s="662">
        <f t="shared" si="34"/>
        <v>775.83813647581428</v>
      </c>
      <c r="AL164" s="662">
        <f t="shared" si="34"/>
        <v>817.14337023925498</v>
      </c>
      <c r="AM164" s="662">
        <f t="shared" si="34"/>
        <v>879.29758436259431</v>
      </c>
      <c r="AN164" s="662">
        <f t="shared" si="34"/>
        <v>944.18952262140681</v>
      </c>
      <c r="AO164" s="662">
        <f t="shared" si="34"/>
        <v>999.58470123630411</v>
      </c>
      <c r="AP164" s="662">
        <f t="shared" si="34"/>
        <v>1053.9106078956781</v>
      </c>
      <c r="AQ164" s="662">
        <f t="shared" si="34"/>
        <v>1086.0802769720162</v>
      </c>
      <c r="AR164" s="662">
        <f t="shared" si="34"/>
        <v>1396.8431980425587</v>
      </c>
      <c r="AS164" s="662">
        <f t="shared" si="34"/>
        <v>1270.0057518513092</v>
      </c>
      <c r="AT164" s="662">
        <f t="shared" si="34"/>
        <v>1479.6202625882474</v>
      </c>
      <c r="AU164" s="662">
        <f t="shared" si="34"/>
        <v>1534.1812648705143</v>
      </c>
      <c r="AV164" s="662">
        <f t="shared" si="34"/>
        <v>1590.3688850572105</v>
      </c>
      <c r="AW164" s="662">
        <f t="shared" si="34"/>
        <v>1510.1436007841962</v>
      </c>
      <c r="AX164" s="662">
        <f t="shared" si="34"/>
        <v>279.78843469044273</v>
      </c>
      <c r="AY164" s="213"/>
      <c r="AZ164" s="213"/>
      <c r="BA164" s="213"/>
      <c r="BB164" s="213"/>
      <c r="BC164" s="213"/>
      <c r="BD164" s="213"/>
      <c r="BE164" s="213"/>
      <c r="BF164" s="213"/>
      <c r="BG164" s="213"/>
      <c r="BH164" s="213"/>
      <c r="BI164" s="213"/>
      <c r="BJ164" s="213"/>
      <c r="BK164" s="213"/>
      <c r="BL164" s="213"/>
      <c r="BM164" s="213"/>
      <c r="BN164" s="211"/>
      <c r="BO164" s="211"/>
      <c r="BP164" s="211"/>
      <c r="BQ164" s="211"/>
      <c r="BR164" s="211"/>
      <c r="BS164" s="211"/>
      <c r="BT164" s="211"/>
      <c r="BU164" s="211"/>
      <c r="BV164" s="211"/>
      <c r="BW164" s="211"/>
      <c r="BX164" s="211"/>
      <c r="BY164" s="211"/>
      <c r="BZ164" s="211"/>
      <c r="CA164" s="211"/>
      <c r="CB164" s="211"/>
      <c r="CC164" s="211"/>
      <c r="CD164" s="211"/>
      <c r="CE164" s="211"/>
      <c r="CF164" s="211"/>
      <c r="CG164" s="211"/>
      <c r="CH164" s="211"/>
      <c r="CI164" s="211"/>
      <c r="CJ164" s="211"/>
      <c r="CK164" s="211"/>
    </row>
    <row r="165" spans="1:89" s="528" customFormat="1" x14ac:dyDescent="0.2">
      <c r="A165" s="532"/>
      <c r="B165" s="535"/>
      <c r="C165" s="534"/>
      <c r="D165" s="534"/>
      <c r="E165" s="534"/>
      <c r="F165" s="533"/>
      <c r="G165" s="533"/>
      <c r="H165" s="533"/>
      <c r="I165" s="533"/>
      <c r="J165" s="533"/>
      <c r="K165" s="533"/>
      <c r="L165" s="533"/>
      <c r="M165" s="533"/>
      <c r="N165" s="533"/>
      <c r="O165" s="533"/>
      <c r="P165" s="533"/>
      <c r="Q165" s="533"/>
      <c r="R165" s="533"/>
      <c r="S165" s="533"/>
      <c r="T165" s="533"/>
      <c r="U165" s="533"/>
      <c r="V165" s="533"/>
      <c r="W165" s="533"/>
      <c r="X165" s="533"/>
      <c r="Y165" s="533"/>
      <c r="Z165" s="533"/>
      <c r="AA165" s="533"/>
      <c r="AB165" s="533"/>
      <c r="AC165" s="533"/>
      <c r="AD165" s="533"/>
      <c r="AE165" s="533"/>
      <c r="AF165" s="533"/>
      <c r="AG165" s="533"/>
      <c r="AH165" s="533"/>
      <c r="AI165" s="533"/>
      <c r="AJ165" s="533"/>
      <c r="AK165" s="533"/>
      <c r="AL165" s="533"/>
      <c r="AM165" s="533"/>
      <c r="AN165" s="533"/>
      <c r="AO165" s="533"/>
      <c r="AP165" s="533"/>
      <c r="AQ165" s="533"/>
      <c r="AR165" s="533"/>
      <c r="AS165" s="533"/>
      <c r="AT165" s="533"/>
      <c r="AU165" s="533"/>
      <c r="AV165" s="533"/>
      <c r="AW165" s="533"/>
      <c r="AX165" s="533"/>
      <c r="AY165" s="213"/>
      <c r="AZ165" s="213"/>
      <c r="BA165" s="213"/>
      <c r="BB165" s="213"/>
      <c r="BC165" s="213"/>
      <c r="BD165" s="213"/>
      <c r="BE165" s="213"/>
      <c r="BF165" s="213"/>
      <c r="BG165" s="213"/>
      <c r="BH165" s="213"/>
      <c r="BI165" s="213"/>
      <c r="BJ165" s="213"/>
      <c r="BK165" s="213"/>
      <c r="BL165" s="213"/>
      <c r="BM165" s="213"/>
      <c r="BN165" s="211"/>
      <c r="BO165" s="211"/>
      <c r="BP165" s="211"/>
      <c r="BQ165" s="211"/>
      <c r="BR165" s="211"/>
      <c r="BS165" s="211"/>
      <c r="BT165" s="211"/>
      <c r="BU165" s="211"/>
      <c r="BV165" s="211"/>
      <c r="BW165" s="211"/>
      <c r="BX165" s="211"/>
      <c r="BY165" s="211"/>
      <c r="BZ165" s="211"/>
      <c r="CA165" s="211"/>
      <c r="CB165" s="211"/>
      <c r="CC165" s="211"/>
      <c r="CD165" s="211"/>
      <c r="CE165" s="211"/>
      <c r="CF165" s="211"/>
      <c r="CG165" s="211"/>
      <c r="CH165" s="211"/>
      <c r="CI165" s="211"/>
      <c r="CJ165" s="211"/>
      <c r="CK165" s="211"/>
    </row>
    <row r="166" spans="1:89" s="528" customFormat="1" ht="13.5" thickBot="1" x14ac:dyDescent="0.25">
      <c r="A166" s="532"/>
      <c r="B166" s="531" t="s">
        <v>461</v>
      </c>
      <c r="C166" s="530"/>
      <c r="D166" s="660" t="str">
        <f>+IF(SUM(F166:CI166)=0,"Ok","Error")</f>
        <v>Ok</v>
      </c>
      <c r="E166" s="529"/>
      <c r="F166" s="659">
        <f t="shared" ref="F166:AX166" si="35">+F157-SUM(F158:F164)</f>
        <v>0</v>
      </c>
      <c r="G166" s="659">
        <f t="shared" si="35"/>
        <v>0</v>
      </c>
      <c r="H166" s="659">
        <f t="shared" si="35"/>
        <v>0</v>
      </c>
      <c r="I166" s="659">
        <f t="shared" si="35"/>
        <v>0</v>
      </c>
      <c r="J166" s="659">
        <f t="shared" si="35"/>
        <v>0</v>
      </c>
      <c r="K166" s="659">
        <f t="shared" si="35"/>
        <v>0</v>
      </c>
      <c r="L166" s="659">
        <f t="shared" si="35"/>
        <v>0</v>
      </c>
      <c r="M166" s="659">
        <f t="shared" si="35"/>
        <v>0</v>
      </c>
      <c r="N166" s="659">
        <f t="shared" si="35"/>
        <v>0</v>
      </c>
      <c r="O166" s="659">
        <f t="shared" si="35"/>
        <v>0</v>
      </c>
      <c r="P166" s="659">
        <f t="shared" si="35"/>
        <v>0</v>
      </c>
      <c r="Q166" s="659">
        <f t="shared" si="35"/>
        <v>0</v>
      </c>
      <c r="R166" s="659">
        <f t="shared" si="35"/>
        <v>0</v>
      </c>
      <c r="S166" s="659">
        <f t="shared" si="35"/>
        <v>0</v>
      </c>
      <c r="T166" s="659">
        <f t="shared" si="35"/>
        <v>0</v>
      </c>
      <c r="U166" s="659">
        <f t="shared" si="35"/>
        <v>0</v>
      </c>
      <c r="V166" s="659">
        <f t="shared" si="35"/>
        <v>0</v>
      </c>
      <c r="W166" s="659">
        <f t="shared" si="35"/>
        <v>0</v>
      </c>
      <c r="X166" s="659">
        <f t="shared" si="35"/>
        <v>0</v>
      </c>
      <c r="Y166" s="659">
        <f t="shared" si="35"/>
        <v>0</v>
      </c>
      <c r="Z166" s="659">
        <f t="shared" si="35"/>
        <v>0</v>
      </c>
      <c r="AA166" s="659">
        <f t="shared" si="35"/>
        <v>0</v>
      </c>
      <c r="AB166" s="659">
        <f t="shared" si="35"/>
        <v>0</v>
      </c>
      <c r="AC166" s="659">
        <f t="shared" si="35"/>
        <v>0</v>
      </c>
      <c r="AD166" s="659">
        <f t="shared" si="35"/>
        <v>0</v>
      </c>
      <c r="AE166" s="659">
        <f t="shared" si="35"/>
        <v>0</v>
      </c>
      <c r="AF166" s="659">
        <f t="shared" si="35"/>
        <v>0</v>
      </c>
      <c r="AG166" s="659">
        <f t="shared" si="35"/>
        <v>0</v>
      </c>
      <c r="AH166" s="659">
        <f t="shared" si="35"/>
        <v>0</v>
      </c>
      <c r="AI166" s="659">
        <f t="shared" si="35"/>
        <v>0</v>
      </c>
      <c r="AJ166" s="659">
        <f t="shared" si="35"/>
        <v>0</v>
      </c>
      <c r="AK166" s="659">
        <f t="shared" si="35"/>
        <v>0</v>
      </c>
      <c r="AL166" s="659">
        <f t="shared" si="35"/>
        <v>0</v>
      </c>
      <c r="AM166" s="659">
        <f t="shared" si="35"/>
        <v>0</v>
      </c>
      <c r="AN166" s="659">
        <f t="shared" si="35"/>
        <v>0</v>
      </c>
      <c r="AO166" s="659">
        <f t="shared" si="35"/>
        <v>0</v>
      </c>
      <c r="AP166" s="659">
        <f t="shared" si="35"/>
        <v>0</v>
      </c>
      <c r="AQ166" s="659">
        <f t="shared" si="35"/>
        <v>0</v>
      </c>
      <c r="AR166" s="659">
        <f t="shared" si="35"/>
        <v>0</v>
      </c>
      <c r="AS166" s="659">
        <f t="shared" si="35"/>
        <v>0</v>
      </c>
      <c r="AT166" s="659">
        <f t="shared" si="35"/>
        <v>0</v>
      </c>
      <c r="AU166" s="659">
        <f t="shared" si="35"/>
        <v>0</v>
      </c>
      <c r="AV166" s="659">
        <f t="shared" si="35"/>
        <v>0</v>
      </c>
      <c r="AW166" s="659">
        <f t="shared" si="35"/>
        <v>0</v>
      </c>
      <c r="AX166" s="659">
        <f t="shared" si="35"/>
        <v>0</v>
      </c>
      <c r="AY166" s="213"/>
      <c r="AZ166" s="213"/>
      <c r="BA166" s="213"/>
      <c r="BB166" s="213"/>
      <c r="BC166" s="213"/>
      <c r="BD166" s="213"/>
      <c r="BE166" s="213"/>
      <c r="BF166" s="213"/>
      <c r="BG166" s="213"/>
      <c r="BH166" s="213"/>
      <c r="BI166" s="213"/>
      <c r="BJ166" s="213"/>
      <c r="BK166" s="213"/>
      <c r="BL166" s="213"/>
      <c r="BM166" s="213"/>
      <c r="BN166" s="211"/>
      <c r="BO166" s="211"/>
      <c r="BP166" s="211"/>
      <c r="BQ166" s="211"/>
      <c r="BR166" s="211"/>
      <c r="BS166" s="211"/>
      <c r="BT166" s="211"/>
      <c r="BU166" s="211"/>
      <c r="BV166" s="211"/>
      <c r="BW166" s="211"/>
      <c r="BX166" s="211"/>
      <c r="BY166" s="211"/>
      <c r="BZ166" s="211"/>
      <c r="CA166" s="211"/>
      <c r="CB166" s="211"/>
      <c r="CC166" s="211"/>
      <c r="CD166" s="211"/>
      <c r="CE166" s="211"/>
      <c r="CF166" s="211"/>
      <c r="CG166" s="211"/>
      <c r="CH166" s="211"/>
      <c r="CI166" s="211"/>
      <c r="CJ166" s="211"/>
      <c r="CK166" s="211"/>
    </row>
    <row r="167" spans="1:89" x14ac:dyDescent="0.2">
      <c r="AY167" s="213"/>
      <c r="AZ167" s="213"/>
      <c r="BA167" s="213"/>
      <c r="BB167" s="213"/>
      <c r="BC167" s="213"/>
      <c r="BD167" s="213"/>
      <c r="BE167" s="213"/>
      <c r="BF167" s="213"/>
      <c r="BG167" s="213"/>
      <c r="BH167" s="213"/>
      <c r="BI167" s="213"/>
      <c r="BJ167" s="213"/>
      <c r="BK167" s="213"/>
      <c r="BL167" s="213"/>
      <c r="BM167" s="213"/>
    </row>
    <row r="168" spans="1:89" x14ac:dyDescent="0.2">
      <c r="AY168" s="213"/>
      <c r="AZ168" s="213"/>
      <c r="BA168" s="213"/>
      <c r="BB168" s="213"/>
      <c r="BC168" s="213"/>
      <c r="BD168" s="213"/>
      <c r="BE168" s="213"/>
      <c r="BF168" s="213"/>
      <c r="BG168" s="213"/>
      <c r="BH168" s="213"/>
      <c r="BI168" s="213"/>
      <c r="BJ168" s="213"/>
      <c r="BK168" s="213"/>
      <c r="BL168" s="213"/>
      <c r="BM168" s="213"/>
    </row>
    <row r="169" spans="1:89" x14ac:dyDescent="0.2">
      <c r="AY169" s="213"/>
      <c r="AZ169" s="213"/>
      <c r="BF169" s="213"/>
      <c r="BG169" s="213"/>
      <c r="BH169" s="213"/>
      <c r="BI169" s="213"/>
      <c r="BJ169" s="213"/>
      <c r="BK169" s="213"/>
      <c r="BL169" s="213"/>
      <c r="BM169" s="213"/>
    </row>
    <row r="170" spans="1:89" x14ac:dyDescent="0.2">
      <c r="BF170" s="213"/>
      <c r="BG170" s="213"/>
      <c r="BH170" s="213"/>
      <c r="BI170" s="213"/>
      <c r="BJ170" s="213"/>
      <c r="BK170" s="213"/>
      <c r="BL170" s="213"/>
      <c r="BM170" s="213"/>
    </row>
    <row r="171" spans="1:89" x14ac:dyDescent="0.2">
      <c r="BF171" s="213"/>
      <c r="BG171" s="213"/>
      <c r="BH171" s="213"/>
      <c r="BI171" s="213"/>
      <c r="BJ171" s="213"/>
      <c r="BK171" s="213"/>
      <c r="BL171" s="213"/>
      <c r="BM171" s="213"/>
    </row>
    <row r="172" spans="1:89" x14ac:dyDescent="0.2">
      <c r="BF172" s="213"/>
      <c r="BG172" s="213"/>
      <c r="BH172" s="213"/>
      <c r="BI172" s="213"/>
      <c r="BJ172" s="213"/>
      <c r="BK172" s="213"/>
      <c r="BL172" s="213"/>
      <c r="BM172" s="213"/>
    </row>
    <row r="173" spans="1:89" x14ac:dyDescent="0.2">
      <c r="BF173" s="213"/>
      <c r="BG173" s="213"/>
      <c r="BH173" s="213"/>
      <c r="BI173" s="213"/>
      <c r="BJ173" s="213"/>
      <c r="BK173" s="213"/>
      <c r="BL173" s="213"/>
      <c r="BM173" s="213"/>
    </row>
    <row r="174" spans="1:89" x14ac:dyDescent="0.2">
      <c r="BF174" s="213"/>
      <c r="BG174" s="213"/>
      <c r="BH174" s="213"/>
      <c r="BI174" s="213"/>
      <c r="BJ174" s="213"/>
      <c r="BK174" s="213"/>
      <c r="BL174" s="213"/>
      <c r="BM174" s="213"/>
    </row>
    <row r="175" spans="1:89" x14ac:dyDescent="0.2">
      <c r="BF175" s="213"/>
      <c r="BG175" s="213"/>
      <c r="BH175" s="213"/>
      <c r="BI175" s="213"/>
      <c r="BJ175" s="213"/>
      <c r="BK175" s="213"/>
      <c r="BL175" s="213"/>
      <c r="BM175" s="213"/>
    </row>
    <row r="176" spans="1:89" x14ac:dyDescent="0.2">
      <c r="BF176" s="213"/>
      <c r="BG176" s="213"/>
      <c r="BH176" s="213"/>
      <c r="BI176" s="213"/>
      <c r="BJ176" s="213"/>
      <c r="BK176" s="213"/>
      <c r="BL176" s="213"/>
      <c r="BM176" s="213"/>
    </row>
    <row r="177" spans="58:65" x14ac:dyDescent="0.2">
      <c r="BF177" s="213"/>
      <c r="BG177" s="213"/>
      <c r="BH177" s="213"/>
      <c r="BI177" s="213"/>
      <c r="BJ177" s="213"/>
      <c r="BK177" s="213"/>
      <c r="BL177" s="213"/>
      <c r="BM177" s="213"/>
    </row>
    <row r="178" spans="58:65" x14ac:dyDescent="0.2">
      <c r="BF178" s="213"/>
      <c r="BG178" s="213"/>
      <c r="BH178" s="213"/>
      <c r="BI178" s="213"/>
      <c r="BJ178" s="213"/>
      <c r="BK178" s="213"/>
      <c r="BL178" s="213"/>
      <c r="BM178" s="213"/>
    </row>
    <row r="179" spans="58:65" x14ac:dyDescent="0.2">
      <c r="BF179" s="213"/>
      <c r="BG179" s="213"/>
      <c r="BH179" s="213"/>
      <c r="BI179" s="213"/>
      <c r="BJ179" s="213"/>
      <c r="BK179" s="213"/>
      <c r="BL179" s="213"/>
      <c r="BM179" s="213"/>
    </row>
    <row r="180" spans="58:65" x14ac:dyDescent="0.2">
      <c r="BF180" s="213"/>
      <c r="BG180" s="213"/>
      <c r="BH180" s="213"/>
      <c r="BI180" s="213"/>
      <c r="BJ180" s="213"/>
      <c r="BK180" s="213"/>
      <c r="BL180" s="213"/>
      <c r="BM180" s="213"/>
    </row>
  </sheetData>
  <sheetProtection algorithmName="SHA-512" hashValue="Uw5PXk7KUm0vJRs/ybzHKsdQTQmL7S/Ysqk2/lJ3sPPIEK7mL8AnhVOxTMxA8RKchNtzZUe/Z4woExJJSlunEg==" saltValue="Z2M5haO45jpj4CfJmCrJhw==" spinCount="100000" sheet="1" objects="1" scenarios="1"/>
  <customSheetViews>
    <customSheetView guid="{A171ABFC-BD20-4BE9-8F97-F532286F0C2D}" scale="70" showPageBreaks="1" showGridLines="0" fitToPage="1" printArea="1" view="pageBreakPreview">
      <selection activeCell="M9" sqref="M9"/>
      <pageMargins left="0" right="0" top="0" bottom="0" header="0" footer="0"/>
      <pageSetup paperSize="9" scale="37" orientation="landscape" r:id="rId1"/>
    </customSheetView>
    <customSheetView guid="{5F88CBE0-3291-4A41-996B-A8A1DC273A84}" scale="70" showPageBreaks="1" showGridLines="0" fitToPage="1" printArea="1" view="pageBreakPreview" topLeftCell="A67">
      <selection activeCell="D121" sqref="D121"/>
      <pageMargins left="0" right="0" top="0" bottom="0" header="0" footer="0"/>
      <pageSetup paperSize="9" scale="37" orientation="landscape" r:id="rId2"/>
    </customSheetView>
  </customSheetViews>
  <mergeCells count="7">
    <mergeCell ref="J5:N5"/>
    <mergeCell ref="J7:K7"/>
    <mergeCell ref="J8:K8"/>
    <mergeCell ref="J9:K9"/>
    <mergeCell ref="M8:N8"/>
    <mergeCell ref="M9:N9"/>
    <mergeCell ref="J6:O6"/>
  </mergeCells>
  <conditionalFormatting sqref="F4">
    <cfRule type="cellIs" dxfId="140" priority="1" stopIfTrue="1" operator="equal">
      <formula>0</formula>
    </cfRule>
    <cfRule type="cellIs" dxfId="139" priority="2" stopIfTrue="1" operator="equal">
      <formula>1</formula>
    </cfRule>
  </conditionalFormatting>
  <printOptions horizontalCentered="1" verticalCentered="1"/>
  <pageMargins left="0" right="0" top="0" bottom="0" header="0" footer="0"/>
  <pageSetup paperSize="9" scale="4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E228"/>
  <sheetViews>
    <sheetView showGridLines="0" view="pageBreakPreview" zoomScale="70" zoomScaleNormal="70" zoomScaleSheetLayoutView="70" workbookViewId="0">
      <pane xSplit="14" ySplit="9" topLeftCell="O10" activePane="bottomRight" state="frozen"/>
      <selection pane="topRight" activeCell="O1" sqref="O1"/>
      <selection pane="bottomLeft" activeCell="A10" sqref="A10"/>
      <selection pane="bottomRight" activeCell="L72" sqref="L72"/>
    </sheetView>
  </sheetViews>
  <sheetFormatPr baseColWidth="10" defaultColWidth="0" defaultRowHeight="12.75" x14ac:dyDescent="0.2"/>
  <cols>
    <col min="1" max="1" width="5.85546875" style="210" customWidth="1"/>
    <col min="2" max="2" width="1" style="210" customWidth="1"/>
    <col min="3" max="3" width="11.28515625" style="210" customWidth="1"/>
    <col min="4" max="4" width="4.7109375" style="301" customWidth="1"/>
    <col min="5" max="6" width="3.42578125" style="301" customWidth="1"/>
    <col min="7" max="7" width="13.140625" style="308" customWidth="1"/>
    <col min="8" max="8" width="12.5703125" style="308" customWidth="1"/>
    <col min="9" max="9" width="9.85546875" style="301" customWidth="1"/>
    <col min="10" max="10" width="12.7109375" style="301" customWidth="1"/>
    <col min="11" max="11" width="13.140625" style="217" customWidth="1"/>
    <col min="12" max="12" width="14.5703125" style="301" customWidth="1"/>
    <col min="13" max="13" width="12.140625" style="301" customWidth="1"/>
    <col min="14" max="14" width="3.42578125" style="308" customWidth="1"/>
    <col min="15" max="15" width="16.7109375" style="309" customWidth="1"/>
    <col min="16" max="16" width="16.7109375" style="308" customWidth="1"/>
    <col min="17" max="17" width="16.7109375" style="392" customWidth="1"/>
    <col min="18" max="18" width="16.7109375" style="393" customWidth="1"/>
    <col min="19" max="19" width="16.7109375" style="299" hidden="1" customWidth="1"/>
    <col min="20" max="22" width="16.7109375" style="308" hidden="1" customWidth="1"/>
    <col min="23" max="24" width="16.7109375" style="300" hidden="1" customWidth="1"/>
    <col min="25" max="31" width="16.7109375" style="301" hidden="1" customWidth="1"/>
    <col min="32" max="265" width="16.7109375" style="210" hidden="1" customWidth="1"/>
    <col min="266" max="16384" width="10.28515625" style="210" hidden="1"/>
  </cols>
  <sheetData>
    <row r="1" spans="2:31" x14ac:dyDescent="0.2">
      <c r="D1" s="299"/>
      <c r="E1" s="299"/>
      <c r="F1" s="299"/>
      <c r="G1" s="299"/>
      <c r="H1" s="299"/>
      <c r="I1" s="299"/>
      <c r="J1" s="299"/>
      <c r="L1" s="299"/>
      <c r="M1" s="299"/>
      <c r="N1" s="299"/>
      <c r="O1" s="299"/>
      <c r="P1" s="299"/>
      <c r="Q1" s="384"/>
      <c r="R1" s="385"/>
      <c r="T1" s="299"/>
      <c r="U1" s="299"/>
      <c r="V1" s="299"/>
      <c r="Y1" s="299"/>
      <c r="Z1" s="299"/>
      <c r="AA1" s="299"/>
      <c r="AB1" s="299"/>
      <c r="AC1" s="299"/>
      <c r="AD1" s="299"/>
      <c r="AE1" s="299"/>
    </row>
    <row r="2" spans="2:31" x14ac:dyDescent="0.2">
      <c r="C2" s="299" t="s">
        <v>2</v>
      </c>
      <c r="D2" s="299"/>
      <c r="F2" s="299"/>
      <c r="G2" s="302" t="s">
        <v>427</v>
      </c>
      <c r="H2" s="299"/>
      <c r="I2" s="299"/>
      <c r="J2" s="299"/>
      <c r="L2" s="299"/>
      <c r="M2" s="299"/>
      <c r="N2" s="299"/>
      <c r="O2" s="299"/>
      <c r="P2" s="299"/>
      <c r="Q2" s="384"/>
      <c r="R2" s="385"/>
      <c r="T2" s="299"/>
      <c r="U2" s="299"/>
      <c r="V2" s="299"/>
      <c r="Y2" s="299"/>
      <c r="Z2" s="299"/>
      <c r="AA2" s="299"/>
      <c r="AB2" s="299"/>
      <c r="AC2" s="299"/>
      <c r="AD2" s="299"/>
      <c r="AE2" s="299"/>
    </row>
    <row r="3" spans="2:31" ht="13.5" thickBot="1" x14ac:dyDescent="0.25">
      <c r="C3" s="299" t="s">
        <v>3</v>
      </c>
      <c r="D3" s="299"/>
      <c r="F3" s="299"/>
      <c r="G3" s="299" t="s">
        <v>132</v>
      </c>
      <c r="H3" s="299"/>
      <c r="I3" s="299"/>
      <c r="J3" s="299"/>
      <c r="L3" s="299"/>
      <c r="M3" s="299"/>
      <c r="N3" s="299"/>
      <c r="O3" s="303"/>
      <c r="P3" s="304"/>
      <c r="Q3" s="386"/>
      <c r="R3" s="385"/>
      <c r="T3" s="299"/>
      <c r="U3" s="299"/>
      <c r="V3" s="299"/>
      <c r="Y3" s="299"/>
      <c r="Z3" s="299"/>
      <c r="AA3" s="299"/>
      <c r="AB3" s="299"/>
      <c r="AC3" s="299"/>
      <c r="AD3" s="299"/>
      <c r="AE3" s="299"/>
    </row>
    <row r="4" spans="2:31" ht="13.5" thickBot="1" x14ac:dyDescent="0.25">
      <c r="C4" s="299" t="s">
        <v>4</v>
      </c>
      <c r="D4" s="299"/>
      <c r="F4" s="299"/>
      <c r="G4" s="305">
        <f ca="1">+SUM(L174:L186)</f>
        <v>0</v>
      </c>
      <c r="H4" s="299"/>
      <c r="I4" s="299"/>
      <c r="J4" s="299"/>
      <c r="L4" s="299"/>
      <c r="M4" s="299"/>
      <c r="N4" s="299"/>
      <c r="O4" s="299"/>
      <c r="P4" s="299"/>
      <c r="Q4" s="387"/>
      <c r="R4" s="388"/>
      <c r="T4" s="299"/>
      <c r="U4" s="299"/>
      <c r="V4" s="299"/>
      <c r="Y4" s="299"/>
      <c r="Z4" s="299"/>
      <c r="AA4" s="299"/>
      <c r="AB4" s="299"/>
      <c r="AC4" s="299"/>
      <c r="AD4" s="299"/>
      <c r="AE4" s="299"/>
    </row>
    <row r="5" spans="2:31" x14ac:dyDescent="0.2">
      <c r="D5" s="299"/>
      <c r="E5" s="299"/>
      <c r="F5" s="299"/>
      <c r="G5" s="299"/>
      <c r="H5" s="299"/>
      <c r="I5" s="299"/>
      <c r="J5" s="299"/>
      <c r="L5" s="299"/>
      <c r="M5" s="299"/>
      <c r="P5" s="310"/>
      <c r="Q5" s="389"/>
      <c r="R5" s="390"/>
      <c r="Y5" s="299"/>
      <c r="Z5" s="299"/>
      <c r="AA5" s="299"/>
      <c r="AB5" s="299"/>
      <c r="AC5" s="299"/>
      <c r="AD5" s="299"/>
      <c r="AE5" s="299"/>
    </row>
    <row r="6" spans="2:31" ht="13.5" thickBot="1" x14ac:dyDescent="0.25">
      <c r="D6" s="299"/>
      <c r="E6" s="299"/>
      <c r="F6" s="299"/>
      <c r="G6" s="299"/>
      <c r="H6" s="299"/>
      <c r="I6" s="299"/>
      <c r="J6" s="299"/>
      <c r="L6" s="311"/>
      <c r="M6" s="299"/>
      <c r="P6" s="312"/>
      <c r="Q6" s="391"/>
      <c r="R6" s="391"/>
      <c r="U6" s="307"/>
      <c r="Y6" s="299"/>
      <c r="Z6" s="299"/>
      <c r="AA6" s="299"/>
      <c r="AB6" s="299"/>
      <c r="AC6" s="299"/>
      <c r="AD6" s="299"/>
      <c r="AE6" s="299"/>
    </row>
    <row r="7" spans="2:31" ht="13.5" thickBot="1" x14ac:dyDescent="0.25">
      <c r="D7" s="299"/>
      <c r="E7" s="299"/>
      <c r="F7" s="299"/>
      <c r="G7" s="299"/>
      <c r="H7" s="299"/>
      <c r="I7" s="299"/>
      <c r="J7" s="299"/>
      <c r="K7" s="313" t="s">
        <v>337</v>
      </c>
      <c r="L7" s="693">
        <v>1</v>
      </c>
      <c r="M7" s="299"/>
      <c r="P7" s="314"/>
      <c r="U7" s="315"/>
      <c r="Y7" s="299"/>
      <c r="Z7" s="299"/>
      <c r="AA7" s="299"/>
      <c r="AB7" s="299"/>
      <c r="AC7" s="299"/>
      <c r="AD7" s="299"/>
      <c r="AE7" s="299"/>
    </row>
    <row r="8" spans="2:31" x14ac:dyDescent="0.2">
      <c r="D8" s="299"/>
      <c r="E8" s="299"/>
      <c r="F8" s="299"/>
      <c r="G8" s="299"/>
      <c r="H8" s="299"/>
      <c r="I8" s="299"/>
      <c r="J8" s="299"/>
      <c r="L8" s="299"/>
      <c r="M8" s="299"/>
      <c r="P8" s="314">
        <f t="shared" ref="P8:R8" si="0">O8 + 1</f>
        <v>1</v>
      </c>
      <c r="Q8" s="394">
        <f t="shared" si="0"/>
        <v>2</v>
      </c>
      <c r="R8" s="394">
        <f t="shared" si="0"/>
        <v>3</v>
      </c>
      <c r="T8" s="316"/>
      <c r="Y8" s="299"/>
      <c r="Z8" s="299"/>
      <c r="AA8" s="299"/>
      <c r="AB8" s="299"/>
      <c r="AC8" s="299"/>
      <c r="AD8" s="299"/>
      <c r="AE8" s="299"/>
    </row>
    <row r="9" spans="2:31" ht="25.5" customHeight="1" x14ac:dyDescent="0.2">
      <c r="C9" s="317" t="s">
        <v>336</v>
      </c>
      <c r="D9" s="299"/>
      <c r="E9" s="299"/>
      <c r="F9" s="299"/>
      <c r="G9" s="299" t="str">
        <f>IF(ISTEXT(INDEX(P9:R9,1,$L$7)),INDEX(P9:R9,1,$L$7),INDEX(P9:R9,1,1))</f>
        <v>Base Case</v>
      </c>
      <c r="H9" s="299"/>
      <c r="I9" s="299"/>
      <c r="J9" s="299"/>
      <c r="K9" s="217" t="s">
        <v>47</v>
      </c>
      <c r="L9" s="318" t="s">
        <v>48</v>
      </c>
      <c r="M9" s="299"/>
      <c r="P9" s="319" t="s">
        <v>338</v>
      </c>
      <c r="Q9" s="395"/>
      <c r="R9" s="395"/>
      <c r="Y9" s="299"/>
      <c r="Z9" s="299"/>
      <c r="AA9" s="299"/>
      <c r="AB9" s="299"/>
      <c r="AC9" s="299"/>
      <c r="AD9" s="299"/>
      <c r="AE9" s="299"/>
    </row>
    <row r="10" spans="2:31" ht="13.5" customHeight="1" x14ac:dyDescent="0.25">
      <c r="E10" s="320"/>
      <c r="F10" s="320"/>
      <c r="G10" s="301"/>
      <c r="H10" s="301"/>
      <c r="I10" s="320"/>
      <c r="J10" s="320"/>
      <c r="K10" s="321"/>
      <c r="L10" s="320"/>
      <c r="M10" s="320"/>
      <c r="Q10" s="393"/>
      <c r="X10" s="322"/>
    </row>
    <row r="11" spans="2:31" ht="16.5" customHeight="1" x14ac:dyDescent="0.25">
      <c r="B11" s="323"/>
      <c r="C11" s="323" t="s">
        <v>339</v>
      </c>
      <c r="D11" s="323"/>
      <c r="E11" s="323"/>
      <c r="F11" s="323"/>
      <c r="G11" s="323"/>
      <c r="H11" s="323"/>
      <c r="I11" s="323"/>
      <c r="J11" s="323"/>
      <c r="K11" s="323"/>
      <c r="L11" s="323"/>
      <c r="M11" s="323"/>
      <c r="Q11" s="393"/>
      <c r="X11" s="322"/>
    </row>
    <row r="12" spans="2:31" ht="13.5" customHeight="1" x14ac:dyDescent="0.25">
      <c r="B12" s="324"/>
      <c r="C12" s="324"/>
      <c r="D12" s="325"/>
      <c r="E12" s="326"/>
      <c r="F12" s="326"/>
      <c r="G12" s="325"/>
      <c r="H12" s="325"/>
      <c r="I12" s="326"/>
      <c r="J12" s="326"/>
      <c r="K12" s="327"/>
      <c r="L12" s="326"/>
      <c r="M12" s="326"/>
      <c r="Q12" s="393"/>
      <c r="X12" s="322"/>
    </row>
    <row r="13" spans="2:31" ht="13.5" customHeight="1" x14ac:dyDescent="0.25">
      <c r="B13" s="324"/>
      <c r="C13" s="328" t="s">
        <v>268</v>
      </c>
      <c r="D13" s="325"/>
      <c r="E13" s="325"/>
      <c r="F13" s="325"/>
      <c r="G13" s="324"/>
      <c r="H13" s="324"/>
      <c r="I13" s="325"/>
      <c r="J13" s="325"/>
      <c r="K13" s="329"/>
      <c r="L13" s="330"/>
      <c r="M13" s="325"/>
      <c r="P13" s="331"/>
      <c r="Q13" s="396"/>
      <c r="R13" s="396"/>
      <c r="X13" s="322"/>
    </row>
    <row r="14" spans="2:31" ht="13.5" customHeight="1" x14ac:dyDescent="0.25">
      <c r="B14" s="324"/>
      <c r="C14" s="332" t="s">
        <v>282</v>
      </c>
      <c r="D14" s="325"/>
      <c r="E14" s="325"/>
      <c r="F14" s="325"/>
      <c r="G14" s="324"/>
      <c r="H14" s="333"/>
      <c r="I14" s="325"/>
      <c r="J14" s="334"/>
      <c r="K14" s="335" t="s">
        <v>56</v>
      </c>
      <c r="L14" s="356">
        <f>+INDEX($P14:$R14,1,Scenario)</f>
        <v>1</v>
      </c>
      <c r="M14" s="334"/>
      <c r="P14" s="681">
        <v>1</v>
      </c>
      <c r="Q14" s="397"/>
      <c r="R14" s="397"/>
      <c r="X14" s="322"/>
    </row>
    <row r="15" spans="2:31" ht="13.5" customHeight="1" x14ac:dyDescent="0.25">
      <c r="B15" s="324"/>
      <c r="C15" s="332" t="s">
        <v>64</v>
      </c>
      <c r="D15" s="325"/>
      <c r="E15" s="325"/>
      <c r="F15" s="325"/>
      <c r="G15" s="324"/>
      <c r="H15" s="333"/>
      <c r="I15" s="325"/>
      <c r="J15" s="334"/>
      <c r="K15" s="335" t="s">
        <v>56</v>
      </c>
      <c r="L15" s="356">
        <f>+INDEX($P15:$R15,1,Scenario)</f>
        <v>1</v>
      </c>
      <c r="M15" s="334"/>
      <c r="P15" s="681">
        <v>1</v>
      </c>
      <c r="Q15" s="397"/>
      <c r="R15" s="397"/>
      <c r="X15" s="322"/>
    </row>
    <row r="16" spans="2:31" ht="13.5" customHeight="1" x14ac:dyDescent="0.25">
      <c r="B16" s="324"/>
      <c r="C16" s="332" t="s">
        <v>65</v>
      </c>
      <c r="D16" s="325"/>
      <c r="E16" s="325"/>
      <c r="F16" s="325"/>
      <c r="G16" s="324"/>
      <c r="H16" s="333"/>
      <c r="I16" s="325"/>
      <c r="J16" s="334"/>
      <c r="K16" s="335" t="s">
        <v>56</v>
      </c>
      <c r="L16" s="356">
        <f>+INDEX($P16:$R16,1,Scenario)</f>
        <v>1</v>
      </c>
      <c r="M16" s="334"/>
      <c r="P16" s="681">
        <v>1</v>
      </c>
      <c r="Q16" s="397"/>
      <c r="R16" s="397"/>
      <c r="X16" s="322"/>
    </row>
    <row r="17" spans="1:31" ht="13.5" customHeight="1" x14ac:dyDescent="0.25">
      <c r="B17" s="324"/>
      <c r="C17" s="332" t="s">
        <v>493</v>
      </c>
      <c r="D17" s="325"/>
      <c r="E17" s="325"/>
      <c r="F17" s="325"/>
      <c r="G17" s="324"/>
      <c r="H17" s="333"/>
      <c r="I17" s="325"/>
      <c r="J17" s="334"/>
      <c r="K17" s="335" t="s">
        <v>56</v>
      </c>
      <c r="L17" s="356">
        <f>+INDEX($P17:$R17,1,Scenario)</f>
        <v>1</v>
      </c>
      <c r="M17" s="334"/>
      <c r="P17" s="681">
        <v>1</v>
      </c>
      <c r="Q17" s="397"/>
      <c r="R17" s="397"/>
      <c r="X17" s="322"/>
    </row>
    <row r="18" spans="1:31" ht="13.5" customHeight="1" x14ac:dyDescent="0.25">
      <c r="B18" s="324"/>
      <c r="C18" s="332"/>
      <c r="D18" s="325"/>
      <c r="E18" s="325"/>
      <c r="F18" s="325"/>
      <c r="G18" s="324"/>
      <c r="H18" s="333"/>
      <c r="I18" s="325"/>
      <c r="J18" s="334"/>
      <c r="K18" s="336"/>
      <c r="L18" s="501"/>
      <c r="M18" s="334"/>
      <c r="P18" s="337"/>
      <c r="Q18" s="398"/>
      <c r="R18" s="398"/>
      <c r="X18" s="322"/>
    </row>
    <row r="19" spans="1:31" ht="13.5" customHeight="1" x14ac:dyDescent="0.25">
      <c r="B19" s="324"/>
      <c r="C19" s="328" t="s">
        <v>340</v>
      </c>
      <c r="D19" s="325"/>
      <c r="E19" s="325"/>
      <c r="F19" s="325"/>
      <c r="G19" s="324"/>
      <c r="H19" s="333"/>
      <c r="I19" s="325"/>
      <c r="J19" s="334"/>
      <c r="K19" s="336"/>
      <c r="L19" s="501"/>
      <c r="M19" s="334"/>
      <c r="P19" s="337"/>
      <c r="Q19" s="398"/>
      <c r="R19" s="398"/>
      <c r="X19" s="322"/>
    </row>
    <row r="20" spans="1:31" ht="13.5" customHeight="1" x14ac:dyDescent="0.25">
      <c r="B20" s="324"/>
      <c r="C20" s="333" t="s">
        <v>502</v>
      </c>
      <c r="D20" s="325"/>
      <c r="E20" s="325"/>
      <c r="F20" s="325"/>
      <c r="G20" s="324"/>
      <c r="H20" s="333"/>
      <c r="I20" s="325"/>
      <c r="J20" s="334"/>
      <c r="K20" s="336" t="s">
        <v>20</v>
      </c>
      <c r="L20" s="507">
        <f>+INDEX($P20:$R20,1,Scenario)</f>
        <v>2.2499999999999999E-2</v>
      </c>
      <c r="M20" s="334"/>
      <c r="P20" s="692">
        <v>2.2499999999999999E-2</v>
      </c>
      <c r="Q20" s="399"/>
      <c r="R20" s="399"/>
      <c r="X20" s="322"/>
    </row>
    <row r="21" spans="1:31" ht="13.5" customHeight="1" x14ac:dyDescent="0.25">
      <c r="B21" s="324"/>
      <c r="C21" s="333" t="s">
        <v>503</v>
      </c>
      <c r="D21" s="325"/>
      <c r="E21" s="325"/>
      <c r="F21" s="324"/>
      <c r="G21" s="691"/>
      <c r="H21" s="324"/>
      <c r="I21" s="324"/>
      <c r="J21" s="338"/>
      <c r="K21" s="336" t="s">
        <v>20</v>
      </c>
      <c r="L21" s="507">
        <f>+INDEX($P21:$R21,1,Scenario)</f>
        <v>2.3E-2</v>
      </c>
      <c r="M21" s="338"/>
      <c r="P21" s="692">
        <v>2.3E-2</v>
      </c>
      <c r="Q21" s="399"/>
      <c r="R21" s="399"/>
      <c r="X21" s="322"/>
    </row>
    <row r="22" spans="1:31" ht="13.5" customHeight="1" x14ac:dyDescent="0.25">
      <c r="B22" s="324"/>
      <c r="C22" s="333"/>
      <c r="D22" s="325"/>
      <c r="E22" s="325"/>
      <c r="F22" s="324"/>
      <c r="G22" s="324"/>
      <c r="H22" s="324"/>
      <c r="I22" s="324"/>
      <c r="J22" s="338"/>
      <c r="K22" s="336"/>
      <c r="L22" s="501"/>
      <c r="M22" s="338"/>
      <c r="P22" s="339"/>
      <c r="Q22" s="400"/>
      <c r="R22" s="400"/>
      <c r="X22" s="322"/>
    </row>
    <row r="23" spans="1:31" ht="13.5" customHeight="1" x14ac:dyDescent="0.25">
      <c r="B23" s="324"/>
      <c r="C23" s="333"/>
      <c r="D23" s="325"/>
      <c r="E23" s="325"/>
      <c r="F23" s="324"/>
      <c r="G23" s="324"/>
      <c r="H23" s="324"/>
      <c r="I23" s="324"/>
      <c r="J23" s="338"/>
      <c r="K23" s="336"/>
      <c r="L23" s="501"/>
      <c r="M23" s="338"/>
      <c r="P23" s="339"/>
      <c r="Q23" s="400"/>
      <c r="R23" s="400"/>
      <c r="X23" s="322"/>
    </row>
    <row r="24" spans="1:31" s="308" customFormat="1" ht="13.5" customHeight="1" x14ac:dyDescent="0.25">
      <c r="A24" s="210"/>
      <c r="B24" s="323"/>
      <c r="C24" s="323" t="s">
        <v>383</v>
      </c>
      <c r="D24" s="323"/>
      <c r="E24" s="323"/>
      <c r="F24" s="323"/>
      <c r="G24" s="323"/>
      <c r="H24" s="323"/>
      <c r="I24" s="323"/>
      <c r="J24" s="323"/>
      <c r="K24" s="323"/>
      <c r="L24" s="323"/>
      <c r="M24" s="323"/>
      <c r="O24" s="309"/>
      <c r="P24" s="339"/>
      <c r="Q24" s="400"/>
      <c r="R24" s="400"/>
      <c r="S24" s="299"/>
      <c r="W24" s="300"/>
      <c r="X24" s="322"/>
      <c r="Y24" s="301"/>
      <c r="Z24" s="301"/>
      <c r="AA24" s="301"/>
      <c r="AB24" s="301"/>
      <c r="AC24" s="301"/>
      <c r="AD24" s="301"/>
      <c r="AE24" s="301"/>
    </row>
    <row r="25" spans="1:31" ht="13.5" customHeight="1" x14ac:dyDescent="0.25">
      <c r="B25" s="324"/>
      <c r="C25" s="332"/>
      <c r="D25" s="325"/>
      <c r="E25" s="325"/>
      <c r="F25" s="325"/>
      <c r="G25" s="324"/>
      <c r="H25" s="333"/>
      <c r="I25" s="325"/>
      <c r="J25" s="334"/>
      <c r="K25" s="336"/>
      <c r="L25" s="466"/>
      <c r="M25" s="334"/>
      <c r="P25" s="339"/>
      <c r="Q25" s="400"/>
      <c r="R25" s="400"/>
      <c r="X25" s="322"/>
    </row>
    <row r="26" spans="1:31" ht="13.5" customHeight="1" x14ac:dyDescent="0.25">
      <c r="B26" s="324"/>
      <c r="C26" s="340" t="s">
        <v>5</v>
      </c>
      <c r="D26" s="325"/>
      <c r="E26" s="325"/>
      <c r="F26" s="325"/>
      <c r="G26" s="324"/>
      <c r="H26" s="333"/>
      <c r="I26" s="325"/>
      <c r="J26" s="334"/>
      <c r="K26" s="336"/>
      <c r="L26" s="605">
        <v>39903</v>
      </c>
      <c r="M26" s="334"/>
      <c r="P26" s="339"/>
      <c r="Q26" s="400"/>
      <c r="R26" s="400"/>
      <c r="X26" s="322"/>
    </row>
    <row r="27" spans="1:31" ht="13.5" customHeight="1" x14ac:dyDescent="0.25">
      <c r="B27" s="324"/>
      <c r="C27" s="340" t="s">
        <v>8</v>
      </c>
      <c r="D27" s="325"/>
      <c r="E27" s="325"/>
      <c r="F27" s="325"/>
      <c r="G27" s="324"/>
      <c r="H27" s="333"/>
      <c r="I27" s="325"/>
      <c r="J27" s="334"/>
      <c r="K27" s="336"/>
      <c r="L27" s="605">
        <v>39964</v>
      </c>
      <c r="M27" s="334"/>
      <c r="P27" s="339"/>
      <c r="Q27" s="400"/>
      <c r="R27" s="400"/>
      <c r="X27" s="322"/>
    </row>
    <row r="28" spans="1:31" ht="13.5" customHeight="1" x14ac:dyDescent="0.25">
      <c r="B28" s="324"/>
      <c r="C28" s="340" t="s">
        <v>11</v>
      </c>
      <c r="D28" s="325"/>
      <c r="E28" s="325"/>
      <c r="F28" s="325"/>
      <c r="G28" s="324"/>
      <c r="H28" s="333"/>
      <c r="I28" s="325"/>
      <c r="J28" s="334"/>
      <c r="K28" s="336"/>
      <c r="L28" s="605">
        <v>41912</v>
      </c>
      <c r="M28" s="334"/>
      <c r="P28" s="339"/>
      <c r="Q28" s="400"/>
      <c r="R28" s="400"/>
      <c r="X28" s="322"/>
    </row>
    <row r="29" spans="1:31" ht="13.5" customHeight="1" x14ac:dyDescent="0.25">
      <c r="B29" s="324"/>
      <c r="C29" s="340" t="s">
        <v>14</v>
      </c>
      <c r="D29" s="325"/>
      <c r="E29" s="325"/>
      <c r="F29" s="325"/>
      <c r="G29" s="324"/>
      <c r="H29" s="333"/>
      <c r="I29" s="325"/>
      <c r="J29" s="334"/>
      <c r="K29" s="336"/>
      <c r="L29" s="605">
        <v>41915</v>
      </c>
      <c r="M29" s="334"/>
      <c r="P29" s="339"/>
      <c r="Q29" s="400"/>
      <c r="R29" s="400"/>
      <c r="X29" s="322"/>
    </row>
    <row r="30" spans="1:31" ht="13.5" customHeight="1" x14ac:dyDescent="0.25">
      <c r="B30" s="324"/>
      <c r="C30" s="340" t="s">
        <v>16</v>
      </c>
      <c r="D30" s="325"/>
      <c r="E30" s="325"/>
      <c r="F30" s="325"/>
      <c r="G30" s="324"/>
      <c r="H30" s="333"/>
      <c r="I30" s="325"/>
      <c r="J30" s="334"/>
      <c r="K30" s="336"/>
      <c r="L30" s="605">
        <v>58896</v>
      </c>
      <c r="M30" s="334"/>
      <c r="P30" s="339"/>
      <c r="Q30" s="400"/>
      <c r="R30" s="400"/>
      <c r="X30" s="322"/>
    </row>
    <row r="31" spans="1:31" ht="13.5" customHeight="1" x14ac:dyDescent="0.25">
      <c r="B31" s="324"/>
      <c r="C31" s="332"/>
      <c r="D31" s="325"/>
      <c r="E31" s="325"/>
      <c r="F31" s="325"/>
      <c r="G31" s="324"/>
      <c r="H31" s="333"/>
      <c r="I31" s="325"/>
      <c r="J31" s="334"/>
      <c r="K31" s="336"/>
      <c r="L31" s="466"/>
      <c r="M31" s="334"/>
      <c r="P31" s="339"/>
      <c r="Q31" s="400"/>
      <c r="R31" s="400"/>
      <c r="X31" s="322"/>
    </row>
    <row r="32" spans="1:31" ht="13.5" customHeight="1" x14ac:dyDescent="0.25">
      <c r="B32" s="324"/>
      <c r="C32" s="341" t="s">
        <v>267</v>
      </c>
      <c r="D32" s="325"/>
      <c r="E32" s="325"/>
      <c r="F32" s="325"/>
      <c r="G32" s="324"/>
      <c r="H32" s="333"/>
      <c r="I32" s="325"/>
      <c r="J32" s="334"/>
      <c r="K32" s="336"/>
      <c r="L32" s="466"/>
      <c r="M32" s="334"/>
      <c r="P32" s="339"/>
      <c r="Q32" s="400"/>
      <c r="R32" s="400"/>
      <c r="X32" s="322"/>
    </row>
    <row r="33" spans="1:24" ht="13.5" customHeight="1" x14ac:dyDescent="0.25">
      <c r="A33" s="308">
        <v>1</v>
      </c>
      <c r="B33" s="324"/>
      <c r="C33" s="690">
        <v>2018</v>
      </c>
      <c r="D33" s="325"/>
      <c r="E33" s="325"/>
      <c r="F33" s="325"/>
      <c r="G33" s="324"/>
      <c r="H33" s="333"/>
      <c r="I33" s="325"/>
      <c r="J33" s="334"/>
      <c r="K33" s="329" t="s">
        <v>62</v>
      </c>
      <c r="L33" s="356">
        <f t="shared" ref="L33:L42" si="1">+INDEX($P33:$R33,1,Scenario)</f>
        <v>83395.781630912505</v>
      </c>
      <c r="M33" s="334"/>
      <c r="P33" s="682">
        <v>83395.781630912505</v>
      </c>
      <c r="Q33" s="401"/>
      <c r="R33" s="401"/>
      <c r="X33" s="322"/>
    </row>
    <row r="34" spans="1:24" ht="13.5" customHeight="1" x14ac:dyDescent="0.25">
      <c r="A34" s="308">
        <f t="shared" ref="A34:A42" si="2">+A33+1</f>
        <v>2</v>
      </c>
      <c r="B34" s="324"/>
      <c r="C34" s="690">
        <f>+C33+3</f>
        <v>2021</v>
      </c>
      <c r="D34" s="325"/>
      <c r="E34" s="325"/>
      <c r="F34" s="325"/>
      <c r="G34" s="324"/>
      <c r="H34" s="333"/>
      <c r="I34" s="325"/>
      <c r="J34" s="334"/>
      <c r="K34" s="329" t="s">
        <v>62</v>
      </c>
      <c r="L34" s="356">
        <f t="shared" si="1"/>
        <v>106395.28780612082</v>
      </c>
      <c r="M34" s="334"/>
      <c r="P34" s="682">
        <v>106395.28780612082</v>
      </c>
      <c r="Q34" s="401"/>
      <c r="R34" s="401"/>
      <c r="X34" s="322"/>
    </row>
    <row r="35" spans="1:24" ht="13.5" customHeight="1" x14ac:dyDescent="0.25">
      <c r="A35" s="308">
        <f t="shared" si="2"/>
        <v>3</v>
      </c>
      <c r="B35" s="324"/>
      <c r="C35" s="690">
        <f t="shared" ref="C35:C42" si="3">+C34+5</f>
        <v>2026</v>
      </c>
      <c r="D35" s="325"/>
      <c r="E35" s="325"/>
      <c r="F35" s="325"/>
      <c r="G35" s="324"/>
      <c r="H35" s="333"/>
      <c r="I35" s="325"/>
      <c r="J35" s="334"/>
      <c r="K35" s="329" t="s">
        <v>62</v>
      </c>
      <c r="L35" s="356">
        <f t="shared" si="1"/>
        <v>142876.19376465856</v>
      </c>
      <c r="M35" s="334"/>
      <c r="P35" s="682">
        <v>142876.19376465856</v>
      </c>
      <c r="Q35" s="401"/>
      <c r="R35" s="401"/>
      <c r="X35" s="322"/>
    </row>
    <row r="36" spans="1:24" ht="13.5" customHeight="1" x14ac:dyDescent="0.25">
      <c r="A36" s="308">
        <f t="shared" si="2"/>
        <v>4</v>
      </c>
      <c r="B36" s="324"/>
      <c r="C36" s="690">
        <f t="shared" si="3"/>
        <v>2031</v>
      </c>
      <c r="D36" s="325"/>
      <c r="E36" s="325"/>
      <c r="F36" s="325"/>
      <c r="G36" s="324"/>
      <c r="H36" s="333"/>
      <c r="I36" s="325"/>
      <c r="J36" s="334"/>
      <c r="K36" s="329" t="s">
        <v>62</v>
      </c>
      <c r="L36" s="356">
        <f t="shared" si="1"/>
        <v>173202.95846372272</v>
      </c>
      <c r="M36" s="334"/>
      <c r="P36" s="682">
        <v>173202.95846372272</v>
      </c>
      <c r="Q36" s="401"/>
      <c r="R36" s="401"/>
      <c r="X36" s="322"/>
    </row>
    <row r="37" spans="1:24" ht="13.5" customHeight="1" x14ac:dyDescent="0.25">
      <c r="A37" s="308">
        <f t="shared" si="2"/>
        <v>5</v>
      </c>
      <c r="B37" s="324"/>
      <c r="C37" s="690">
        <f t="shared" si="3"/>
        <v>2036</v>
      </c>
      <c r="D37" s="325"/>
      <c r="E37" s="325"/>
      <c r="F37" s="325"/>
      <c r="G37" s="324"/>
      <c r="H37" s="333"/>
      <c r="I37" s="325"/>
      <c r="J37" s="334"/>
      <c r="K37" s="329" t="s">
        <v>62</v>
      </c>
      <c r="L37" s="356">
        <f t="shared" si="1"/>
        <v>245835.22812910227</v>
      </c>
      <c r="M37" s="334"/>
      <c r="P37" s="682">
        <v>245835.22812910227</v>
      </c>
      <c r="Q37" s="401"/>
      <c r="R37" s="401"/>
      <c r="X37" s="322"/>
    </row>
    <row r="38" spans="1:24" ht="13.5" customHeight="1" x14ac:dyDescent="0.25">
      <c r="A38" s="308">
        <f t="shared" si="2"/>
        <v>6</v>
      </c>
      <c r="B38" s="324"/>
      <c r="C38" s="690">
        <f t="shared" si="3"/>
        <v>2041</v>
      </c>
      <c r="D38" s="325"/>
      <c r="E38" s="325"/>
      <c r="F38" s="325"/>
      <c r="G38" s="324"/>
      <c r="H38" s="333"/>
      <c r="I38" s="325"/>
      <c r="J38" s="334"/>
      <c r="K38" s="329" t="s">
        <v>62</v>
      </c>
      <c r="L38" s="356">
        <f t="shared" si="1"/>
        <v>351145.25758885324</v>
      </c>
      <c r="M38" s="334"/>
      <c r="P38" s="682">
        <v>351145.25758885324</v>
      </c>
      <c r="Q38" s="401"/>
      <c r="R38" s="401"/>
      <c r="X38" s="322"/>
    </row>
    <row r="39" spans="1:24" ht="13.5" customHeight="1" x14ac:dyDescent="0.25">
      <c r="A39" s="308">
        <f t="shared" si="2"/>
        <v>7</v>
      </c>
      <c r="B39" s="324"/>
      <c r="C39" s="690">
        <f t="shared" si="3"/>
        <v>2046</v>
      </c>
      <c r="D39" s="325"/>
      <c r="E39" s="325"/>
      <c r="F39" s="325"/>
      <c r="G39" s="324"/>
      <c r="H39" s="333"/>
      <c r="I39" s="325"/>
      <c r="J39" s="334"/>
      <c r="K39" s="329" t="s">
        <v>62</v>
      </c>
      <c r="L39" s="356">
        <f t="shared" si="1"/>
        <v>415333.3516625014</v>
      </c>
      <c r="M39" s="334"/>
      <c r="P39" s="682">
        <v>415333.3516625014</v>
      </c>
      <c r="Q39" s="401"/>
      <c r="R39" s="401"/>
      <c r="X39" s="322"/>
    </row>
    <row r="40" spans="1:24" ht="13.5" customHeight="1" x14ac:dyDescent="0.25">
      <c r="A40" s="308">
        <f t="shared" si="2"/>
        <v>8</v>
      </c>
      <c r="B40" s="324"/>
      <c r="C40" s="690">
        <f t="shared" si="3"/>
        <v>2051</v>
      </c>
      <c r="D40" s="325"/>
      <c r="E40" s="325"/>
      <c r="F40" s="325"/>
      <c r="G40" s="324"/>
      <c r="H40" s="333"/>
      <c r="I40" s="325"/>
      <c r="J40" s="334"/>
      <c r="K40" s="329" t="s">
        <v>62</v>
      </c>
      <c r="L40" s="356">
        <f t="shared" si="1"/>
        <v>489680.82510893408</v>
      </c>
      <c r="M40" s="334"/>
      <c r="P40" s="682">
        <v>489680.82510893408</v>
      </c>
      <c r="Q40" s="401"/>
      <c r="R40" s="401"/>
      <c r="X40" s="322"/>
    </row>
    <row r="41" spans="1:24" ht="13.5" customHeight="1" x14ac:dyDescent="0.25">
      <c r="A41" s="308">
        <f t="shared" si="2"/>
        <v>9</v>
      </c>
      <c r="B41" s="324"/>
      <c r="C41" s="690">
        <f t="shared" si="3"/>
        <v>2056</v>
      </c>
      <c r="D41" s="325"/>
      <c r="E41" s="325"/>
      <c r="F41" s="325"/>
      <c r="G41" s="324"/>
      <c r="H41" s="333"/>
      <c r="I41" s="325"/>
      <c r="J41" s="334"/>
      <c r="K41" s="329" t="s">
        <v>62</v>
      </c>
      <c r="L41" s="356">
        <f t="shared" si="1"/>
        <v>548736.80848431319</v>
      </c>
      <c r="M41" s="334"/>
      <c r="P41" s="682">
        <v>548736.80848431319</v>
      </c>
      <c r="Q41" s="401"/>
      <c r="R41" s="401"/>
      <c r="X41" s="322"/>
    </row>
    <row r="42" spans="1:24" ht="13.5" customHeight="1" x14ac:dyDescent="0.25">
      <c r="A42" s="308">
        <f t="shared" si="2"/>
        <v>10</v>
      </c>
      <c r="B42" s="324"/>
      <c r="C42" s="690">
        <f t="shared" si="3"/>
        <v>2061</v>
      </c>
      <c r="D42" s="325"/>
      <c r="E42" s="325"/>
      <c r="F42" s="325"/>
      <c r="G42" s="324"/>
      <c r="H42" s="333"/>
      <c r="I42" s="325"/>
      <c r="J42" s="334"/>
      <c r="K42" s="329" t="s">
        <v>62</v>
      </c>
      <c r="L42" s="356">
        <f t="shared" si="1"/>
        <v>587468.88396521099</v>
      </c>
      <c r="M42" s="334"/>
      <c r="P42" s="682">
        <v>587468.88396521099</v>
      </c>
      <c r="Q42" s="401"/>
      <c r="R42" s="401"/>
      <c r="X42" s="322"/>
    </row>
    <row r="43" spans="1:24" ht="13.5" customHeight="1" x14ac:dyDescent="0.25">
      <c r="B43" s="324"/>
      <c r="C43" s="332"/>
      <c r="D43" s="325"/>
      <c r="E43" s="325"/>
      <c r="F43" s="325"/>
      <c r="G43" s="324"/>
      <c r="H43" s="333"/>
      <c r="I43" s="325"/>
      <c r="J43" s="334"/>
      <c r="K43" s="336"/>
      <c r="L43" s="466"/>
      <c r="M43" s="334"/>
      <c r="P43" s="339"/>
      <c r="Q43" s="400"/>
      <c r="R43" s="400"/>
      <c r="X43" s="322"/>
    </row>
    <row r="44" spans="1:24" ht="13.5" customHeight="1" x14ac:dyDescent="0.25">
      <c r="B44" s="324"/>
      <c r="C44" s="341" t="s">
        <v>64</v>
      </c>
      <c r="D44" s="325"/>
      <c r="E44" s="325"/>
      <c r="F44" s="325"/>
      <c r="G44" s="324"/>
      <c r="H44" s="333"/>
      <c r="I44" s="325"/>
      <c r="J44" s="334"/>
      <c r="K44" s="336"/>
      <c r="L44" s="466"/>
      <c r="M44" s="334"/>
      <c r="P44" s="339"/>
      <c r="Q44" s="400"/>
      <c r="R44" s="400"/>
      <c r="X44" s="322"/>
    </row>
    <row r="45" spans="1:24" ht="13.5" customHeight="1" x14ac:dyDescent="0.25">
      <c r="A45" s="308">
        <f>+A33</f>
        <v>1</v>
      </c>
      <c r="B45" s="324"/>
      <c r="C45" s="689">
        <v>2018</v>
      </c>
      <c r="D45" s="325"/>
      <c r="E45" s="325"/>
      <c r="F45" s="325"/>
      <c r="G45" s="324"/>
      <c r="H45" s="333"/>
      <c r="I45" s="325"/>
      <c r="J45" s="334"/>
      <c r="K45" s="329" t="s">
        <v>62</v>
      </c>
      <c r="L45" s="356">
        <f t="shared" ref="L45:L54" si="4">+INDEX($P45:$R45,1,Scenario)</f>
        <v>14275.3497614563</v>
      </c>
      <c r="M45" s="334"/>
      <c r="P45" s="682">
        <v>14275.3497614563</v>
      </c>
      <c r="Q45" s="401"/>
      <c r="R45" s="401"/>
      <c r="X45" s="322"/>
    </row>
    <row r="46" spans="1:24" ht="13.5" customHeight="1" x14ac:dyDescent="0.25">
      <c r="A46" s="308">
        <f t="shared" ref="A46:A54" si="5">+A34</f>
        <v>2</v>
      </c>
      <c r="B46" s="324"/>
      <c r="C46" s="689">
        <f t="shared" ref="C46:C54" si="6">+C34</f>
        <v>2021</v>
      </c>
      <c r="D46" s="325"/>
      <c r="E46" s="325"/>
      <c r="F46" s="325"/>
      <c r="G46" s="324"/>
      <c r="H46" s="333"/>
      <c r="I46" s="325"/>
      <c r="J46" s="334"/>
      <c r="K46" s="329" t="s">
        <v>62</v>
      </c>
      <c r="L46" s="356">
        <f t="shared" si="4"/>
        <v>16189.746093593616</v>
      </c>
      <c r="M46" s="334"/>
      <c r="P46" s="682">
        <v>16189.746093593616</v>
      </c>
      <c r="Q46" s="401"/>
      <c r="R46" s="401"/>
      <c r="X46" s="322"/>
    </row>
    <row r="47" spans="1:24" ht="13.5" customHeight="1" x14ac:dyDescent="0.25">
      <c r="A47" s="308">
        <f t="shared" si="5"/>
        <v>3</v>
      </c>
      <c r="B47" s="324"/>
      <c r="C47" s="689">
        <f t="shared" si="6"/>
        <v>2026</v>
      </c>
      <c r="D47" s="325"/>
      <c r="E47" s="325"/>
      <c r="F47" s="325"/>
      <c r="G47" s="324"/>
      <c r="H47" s="333"/>
      <c r="I47" s="325"/>
      <c r="J47" s="334"/>
      <c r="K47" s="329" t="s">
        <v>62</v>
      </c>
      <c r="L47" s="356">
        <f t="shared" si="4"/>
        <v>17733.240093090579</v>
      </c>
      <c r="M47" s="334"/>
      <c r="P47" s="682">
        <v>17733.240093090579</v>
      </c>
      <c r="Q47" s="401"/>
      <c r="R47" s="401"/>
      <c r="X47" s="322"/>
    </row>
    <row r="48" spans="1:24" ht="13.5" customHeight="1" x14ac:dyDescent="0.25">
      <c r="A48" s="308">
        <f t="shared" si="5"/>
        <v>4</v>
      </c>
      <c r="B48" s="324"/>
      <c r="C48" s="689">
        <f t="shared" si="6"/>
        <v>2031</v>
      </c>
      <c r="D48" s="325"/>
      <c r="E48" s="325"/>
      <c r="F48" s="325"/>
      <c r="G48" s="324"/>
      <c r="H48" s="333"/>
      <c r="I48" s="325"/>
      <c r="J48" s="334"/>
      <c r="K48" s="329" t="s">
        <v>62</v>
      </c>
      <c r="L48" s="356">
        <f t="shared" si="4"/>
        <v>19272.606481489722</v>
      </c>
      <c r="M48" s="334"/>
      <c r="P48" s="682">
        <v>19272.606481489722</v>
      </c>
      <c r="Q48" s="401"/>
      <c r="R48" s="401"/>
      <c r="X48" s="322"/>
    </row>
    <row r="49" spans="1:24" ht="13.5" customHeight="1" x14ac:dyDescent="0.25">
      <c r="A49" s="308">
        <f t="shared" si="5"/>
        <v>5</v>
      </c>
      <c r="B49" s="324"/>
      <c r="C49" s="689">
        <f t="shared" si="6"/>
        <v>2036</v>
      </c>
      <c r="D49" s="325"/>
      <c r="E49" s="325"/>
      <c r="F49" s="325"/>
      <c r="G49" s="324"/>
      <c r="H49" s="333"/>
      <c r="I49" s="325"/>
      <c r="J49" s="334"/>
      <c r="K49" s="329" t="s">
        <v>62</v>
      </c>
      <c r="L49" s="356">
        <f t="shared" si="4"/>
        <v>22457.470761751116</v>
      </c>
      <c r="M49" s="334"/>
      <c r="P49" s="682">
        <v>22457.470761751116</v>
      </c>
      <c r="Q49" s="401"/>
      <c r="R49" s="401"/>
      <c r="X49" s="322"/>
    </row>
    <row r="50" spans="1:24" ht="13.5" customHeight="1" x14ac:dyDescent="0.25">
      <c r="A50" s="308">
        <f t="shared" si="5"/>
        <v>6</v>
      </c>
      <c r="B50" s="324"/>
      <c r="C50" s="689">
        <f t="shared" si="6"/>
        <v>2041</v>
      </c>
      <c r="D50" s="325"/>
      <c r="E50" s="325"/>
      <c r="F50" s="325"/>
      <c r="G50" s="324"/>
      <c r="H50" s="333"/>
      <c r="I50" s="325"/>
      <c r="J50" s="334"/>
      <c r="K50" s="329" t="s">
        <v>62</v>
      </c>
      <c r="L50" s="356">
        <f t="shared" si="4"/>
        <v>26885.943428877086</v>
      </c>
      <c r="M50" s="334"/>
      <c r="P50" s="682">
        <v>26885.943428877086</v>
      </c>
      <c r="Q50" s="401"/>
      <c r="R50" s="401"/>
      <c r="X50" s="322"/>
    </row>
    <row r="51" spans="1:24" ht="13.5" customHeight="1" x14ac:dyDescent="0.25">
      <c r="A51" s="308">
        <f t="shared" si="5"/>
        <v>7</v>
      </c>
      <c r="B51" s="324"/>
      <c r="C51" s="689">
        <f t="shared" si="6"/>
        <v>2046</v>
      </c>
      <c r="D51" s="325"/>
      <c r="E51" s="325"/>
      <c r="F51" s="325"/>
      <c r="G51" s="324"/>
      <c r="H51" s="333"/>
      <c r="I51" s="325"/>
      <c r="J51" s="334"/>
      <c r="K51" s="329" t="s">
        <v>62</v>
      </c>
      <c r="L51" s="356">
        <f t="shared" si="4"/>
        <v>29429.528650018154</v>
      </c>
      <c r="M51" s="334"/>
      <c r="P51" s="682">
        <v>29429.528650018154</v>
      </c>
      <c r="Q51" s="401"/>
      <c r="R51" s="401"/>
      <c r="X51" s="322"/>
    </row>
    <row r="52" spans="1:24" ht="13.5" customHeight="1" x14ac:dyDescent="0.25">
      <c r="A52" s="308">
        <f t="shared" si="5"/>
        <v>8</v>
      </c>
      <c r="B52" s="324"/>
      <c r="C52" s="689">
        <f t="shared" si="6"/>
        <v>2051</v>
      </c>
      <c r="D52" s="325"/>
      <c r="E52" s="325"/>
      <c r="F52" s="325"/>
      <c r="G52" s="324"/>
      <c r="H52" s="333"/>
      <c r="I52" s="325"/>
      <c r="J52" s="334"/>
      <c r="K52" s="329" t="s">
        <v>62</v>
      </c>
      <c r="L52" s="356">
        <f t="shared" si="4"/>
        <v>32482.829191308738</v>
      </c>
      <c r="M52" s="334"/>
      <c r="P52" s="682">
        <v>32482.829191308738</v>
      </c>
      <c r="Q52" s="401"/>
      <c r="R52" s="401"/>
      <c r="X52" s="322"/>
    </row>
    <row r="53" spans="1:24" ht="13.5" customHeight="1" x14ac:dyDescent="0.25">
      <c r="A53" s="308">
        <f t="shared" si="5"/>
        <v>9</v>
      </c>
      <c r="B53" s="324"/>
      <c r="C53" s="689">
        <f t="shared" si="6"/>
        <v>2056</v>
      </c>
      <c r="D53" s="325"/>
      <c r="E53" s="325"/>
      <c r="F53" s="325"/>
      <c r="G53" s="324"/>
      <c r="H53" s="333"/>
      <c r="I53" s="325"/>
      <c r="J53" s="334"/>
      <c r="K53" s="329" t="s">
        <v>62</v>
      </c>
      <c r="L53" s="356">
        <f t="shared" si="4"/>
        <v>34837.059023006383</v>
      </c>
      <c r="M53" s="334"/>
      <c r="P53" s="682">
        <v>34837.059023006383</v>
      </c>
      <c r="Q53" s="401"/>
      <c r="R53" s="401"/>
      <c r="X53" s="322"/>
    </row>
    <row r="54" spans="1:24" ht="13.5" customHeight="1" x14ac:dyDescent="0.25">
      <c r="A54" s="308">
        <f t="shared" si="5"/>
        <v>10</v>
      </c>
      <c r="B54" s="324"/>
      <c r="C54" s="689">
        <f t="shared" si="6"/>
        <v>2061</v>
      </c>
      <c r="D54" s="325"/>
      <c r="E54" s="325"/>
      <c r="F54" s="325"/>
      <c r="G54" s="324"/>
      <c r="H54" s="333"/>
      <c r="I54" s="325"/>
      <c r="J54" s="334"/>
      <c r="K54" s="329" t="s">
        <v>62</v>
      </c>
      <c r="L54" s="356">
        <f t="shared" si="4"/>
        <v>36546.68246925775</v>
      </c>
      <c r="M54" s="334"/>
      <c r="P54" s="682">
        <v>36546.68246925775</v>
      </c>
      <c r="Q54" s="401"/>
      <c r="R54" s="401"/>
      <c r="X54" s="322"/>
    </row>
    <row r="55" spans="1:24" ht="13.5" customHeight="1" x14ac:dyDescent="0.25">
      <c r="A55" s="308"/>
      <c r="B55" s="324"/>
      <c r="C55" s="332"/>
      <c r="D55" s="325"/>
      <c r="E55" s="325"/>
      <c r="F55" s="325"/>
      <c r="G55" s="324"/>
      <c r="H55" s="333"/>
      <c r="I55" s="325"/>
      <c r="J55" s="334"/>
      <c r="K55" s="329"/>
      <c r="L55" s="606"/>
      <c r="M55" s="334"/>
      <c r="P55" s="339"/>
      <c r="Q55" s="400"/>
      <c r="R55" s="400"/>
      <c r="X55" s="322"/>
    </row>
    <row r="56" spans="1:24" ht="13.5" customHeight="1" x14ac:dyDescent="0.25">
      <c r="A56" s="308"/>
      <c r="B56" s="324"/>
      <c r="C56" s="341" t="s">
        <v>65</v>
      </c>
      <c r="D56" s="325"/>
      <c r="E56" s="325"/>
      <c r="F56" s="325"/>
      <c r="G56" s="324"/>
      <c r="H56" s="333"/>
      <c r="I56" s="325"/>
      <c r="J56" s="334"/>
      <c r="K56" s="329"/>
      <c r="L56" s="606"/>
      <c r="M56" s="334"/>
      <c r="P56" s="339"/>
      <c r="Q56" s="400"/>
      <c r="R56" s="400"/>
      <c r="X56" s="322"/>
    </row>
    <row r="57" spans="1:24" ht="13.5" customHeight="1" x14ac:dyDescent="0.25">
      <c r="A57" s="308">
        <f t="shared" ref="A57:A66" si="7">+A45</f>
        <v>1</v>
      </c>
      <c r="B57" s="324"/>
      <c r="C57" s="689">
        <v>2018</v>
      </c>
      <c r="D57" s="325"/>
      <c r="E57" s="325"/>
      <c r="F57" s="325"/>
      <c r="G57" s="324"/>
      <c r="H57" s="333"/>
      <c r="I57" s="325"/>
      <c r="J57" s="334"/>
      <c r="K57" s="329" t="s">
        <v>62</v>
      </c>
      <c r="L57" s="356">
        <f t="shared" ref="L57:L66" si="8">+INDEX($P57:$R57,1,Scenario)</f>
        <v>1296.0736473859299</v>
      </c>
      <c r="M57" s="334"/>
      <c r="P57" s="682">
        <v>1296.0736473859299</v>
      </c>
      <c r="Q57" s="401"/>
      <c r="R57" s="401"/>
      <c r="S57" s="342"/>
      <c r="T57" s="343"/>
      <c r="U57" s="343"/>
      <c r="V57" s="343"/>
      <c r="W57" s="344"/>
      <c r="X57" s="322"/>
    </row>
    <row r="58" spans="1:24" ht="13.5" customHeight="1" x14ac:dyDescent="0.25">
      <c r="A58" s="308">
        <f t="shared" si="7"/>
        <v>2</v>
      </c>
      <c r="B58" s="324"/>
      <c r="C58" s="689">
        <f t="shared" ref="C58:C66" si="9">+C46</f>
        <v>2021</v>
      </c>
      <c r="D58" s="325"/>
      <c r="E58" s="325"/>
      <c r="F58" s="325"/>
      <c r="G58" s="324"/>
      <c r="H58" s="333"/>
      <c r="I58" s="325"/>
      <c r="J58" s="334"/>
      <c r="K58" s="329" t="s">
        <v>62</v>
      </c>
      <c r="L58" s="356">
        <f t="shared" si="8"/>
        <v>3788.0075058810262</v>
      </c>
      <c r="M58" s="334"/>
      <c r="P58" s="682">
        <v>3788.0075058810262</v>
      </c>
      <c r="Q58" s="401"/>
      <c r="R58" s="401"/>
      <c r="S58" s="342"/>
      <c r="T58" s="343"/>
      <c r="U58" s="343"/>
      <c r="V58" s="343"/>
      <c r="W58" s="344"/>
      <c r="X58" s="322"/>
    </row>
    <row r="59" spans="1:24" ht="13.5" customHeight="1" x14ac:dyDescent="0.25">
      <c r="A59" s="308">
        <f t="shared" si="7"/>
        <v>3</v>
      </c>
      <c r="B59" s="324"/>
      <c r="C59" s="689">
        <f t="shared" si="9"/>
        <v>2026</v>
      </c>
      <c r="D59" s="325"/>
      <c r="E59" s="325"/>
      <c r="F59" s="325"/>
      <c r="G59" s="324"/>
      <c r="H59" s="333"/>
      <c r="I59" s="325"/>
      <c r="J59" s="334"/>
      <c r="K59" s="329" t="s">
        <v>62</v>
      </c>
      <c r="L59" s="356">
        <f t="shared" si="8"/>
        <v>4924.0006700328177</v>
      </c>
      <c r="M59" s="334"/>
      <c r="P59" s="682">
        <v>4924.0006700328177</v>
      </c>
      <c r="Q59" s="401"/>
      <c r="R59" s="401"/>
      <c r="S59" s="342"/>
      <c r="T59" s="343"/>
      <c r="U59" s="343"/>
      <c r="V59" s="343"/>
      <c r="W59" s="344"/>
      <c r="X59" s="322"/>
    </row>
    <row r="60" spans="1:24" ht="13.5" customHeight="1" x14ac:dyDescent="0.25">
      <c r="A60" s="308">
        <f t="shared" si="7"/>
        <v>4</v>
      </c>
      <c r="B60" s="324"/>
      <c r="C60" s="689">
        <f t="shared" si="9"/>
        <v>2031</v>
      </c>
      <c r="D60" s="325"/>
      <c r="E60" s="325"/>
      <c r="F60" s="325"/>
      <c r="G60" s="324"/>
      <c r="H60" s="333"/>
      <c r="I60" s="325"/>
      <c r="J60" s="334"/>
      <c r="K60" s="329" t="s">
        <v>62</v>
      </c>
      <c r="L60" s="356">
        <f t="shared" si="8"/>
        <v>4523.7090933384798</v>
      </c>
      <c r="M60" s="334"/>
      <c r="P60" s="682">
        <v>4523.7090933384798</v>
      </c>
      <c r="Q60" s="401"/>
      <c r="R60" s="401"/>
      <c r="S60" s="342"/>
      <c r="T60" s="343"/>
      <c r="U60" s="343"/>
      <c r="V60" s="343"/>
      <c r="W60" s="344"/>
      <c r="X60" s="322"/>
    </row>
    <row r="61" spans="1:24" ht="13.5" customHeight="1" x14ac:dyDescent="0.25">
      <c r="A61" s="308">
        <f t="shared" si="7"/>
        <v>5</v>
      </c>
      <c r="B61" s="324"/>
      <c r="C61" s="689">
        <f t="shared" si="9"/>
        <v>2036</v>
      </c>
      <c r="D61" s="325"/>
      <c r="E61" s="325"/>
      <c r="F61" s="325"/>
      <c r="G61" s="324"/>
      <c r="H61" s="333"/>
      <c r="I61" s="325"/>
      <c r="J61" s="334"/>
      <c r="K61" s="329" t="s">
        <v>62</v>
      </c>
      <c r="L61" s="356">
        <f t="shared" si="8"/>
        <v>5796.6549349168408</v>
      </c>
      <c r="M61" s="334"/>
      <c r="P61" s="682">
        <v>5796.6549349168408</v>
      </c>
      <c r="Q61" s="401"/>
      <c r="R61" s="401"/>
      <c r="S61" s="342"/>
      <c r="T61" s="343"/>
      <c r="U61" s="343"/>
      <c r="V61" s="343"/>
      <c r="W61" s="344"/>
      <c r="X61" s="322"/>
    </row>
    <row r="62" spans="1:24" ht="13.5" customHeight="1" x14ac:dyDescent="0.25">
      <c r="A62" s="308">
        <f t="shared" si="7"/>
        <v>6</v>
      </c>
      <c r="B62" s="324"/>
      <c r="C62" s="689">
        <f t="shared" si="9"/>
        <v>2041</v>
      </c>
      <c r="D62" s="325"/>
      <c r="E62" s="325"/>
      <c r="F62" s="325"/>
      <c r="G62" s="324"/>
      <c r="H62" s="333"/>
      <c r="I62" s="325"/>
      <c r="J62" s="334"/>
      <c r="K62" s="329" t="s">
        <v>62</v>
      </c>
      <c r="L62" s="356">
        <f t="shared" si="8"/>
        <v>8001.9168591613789</v>
      </c>
      <c r="M62" s="334"/>
      <c r="P62" s="682">
        <v>8001.9168591613789</v>
      </c>
      <c r="Q62" s="401"/>
      <c r="R62" s="401"/>
      <c r="S62" s="342"/>
      <c r="T62" s="343"/>
      <c r="U62" s="343"/>
      <c r="V62" s="343"/>
      <c r="W62" s="344"/>
      <c r="X62" s="322"/>
    </row>
    <row r="63" spans="1:24" ht="13.5" customHeight="1" x14ac:dyDescent="0.25">
      <c r="A63" s="308">
        <f t="shared" si="7"/>
        <v>7</v>
      </c>
      <c r="B63" s="324"/>
      <c r="C63" s="689">
        <f t="shared" si="9"/>
        <v>2046</v>
      </c>
      <c r="D63" s="325"/>
      <c r="E63" s="325"/>
      <c r="F63" s="325"/>
      <c r="G63" s="324"/>
      <c r="H63" s="333"/>
      <c r="I63" s="325"/>
      <c r="J63" s="334"/>
      <c r="K63" s="329" t="s">
        <v>62</v>
      </c>
      <c r="L63" s="356">
        <f t="shared" si="8"/>
        <v>4541.2732351363584</v>
      </c>
      <c r="M63" s="334"/>
      <c r="P63" s="682">
        <v>4541.2732351363584</v>
      </c>
      <c r="Q63" s="401"/>
      <c r="R63" s="401"/>
      <c r="S63" s="342"/>
      <c r="T63" s="343"/>
      <c r="U63" s="343"/>
      <c r="V63" s="343"/>
      <c r="W63" s="344"/>
      <c r="X63" s="322"/>
    </row>
    <row r="64" spans="1:24" ht="13.5" customHeight="1" x14ac:dyDescent="0.25">
      <c r="A64" s="308">
        <f t="shared" si="7"/>
        <v>8</v>
      </c>
      <c r="B64" s="324"/>
      <c r="C64" s="689">
        <f t="shared" si="9"/>
        <v>2051</v>
      </c>
      <c r="D64" s="325"/>
      <c r="E64" s="325"/>
      <c r="F64" s="325"/>
      <c r="G64" s="324"/>
      <c r="H64" s="333"/>
      <c r="I64" s="325"/>
      <c r="J64" s="334"/>
      <c r="K64" s="329" t="s">
        <v>62</v>
      </c>
      <c r="L64" s="356">
        <f t="shared" si="8"/>
        <v>7791.6005825295997</v>
      </c>
      <c r="M64" s="334"/>
      <c r="P64" s="682">
        <v>7791.6005825295997</v>
      </c>
      <c r="Q64" s="401"/>
      <c r="R64" s="401"/>
      <c r="S64" s="342"/>
      <c r="T64" s="343"/>
      <c r="U64" s="343"/>
      <c r="V64" s="343"/>
      <c r="W64" s="344"/>
      <c r="X64" s="322"/>
    </row>
    <row r="65" spans="1:24" ht="13.5" customHeight="1" x14ac:dyDescent="0.25">
      <c r="A65" s="308">
        <f t="shared" si="7"/>
        <v>9</v>
      </c>
      <c r="B65" s="324"/>
      <c r="C65" s="689">
        <f t="shared" si="9"/>
        <v>2056</v>
      </c>
      <c r="D65" s="325"/>
      <c r="E65" s="325"/>
      <c r="F65" s="325"/>
      <c r="G65" s="324"/>
      <c r="H65" s="333"/>
      <c r="I65" s="325"/>
      <c r="J65" s="334"/>
      <c r="K65" s="329" t="s">
        <v>62</v>
      </c>
      <c r="L65" s="356">
        <f t="shared" si="8"/>
        <v>4820.8018596593975</v>
      </c>
      <c r="M65" s="334"/>
      <c r="P65" s="682">
        <v>4820.8018596593975</v>
      </c>
      <c r="Q65" s="401"/>
      <c r="R65" s="401"/>
      <c r="S65" s="342"/>
      <c r="T65" s="343"/>
      <c r="U65" s="343"/>
      <c r="V65" s="343"/>
      <c r="W65" s="344"/>
      <c r="X65" s="322"/>
    </row>
    <row r="66" spans="1:24" ht="13.5" customHeight="1" x14ac:dyDescent="0.25">
      <c r="A66" s="308">
        <f t="shared" si="7"/>
        <v>10</v>
      </c>
      <c r="B66" s="324"/>
      <c r="C66" s="689">
        <f t="shared" si="9"/>
        <v>2061</v>
      </c>
      <c r="D66" s="325"/>
      <c r="E66" s="325"/>
      <c r="F66" s="325"/>
      <c r="G66" s="324"/>
      <c r="H66" s="333"/>
      <c r="I66" s="325"/>
      <c r="J66" s="334"/>
      <c r="K66" s="329" t="s">
        <v>62</v>
      </c>
      <c r="L66" s="356">
        <f t="shared" si="8"/>
        <v>13507.827431373371</v>
      </c>
      <c r="M66" s="334"/>
      <c r="P66" s="682">
        <v>13507.827431373371</v>
      </c>
      <c r="Q66" s="401"/>
      <c r="R66" s="401"/>
      <c r="S66" s="342"/>
      <c r="T66" s="343"/>
      <c r="U66" s="343"/>
      <c r="V66" s="343"/>
      <c r="W66" s="344"/>
      <c r="X66" s="322"/>
    </row>
    <row r="67" spans="1:24" ht="13.5" customHeight="1" x14ac:dyDescent="0.25">
      <c r="A67" s="308"/>
      <c r="B67" s="324"/>
      <c r="C67" s="689"/>
      <c r="D67" s="325"/>
      <c r="E67" s="325"/>
      <c r="F67" s="325"/>
      <c r="G67" s="324"/>
      <c r="H67" s="333"/>
      <c r="I67" s="325"/>
      <c r="J67" s="334"/>
      <c r="K67" s="329"/>
      <c r="L67" s="606"/>
      <c r="M67" s="334"/>
      <c r="P67" s="682"/>
      <c r="Q67" s="401"/>
      <c r="R67" s="401"/>
      <c r="S67" s="342"/>
      <c r="T67" s="343"/>
      <c r="U67" s="343"/>
      <c r="V67" s="343"/>
      <c r="W67" s="344"/>
      <c r="X67" s="322"/>
    </row>
    <row r="68" spans="1:24" ht="13.5" customHeight="1" x14ac:dyDescent="0.25">
      <c r="A68" s="308"/>
      <c r="B68" s="324"/>
      <c r="C68" s="341" t="s">
        <v>492</v>
      </c>
      <c r="D68" s="325"/>
      <c r="E68" s="325"/>
      <c r="F68" s="325"/>
      <c r="G68" s="324"/>
      <c r="H68" s="333"/>
      <c r="I68" s="325"/>
      <c r="J68" s="334"/>
      <c r="K68" s="329" t="s">
        <v>62</v>
      </c>
      <c r="L68" s="356">
        <f>+INDEX($P68:$R68,1,Scenario)</f>
        <v>706.39488211197897</v>
      </c>
      <c r="M68" s="334"/>
      <c r="P68" s="682">
        <v>706.39488211197897</v>
      </c>
      <c r="Q68" s="401"/>
      <c r="R68" s="401"/>
      <c r="S68" s="342"/>
      <c r="T68" s="343"/>
      <c r="U68" s="343"/>
      <c r="V68" s="343"/>
      <c r="W68" s="344"/>
      <c r="X68" s="322"/>
    </row>
    <row r="69" spans="1:24" ht="13.5" customHeight="1" x14ac:dyDescent="0.25">
      <c r="A69" s="308"/>
      <c r="B69" s="324"/>
      <c r="C69" s="341"/>
      <c r="D69" s="325"/>
      <c r="E69" s="325"/>
      <c r="F69" s="325"/>
      <c r="G69" s="324"/>
      <c r="H69" s="333"/>
      <c r="I69" s="325"/>
      <c r="J69" s="334"/>
      <c r="K69" s="329"/>
      <c r="L69" s="329"/>
      <c r="M69" s="334"/>
      <c r="P69" s="682"/>
      <c r="Q69" s="401"/>
      <c r="R69" s="401"/>
      <c r="S69" s="342"/>
      <c r="T69" s="343"/>
      <c r="U69" s="343"/>
      <c r="V69" s="343"/>
      <c r="W69" s="344"/>
      <c r="X69" s="322"/>
    </row>
    <row r="70" spans="1:24" ht="13.5" customHeight="1" x14ac:dyDescent="0.25">
      <c r="A70" s="308"/>
      <c r="B70" s="324"/>
      <c r="C70" s="341" t="s">
        <v>271</v>
      </c>
      <c r="D70" s="325"/>
      <c r="E70" s="325"/>
      <c r="F70" s="325"/>
      <c r="G70" s="324"/>
      <c r="H70" s="333"/>
      <c r="I70" s="325"/>
      <c r="J70" s="334"/>
      <c r="K70" s="329" t="s">
        <v>62</v>
      </c>
      <c r="L70" s="356">
        <f>+INDEX($P70:$R70,1,Scenario)</f>
        <v>361.09300000000002</v>
      </c>
      <c r="M70" s="334"/>
      <c r="P70" s="682">
        <v>361.09300000000002</v>
      </c>
      <c r="Q70" s="401"/>
      <c r="R70" s="401"/>
      <c r="S70" s="342"/>
      <c r="T70" s="343"/>
      <c r="U70" s="343"/>
      <c r="V70" s="343"/>
      <c r="W70" s="344"/>
      <c r="X70" s="322"/>
    </row>
    <row r="71" spans="1:24" ht="13.5" customHeight="1" x14ac:dyDescent="0.25">
      <c r="A71" s="308"/>
      <c r="B71" s="324"/>
      <c r="C71" s="341"/>
      <c r="D71" s="325"/>
      <c r="E71" s="325"/>
      <c r="F71" s="325"/>
      <c r="G71" s="324"/>
      <c r="H71" s="333"/>
      <c r="I71" s="325"/>
      <c r="J71" s="334"/>
      <c r="K71" s="329"/>
      <c r="L71" s="606"/>
      <c r="M71" s="334"/>
      <c r="P71" s="682"/>
      <c r="Q71" s="401"/>
      <c r="R71" s="401"/>
      <c r="S71" s="342"/>
      <c r="T71" s="343"/>
      <c r="U71" s="343"/>
      <c r="V71" s="343"/>
      <c r="W71" s="344"/>
      <c r="X71" s="322"/>
    </row>
    <row r="72" spans="1:24" ht="13.5" customHeight="1" x14ac:dyDescent="0.25">
      <c r="A72" s="308"/>
      <c r="B72" s="324"/>
      <c r="C72" s="341" t="s">
        <v>497</v>
      </c>
      <c r="D72" s="325"/>
      <c r="E72" s="325"/>
      <c r="F72" s="325"/>
      <c r="G72" s="324"/>
      <c r="H72" s="333"/>
      <c r="I72" s="325"/>
      <c r="J72" s="334"/>
      <c r="K72" s="329" t="s">
        <v>62</v>
      </c>
      <c r="L72" s="356">
        <f>+INDEX($P72:$R72,1,Scenario)</f>
        <v>680</v>
      </c>
      <c r="M72" s="334"/>
      <c r="P72" s="682">
        <v>680</v>
      </c>
      <c r="Q72" s="401"/>
      <c r="R72" s="401"/>
      <c r="S72" s="342"/>
      <c r="T72" s="343"/>
      <c r="U72" s="343"/>
      <c r="V72" s="343"/>
      <c r="W72" s="344"/>
      <c r="X72" s="322"/>
    </row>
    <row r="73" spans="1:24" ht="13.5" customHeight="1" x14ac:dyDescent="0.25">
      <c r="A73" s="308"/>
      <c r="B73" s="324"/>
      <c r="C73" s="689"/>
      <c r="D73" s="325"/>
      <c r="E73" s="325"/>
      <c r="F73" s="325"/>
      <c r="G73" s="324"/>
      <c r="H73" s="333"/>
      <c r="I73" s="325"/>
      <c r="J73" s="334"/>
      <c r="K73" s="329"/>
      <c r="L73" s="606"/>
      <c r="M73" s="334"/>
      <c r="P73" s="682"/>
      <c r="Q73" s="401"/>
      <c r="R73" s="401"/>
      <c r="S73" s="342"/>
      <c r="T73" s="343"/>
      <c r="U73" s="343"/>
      <c r="V73" s="343"/>
      <c r="W73" s="344"/>
      <c r="X73" s="322"/>
    </row>
    <row r="74" spans="1:24" ht="13.5" customHeight="1" x14ac:dyDescent="0.25">
      <c r="C74" s="215"/>
      <c r="H74" s="299"/>
      <c r="J74" s="345"/>
      <c r="K74" s="346"/>
      <c r="L74" s="458"/>
      <c r="M74" s="345"/>
      <c r="P74" s="337"/>
      <c r="Q74" s="398"/>
      <c r="R74" s="398"/>
      <c r="X74" s="322"/>
    </row>
    <row r="75" spans="1:24" ht="15.75" x14ac:dyDescent="0.25">
      <c r="B75" s="323"/>
      <c r="C75" s="323" t="s">
        <v>40</v>
      </c>
      <c r="D75" s="323"/>
      <c r="E75" s="323"/>
      <c r="F75" s="323"/>
      <c r="G75" s="323"/>
      <c r="H75" s="323"/>
      <c r="I75" s="323"/>
      <c r="J75" s="323"/>
      <c r="K75" s="323"/>
      <c r="L75" s="323"/>
      <c r="M75" s="323"/>
      <c r="Q75" s="393"/>
    </row>
    <row r="76" spans="1:24" x14ac:dyDescent="0.2">
      <c r="B76" s="324"/>
      <c r="C76" s="324"/>
      <c r="D76" s="325"/>
      <c r="E76" s="325"/>
      <c r="F76" s="325"/>
      <c r="G76" s="324"/>
      <c r="H76" s="324"/>
      <c r="I76" s="325"/>
      <c r="J76" s="325"/>
      <c r="K76" s="329"/>
      <c r="L76" s="330"/>
      <c r="M76" s="325"/>
      <c r="Q76" s="393"/>
    </row>
    <row r="77" spans="1:24" x14ac:dyDescent="0.2">
      <c r="B77" s="324"/>
      <c r="C77" s="332" t="s">
        <v>280</v>
      </c>
      <c r="D77" s="333"/>
      <c r="E77" s="333"/>
      <c r="F77" s="325"/>
      <c r="G77" s="324"/>
      <c r="H77" s="324"/>
      <c r="I77" s="325"/>
      <c r="J77" s="325"/>
      <c r="K77" s="329" t="s">
        <v>20</v>
      </c>
      <c r="L77" s="782">
        <f>+INDEX($P77:$R77,1,Scenario)</f>
        <v>0.21</v>
      </c>
      <c r="M77" s="325"/>
      <c r="P77" s="679">
        <v>0.21</v>
      </c>
      <c r="Q77" s="402"/>
      <c r="R77" s="402"/>
    </row>
    <row r="78" spans="1:24" x14ac:dyDescent="0.2">
      <c r="B78" s="324"/>
      <c r="C78" s="332"/>
      <c r="D78" s="333"/>
      <c r="E78" s="333"/>
      <c r="F78" s="325"/>
      <c r="G78" s="324"/>
      <c r="H78" s="324"/>
      <c r="I78" s="325"/>
      <c r="J78" s="325"/>
      <c r="K78" s="329"/>
      <c r="L78" s="783"/>
      <c r="M78" s="325"/>
      <c r="P78" s="337"/>
      <c r="Q78" s="398"/>
      <c r="R78" s="398"/>
    </row>
    <row r="79" spans="1:24" x14ac:dyDescent="0.2">
      <c r="B79" s="324"/>
      <c r="C79" s="332" t="s">
        <v>484</v>
      </c>
      <c r="D79" s="333"/>
      <c r="E79" s="325"/>
      <c r="F79" s="325"/>
      <c r="G79" s="324"/>
      <c r="H79" s="333"/>
      <c r="I79" s="325"/>
      <c r="J79" s="325"/>
      <c r="K79" s="329" t="s">
        <v>20</v>
      </c>
      <c r="L79" s="782">
        <f>+INDEX($P79:$R79,1,Scenario)</f>
        <v>0.8</v>
      </c>
      <c r="M79" s="325"/>
      <c r="P79" s="679">
        <v>0.8</v>
      </c>
      <c r="Q79" s="402"/>
      <c r="R79" s="402"/>
    </row>
    <row r="80" spans="1:24" x14ac:dyDescent="0.2">
      <c r="B80" s="324"/>
      <c r="C80" s="332"/>
      <c r="D80" s="333"/>
      <c r="E80" s="325"/>
      <c r="F80" s="325"/>
      <c r="G80" s="324"/>
      <c r="H80" s="333"/>
      <c r="I80" s="325"/>
      <c r="J80" s="325"/>
      <c r="K80" s="329"/>
      <c r="L80" s="332"/>
      <c r="M80" s="329"/>
      <c r="P80" s="347"/>
      <c r="Q80" s="402"/>
      <c r="R80" s="402"/>
    </row>
    <row r="81" spans="2:29" x14ac:dyDescent="0.2">
      <c r="B81" s="324"/>
      <c r="C81" s="332" t="s">
        <v>486</v>
      </c>
      <c r="D81" s="333"/>
      <c r="E81" s="325"/>
      <c r="F81" s="325"/>
      <c r="G81" s="324"/>
      <c r="H81" s="333"/>
      <c r="I81" s="325"/>
      <c r="J81" s="325"/>
      <c r="K81" s="329"/>
      <c r="L81" s="332"/>
      <c r="M81" s="329"/>
      <c r="P81" s="347"/>
      <c r="Q81" s="402"/>
      <c r="R81" s="402"/>
    </row>
    <row r="82" spans="2:29" x14ac:dyDescent="0.2">
      <c r="B82" s="324"/>
      <c r="C82" s="376" t="s">
        <v>80</v>
      </c>
      <c r="D82" s="333"/>
      <c r="E82" s="325"/>
      <c r="F82" s="325"/>
      <c r="G82" s="324"/>
      <c r="H82" s="333"/>
      <c r="I82" s="325"/>
      <c r="J82" s="325"/>
      <c r="K82" s="329" t="s">
        <v>489</v>
      </c>
      <c r="L82" s="355">
        <f>+INDEX($P82:$R82,1,Scenario)</f>
        <v>2021</v>
      </c>
      <c r="M82" s="325"/>
      <c r="P82" s="687">
        <v>2021</v>
      </c>
      <c r="Q82" s="402"/>
      <c r="R82" s="402"/>
    </row>
    <row r="83" spans="2:29" x14ac:dyDescent="0.2">
      <c r="B83" s="324"/>
      <c r="C83" s="376" t="s">
        <v>487</v>
      </c>
      <c r="D83" s="333"/>
      <c r="E83" s="325"/>
      <c r="F83" s="325"/>
      <c r="G83" s="324"/>
      <c r="H83" s="333"/>
      <c r="I83" s="325"/>
      <c r="J83" s="325"/>
      <c r="K83" s="329" t="s">
        <v>20</v>
      </c>
      <c r="L83" s="782">
        <f>+INDEX($P83:$R83,1,Scenario)</f>
        <v>0.3</v>
      </c>
      <c r="M83" s="325"/>
      <c r="P83" s="679">
        <v>0.3</v>
      </c>
      <c r="Q83" s="402"/>
      <c r="R83" s="402"/>
    </row>
    <row r="84" spans="2:29" x14ac:dyDescent="0.2">
      <c r="B84" s="324"/>
      <c r="C84" s="376" t="s">
        <v>488</v>
      </c>
      <c r="D84" s="333"/>
      <c r="E84" s="325"/>
      <c r="F84" s="325"/>
      <c r="G84" s="324"/>
      <c r="H84" s="333"/>
      <c r="I84" s="325"/>
      <c r="J84" s="325"/>
      <c r="K84" s="329" t="s">
        <v>489</v>
      </c>
      <c r="L84" s="356">
        <f>+INDEX($P84:$R84,1,Scenario)</f>
        <v>100</v>
      </c>
      <c r="M84" s="325"/>
      <c r="P84" s="688">
        <v>100</v>
      </c>
      <c r="Q84" s="402"/>
      <c r="R84" s="402"/>
    </row>
    <row r="85" spans="2:29" x14ac:dyDescent="0.2">
      <c r="B85" s="324"/>
      <c r="C85" s="333"/>
      <c r="D85" s="333"/>
      <c r="E85" s="325"/>
      <c r="F85" s="325"/>
      <c r="G85" s="324"/>
      <c r="H85" s="333"/>
      <c r="I85" s="325"/>
      <c r="J85" s="325"/>
      <c r="K85" s="329"/>
      <c r="L85" s="466"/>
      <c r="M85" s="325"/>
      <c r="P85" s="337"/>
      <c r="Q85" s="398"/>
      <c r="R85" s="398"/>
    </row>
    <row r="86" spans="2:29" x14ac:dyDescent="0.2">
      <c r="B86" s="324"/>
      <c r="C86" s="333" t="s">
        <v>270</v>
      </c>
      <c r="D86" s="333"/>
      <c r="E86" s="333" t="s">
        <v>6</v>
      </c>
      <c r="F86" s="325"/>
      <c r="G86" s="324"/>
      <c r="H86" s="324"/>
      <c r="I86" s="325"/>
      <c r="J86" s="325"/>
      <c r="K86" s="329" t="s">
        <v>131</v>
      </c>
      <c r="L86" s="487">
        <f>+INDEX($P86:$R86,1,Scenario)</f>
        <v>1</v>
      </c>
      <c r="M86" s="325"/>
      <c r="P86" s="684">
        <v>1</v>
      </c>
      <c r="Q86" s="403"/>
      <c r="R86" s="403"/>
    </row>
    <row r="87" spans="2:29" x14ac:dyDescent="0.2">
      <c r="B87" s="324"/>
      <c r="C87" s="333" t="s">
        <v>271</v>
      </c>
      <c r="D87" s="333"/>
      <c r="E87" s="333"/>
      <c r="F87" s="325"/>
      <c r="G87" s="324"/>
      <c r="H87" s="324"/>
      <c r="I87" s="325"/>
      <c r="J87" s="325"/>
      <c r="K87" s="329" t="s">
        <v>20</v>
      </c>
      <c r="L87" s="507">
        <f>+INDEX($P87:$R87,1,Scenario)</f>
        <v>7.4999999999999997E-3</v>
      </c>
      <c r="M87" s="325"/>
      <c r="P87" s="679">
        <v>7.4999999999999997E-3</v>
      </c>
      <c r="Q87" s="402"/>
      <c r="R87" s="402"/>
    </row>
    <row r="88" spans="2:29" x14ac:dyDescent="0.2">
      <c r="B88" s="324"/>
      <c r="C88" s="349" t="s">
        <v>272</v>
      </c>
      <c r="D88" s="333"/>
      <c r="E88" s="333"/>
      <c r="F88" s="325"/>
      <c r="G88" s="324"/>
      <c r="H88" s="324"/>
      <c r="I88" s="325"/>
      <c r="J88" s="325"/>
      <c r="K88" s="329" t="s">
        <v>20</v>
      </c>
      <c r="L88" s="507">
        <f>+INDEX($P88:$R88,1,Scenario)</f>
        <v>0.7</v>
      </c>
      <c r="M88" s="325"/>
      <c r="P88" s="679">
        <v>0.7</v>
      </c>
      <c r="Q88" s="402"/>
      <c r="R88" s="402"/>
    </row>
    <row r="89" spans="2:29" ht="13.5" customHeight="1" x14ac:dyDescent="0.25">
      <c r="B89" s="324"/>
      <c r="C89" s="332"/>
      <c r="D89" s="325"/>
      <c r="E89" s="325"/>
      <c r="F89" s="325"/>
      <c r="G89" s="324"/>
      <c r="H89" s="333"/>
      <c r="I89" s="325"/>
      <c r="J89" s="334"/>
      <c r="K89" s="336"/>
      <c r="L89" s="466"/>
      <c r="M89" s="334"/>
      <c r="P89" s="337"/>
      <c r="R89" s="392"/>
      <c r="X89" s="322"/>
    </row>
    <row r="90" spans="2:29" x14ac:dyDescent="0.2">
      <c r="D90" s="210"/>
      <c r="E90" s="210"/>
      <c r="F90" s="210"/>
      <c r="G90" s="210"/>
      <c r="H90" s="210"/>
      <c r="I90" s="210"/>
      <c r="J90" s="210"/>
      <c r="K90" s="210"/>
      <c r="L90" s="607"/>
      <c r="M90" s="210"/>
      <c r="N90" s="210"/>
      <c r="P90" s="210"/>
      <c r="Q90" s="404"/>
      <c r="R90" s="404"/>
      <c r="Y90" s="299"/>
    </row>
    <row r="91" spans="2:29" ht="16.5" customHeight="1" x14ac:dyDescent="0.25">
      <c r="B91" s="323"/>
      <c r="C91" s="323" t="s">
        <v>377</v>
      </c>
      <c r="D91" s="323"/>
      <c r="E91" s="323"/>
      <c r="F91" s="323"/>
      <c r="G91" s="323"/>
      <c r="H91" s="323"/>
      <c r="I91" s="323"/>
      <c r="J91" s="323"/>
      <c r="K91" s="323"/>
      <c r="L91" s="323"/>
      <c r="M91" s="323"/>
      <c r="Q91" s="393"/>
      <c r="X91" s="210"/>
      <c r="Y91" s="210"/>
      <c r="Z91" s="210"/>
      <c r="AA91" s="210"/>
      <c r="AB91" s="210"/>
      <c r="AC91" s="210"/>
    </row>
    <row r="92" spans="2:29" ht="13.5" customHeight="1" x14ac:dyDescent="0.25">
      <c r="B92" s="308"/>
      <c r="C92" s="215"/>
      <c r="H92" s="299"/>
      <c r="J92" s="345"/>
      <c r="K92" s="346"/>
      <c r="L92" s="458"/>
      <c r="M92" s="345"/>
      <c r="P92" s="337"/>
      <c r="Q92" s="398"/>
      <c r="R92" s="398"/>
      <c r="X92" s="322"/>
    </row>
    <row r="93" spans="2:29" ht="13.5" customHeight="1" x14ac:dyDescent="0.25">
      <c r="B93" s="350" t="s">
        <v>384</v>
      </c>
      <c r="H93" s="299"/>
      <c r="J93" s="345"/>
      <c r="K93" s="346"/>
      <c r="L93" s="458"/>
      <c r="M93" s="345"/>
      <c r="P93" s="337"/>
      <c r="Q93" s="398"/>
      <c r="R93" s="398"/>
      <c r="X93" s="322"/>
    </row>
    <row r="94" spans="2:29" ht="13.5" customHeight="1" x14ac:dyDescent="0.25">
      <c r="B94" s="324"/>
      <c r="C94" s="332"/>
      <c r="D94" s="325"/>
      <c r="E94" s="325"/>
      <c r="F94" s="325"/>
      <c r="G94" s="324"/>
      <c r="H94" s="333"/>
      <c r="I94" s="325"/>
      <c r="J94" s="334"/>
      <c r="K94" s="336"/>
      <c r="L94" s="466"/>
      <c r="M94" s="334"/>
      <c r="P94" s="576"/>
      <c r="Q94" s="577"/>
      <c r="R94" s="577"/>
      <c r="X94" s="322"/>
    </row>
    <row r="95" spans="2:29" x14ac:dyDescent="0.2">
      <c r="B95" s="324"/>
      <c r="C95" s="351" t="s">
        <v>378</v>
      </c>
      <c r="D95" s="325"/>
      <c r="E95" s="325"/>
      <c r="F95" s="325"/>
      <c r="G95" s="324"/>
      <c r="H95" s="324"/>
      <c r="I95" s="325"/>
      <c r="J95" s="325"/>
      <c r="K95" s="329"/>
      <c r="L95" s="330"/>
      <c r="M95" s="325"/>
      <c r="P95" s="578"/>
      <c r="Q95" s="579"/>
      <c r="R95" s="580"/>
    </row>
    <row r="96" spans="2:29" x14ac:dyDescent="0.2">
      <c r="B96" s="324"/>
      <c r="C96" s="333" t="s">
        <v>13</v>
      </c>
      <c r="D96" s="333"/>
      <c r="E96" s="333"/>
      <c r="F96" s="325"/>
      <c r="G96" s="324"/>
      <c r="H96" s="324"/>
      <c r="I96" s="325"/>
      <c r="J96" s="325"/>
      <c r="K96" s="329" t="s">
        <v>29</v>
      </c>
      <c r="L96" s="358">
        <v>50771</v>
      </c>
      <c r="M96" s="325"/>
      <c r="P96" s="581"/>
      <c r="Q96" s="582"/>
      <c r="R96" s="582"/>
    </row>
    <row r="97" spans="2:31" x14ac:dyDescent="0.2">
      <c r="B97" s="324"/>
      <c r="C97" s="333" t="s">
        <v>15</v>
      </c>
      <c r="D97" s="325"/>
      <c r="E97" s="325"/>
      <c r="F97" s="325"/>
      <c r="G97" s="324"/>
      <c r="H97" s="324"/>
      <c r="I97" s="325"/>
      <c r="J97" s="325"/>
      <c r="K97" s="329" t="s">
        <v>29</v>
      </c>
      <c r="L97" s="358">
        <v>54788</v>
      </c>
      <c r="M97" s="325"/>
      <c r="P97" s="581"/>
      <c r="Q97" s="582"/>
      <c r="R97" s="582"/>
    </row>
    <row r="98" spans="2:31" x14ac:dyDescent="0.2">
      <c r="B98" s="324"/>
      <c r="C98" s="332" t="s">
        <v>335</v>
      </c>
      <c r="D98" s="333"/>
      <c r="E98" s="333"/>
      <c r="F98" s="325"/>
      <c r="G98" s="324"/>
      <c r="H98" s="324"/>
      <c r="I98" s="325"/>
      <c r="J98" s="325"/>
      <c r="K98" s="329" t="s">
        <v>62</v>
      </c>
      <c r="L98" s="356">
        <v>45</v>
      </c>
      <c r="M98" s="325"/>
      <c r="P98" s="583"/>
      <c r="Q98" s="582"/>
      <c r="R98" s="582"/>
    </row>
    <row r="99" spans="2:31" x14ac:dyDescent="0.2">
      <c r="B99" s="324"/>
      <c r="C99" s="332" t="s">
        <v>286</v>
      </c>
      <c r="D99" s="333"/>
      <c r="E99" s="333"/>
      <c r="F99" s="325"/>
      <c r="G99" s="324"/>
      <c r="H99" s="324"/>
      <c r="I99" s="325"/>
      <c r="J99" s="325"/>
      <c r="K99" s="329" t="s">
        <v>62</v>
      </c>
      <c r="L99" s="356">
        <v>11.72</v>
      </c>
      <c r="M99" s="325"/>
      <c r="P99" s="583"/>
      <c r="Q99" s="582"/>
      <c r="R99" s="582"/>
    </row>
    <row r="100" spans="2:31" x14ac:dyDescent="0.2">
      <c r="B100" s="324"/>
      <c r="C100" s="333" t="s">
        <v>22</v>
      </c>
      <c r="D100" s="333"/>
      <c r="E100" s="333"/>
      <c r="F100" s="325"/>
      <c r="G100" s="324"/>
      <c r="H100" s="324"/>
      <c r="I100" s="325"/>
      <c r="J100" s="325"/>
      <c r="K100" s="329" t="s">
        <v>29</v>
      </c>
      <c r="L100" s="358">
        <v>43466</v>
      </c>
      <c r="M100" s="325"/>
      <c r="P100" s="581"/>
      <c r="Q100" s="582"/>
      <c r="R100" s="582"/>
    </row>
    <row r="101" spans="2:31" x14ac:dyDescent="0.2">
      <c r="B101" s="324"/>
      <c r="C101" s="333" t="s">
        <v>23</v>
      </c>
      <c r="D101" s="325"/>
      <c r="E101" s="324"/>
      <c r="F101" s="325"/>
      <c r="G101" s="324"/>
      <c r="H101" s="324"/>
      <c r="I101" s="325"/>
      <c r="J101" s="325"/>
      <c r="K101" s="329" t="s">
        <v>20</v>
      </c>
      <c r="L101" s="507">
        <v>0.5</v>
      </c>
      <c r="M101" s="325"/>
      <c r="P101" s="584"/>
      <c r="Q101" s="582"/>
      <c r="R101" s="582"/>
    </row>
    <row r="102" spans="2:31" x14ac:dyDescent="0.2">
      <c r="B102" s="324"/>
      <c r="C102" s="333" t="s">
        <v>414</v>
      </c>
      <c r="D102" s="325"/>
      <c r="E102" s="324"/>
      <c r="F102" s="325"/>
      <c r="G102" s="324"/>
      <c r="H102" s="324"/>
      <c r="I102" s="325"/>
      <c r="J102" s="325"/>
      <c r="K102" s="329" t="s">
        <v>131</v>
      </c>
      <c r="L102" s="487">
        <v>1</v>
      </c>
      <c r="M102" s="325"/>
      <c r="P102" s="585"/>
      <c r="Q102" s="582"/>
      <c r="R102" s="582"/>
    </row>
    <row r="103" spans="2:31" x14ac:dyDescent="0.2">
      <c r="B103" s="324"/>
      <c r="C103" s="333" t="s">
        <v>26</v>
      </c>
      <c r="D103" s="325"/>
      <c r="E103" s="324"/>
      <c r="F103" s="325"/>
      <c r="G103" s="324"/>
      <c r="H103" s="324"/>
      <c r="I103" s="325"/>
      <c r="J103" s="325"/>
      <c r="K103" s="329" t="s">
        <v>20</v>
      </c>
      <c r="L103" s="507">
        <v>0.5</v>
      </c>
      <c r="M103" s="334"/>
      <c r="P103" s="581"/>
      <c r="Q103" s="582"/>
      <c r="R103" s="582"/>
    </row>
    <row r="104" spans="2:31" x14ac:dyDescent="0.2">
      <c r="B104" s="324"/>
      <c r="C104" s="332" t="s">
        <v>499</v>
      </c>
      <c r="D104" s="325"/>
      <c r="E104" s="325"/>
      <c r="F104" s="325"/>
      <c r="G104" s="324"/>
      <c r="H104" s="333"/>
      <c r="I104" s="325"/>
      <c r="J104" s="334"/>
      <c r="K104" s="329" t="s">
        <v>62</v>
      </c>
      <c r="L104" s="356">
        <f>+INDEX($P104:$R104,1,Scenario)</f>
        <v>17331.173822771201</v>
      </c>
      <c r="M104" s="334"/>
      <c r="P104" s="682">
        <f>17331.1738227712</f>
        <v>17331.173822771201</v>
      </c>
      <c r="Q104" s="582"/>
      <c r="R104" s="582"/>
    </row>
    <row r="105" spans="2:31" x14ac:dyDescent="0.2">
      <c r="B105" s="324"/>
      <c r="C105" s="328" t="s">
        <v>277</v>
      </c>
      <c r="D105" s="325"/>
      <c r="E105" s="325"/>
      <c r="F105" s="325"/>
      <c r="G105" s="324"/>
      <c r="H105" s="333"/>
      <c r="I105" s="325"/>
      <c r="J105" s="334"/>
      <c r="K105" s="336"/>
      <c r="L105" s="466"/>
      <c r="M105" s="334"/>
      <c r="P105" s="581"/>
      <c r="Q105" s="582"/>
      <c r="R105" s="582"/>
    </row>
    <row r="106" spans="2:31" x14ac:dyDescent="0.2">
      <c r="B106" s="324"/>
      <c r="C106" s="332" t="s">
        <v>445</v>
      </c>
      <c r="D106" s="325"/>
      <c r="E106" s="325"/>
      <c r="F106" s="325"/>
      <c r="G106" s="324"/>
      <c r="H106" s="333"/>
      <c r="I106" s="325"/>
      <c r="J106" s="334"/>
      <c r="K106" s="329" t="s">
        <v>20</v>
      </c>
      <c r="L106" s="356">
        <v>6.9684453125000004E-2</v>
      </c>
      <c r="M106" s="334"/>
      <c r="P106" s="581"/>
      <c r="Q106" s="582"/>
      <c r="R106" s="582"/>
    </row>
    <row r="107" spans="2:31" x14ac:dyDescent="0.2">
      <c r="B107" s="324"/>
      <c r="C107" s="324"/>
      <c r="D107" s="324"/>
      <c r="E107" s="324"/>
      <c r="F107" s="324"/>
      <c r="G107" s="324"/>
      <c r="H107" s="324"/>
      <c r="I107" s="324"/>
      <c r="J107" s="324"/>
      <c r="K107" s="324"/>
      <c r="L107" s="608"/>
      <c r="M107" s="324"/>
      <c r="P107" s="586"/>
      <c r="Q107" s="579"/>
      <c r="R107" s="580"/>
      <c r="X107" s="210"/>
      <c r="Y107" s="210"/>
      <c r="Z107" s="210"/>
      <c r="AA107" s="210"/>
      <c r="AB107" s="210"/>
      <c r="AC107" s="210"/>
      <c r="AD107" s="210"/>
      <c r="AE107" s="210"/>
    </row>
    <row r="108" spans="2:31" x14ac:dyDescent="0.2">
      <c r="B108" s="324"/>
      <c r="C108" s="351" t="s">
        <v>446</v>
      </c>
      <c r="D108" s="325"/>
      <c r="E108" s="325"/>
      <c r="F108" s="325"/>
      <c r="G108" s="324"/>
      <c r="H108" s="324"/>
      <c r="I108" s="325"/>
      <c r="J108" s="325"/>
      <c r="K108" s="329"/>
      <c r="L108" s="325"/>
      <c r="M108" s="325"/>
      <c r="P108" s="584"/>
      <c r="Q108" s="582"/>
      <c r="R108" s="582"/>
    </row>
    <row r="109" spans="2:31" x14ac:dyDescent="0.2">
      <c r="B109" s="324"/>
      <c r="C109" s="351" t="s">
        <v>447</v>
      </c>
      <c r="D109" s="325"/>
      <c r="E109" s="325"/>
      <c r="F109" s="325"/>
      <c r="G109" s="324"/>
      <c r="H109" s="324"/>
      <c r="I109" s="325"/>
      <c r="J109" s="325"/>
      <c r="K109" s="329"/>
      <c r="L109" s="325"/>
      <c r="M109" s="325"/>
      <c r="P109" s="584"/>
      <c r="Q109" s="582"/>
      <c r="R109" s="582"/>
    </row>
    <row r="110" spans="2:31" x14ac:dyDescent="0.2">
      <c r="B110" s="324"/>
      <c r="C110" s="333" t="s">
        <v>39</v>
      </c>
      <c r="D110" s="325"/>
      <c r="E110" s="325"/>
      <c r="F110" s="325"/>
      <c r="G110" s="324"/>
      <c r="H110" s="324"/>
      <c r="I110" s="325"/>
      <c r="J110" s="325"/>
      <c r="K110" s="329"/>
      <c r="L110" s="325"/>
      <c r="M110" s="325"/>
      <c r="P110" s="584"/>
      <c r="Q110" s="582"/>
      <c r="R110" s="582"/>
    </row>
    <row r="111" spans="2:31" x14ac:dyDescent="0.2">
      <c r="B111" s="324"/>
      <c r="C111" s="354" t="s">
        <v>448</v>
      </c>
      <c r="D111" s="325"/>
      <c r="E111" s="325"/>
      <c r="F111" s="325"/>
      <c r="G111" s="324"/>
      <c r="H111" s="324"/>
      <c r="I111" s="325"/>
      <c r="J111" s="325"/>
      <c r="K111" s="329" t="s">
        <v>20</v>
      </c>
      <c r="L111" s="507">
        <v>0.95</v>
      </c>
      <c r="M111" s="325"/>
      <c r="P111" s="584"/>
      <c r="Q111" s="582"/>
      <c r="R111" s="582"/>
    </row>
    <row r="112" spans="2:31" x14ac:dyDescent="0.2">
      <c r="B112" s="324"/>
      <c r="C112" s="354" t="s">
        <v>449</v>
      </c>
      <c r="D112" s="325"/>
      <c r="E112" s="325"/>
      <c r="F112" s="325"/>
      <c r="G112" s="324"/>
      <c r="H112" s="324"/>
      <c r="I112" s="325"/>
      <c r="J112" s="325"/>
      <c r="K112" s="329" t="s">
        <v>20</v>
      </c>
      <c r="L112" s="507">
        <v>0.75</v>
      </c>
      <c r="M112" s="325"/>
      <c r="P112" s="584"/>
      <c r="Q112" s="582"/>
      <c r="R112" s="582"/>
    </row>
    <row r="113" spans="2:18" x14ac:dyDescent="0.2">
      <c r="B113" s="324"/>
      <c r="C113" s="354" t="s">
        <v>450</v>
      </c>
      <c r="D113" s="325"/>
      <c r="E113" s="325"/>
      <c r="F113" s="325"/>
      <c r="G113" s="324"/>
      <c r="H113" s="324"/>
      <c r="I113" s="325"/>
      <c r="J113" s="325"/>
      <c r="K113" s="329" t="s">
        <v>20</v>
      </c>
      <c r="L113" s="507">
        <v>0.55000000000000004</v>
      </c>
      <c r="M113" s="325"/>
      <c r="P113" s="584"/>
      <c r="Q113" s="582"/>
      <c r="R113" s="582"/>
    </row>
    <row r="114" spans="2:18" x14ac:dyDescent="0.2">
      <c r="B114" s="324"/>
      <c r="C114" s="354" t="s">
        <v>451</v>
      </c>
      <c r="D114" s="325"/>
      <c r="E114" s="325"/>
      <c r="F114" s="325"/>
      <c r="G114" s="324"/>
      <c r="H114" s="324"/>
      <c r="I114" s="325"/>
      <c r="J114" s="325"/>
      <c r="K114" s="329" t="s">
        <v>20</v>
      </c>
      <c r="L114" s="507">
        <v>0.35</v>
      </c>
      <c r="M114" s="325"/>
      <c r="P114" s="584"/>
      <c r="Q114" s="582"/>
      <c r="R114" s="582"/>
    </row>
    <row r="115" spans="2:18" x14ac:dyDescent="0.2">
      <c r="B115" s="324"/>
      <c r="C115" s="354" t="s">
        <v>452</v>
      </c>
      <c r="D115" s="325"/>
      <c r="E115" s="325"/>
      <c r="F115" s="325"/>
      <c r="G115" s="324"/>
      <c r="H115" s="324"/>
      <c r="I115" s="325"/>
      <c r="J115" s="325"/>
      <c r="K115" s="329" t="s">
        <v>20</v>
      </c>
      <c r="L115" s="507">
        <v>0.15</v>
      </c>
      <c r="M115" s="325"/>
      <c r="P115" s="584"/>
      <c r="Q115" s="582"/>
      <c r="R115" s="582"/>
    </row>
    <row r="116" spans="2:18" x14ac:dyDescent="0.2">
      <c r="B116" s="324"/>
      <c r="C116" s="354"/>
      <c r="D116" s="325"/>
      <c r="E116" s="325"/>
      <c r="F116" s="325"/>
      <c r="G116" s="324"/>
      <c r="H116" s="324"/>
      <c r="I116" s="325"/>
      <c r="J116" s="325"/>
      <c r="K116" s="329"/>
      <c r="L116" s="501"/>
      <c r="M116" s="325"/>
      <c r="P116" s="584"/>
      <c r="Q116" s="582"/>
      <c r="R116" s="582"/>
    </row>
    <row r="117" spans="2:18" x14ac:dyDescent="0.2">
      <c r="B117" s="324"/>
      <c r="C117" s="351" t="s">
        <v>314</v>
      </c>
      <c r="D117" s="325"/>
      <c r="E117" s="325"/>
      <c r="F117" s="325"/>
      <c r="G117" s="324"/>
      <c r="H117" s="324"/>
      <c r="I117" s="325"/>
      <c r="J117" s="325"/>
      <c r="K117" s="329"/>
      <c r="L117" s="501"/>
      <c r="M117" s="325"/>
      <c r="P117" s="584"/>
      <c r="Q117" s="582"/>
      <c r="R117" s="582"/>
    </row>
    <row r="118" spans="2:18" x14ac:dyDescent="0.2">
      <c r="B118" s="324"/>
      <c r="C118" s="333" t="s">
        <v>35</v>
      </c>
      <c r="D118" s="333"/>
      <c r="E118" s="333"/>
      <c r="F118" s="325"/>
      <c r="G118" s="324"/>
      <c r="H118" s="324"/>
      <c r="I118" s="325"/>
      <c r="J118" s="325"/>
      <c r="K118" s="329" t="s">
        <v>29</v>
      </c>
      <c r="L118" s="355">
        <v>2056</v>
      </c>
      <c r="M118" s="325"/>
      <c r="P118" s="584"/>
      <c r="Q118" s="582"/>
      <c r="R118" s="582"/>
    </row>
    <row r="119" spans="2:18" x14ac:dyDescent="0.2">
      <c r="B119" s="324"/>
      <c r="C119" s="333" t="s">
        <v>37</v>
      </c>
      <c r="D119" s="333"/>
      <c r="E119" s="333"/>
      <c r="F119" s="325"/>
      <c r="G119" s="324"/>
      <c r="H119" s="324"/>
      <c r="I119" s="325"/>
      <c r="J119" s="325"/>
      <c r="K119" s="329" t="s">
        <v>29</v>
      </c>
      <c r="L119" s="355">
        <v>2061</v>
      </c>
      <c r="M119" s="325"/>
      <c r="P119" s="584"/>
      <c r="Q119" s="582"/>
      <c r="R119" s="582"/>
    </row>
    <row r="120" spans="2:18" x14ac:dyDescent="0.2">
      <c r="B120" s="324"/>
      <c r="C120" s="333" t="s">
        <v>319</v>
      </c>
      <c r="D120" s="333"/>
      <c r="E120" s="333"/>
      <c r="F120" s="325"/>
      <c r="G120" s="324"/>
      <c r="H120" s="324"/>
      <c r="I120" s="325"/>
      <c r="J120" s="325"/>
      <c r="K120" s="329" t="s">
        <v>62</v>
      </c>
      <c r="L120" s="356">
        <v>-106959.48621797691</v>
      </c>
      <c r="M120" s="325"/>
      <c r="P120" s="584"/>
      <c r="Q120" s="582"/>
      <c r="R120" s="582"/>
    </row>
    <row r="121" spans="2:18" x14ac:dyDescent="0.2">
      <c r="B121" s="324"/>
      <c r="C121" s="333" t="s">
        <v>438</v>
      </c>
      <c r="D121" s="333"/>
      <c r="E121" s="333"/>
      <c r="F121" s="325"/>
      <c r="G121" s="324"/>
      <c r="H121" s="324"/>
      <c r="I121" s="325"/>
      <c r="J121" s="325"/>
      <c r="K121" s="329" t="s">
        <v>62</v>
      </c>
      <c r="L121" s="356">
        <v>137107.37687546501</v>
      </c>
      <c r="M121" s="325"/>
      <c r="P121" s="584"/>
      <c r="Q121" s="582"/>
      <c r="R121" s="582"/>
    </row>
    <row r="122" spans="2:18" x14ac:dyDescent="0.2">
      <c r="B122" s="324"/>
      <c r="C122" s="333" t="s">
        <v>453</v>
      </c>
      <c r="D122" s="325"/>
      <c r="E122" s="325"/>
      <c r="F122" s="325"/>
      <c r="G122" s="324"/>
      <c r="H122" s="324"/>
      <c r="I122" s="325"/>
      <c r="J122" s="325"/>
      <c r="K122" s="329"/>
      <c r="L122" s="501"/>
      <c r="M122" s="325"/>
      <c r="P122" s="584"/>
      <c r="Q122" s="582"/>
      <c r="R122" s="582"/>
    </row>
    <row r="123" spans="2:18" x14ac:dyDescent="0.2">
      <c r="B123" s="324"/>
      <c r="C123" s="686">
        <v>2056</v>
      </c>
      <c r="D123" s="325"/>
      <c r="E123" s="325"/>
      <c r="F123" s="325"/>
      <c r="G123" s="324"/>
      <c r="H123" s="324"/>
      <c r="I123" s="325"/>
      <c r="J123" s="325"/>
      <c r="K123" s="329" t="s">
        <v>20</v>
      </c>
      <c r="L123" s="507">
        <v>0.25</v>
      </c>
      <c r="M123" s="325"/>
      <c r="P123" s="584"/>
      <c r="Q123" s="582"/>
      <c r="R123" s="582"/>
    </row>
    <row r="124" spans="2:18" x14ac:dyDescent="0.2">
      <c r="B124" s="324"/>
      <c r="C124" s="686">
        <v>2057</v>
      </c>
      <c r="D124" s="325"/>
      <c r="E124" s="325"/>
      <c r="F124" s="325"/>
      <c r="G124" s="324"/>
      <c r="H124" s="324"/>
      <c r="I124" s="325"/>
      <c r="J124" s="325"/>
      <c r="K124" s="329" t="s">
        <v>20</v>
      </c>
      <c r="L124" s="507">
        <v>1</v>
      </c>
      <c r="M124" s="325"/>
      <c r="P124" s="584"/>
      <c r="Q124" s="582"/>
      <c r="R124" s="582"/>
    </row>
    <row r="125" spans="2:18" x14ac:dyDescent="0.2">
      <c r="B125" s="324"/>
      <c r="C125" s="686">
        <f>+C124+1</f>
        <v>2058</v>
      </c>
      <c r="D125" s="325"/>
      <c r="E125" s="325"/>
      <c r="F125" s="325"/>
      <c r="G125" s="324"/>
      <c r="H125" s="324"/>
      <c r="I125" s="325"/>
      <c r="J125" s="325"/>
      <c r="K125" s="329" t="s">
        <v>20</v>
      </c>
      <c r="L125" s="507">
        <v>1</v>
      </c>
      <c r="M125" s="325"/>
      <c r="P125" s="584"/>
      <c r="Q125" s="582"/>
      <c r="R125" s="582"/>
    </row>
    <row r="126" spans="2:18" x14ac:dyDescent="0.2">
      <c r="B126" s="324"/>
      <c r="C126" s="686">
        <f t="shared" ref="C126:C128" si="10">+C125+1</f>
        <v>2059</v>
      </c>
      <c r="D126" s="325"/>
      <c r="E126" s="325"/>
      <c r="F126" s="325"/>
      <c r="G126" s="324"/>
      <c r="H126" s="324"/>
      <c r="I126" s="325"/>
      <c r="J126" s="325"/>
      <c r="K126" s="329" t="s">
        <v>20</v>
      </c>
      <c r="L126" s="507">
        <v>1</v>
      </c>
      <c r="M126" s="325"/>
      <c r="P126" s="584"/>
      <c r="Q126" s="582"/>
      <c r="R126" s="582"/>
    </row>
    <row r="127" spans="2:18" x14ac:dyDescent="0.2">
      <c r="B127" s="324"/>
      <c r="C127" s="686">
        <f t="shared" si="10"/>
        <v>2060</v>
      </c>
      <c r="D127" s="325"/>
      <c r="E127" s="325"/>
      <c r="F127" s="325"/>
      <c r="G127" s="324"/>
      <c r="H127" s="324"/>
      <c r="I127" s="325"/>
      <c r="J127" s="325"/>
      <c r="K127" s="329" t="s">
        <v>20</v>
      </c>
      <c r="L127" s="507">
        <v>1</v>
      </c>
      <c r="M127" s="325"/>
      <c r="P127" s="584"/>
      <c r="Q127" s="582"/>
      <c r="R127" s="582"/>
    </row>
    <row r="128" spans="2:18" x14ac:dyDescent="0.2">
      <c r="B128" s="324"/>
      <c r="C128" s="686">
        <f t="shared" si="10"/>
        <v>2061</v>
      </c>
      <c r="D128" s="325"/>
      <c r="E128" s="325"/>
      <c r="F128" s="325"/>
      <c r="G128" s="324"/>
      <c r="H128" s="324"/>
      <c r="I128" s="325"/>
      <c r="J128" s="325"/>
      <c r="K128" s="329" t="s">
        <v>20</v>
      </c>
      <c r="L128" s="507">
        <v>1</v>
      </c>
      <c r="M128" s="325"/>
      <c r="P128" s="584"/>
      <c r="Q128" s="582"/>
      <c r="R128" s="582"/>
    </row>
    <row r="129" spans="2:24" x14ac:dyDescent="0.2">
      <c r="B129" s="324"/>
      <c r="C129" s="333"/>
      <c r="D129" s="325"/>
      <c r="E129" s="324"/>
      <c r="F129" s="325"/>
      <c r="G129" s="324"/>
      <c r="H129" s="324"/>
      <c r="I129" s="325"/>
      <c r="J129" s="325"/>
      <c r="K129" s="329"/>
      <c r="L129" s="466"/>
      <c r="M129" s="325"/>
      <c r="P129" s="584"/>
      <c r="Q129" s="582"/>
      <c r="R129" s="582"/>
    </row>
    <row r="130" spans="2:24" x14ac:dyDescent="0.2">
      <c r="B130" s="324"/>
      <c r="C130" s="357" t="s">
        <v>74</v>
      </c>
      <c r="D130" s="325"/>
      <c r="E130" s="325"/>
      <c r="F130" s="325"/>
      <c r="G130" s="324"/>
      <c r="H130" s="333"/>
      <c r="I130" s="325"/>
      <c r="J130" s="325"/>
      <c r="K130" s="329"/>
      <c r="L130" s="609"/>
      <c r="M130" s="325"/>
      <c r="P130" s="585"/>
      <c r="Q130" s="582"/>
      <c r="R130" s="582"/>
    </row>
    <row r="131" spans="2:24" x14ac:dyDescent="0.2">
      <c r="B131" s="324"/>
      <c r="C131" s="324" t="s">
        <v>454</v>
      </c>
      <c r="D131" s="325"/>
      <c r="E131" s="325"/>
      <c r="F131" s="325"/>
      <c r="G131" s="324"/>
      <c r="H131" s="324"/>
      <c r="I131" s="325"/>
      <c r="J131" s="325"/>
      <c r="K131" s="329" t="s">
        <v>29</v>
      </c>
      <c r="L131" s="358">
        <v>43830</v>
      </c>
      <c r="M131" s="325"/>
      <c r="P131" s="583"/>
      <c r="Q131" s="582"/>
      <c r="R131" s="582"/>
    </row>
    <row r="132" spans="2:24" x14ac:dyDescent="0.2">
      <c r="B132" s="308"/>
      <c r="C132" s="308"/>
      <c r="L132" s="331"/>
    </row>
    <row r="133" spans="2:24" ht="13.5" customHeight="1" x14ac:dyDescent="0.25">
      <c r="B133" s="350" t="s">
        <v>385</v>
      </c>
      <c r="H133" s="299"/>
      <c r="J133" s="345"/>
      <c r="K133" s="346"/>
      <c r="L133" s="458"/>
      <c r="M133" s="345"/>
      <c r="P133" s="337"/>
      <c r="Q133" s="398"/>
      <c r="R133" s="398"/>
      <c r="X133" s="322"/>
    </row>
    <row r="134" spans="2:24" ht="13.5" customHeight="1" x14ac:dyDescent="0.25">
      <c r="B134" s="324"/>
      <c r="C134" s="332" t="s">
        <v>130</v>
      </c>
      <c r="D134" s="325"/>
      <c r="E134" s="325"/>
      <c r="F134" s="325"/>
      <c r="G134" s="324"/>
      <c r="H134" s="333"/>
      <c r="I134" s="325"/>
      <c r="J134" s="334"/>
      <c r="K134" s="336" t="s">
        <v>131</v>
      </c>
      <c r="L134" s="487">
        <f t="shared" ref="L134:L142" si="11">+INDEX($P134:$R134,1,Scenario)</f>
        <v>1</v>
      </c>
      <c r="M134" s="334"/>
      <c r="P134" s="684">
        <v>1</v>
      </c>
      <c r="Q134" s="405"/>
      <c r="R134" s="405"/>
      <c r="X134" s="322"/>
    </row>
    <row r="135" spans="2:24" x14ac:dyDescent="0.2">
      <c r="B135" s="324"/>
      <c r="C135" s="333" t="s">
        <v>29</v>
      </c>
      <c r="D135" s="325"/>
      <c r="E135" s="325"/>
      <c r="F135" s="325"/>
      <c r="G135" s="324"/>
      <c r="H135" s="324"/>
      <c r="I135" s="325"/>
      <c r="J135" s="325"/>
      <c r="K135" s="329" t="s">
        <v>29</v>
      </c>
      <c r="L135" s="358">
        <f t="shared" si="11"/>
        <v>43830</v>
      </c>
      <c r="M135" s="325"/>
      <c r="P135" s="685">
        <v>43830</v>
      </c>
      <c r="Q135" s="405"/>
      <c r="R135" s="405"/>
    </row>
    <row r="136" spans="2:24" x14ac:dyDescent="0.2">
      <c r="B136" s="324"/>
      <c r="C136" s="333" t="s">
        <v>279</v>
      </c>
      <c r="D136" s="325"/>
      <c r="E136" s="325"/>
      <c r="F136" s="325"/>
      <c r="G136" s="324"/>
      <c r="H136" s="324"/>
      <c r="I136" s="325"/>
      <c r="J136" s="325"/>
      <c r="K136" s="329" t="s">
        <v>29</v>
      </c>
      <c r="L136" s="358">
        <f t="shared" si="11"/>
        <v>56979</v>
      </c>
      <c r="M136" s="325"/>
      <c r="P136" s="685">
        <v>56979</v>
      </c>
      <c r="Q136" s="405"/>
      <c r="R136" s="405"/>
    </row>
    <row r="137" spans="2:24" x14ac:dyDescent="0.2">
      <c r="B137" s="324"/>
      <c r="C137" s="324" t="s">
        <v>30</v>
      </c>
      <c r="D137" s="325"/>
      <c r="E137" s="325"/>
      <c r="F137" s="325"/>
      <c r="G137" s="324"/>
      <c r="H137" s="324"/>
      <c r="I137" s="325"/>
      <c r="J137" s="325"/>
      <c r="K137" s="329" t="s">
        <v>124</v>
      </c>
      <c r="L137" s="356">
        <f t="shared" si="11"/>
        <v>6</v>
      </c>
      <c r="M137" s="325"/>
      <c r="P137" s="681">
        <v>6</v>
      </c>
      <c r="Q137" s="397"/>
      <c r="R137" s="397"/>
    </row>
    <row r="138" spans="2:24" x14ac:dyDescent="0.2">
      <c r="B138" s="324"/>
      <c r="C138" s="324" t="s">
        <v>31</v>
      </c>
      <c r="D138" s="325"/>
      <c r="E138" s="325"/>
      <c r="F138" s="325"/>
      <c r="G138" s="324"/>
      <c r="H138" s="324"/>
      <c r="I138" s="325"/>
      <c r="J138" s="325"/>
      <c r="K138" s="329" t="s">
        <v>124</v>
      </c>
      <c r="L138" s="356">
        <f t="shared" si="11"/>
        <v>10</v>
      </c>
      <c r="M138" s="325"/>
      <c r="P138" s="681">
        <v>10</v>
      </c>
      <c r="Q138" s="397"/>
      <c r="R138" s="397"/>
    </row>
    <row r="139" spans="2:24" x14ac:dyDescent="0.2">
      <c r="B139" s="324"/>
      <c r="C139" s="333" t="s">
        <v>17</v>
      </c>
      <c r="D139" s="325"/>
      <c r="E139" s="325"/>
      <c r="F139" s="325"/>
      <c r="G139" s="324"/>
      <c r="H139" s="324"/>
      <c r="I139" s="325"/>
      <c r="J139" s="325"/>
      <c r="K139" s="329" t="s">
        <v>20</v>
      </c>
      <c r="L139" s="507">
        <f t="shared" si="11"/>
        <v>0.01</v>
      </c>
      <c r="M139" s="325"/>
      <c r="P139" s="679">
        <v>0.01</v>
      </c>
      <c r="Q139" s="402"/>
      <c r="R139" s="402"/>
    </row>
    <row r="140" spans="2:24" x14ac:dyDescent="0.2">
      <c r="B140" s="324"/>
      <c r="C140" s="359" t="s">
        <v>9</v>
      </c>
      <c r="D140" s="325"/>
      <c r="E140" s="325"/>
      <c r="F140" s="325"/>
      <c r="G140" s="324"/>
      <c r="H140" s="324"/>
      <c r="I140" s="325"/>
      <c r="J140" s="325"/>
      <c r="K140" s="329" t="s">
        <v>20</v>
      </c>
      <c r="L140" s="507">
        <f t="shared" si="11"/>
        <v>5.2499999999999998E-2</v>
      </c>
      <c r="M140" s="325"/>
      <c r="P140" s="679">
        <v>5.2499999999999998E-2</v>
      </c>
      <c r="Q140" s="402"/>
      <c r="R140" s="402"/>
    </row>
    <row r="141" spans="2:24" x14ac:dyDescent="0.2">
      <c r="B141" s="324"/>
      <c r="C141" s="360" t="s">
        <v>10</v>
      </c>
      <c r="D141" s="325"/>
      <c r="E141" s="325"/>
      <c r="F141" s="325"/>
      <c r="G141" s="324"/>
      <c r="H141" s="324"/>
      <c r="I141" s="325"/>
      <c r="J141" s="325"/>
      <c r="K141" s="329" t="s">
        <v>20</v>
      </c>
      <c r="L141" s="507">
        <f t="shared" si="11"/>
        <v>0</v>
      </c>
      <c r="M141" s="325"/>
      <c r="P141" s="679">
        <v>0</v>
      </c>
      <c r="Q141" s="402"/>
      <c r="R141" s="402"/>
    </row>
    <row r="142" spans="2:24" x14ac:dyDescent="0.2">
      <c r="B142" s="324"/>
      <c r="C142" s="360" t="s">
        <v>12</v>
      </c>
      <c r="D142" s="325"/>
      <c r="E142" s="325"/>
      <c r="F142" s="325"/>
      <c r="G142" s="324"/>
      <c r="H142" s="324"/>
      <c r="I142" s="325"/>
      <c r="J142" s="325"/>
      <c r="K142" s="329" t="s">
        <v>20</v>
      </c>
      <c r="L142" s="507">
        <f t="shared" si="11"/>
        <v>0</v>
      </c>
      <c r="M142" s="325"/>
      <c r="P142" s="679">
        <v>0</v>
      </c>
      <c r="Q142" s="402"/>
      <c r="R142" s="402"/>
    </row>
    <row r="143" spans="2:24" x14ac:dyDescent="0.2">
      <c r="B143" s="324"/>
      <c r="C143" s="324"/>
      <c r="D143" s="325"/>
      <c r="E143" s="325"/>
      <c r="F143" s="325"/>
      <c r="G143" s="324"/>
      <c r="H143" s="324"/>
      <c r="I143" s="325"/>
      <c r="J143" s="325"/>
      <c r="K143" s="329"/>
      <c r="L143" s="330"/>
      <c r="M143" s="325"/>
      <c r="P143" s="331"/>
      <c r="Q143" s="396"/>
      <c r="R143" s="396"/>
    </row>
    <row r="144" spans="2:24" ht="13.5" customHeight="1" x14ac:dyDescent="0.25">
      <c r="B144" s="324"/>
      <c r="C144" s="351" t="s">
        <v>24</v>
      </c>
      <c r="D144" s="325"/>
      <c r="E144" s="325"/>
      <c r="F144" s="325"/>
      <c r="G144" s="324"/>
      <c r="H144" s="333"/>
      <c r="I144" s="325"/>
      <c r="J144" s="334"/>
      <c r="K144" s="336"/>
      <c r="L144" s="466"/>
      <c r="M144" s="334"/>
      <c r="P144" s="337"/>
      <c r="Q144" s="398"/>
      <c r="R144" s="398"/>
      <c r="X144" s="322"/>
    </row>
    <row r="145" spans="1:31" x14ac:dyDescent="0.2">
      <c r="B145" s="324"/>
      <c r="C145" s="361" t="s">
        <v>130</v>
      </c>
      <c r="D145" s="325"/>
      <c r="E145" s="325"/>
      <c r="F145" s="325"/>
      <c r="G145" s="324"/>
      <c r="H145" s="324"/>
      <c r="I145" s="325"/>
      <c r="J145" s="325"/>
      <c r="K145" s="329" t="s">
        <v>131</v>
      </c>
      <c r="L145" s="487">
        <f>+INDEX($P145:$R145,1,Scenario)</f>
        <v>1</v>
      </c>
      <c r="M145" s="325"/>
      <c r="P145" s="684">
        <v>1</v>
      </c>
      <c r="Q145" s="403"/>
      <c r="R145" s="403"/>
    </row>
    <row r="146" spans="1:31" x14ac:dyDescent="0.2">
      <c r="B146" s="324"/>
      <c r="C146" s="359" t="s">
        <v>9</v>
      </c>
      <c r="D146" s="325"/>
      <c r="E146" s="325"/>
      <c r="F146" s="325"/>
      <c r="G146" s="324"/>
      <c r="H146" s="324"/>
      <c r="I146" s="325"/>
      <c r="J146" s="325"/>
      <c r="K146" s="329" t="s">
        <v>20</v>
      </c>
      <c r="L146" s="507">
        <f>+INDEX($P146:$R146,1,Scenario)</f>
        <v>5.2499999999999998E-2</v>
      </c>
      <c r="M146" s="325"/>
      <c r="P146" s="679">
        <v>5.2499999999999998E-2</v>
      </c>
      <c r="Q146" s="402"/>
      <c r="R146" s="402"/>
    </row>
    <row r="147" spans="1:31" x14ac:dyDescent="0.2">
      <c r="B147" s="324"/>
      <c r="C147" s="324"/>
      <c r="D147" s="325"/>
      <c r="E147" s="325"/>
      <c r="F147" s="325"/>
      <c r="G147" s="324"/>
      <c r="H147" s="324"/>
      <c r="I147" s="325"/>
      <c r="J147" s="325"/>
      <c r="K147" s="329"/>
      <c r="L147" s="362"/>
      <c r="M147" s="325"/>
      <c r="P147" s="331"/>
      <c r="Q147" s="396"/>
      <c r="R147" s="396"/>
    </row>
    <row r="148" spans="1:31" x14ac:dyDescent="0.2">
      <c r="A148" s="308"/>
      <c r="B148" s="324"/>
      <c r="C148" s="363" t="s">
        <v>279</v>
      </c>
      <c r="D148" s="325"/>
      <c r="E148" s="325"/>
      <c r="F148" s="325"/>
      <c r="G148" s="324"/>
      <c r="H148" s="324"/>
      <c r="I148" s="325"/>
      <c r="J148" s="325"/>
      <c r="K148" s="329"/>
      <c r="L148" s="362"/>
      <c r="M148" s="325"/>
      <c r="P148" s="331"/>
      <c r="Q148" s="396"/>
      <c r="R148" s="396"/>
    </row>
    <row r="149" spans="1:31" x14ac:dyDescent="0.2">
      <c r="A149" s="308"/>
      <c r="B149" s="324"/>
      <c r="C149" s="333" t="s">
        <v>25</v>
      </c>
      <c r="D149" s="325"/>
      <c r="E149" s="325"/>
      <c r="F149" s="325"/>
      <c r="G149" s="324"/>
      <c r="H149" s="324"/>
      <c r="I149" s="325"/>
      <c r="J149" s="325"/>
      <c r="K149" s="329" t="s">
        <v>29</v>
      </c>
      <c r="L149" s="358">
        <f>+INDEX($P149:$R149,1,Scenario)</f>
        <v>55153</v>
      </c>
      <c r="M149" s="325"/>
      <c r="P149" s="683">
        <v>55153</v>
      </c>
      <c r="Q149" s="406"/>
      <c r="R149" s="406"/>
    </row>
    <row r="150" spans="1:31" x14ac:dyDescent="0.2">
      <c r="B150" s="324"/>
      <c r="C150" s="324"/>
      <c r="D150" s="325"/>
      <c r="E150" s="325"/>
      <c r="F150" s="325"/>
      <c r="G150" s="324"/>
      <c r="H150" s="324"/>
      <c r="I150" s="325"/>
      <c r="J150" s="325"/>
      <c r="K150" s="329"/>
      <c r="L150" s="362"/>
      <c r="M150" s="325"/>
      <c r="P150" s="331"/>
      <c r="Q150" s="396"/>
      <c r="R150" s="396"/>
    </row>
    <row r="151" spans="1:31" x14ac:dyDescent="0.2">
      <c r="B151" s="324"/>
      <c r="C151" s="333" t="s">
        <v>21</v>
      </c>
      <c r="D151" s="325"/>
      <c r="E151" s="325"/>
      <c r="F151" s="325"/>
      <c r="G151" s="324"/>
      <c r="H151" s="324"/>
      <c r="I151" s="325"/>
      <c r="J151" s="325"/>
      <c r="K151" s="329" t="s">
        <v>62</v>
      </c>
      <c r="L151" s="382">
        <f>+INDEX($P151:$R151,1,Scenario)</f>
        <v>50</v>
      </c>
      <c r="M151" s="325"/>
      <c r="P151" s="682">
        <v>50</v>
      </c>
      <c r="Q151" s="401"/>
      <c r="R151" s="401"/>
    </row>
    <row r="152" spans="1:31" x14ac:dyDescent="0.2">
      <c r="B152" s="324"/>
      <c r="C152" s="324"/>
      <c r="D152" s="325"/>
      <c r="E152" s="325"/>
      <c r="F152" s="325"/>
      <c r="G152" s="324"/>
      <c r="H152" s="324"/>
      <c r="I152" s="325"/>
      <c r="J152" s="325"/>
      <c r="K152" s="329"/>
      <c r="L152" s="362"/>
      <c r="M152" s="325"/>
      <c r="P152" s="331"/>
      <c r="Q152" s="396"/>
      <c r="R152" s="396"/>
    </row>
    <row r="153" spans="1:31" x14ac:dyDescent="0.2">
      <c r="B153" s="324"/>
      <c r="C153" s="333" t="s">
        <v>17</v>
      </c>
      <c r="D153" s="325"/>
      <c r="E153" s="325"/>
      <c r="F153" s="325"/>
      <c r="G153" s="324"/>
      <c r="H153" s="324"/>
      <c r="I153" s="325"/>
      <c r="J153" s="325"/>
      <c r="K153" s="329" t="s">
        <v>20</v>
      </c>
      <c r="L153" s="507">
        <f>+INDEX($P153:$R153,1,Scenario)</f>
        <v>3.5000000000000003E-2</v>
      </c>
      <c r="M153" s="325"/>
      <c r="P153" s="679">
        <v>3.5000000000000003E-2</v>
      </c>
      <c r="Q153" s="402"/>
      <c r="R153" s="402"/>
    </row>
    <row r="154" spans="1:31" x14ac:dyDescent="0.2">
      <c r="B154" s="324"/>
      <c r="C154" s="333" t="s">
        <v>178</v>
      </c>
      <c r="D154" s="325"/>
      <c r="E154" s="325"/>
      <c r="F154" s="325"/>
      <c r="G154" s="324"/>
      <c r="H154" s="324"/>
      <c r="I154" s="325"/>
      <c r="J154" s="325"/>
      <c r="K154" s="329" t="s">
        <v>20</v>
      </c>
      <c r="L154" s="507">
        <f>+INDEX($P154:$R154,1,Scenario)</f>
        <v>4.7999999999999996E-3</v>
      </c>
      <c r="M154" s="325"/>
      <c r="P154" s="679">
        <v>4.7999999999999996E-3</v>
      </c>
      <c r="Q154" s="402"/>
      <c r="R154" s="402"/>
    </row>
    <row r="155" spans="1:31" x14ac:dyDescent="0.2">
      <c r="B155" s="324"/>
      <c r="C155" s="362"/>
      <c r="D155" s="325"/>
      <c r="E155" s="325"/>
      <c r="F155" s="325"/>
      <c r="G155" s="324"/>
      <c r="H155" s="324"/>
      <c r="I155" s="325"/>
      <c r="J155" s="325"/>
      <c r="K155" s="329"/>
      <c r="L155" s="610"/>
      <c r="M155" s="325"/>
      <c r="P155" s="364"/>
      <c r="Q155" s="407"/>
      <c r="R155" s="407"/>
    </row>
    <row r="156" spans="1:31" x14ac:dyDescent="0.2">
      <c r="Q156" s="407"/>
      <c r="R156" s="407"/>
    </row>
    <row r="157" spans="1:31" ht="15.75" x14ac:dyDescent="0.25">
      <c r="B157" s="323"/>
      <c r="C157" s="323" t="s">
        <v>379</v>
      </c>
      <c r="D157" s="323"/>
      <c r="E157" s="323"/>
      <c r="F157" s="323"/>
      <c r="G157" s="323"/>
      <c r="H157" s="323"/>
      <c r="I157" s="323"/>
      <c r="J157" s="323"/>
      <c r="K157" s="323"/>
      <c r="L157" s="323"/>
      <c r="M157" s="323"/>
    </row>
    <row r="158" spans="1:31" s="308" customFormat="1" ht="9.75" customHeight="1" x14ac:dyDescent="0.25">
      <c r="B158" s="365"/>
      <c r="C158" s="365"/>
      <c r="D158" s="365"/>
      <c r="E158" s="365"/>
      <c r="F158" s="365"/>
      <c r="G158" s="365"/>
      <c r="H158" s="365"/>
      <c r="I158" s="365"/>
      <c r="J158" s="365"/>
      <c r="K158" s="365"/>
      <c r="L158" s="365"/>
      <c r="M158" s="365"/>
      <c r="O158" s="309"/>
      <c r="Q158" s="392"/>
      <c r="R158" s="393"/>
      <c r="S158" s="299"/>
      <c r="W158" s="300"/>
      <c r="X158" s="300"/>
      <c r="Y158" s="301"/>
      <c r="Z158" s="301"/>
      <c r="AA158" s="301"/>
      <c r="AB158" s="301"/>
      <c r="AC158" s="301"/>
      <c r="AD158" s="301"/>
      <c r="AE158" s="301"/>
    </row>
    <row r="159" spans="1:31" s="308" customFormat="1" ht="15.75" x14ac:dyDescent="0.25">
      <c r="B159" s="366"/>
      <c r="C159" s="366" t="s">
        <v>394</v>
      </c>
      <c r="D159" s="365"/>
      <c r="E159" s="365"/>
      <c r="F159" s="365"/>
      <c r="G159" s="365"/>
      <c r="H159" s="365"/>
      <c r="I159" s="365"/>
      <c r="J159" s="365"/>
      <c r="K159" s="365"/>
      <c r="L159" s="313">
        <f>+INDEX($P159:$R159,1,Scenario)</f>
        <v>2</v>
      </c>
      <c r="M159" s="365"/>
      <c r="O159" s="309"/>
      <c r="P159" s="681">
        <v>2</v>
      </c>
      <c r="Q159" s="406"/>
      <c r="R159" s="406"/>
      <c r="S159" s="299"/>
      <c r="W159" s="300"/>
      <c r="X159" s="300"/>
      <c r="Y159" s="301"/>
      <c r="Z159" s="301"/>
      <c r="AA159" s="301"/>
      <c r="AB159" s="301"/>
      <c r="AC159" s="301"/>
      <c r="AD159" s="301"/>
      <c r="AE159" s="301"/>
    </row>
    <row r="160" spans="1:31" s="308" customFormat="1" ht="15.75" x14ac:dyDescent="0.25">
      <c r="B160" s="366"/>
      <c r="C160" s="366" t="s">
        <v>376</v>
      </c>
      <c r="D160" s="365"/>
      <c r="E160" s="365"/>
      <c r="F160" s="365"/>
      <c r="G160" s="365"/>
      <c r="H160" s="365"/>
      <c r="I160" s="365"/>
      <c r="J160" s="365"/>
      <c r="K160" s="367" t="s">
        <v>20</v>
      </c>
      <c r="L160" s="611">
        <v>0.6296666666666666</v>
      </c>
      <c r="M160" s="365"/>
      <c r="O160" s="309"/>
      <c r="P160" s="352"/>
      <c r="Q160" s="408"/>
      <c r="R160" s="408"/>
      <c r="S160" s="299"/>
      <c r="W160" s="300"/>
      <c r="X160" s="300"/>
      <c r="Y160" s="301"/>
      <c r="Z160" s="301"/>
      <c r="AA160" s="301"/>
      <c r="AB160" s="301"/>
      <c r="AC160" s="301"/>
      <c r="AD160" s="301"/>
      <c r="AE160" s="301"/>
    </row>
    <row r="161" spans="2:31" s="308" customFormat="1" ht="9.75" customHeight="1" x14ac:dyDescent="0.25">
      <c r="B161" s="365"/>
      <c r="C161" s="365"/>
      <c r="D161" s="365"/>
      <c r="E161" s="365"/>
      <c r="F161" s="365"/>
      <c r="G161" s="365"/>
      <c r="H161" s="365"/>
      <c r="I161" s="365"/>
      <c r="J161" s="365"/>
      <c r="K161" s="365"/>
      <c r="L161" s="365"/>
      <c r="M161" s="365"/>
      <c r="O161" s="309"/>
      <c r="Q161" s="392"/>
      <c r="R161" s="393"/>
      <c r="S161" s="299"/>
      <c r="W161" s="300"/>
      <c r="X161" s="300"/>
      <c r="Y161" s="301"/>
      <c r="Z161" s="301"/>
      <c r="AA161" s="301"/>
      <c r="AB161" s="301"/>
      <c r="AC161" s="301"/>
      <c r="AD161" s="301"/>
      <c r="AE161" s="301"/>
    </row>
    <row r="162" spans="2:31" ht="13.5" customHeight="1" x14ac:dyDescent="0.25">
      <c r="B162" s="366" t="s">
        <v>408</v>
      </c>
      <c r="C162" s="332"/>
      <c r="D162" s="325"/>
      <c r="E162" s="325"/>
      <c r="F162" s="325"/>
      <c r="G162" s="324"/>
      <c r="H162" s="333"/>
      <c r="I162" s="325"/>
      <c r="J162" s="334"/>
      <c r="K162" s="336"/>
      <c r="L162" s="466"/>
      <c r="M162" s="334"/>
      <c r="P162" s="337"/>
      <c r="Q162" s="398"/>
      <c r="R162" s="398"/>
      <c r="X162" s="322"/>
    </row>
    <row r="163" spans="2:31" ht="13.5" customHeight="1" x14ac:dyDescent="0.25">
      <c r="B163" s="324"/>
      <c r="C163" s="332" t="s">
        <v>396</v>
      </c>
      <c r="D163" s="325"/>
      <c r="E163" s="325"/>
      <c r="F163" s="325"/>
      <c r="G163" s="324"/>
      <c r="H163" s="333"/>
      <c r="I163" s="325"/>
      <c r="J163" s="334"/>
      <c r="K163" s="336" t="s">
        <v>20</v>
      </c>
      <c r="L163" s="507">
        <f>+INDEX($P163:$R163,1,Scenario)</f>
        <v>3.0028533333333329E-2</v>
      </c>
      <c r="M163" s="334"/>
      <c r="P163" s="679">
        <v>3.0028533333333329E-2</v>
      </c>
      <c r="Q163" s="402"/>
      <c r="R163" s="402"/>
      <c r="X163" s="322"/>
    </row>
    <row r="164" spans="2:31" ht="13.5" customHeight="1" x14ac:dyDescent="0.25">
      <c r="B164" s="324"/>
      <c r="C164" s="332" t="s">
        <v>390</v>
      </c>
      <c r="D164" s="325"/>
      <c r="E164" s="325"/>
      <c r="F164" s="325"/>
      <c r="G164" s="324"/>
      <c r="H164" s="333"/>
      <c r="I164" s="325"/>
      <c r="J164" s="334"/>
      <c r="K164" s="336"/>
      <c r="L164" s="789">
        <f>+INDEX($P164:$R164,1,Scenario)</f>
        <v>0.85</v>
      </c>
      <c r="M164" s="334"/>
      <c r="P164" s="680">
        <v>0.85</v>
      </c>
      <c r="Q164" s="401"/>
      <c r="R164" s="401"/>
      <c r="X164" s="322"/>
    </row>
    <row r="165" spans="2:31" ht="13.5" customHeight="1" x14ac:dyDescent="0.25">
      <c r="B165" s="324"/>
      <c r="C165" s="332" t="s">
        <v>391</v>
      </c>
      <c r="D165" s="325"/>
      <c r="E165" s="325"/>
      <c r="F165" s="325"/>
      <c r="G165" s="324"/>
      <c r="H165" s="333"/>
      <c r="I165" s="325"/>
      <c r="J165" s="334"/>
      <c r="K165" s="336" t="s">
        <v>20</v>
      </c>
      <c r="L165" s="507">
        <f>+INDEX($P165:$R165,1,Scenario)</f>
        <v>0.06</v>
      </c>
      <c r="M165" s="334"/>
      <c r="P165" s="679">
        <v>0.06</v>
      </c>
      <c r="Q165" s="402"/>
      <c r="R165" s="402"/>
      <c r="X165" s="322"/>
    </row>
    <row r="166" spans="2:31" ht="13.5" customHeight="1" x14ac:dyDescent="0.25">
      <c r="B166" s="324"/>
      <c r="C166" s="332" t="s">
        <v>392</v>
      </c>
      <c r="D166" s="325"/>
      <c r="E166" s="325"/>
      <c r="F166" s="325"/>
      <c r="G166" s="324"/>
      <c r="H166" s="333"/>
      <c r="I166" s="325"/>
      <c r="J166" s="334"/>
      <c r="K166" s="336" t="s">
        <v>393</v>
      </c>
      <c r="L166" s="612">
        <f>+INDEX($P166:$R166,1,Scenario)</f>
        <v>1.2021999999999999</v>
      </c>
      <c r="M166" s="334"/>
      <c r="P166" s="680">
        <v>1.2021999999999999</v>
      </c>
      <c r="Q166" s="401"/>
      <c r="R166" s="401"/>
      <c r="X166" s="322"/>
    </row>
    <row r="167" spans="2:31" ht="13.5" customHeight="1" x14ac:dyDescent="0.25">
      <c r="B167" s="324"/>
      <c r="C167" s="332"/>
      <c r="D167" s="325"/>
      <c r="E167" s="325"/>
      <c r="F167" s="325"/>
      <c r="G167" s="324"/>
      <c r="H167" s="333"/>
      <c r="I167" s="325"/>
      <c r="J167" s="334"/>
      <c r="K167" s="336"/>
      <c r="L167" s="466"/>
      <c r="M167" s="334"/>
      <c r="P167" s="337"/>
      <c r="Q167" s="398"/>
      <c r="R167" s="398"/>
      <c r="X167" s="322"/>
    </row>
    <row r="168" spans="2:31" ht="13.5" customHeight="1" x14ac:dyDescent="0.25">
      <c r="B168" s="366" t="s">
        <v>409</v>
      </c>
      <c r="C168" s="332"/>
      <c r="D168" s="325"/>
      <c r="E168" s="325"/>
      <c r="F168" s="325"/>
      <c r="G168" s="324"/>
      <c r="H168" s="333"/>
      <c r="I168" s="325"/>
      <c r="J168" s="334"/>
      <c r="K168" s="336"/>
      <c r="L168" s="466"/>
      <c r="M168" s="334"/>
      <c r="P168" s="337"/>
      <c r="Q168" s="398"/>
      <c r="R168" s="398"/>
      <c r="X168" s="322"/>
    </row>
    <row r="169" spans="2:31" ht="13.5" customHeight="1" x14ac:dyDescent="0.25">
      <c r="B169" s="324"/>
      <c r="C169" s="332" t="s">
        <v>375</v>
      </c>
      <c r="D169" s="325"/>
      <c r="E169" s="325"/>
      <c r="F169" s="325"/>
      <c r="G169" s="324"/>
      <c r="H169" s="333"/>
      <c r="I169" s="325"/>
      <c r="J169" s="334"/>
      <c r="K169" s="336" t="s">
        <v>20</v>
      </c>
      <c r="L169" s="613">
        <f>+INDEX($P169:$R169,1,Scenario)</f>
        <v>0.105</v>
      </c>
      <c r="M169" s="334"/>
      <c r="P169" s="679">
        <v>0.105</v>
      </c>
      <c r="Q169" s="402"/>
      <c r="R169" s="402"/>
      <c r="X169" s="322"/>
    </row>
    <row r="170" spans="2:31" ht="13.5" customHeight="1" x14ac:dyDescent="0.25">
      <c r="B170" s="324"/>
      <c r="C170" s="332"/>
      <c r="D170" s="325"/>
      <c r="E170" s="325"/>
      <c r="F170" s="325"/>
      <c r="G170" s="324"/>
      <c r="H170" s="333"/>
      <c r="I170" s="325"/>
      <c r="J170" s="334"/>
      <c r="K170" s="336"/>
      <c r="L170" s="614"/>
      <c r="M170" s="334"/>
      <c r="P170" s="353"/>
      <c r="Q170" s="407"/>
      <c r="R170" s="407"/>
      <c r="X170" s="322"/>
    </row>
    <row r="172" spans="2:31" ht="15.75" x14ac:dyDescent="0.25">
      <c r="B172" s="323"/>
      <c r="C172" s="323" t="s">
        <v>281</v>
      </c>
      <c r="D172" s="323"/>
      <c r="E172" s="323"/>
      <c r="F172" s="323"/>
      <c r="G172" s="323"/>
      <c r="H172" s="323"/>
      <c r="I172" s="323"/>
      <c r="J172" s="323"/>
      <c r="K172" s="323"/>
      <c r="L172" s="323"/>
      <c r="M172" s="323"/>
    </row>
    <row r="173" spans="2:31" ht="13.5" thickBot="1" x14ac:dyDescent="0.25">
      <c r="B173" s="324"/>
      <c r="C173" s="324"/>
      <c r="D173" s="325"/>
      <c r="E173" s="325"/>
      <c r="F173" s="325"/>
      <c r="G173" s="324"/>
      <c r="H173" s="324"/>
      <c r="I173" s="325"/>
      <c r="J173" s="325"/>
      <c r="K173" s="329"/>
      <c r="L173" s="325"/>
      <c r="M173" s="325"/>
    </row>
    <row r="174" spans="2:31" ht="13.5" thickBot="1" x14ac:dyDescent="0.25">
      <c r="B174" s="324"/>
      <c r="C174" s="349" t="s">
        <v>33</v>
      </c>
      <c r="D174" s="325"/>
      <c r="E174" s="325"/>
      <c r="F174" s="325"/>
      <c r="G174" s="324"/>
      <c r="H174" s="324"/>
      <c r="I174" s="325"/>
      <c r="J174" s="325"/>
      <c r="K174" s="329"/>
      <c r="L174" s="615">
        <f ca="1">+Acc!N66</f>
        <v>0</v>
      </c>
      <c r="M174" s="325"/>
    </row>
    <row r="175" spans="2:31" ht="13.5" thickBot="1" x14ac:dyDescent="0.25">
      <c r="B175" s="324"/>
      <c r="C175" s="333" t="s">
        <v>34</v>
      </c>
      <c r="D175" s="325"/>
      <c r="E175" s="325"/>
      <c r="F175" s="325"/>
      <c r="G175" s="324"/>
      <c r="H175" s="324"/>
      <c r="I175" s="325"/>
      <c r="J175" s="325"/>
      <c r="K175" s="329"/>
      <c r="L175" s="615">
        <f>+Acc!N100</f>
        <v>0</v>
      </c>
      <c r="M175" s="325"/>
    </row>
    <row r="176" spans="2:31" ht="13.5" thickBot="1" x14ac:dyDescent="0.25">
      <c r="B176" s="324"/>
      <c r="C176" s="349" t="s">
        <v>36</v>
      </c>
      <c r="D176" s="325"/>
      <c r="E176" s="325"/>
      <c r="F176" s="325"/>
      <c r="G176" s="324"/>
      <c r="H176" s="324"/>
      <c r="I176" s="325"/>
      <c r="J176" s="325"/>
      <c r="K176" s="329"/>
      <c r="L176" s="615">
        <f>IF(ROUND(AND(Fin!N26+Fin!N47+Fin!N58+Fin!N34+Fin!N58+Fin!N97+Fin!N141+Fin!N190),2)=0,0,1)</f>
        <v>0</v>
      </c>
      <c r="M176" s="325"/>
    </row>
    <row r="177" spans="2:13" ht="13.5" thickBot="1" x14ac:dyDescent="0.25">
      <c r="B177" s="324"/>
      <c r="C177" s="349" t="s">
        <v>38</v>
      </c>
      <c r="D177" s="325"/>
      <c r="E177" s="325"/>
      <c r="F177" s="325"/>
      <c r="G177" s="324"/>
      <c r="H177" s="324"/>
      <c r="I177" s="325"/>
      <c r="J177" s="325"/>
      <c r="K177" s="329"/>
      <c r="L177" s="615">
        <f ca="1">Tax!N50</f>
        <v>0</v>
      </c>
      <c r="M177" s="325"/>
    </row>
    <row r="178" spans="2:13" ht="13.5" thickBot="1" x14ac:dyDescent="0.25">
      <c r="B178" s="324"/>
      <c r="C178" s="349" t="s">
        <v>469</v>
      </c>
      <c r="D178" s="325"/>
      <c r="E178" s="325"/>
      <c r="F178" s="325"/>
      <c r="G178" s="324"/>
      <c r="H178" s="324"/>
      <c r="I178" s="325"/>
      <c r="J178" s="325"/>
      <c r="K178" s="329"/>
      <c r="L178" s="657">
        <f ca="1">+Tax!N78</f>
        <v>0</v>
      </c>
      <c r="M178" s="325"/>
    </row>
    <row r="179" spans="2:13" ht="13.5" thickBot="1" x14ac:dyDescent="0.25">
      <c r="B179" s="324"/>
      <c r="C179" s="349" t="s">
        <v>490</v>
      </c>
      <c r="D179" s="325"/>
      <c r="E179" s="325"/>
      <c r="F179" s="325"/>
      <c r="G179" s="324"/>
      <c r="H179" s="324"/>
      <c r="I179" s="325"/>
      <c r="J179" s="325"/>
      <c r="K179" s="329"/>
      <c r="L179" s="657">
        <f ca="1">+Tax!N32</f>
        <v>0</v>
      </c>
      <c r="M179" s="325"/>
    </row>
    <row r="180" spans="2:13" ht="13.5" thickBot="1" x14ac:dyDescent="0.25">
      <c r="B180" s="324"/>
      <c r="C180" s="349" t="s">
        <v>41</v>
      </c>
      <c r="D180" s="325"/>
      <c r="E180" s="325"/>
      <c r="F180" s="325"/>
      <c r="G180" s="324"/>
      <c r="H180" s="324"/>
      <c r="I180" s="325"/>
      <c r="J180" s="325"/>
      <c r="K180" s="329"/>
      <c r="L180" s="615">
        <f>+Fin!N309</f>
        <v>0</v>
      </c>
      <c r="M180" s="325"/>
    </row>
    <row r="181" spans="2:13" ht="13.5" thickBot="1" x14ac:dyDescent="0.25">
      <c r="B181" s="324"/>
      <c r="C181" s="349" t="s">
        <v>42</v>
      </c>
      <c r="D181" s="325"/>
      <c r="E181" s="325"/>
      <c r="F181" s="325"/>
      <c r="G181" s="324"/>
      <c r="H181" s="324"/>
      <c r="I181" s="325"/>
      <c r="J181" s="325"/>
      <c r="K181" s="329"/>
      <c r="L181" s="615">
        <f>+Fin!N278</f>
        <v>0</v>
      </c>
      <c r="M181" s="325"/>
    </row>
    <row r="182" spans="2:13" ht="13.5" thickBot="1" x14ac:dyDescent="0.25">
      <c r="B182" s="324"/>
      <c r="C182" s="349" t="s">
        <v>32</v>
      </c>
      <c r="D182" s="325"/>
      <c r="E182" s="325"/>
      <c r="F182" s="325"/>
      <c r="G182" s="324"/>
      <c r="H182" s="324"/>
      <c r="I182" s="325"/>
      <c r="J182" s="325"/>
      <c r="K182" s="329"/>
      <c r="L182" s="615">
        <f>+Fin!N253</f>
        <v>0</v>
      </c>
      <c r="M182" s="325"/>
    </row>
    <row r="183" spans="2:13" ht="13.5" thickBot="1" x14ac:dyDescent="0.25">
      <c r="B183" s="324"/>
      <c r="C183" s="329" t="s">
        <v>311</v>
      </c>
      <c r="D183" s="325"/>
      <c r="E183" s="325"/>
      <c r="F183" s="325"/>
      <c r="G183" s="324"/>
      <c r="H183" s="324"/>
      <c r="I183" s="325"/>
      <c r="J183" s="325"/>
      <c r="K183" s="329"/>
      <c r="L183" s="615">
        <f>Fin!N319</f>
        <v>0</v>
      </c>
      <c r="M183" s="325"/>
    </row>
    <row r="184" spans="2:13" ht="13.5" thickBot="1" x14ac:dyDescent="0.25">
      <c r="B184" s="324"/>
      <c r="C184" s="329" t="s">
        <v>317</v>
      </c>
      <c r="D184" s="325"/>
      <c r="E184" s="325"/>
      <c r="F184" s="325"/>
      <c r="G184" s="324"/>
      <c r="H184" s="324"/>
      <c r="I184" s="325"/>
      <c r="J184" s="325"/>
      <c r="K184" s="329"/>
      <c r="L184" s="615">
        <f>Fin!N293</f>
        <v>0</v>
      </c>
      <c r="M184" s="325"/>
    </row>
    <row r="185" spans="2:13" ht="13.5" thickBot="1" x14ac:dyDescent="0.25">
      <c r="B185" s="324"/>
      <c r="C185" s="349" t="s">
        <v>43</v>
      </c>
      <c r="D185" s="325"/>
      <c r="E185" s="325"/>
      <c r="F185" s="325"/>
      <c r="G185" s="324"/>
      <c r="H185" s="324"/>
      <c r="I185" s="325"/>
      <c r="J185" s="325"/>
      <c r="K185" s="329"/>
      <c r="L185" s="615">
        <f>+CF!N57</f>
        <v>0</v>
      </c>
      <c r="M185" s="325"/>
    </row>
    <row r="186" spans="2:13" ht="13.5" thickBot="1" x14ac:dyDescent="0.25">
      <c r="B186" s="324"/>
      <c r="C186" s="349" t="s">
        <v>44</v>
      </c>
      <c r="D186" s="325"/>
      <c r="E186" s="325"/>
      <c r="F186" s="325"/>
      <c r="G186" s="324"/>
      <c r="H186" s="324"/>
      <c r="I186" s="325"/>
      <c r="J186" s="325"/>
      <c r="K186" s="329"/>
      <c r="L186" s="615">
        <f>IF(Mac!$M$21 = "OK",0,1)</f>
        <v>0</v>
      </c>
      <c r="M186" s="325"/>
    </row>
    <row r="187" spans="2:13" x14ac:dyDescent="0.2">
      <c r="B187" s="324"/>
      <c r="C187" s="324"/>
      <c r="D187" s="325"/>
      <c r="E187" s="325"/>
      <c r="F187" s="325"/>
      <c r="G187" s="324"/>
      <c r="H187" s="324"/>
      <c r="I187" s="325"/>
      <c r="J187" s="325"/>
      <c r="K187" s="329"/>
      <c r="L187" s="362"/>
      <c r="M187" s="325"/>
    </row>
    <row r="188" spans="2:13" x14ac:dyDescent="0.2">
      <c r="L188" s="355"/>
    </row>
    <row r="189" spans="2:13" ht="15.75" x14ac:dyDescent="0.25">
      <c r="C189" s="323" t="s">
        <v>455</v>
      </c>
      <c r="D189" s="323"/>
      <c r="E189" s="323"/>
      <c r="F189" s="323"/>
      <c r="G189" s="323"/>
      <c r="H189" s="323"/>
      <c r="I189" s="323"/>
      <c r="J189" s="323"/>
      <c r="K189" s="323"/>
      <c r="L189" s="323">
        <v>2017</v>
      </c>
      <c r="M189" s="323"/>
    </row>
    <row r="191" spans="2:13" ht="15.75" x14ac:dyDescent="0.25">
      <c r="B191" s="350" t="s">
        <v>387</v>
      </c>
    </row>
    <row r="192" spans="2:13" x14ac:dyDescent="0.2">
      <c r="B192" s="324"/>
      <c r="C192" s="368"/>
      <c r="D192" s="362"/>
      <c r="E192" s="362"/>
      <c r="F192" s="362"/>
      <c r="G192" s="369"/>
      <c r="H192" s="369"/>
      <c r="I192" s="362"/>
      <c r="J192" s="362"/>
      <c r="K192" s="360"/>
      <c r="L192" s="362"/>
      <c r="M192" s="325"/>
    </row>
    <row r="193" spans="2:31" x14ac:dyDescent="0.2">
      <c r="B193" s="324"/>
      <c r="C193" s="370" t="s">
        <v>89</v>
      </c>
      <c r="D193" s="370"/>
      <c r="E193" s="370"/>
      <c r="F193" s="371"/>
      <c r="G193" s="372"/>
      <c r="H193" s="372"/>
      <c r="I193" s="371"/>
      <c r="J193" s="371"/>
      <c r="K193" s="373"/>
      <c r="L193" s="374">
        <f>SUM(L194:L199)</f>
        <v>155265.09135022902</v>
      </c>
      <c r="M193" s="325"/>
    </row>
    <row r="194" spans="2:31" x14ac:dyDescent="0.2">
      <c r="B194" s="324"/>
      <c r="C194" s="375" t="s">
        <v>32</v>
      </c>
      <c r="D194" s="324"/>
      <c r="E194" s="324"/>
      <c r="F194" s="362"/>
      <c r="G194" s="369"/>
      <c r="H194" s="369"/>
      <c r="I194" s="362"/>
      <c r="J194" s="362"/>
      <c r="K194" s="360"/>
      <c r="L194" s="356">
        <v>20000</v>
      </c>
      <c r="M194" s="325"/>
    </row>
    <row r="195" spans="2:31" x14ac:dyDescent="0.2">
      <c r="B195" s="324"/>
      <c r="C195" s="375" t="s">
        <v>42</v>
      </c>
      <c r="D195" s="324"/>
      <c r="E195" s="324"/>
      <c r="F195" s="362"/>
      <c r="G195" s="369"/>
      <c r="H195" s="369"/>
      <c r="I195" s="362"/>
      <c r="J195" s="362"/>
      <c r="K195" s="360"/>
      <c r="L195" s="356">
        <v>40000</v>
      </c>
      <c r="M195" s="325"/>
    </row>
    <row r="196" spans="2:31" x14ac:dyDescent="0.2">
      <c r="B196" s="324"/>
      <c r="C196" s="376" t="s">
        <v>311</v>
      </c>
      <c r="D196" s="324"/>
      <c r="E196" s="324"/>
      <c r="F196" s="362"/>
      <c r="G196" s="369"/>
      <c r="H196" s="369"/>
      <c r="I196" s="362"/>
      <c r="J196" s="362"/>
      <c r="K196" s="360"/>
      <c r="L196" s="356">
        <v>2883.7478702290005</v>
      </c>
      <c r="M196" s="325"/>
    </row>
    <row r="197" spans="2:31" x14ac:dyDescent="0.2">
      <c r="B197" s="324"/>
      <c r="C197" s="376" t="s">
        <v>315</v>
      </c>
      <c r="D197" s="324"/>
      <c r="E197" s="324"/>
      <c r="F197" s="362"/>
      <c r="G197" s="369"/>
      <c r="H197" s="369"/>
      <c r="I197" s="362"/>
      <c r="J197" s="362"/>
      <c r="K197" s="360"/>
      <c r="L197" s="356">
        <v>0</v>
      </c>
      <c r="M197" s="325"/>
    </row>
    <row r="198" spans="2:31" x14ac:dyDescent="0.2">
      <c r="B198" s="324"/>
      <c r="C198" s="375" t="s">
        <v>74</v>
      </c>
      <c r="D198" s="324"/>
      <c r="E198" s="324"/>
      <c r="F198" s="362"/>
      <c r="G198" s="369"/>
      <c r="H198" s="369"/>
      <c r="I198" s="362"/>
      <c r="J198" s="362"/>
      <c r="K198" s="360"/>
      <c r="L198" s="356">
        <v>92381.343480000025</v>
      </c>
      <c r="M198" s="325"/>
    </row>
    <row r="199" spans="2:31" x14ac:dyDescent="0.2">
      <c r="B199" s="324"/>
      <c r="C199" s="375" t="s">
        <v>90</v>
      </c>
      <c r="D199" s="324"/>
      <c r="E199" s="324"/>
      <c r="F199" s="362"/>
      <c r="G199" s="369"/>
      <c r="H199" s="369"/>
      <c r="I199" s="362"/>
      <c r="J199" s="362"/>
      <c r="K199" s="360"/>
      <c r="L199" s="356">
        <v>0</v>
      </c>
      <c r="M199" s="325"/>
    </row>
    <row r="200" spans="2:31" x14ac:dyDescent="0.2">
      <c r="B200" s="324"/>
      <c r="C200" s="189"/>
      <c r="D200" s="324"/>
      <c r="E200" s="324"/>
      <c r="F200" s="362"/>
      <c r="G200" s="369"/>
      <c r="H200" s="369"/>
      <c r="I200" s="362"/>
      <c r="J200" s="362"/>
      <c r="K200" s="360"/>
      <c r="L200" s="362"/>
      <c r="M200" s="325"/>
    </row>
    <row r="201" spans="2:31" x14ac:dyDescent="0.2">
      <c r="B201" s="324"/>
      <c r="C201" s="324"/>
      <c r="D201" s="324"/>
      <c r="E201" s="324"/>
      <c r="F201" s="362"/>
      <c r="G201" s="369"/>
      <c r="H201" s="369"/>
      <c r="I201" s="362"/>
      <c r="J201" s="362"/>
      <c r="K201" s="360"/>
      <c r="L201" s="362"/>
      <c r="M201" s="325"/>
    </row>
    <row r="202" spans="2:31" x14ac:dyDescent="0.2">
      <c r="B202" s="324"/>
      <c r="C202" s="370" t="s">
        <v>91</v>
      </c>
      <c r="D202" s="370"/>
      <c r="E202" s="370"/>
      <c r="F202" s="371"/>
      <c r="G202" s="372"/>
      <c r="H202" s="372"/>
      <c r="I202" s="371"/>
      <c r="J202" s="371"/>
      <c r="K202" s="373"/>
      <c r="L202" s="374">
        <f t="shared" ref="L202" si="12">SUM(L203:L203)</f>
        <v>1310779.8207709049</v>
      </c>
      <c r="M202" s="325"/>
    </row>
    <row r="203" spans="2:31" x14ac:dyDescent="0.2">
      <c r="B203" s="324"/>
      <c r="C203" s="375" t="s">
        <v>412</v>
      </c>
      <c r="D203" s="324"/>
      <c r="E203" s="324"/>
      <c r="F203" s="362"/>
      <c r="G203" s="377"/>
      <c r="H203" s="377"/>
      <c r="I203" s="362"/>
      <c r="J203" s="362"/>
      <c r="K203" s="360"/>
      <c r="L203" s="356">
        <v>1310779.8207709049</v>
      </c>
      <c r="M203" s="325"/>
    </row>
    <row r="204" spans="2:31" s="380" customFormat="1" x14ac:dyDescent="0.2">
      <c r="B204" s="378"/>
      <c r="C204" s="378"/>
      <c r="D204" s="378"/>
      <c r="E204" s="378"/>
      <c r="F204" s="362"/>
      <c r="G204" s="369"/>
      <c r="H204" s="369"/>
      <c r="I204" s="362"/>
      <c r="J204" s="362"/>
      <c r="K204" s="360"/>
      <c r="L204" s="362"/>
      <c r="M204" s="325"/>
      <c r="N204" s="379"/>
      <c r="O204" s="309"/>
      <c r="P204" s="379"/>
      <c r="Q204" s="392"/>
      <c r="R204" s="409"/>
      <c r="S204" s="299"/>
      <c r="T204" s="379"/>
      <c r="U204" s="379"/>
      <c r="V204" s="379"/>
      <c r="W204" s="300"/>
      <c r="X204" s="300"/>
      <c r="Y204" s="301"/>
      <c r="Z204" s="301"/>
      <c r="AA204" s="301"/>
      <c r="AB204" s="301"/>
      <c r="AC204" s="301"/>
      <c r="AD204" s="301"/>
      <c r="AE204" s="301"/>
    </row>
    <row r="205" spans="2:31" x14ac:dyDescent="0.2">
      <c r="B205" s="324"/>
      <c r="C205" s="381" t="s">
        <v>93</v>
      </c>
      <c r="D205" s="381"/>
      <c r="E205" s="381"/>
      <c r="F205" s="381"/>
      <c r="G205" s="381"/>
      <c r="H205" s="381"/>
      <c r="I205" s="381"/>
      <c r="J205" s="381"/>
      <c r="K205" s="381"/>
      <c r="L205" s="677">
        <f>+L202+L193</f>
        <v>1466044.9121211339</v>
      </c>
      <c r="M205" s="325"/>
    </row>
    <row r="206" spans="2:31" x14ac:dyDescent="0.2">
      <c r="B206" s="324"/>
      <c r="C206" s="324"/>
      <c r="D206" s="324"/>
      <c r="E206" s="324"/>
      <c r="F206" s="362"/>
      <c r="G206" s="377"/>
      <c r="H206" s="377"/>
      <c r="I206" s="362"/>
      <c r="J206" s="362"/>
      <c r="K206" s="360"/>
      <c r="L206" s="362"/>
      <c r="M206" s="325"/>
    </row>
    <row r="207" spans="2:31" x14ac:dyDescent="0.2">
      <c r="B207" s="324"/>
      <c r="C207" s="324"/>
      <c r="D207" s="325"/>
      <c r="E207" s="325"/>
      <c r="F207" s="325"/>
      <c r="G207" s="324"/>
      <c r="H207" s="324"/>
      <c r="I207" s="325"/>
      <c r="J207" s="325"/>
      <c r="K207" s="329"/>
      <c r="L207" s="325"/>
      <c r="M207" s="325"/>
    </row>
    <row r="208" spans="2:31" x14ac:dyDescent="0.2">
      <c r="B208" s="324"/>
      <c r="C208" s="324"/>
      <c r="D208" s="325"/>
      <c r="E208" s="325"/>
      <c r="F208" s="325"/>
      <c r="G208" s="324"/>
      <c r="H208" s="324"/>
      <c r="I208" s="325"/>
      <c r="J208" s="325"/>
      <c r="K208" s="329"/>
      <c r="L208" s="325"/>
      <c r="M208" s="325"/>
    </row>
    <row r="209" spans="2:14" x14ac:dyDescent="0.2">
      <c r="B209" s="324"/>
      <c r="C209" s="370" t="s">
        <v>94</v>
      </c>
      <c r="D209" s="370"/>
      <c r="E209" s="370"/>
      <c r="F209" s="371"/>
      <c r="G209" s="372"/>
      <c r="H209" s="372"/>
      <c r="I209" s="371"/>
      <c r="J209" s="371"/>
      <c r="K209" s="373"/>
      <c r="L209" s="374">
        <f t="shared" ref="L209" si="13">SUM(L210:L211)</f>
        <v>272070.49901000003</v>
      </c>
      <c r="M209" s="325"/>
    </row>
    <row r="210" spans="2:14" x14ac:dyDescent="0.2">
      <c r="B210" s="324"/>
      <c r="C210" s="324" t="s">
        <v>95</v>
      </c>
      <c r="D210" s="325"/>
      <c r="E210" s="325"/>
      <c r="F210" s="325"/>
      <c r="G210" s="324"/>
      <c r="H210" s="324"/>
      <c r="I210" s="325"/>
      <c r="J210" s="325"/>
      <c r="K210" s="329"/>
      <c r="L210" s="382">
        <v>426255.96098999999</v>
      </c>
      <c r="M210" s="325"/>
    </row>
    <row r="211" spans="2:14" x14ac:dyDescent="0.2">
      <c r="B211" s="324"/>
      <c r="C211" s="375" t="s">
        <v>96</v>
      </c>
      <c r="D211" s="324"/>
      <c r="E211" s="324"/>
      <c r="F211" s="362"/>
      <c r="G211" s="377"/>
      <c r="H211" s="377"/>
      <c r="I211" s="362"/>
      <c r="J211" s="362"/>
      <c r="K211" s="360"/>
      <c r="L211" s="382">
        <v>-154185.46197999999</v>
      </c>
      <c r="M211" s="325"/>
    </row>
    <row r="212" spans="2:14" x14ac:dyDescent="0.2">
      <c r="B212" s="324"/>
      <c r="C212" s="324"/>
      <c r="D212" s="324"/>
      <c r="E212" s="324"/>
      <c r="F212" s="362"/>
      <c r="G212" s="377"/>
      <c r="H212" s="377"/>
      <c r="I212" s="362"/>
      <c r="J212" s="362"/>
      <c r="K212" s="360"/>
      <c r="L212" s="362"/>
      <c r="M212" s="325"/>
    </row>
    <row r="213" spans="2:14" x14ac:dyDescent="0.2">
      <c r="B213" s="324"/>
      <c r="C213" s="324"/>
      <c r="D213" s="324"/>
      <c r="E213" s="324"/>
      <c r="F213" s="362"/>
      <c r="G213" s="377"/>
      <c r="H213" s="377"/>
      <c r="I213" s="362"/>
      <c r="J213" s="362"/>
      <c r="K213" s="360"/>
      <c r="L213" s="362"/>
      <c r="M213" s="325"/>
    </row>
    <row r="214" spans="2:14" x14ac:dyDescent="0.2">
      <c r="B214" s="324"/>
      <c r="C214" s="370" t="s">
        <v>97</v>
      </c>
      <c r="D214" s="370"/>
      <c r="E214" s="370"/>
      <c r="F214" s="371"/>
      <c r="G214" s="372"/>
      <c r="H214" s="372"/>
      <c r="I214" s="371"/>
      <c r="J214" s="371"/>
      <c r="K214" s="373"/>
      <c r="L214" s="374">
        <f t="shared" ref="L214" si="14">SUM(L215:L218)</f>
        <v>1193974.4131109053</v>
      </c>
      <c r="M214" s="325"/>
    </row>
    <row r="215" spans="2:14" x14ac:dyDescent="0.2">
      <c r="B215" s="324"/>
      <c r="C215" s="375"/>
      <c r="D215" s="324"/>
      <c r="E215" s="324"/>
      <c r="F215" s="362"/>
      <c r="G215" s="377"/>
      <c r="H215" s="377"/>
      <c r="I215" s="362"/>
      <c r="J215" s="362"/>
      <c r="K215" s="360"/>
      <c r="L215" s="362"/>
      <c r="M215" s="325"/>
    </row>
    <row r="216" spans="2:14" x14ac:dyDescent="0.2">
      <c r="B216" s="324"/>
      <c r="C216" s="375" t="s">
        <v>99</v>
      </c>
      <c r="D216" s="324"/>
      <c r="E216" s="324"/>
      <c r="F216" s="362"/>
      <c r="G216" s="377"/>
      <c r="H216" s="377"/>
      <c r="I216" s="362"/>
      <c r="J216" s="362"/>
      <c r="K216" s="360"/>
      <c r="L216" s="356">
        <v>400000</v>
      </c>
      <c r="M216" s="325"/>
    </row>
    <row r="217" spans="2:14" x14ac:dyDescent="0.2">
      <c r="B217" s="324"/>
      <c r="C217" s="375" t="s">
        <v>100</v>
      </c>
      <c r="D217" s="324"/>
      <c r="E217" s="324"/>
      <c r="F217" s="362"/>
      <c r="G217" s="377"/>
      <c r="H217" s="377"/>
      <c r="I217" s="362"/>
      <c r="J217" s="362"/>
      <c r="K217" s="360"/>
      <c r="L217" s="356">
        <f>+Fin!R141</f>
        <v>793974.41311090544</v>
      </c>
      <c r="M217" s="325"/>
    </row>
    <row r="218" spans="2:14" x14ac:dyDescent="0.2">
      <c r="B218" s="324"/>
      <c r="C218" s="375"/>
      <c r="D218" s="324"/>
      <c r="E218" s="324"/>
      <c r="F218" s="362"/>
      <c r="G218" s="377"/>
      <c r="H218" s="377"/>
      <c r="I218" s="362"/>
      <c r="J218" s="362"/>
      <c r="K218" s="360"/>
      <c r="L218" s="362"/>
      <c r="M218" s="325"/>
    </row>
    <row r="219" spans="2:14" x14ac:dyDescent="0.2">
      <c r="B219" s="324"/>
      <c r="C219" s="324"/>
      <c r="D219" s="324"/>
      <c r="E219" s="324"/>
      <c r="F219" s="362"/>
      <c r="G219" s="377"/>
      <c r="H219" s="377"/>
      <c r="I219" s="362"/>
      <c r="J219" s="362"/>
      <c r="K219" s="360"/>
      <c r="L219" s="362"/>
      <c r="M219" s="325"/>
    </row>
    <row r="220" spans="2:14" x14ac:dyDescent="0.2">
      <c r="B220" s="324"/>
      <c r="C220" s="381" t="s">
        <v>102</v>
      </c>
      <c r="D220" s="381"/>
      <c r="E220" s="381"/>
      <c r="F220" s="381"/>
      <c r="G220" s="381"/>
      <c r="H220" s="381"/>
      <c r="I220" s="381"/>
      <c r="J220" s="381"/>
      <c r="K220" s="381"/>
      <c r="L220" s="677">
        <f t="shared" ref="L220" si="15">+L214+L209</f>
        <v>1466044.9121209052</v>
      </c>
      <c r="M220" s="383"/>
    </row>
    <row r="221" spans="2:14" x14ac:dyDescent="0.2">
      <c r="B221" s="324"/>
      <c r="C221" s="377"/>
      <c r="D221" s="362"/>
      <c r="E221" s="362"/>
      <c r="F221" s="362"/>
      <c r="G221" s="377"/>
      <c r="H221" s="377"/>
      <c r="I221" s="362"/>
      <c r="J221" s="362"/>
      <c r="K221" s="360"/>
      <c r="L221" s="678">
        <f>ROUND(L220-L205,0)</f>
        <v>0</v>
      </c>
      <c r="M221" s="325"/>
    </row>
    <row r="222" spans="2:14" x14ac:dyDescent="0.2">
      <c r="B222" s="324"/>
      <c r="C222" s="324"/>
      <c r="D222" s="325"/>
      <c r="E222" s="325"/>
      <c r="F222" s="325"/>
      <c r="G222" s="324"/>
      <c r="H222" s="324"/>
      <c r="I222" s="325"/>
      <c r="J222" s="325"/>
      <c r="K222" s="329"/>
      <c r="L222" s="325"/>
      <c r="M222" s="325"/>
    </row>
    <row r="223" spans="2:14" x14ac:dyDescent="0.2">
      <c r="B223" s="324"/>
      <c r="C223" s="324"/>
      <c r="D223" s="325"/>
      <c r="E223" s="325"/>
      <c r="F223" s="325"/>
      <c r="G223" s="324"/>
      <c r="H223" s="324"/>
      <c r="I223" s="325"/>
      <c r="J223" s="325"/>
      <c r="K223" s="329"/>
      <c r="L223" s="325"/>
      <c r="M223" s="325"/>
      <c r="N223" s="210"/>
    </row>
    <row r="224" spans="2:14" x14ac:dyDescent="0.2">
      <c r="B224" s="324"/>
      <c r="C224" s="324"/>
      <c r="D224" s="325"/>
      <c r="E224" s="325"/>
      <c r="F224" s="325"/>
      <c r="G224" s="324"/>
      <c r="H224" s="324"/>
      <c r="I224" s="325"/>
      <c r="J224" s="325"/>
      <c r="K224" s="329"/>
      <c r="L224" s="325"/>
      <c r="M224" s="325"/>
    </row>
    <row r="225" spans="2:13" x14ac:dyDescent="0.2">
      <c r="B225" s="324"/>
      <c r="C225" s="375" t="s">
        <v>38</v>
      </c>
      <c r="D225" s="324"/>
      <c r="E225" s="324"/>
      <c r="F225" s="362"/>
      <c r="G225" s="377"/>
      <c r="H225" s="377"/>
      <c r="I225" s="362"/>
      <c r="J225" s="362"/>
      <c r="K225" s="360"/>
      <c r="L225" s="356">
        <v>-86664.336596297653</v>
      </c>
      <c r="M225" s="325"/>
    </row>
    <row r="226" spans="2:13" x14ac:dyDescent="0.2">
      <c r="B226" s="324"/>
      <c r="C226" s="375"/>
      <c r="D226" s="324"/>
      <c r="E226" s="324"/>
      <c r="F226" s="362"/>
      <c r="G226" s="377"/>
      <c r="H226" s="377"/>
      <c r="I226" s="362"/>
      <c r="J226" s="362"/>
      <c r="K226" s="360"/>
      <c r="L226" s="616"/>
      <c r="M226" s="325"/>
    </row>
    <row r="227" spans="2:13" x14ac:dyDescent="0.2">
      <c r="B227" s="324"/>
      <c r="C227" s="381" t="s">
        <v>413</v>
      </c>
      <c r="D227" s="381"/>
      <c r="E227" s="381"/>
      <c r="F227" s="381"/>
      <c r="G227" s="381"/>
      <c r="H227" s="381"/>
      <c r="I227" s="381"/>
      <c r="J227" s="381"/>
      <c r="K227" s="381"/>
      <c r="L227" s="677">
        <v>567430.44024741137</v>
      </c>
      <c r="M227" s="325"/>
    </row>
    <row r="228" spans="2:13" x14ac:dyDescent="0.2">
      <c r="B228" s="324"/>
      <c r="C228" s="324"/>
      <c r="D228" s="325"/>
      <c r="E228" s="325"/>
      <c r="F228" s="325"/>
      <c r="G228" s="324"/>
      <c r="H228" s="324"/>
      <c r="I228" s="325"/>
      <c r="J228" s="325"/>
      <c r="K228" s="329"/>
      <c r="L228" s="325"/>
      <c r="M228" s="325"/>
    </row>
  </sheetData>
  <sheetProtection algorithmName="SHA-512" hashValue="9gxxUqtjcZy3Zxy1KNJKIVdbuCfeQ/evG47NjZRReCTXOYlkKJIYnFOvjckS5TDN8UNC9kQk8JmO7zWytpt2hA==" saltValue="+lBre65nXkYmz7qgGwSZtg==" spinCount="100000" sheet="1" objects="1" scenarios="1"/>
  <customSheetViews>
    <customSheetView guid="{A171ABFC-BD20-4BE9-8F97-F532286F0C2D}" scale="85" showGridLines="0" hiddenColumns="1">
      <pane xSplit="14" ySplit="9" topLeftCell="O73" activePane="bottomRight" state="frozen"/>
      <selection pane="bottomRight" activeCell="H100" sqref="H100"/>
      <pageMargins left="0.75" right="0.75" top="1" bottom="1" header="0.5" footer="0.5"/>
      <pageSetup paperSize="9" orientation="portrait" r:id="rId1"/>
      <headerFooter alignWithMargins="0"/>
    </customSheetView>
    <customSheetView guid="{5F88CBE0-3291-4A41-996B-A8A1DC273A84}" scale="85" showGridLines="0" hiddenColumns="1">
      <pane xSplit="14" ySplit="9" topLeftCell="O125" activePane="bottomRight" state="frozen"/>
      <selection pane="bottomRight" activeCell="L149" sqref="L149"/>
      <pageMargins left="0.75" right="0.75" top="1" bottom="1" header="0.5" footer="0.5"/>
      <pageSetup paperSize="9" orientation="portrait" r:id="rId2"/>
      <headerFooter alignWithMargins="0"/>
    </customSheetView>
  </customSheetViews>
  <phoneticPr fontId="4" type="noConversion"/>
  <conditionalFormatting sqref="L15 L151 L33 L45 L57">
    <cfRule type="cellIs" dxfId="138" priority="500" stopIfTrue="1" operator="lessThan">
      <formula>0</formula>
    </cfRule>
  </conditionalFormatting>
  <conditionalFormatting sqref="G4 L174:L186">
    <cfRule type="cellIs" dxfId="137" priority="501" stopIfTrue="1" operator="equal">
      <formula>0</formula>
    </cfRule>
    <cfRule type="cellIs" dxfId="136" priority="502" stopIfTrue="1" operator="equal">
      <formula>1</formula>
    </cfRule>
  </conditionalFormatting>
  <conditionalFormatting sqref="L14">
    <cfRule type="cellIs" dxfId="135" priority="462" stopIfTrue="1" operator="lessThan">
      <formula>0</formula>
    </cfRule>
  </conditionalFormatting>
  <conditionalFormatting sqref="P9 Q154:R154 R153 P45:P54 P57:P69 P73 P33:P42">
    <cfRule type="expression" dxfId="134" priority="375" stopIfTrue="1">
      <formula>$L$5=P$7</formula>
    </cfRule>
  </conditionalFormatting>
  <conditionalFormatting sqref="P14:P15">
    <cfRule type="expression" dxfId="133" priority="360" stopIfTrue="1">
      <formula>$L$5=P$7</formula>
    </cfRule>
  </conditionalFormatting>
  <conditionalFormatting sqref="L137:L138">
    <cfRule type="cellIs" dxfId="132" priority="255" stopIfTrue="1" operator="lessThan">
      <formula>0</formula>
    </cfRule>
  </conditionalFormatting>
  <conditionalFormatting sqref="L98:L99">
    <cfRule type="cellIs" dxfId="131" priority="254" stopIfTrue="1" operator="lessThan">
      <formula>0</formula>
    </cfRule>
  </conditionalFormatting>
  <conditionalFormatting sqref="L16">
    <cfRule type="cellIs" dxfId="130" priority="241" stopIfTrue="1" operator="lessThan">
      <formula>0</formula>
    </cfRule>
  </conditionalFormatting>
  <conditionalFormatting sqref="P16:P17">
    <cfRule type="expression" dxfId="129" priority="240" stopIfTrue="1">
      <formula>$L$5=P$7</formula>
    </cfRule>
  </conditionalFormatting>
  <conditionalFormatting sqref="P86">
    <cfRule type="expression" dxfId="128" priority="234" stopIfTrue="1">
      <formula>$L$5=P$7</formula>
    </cfRule>
  </conditionalFormatting>
  <conditionalFormatting sqref="P77">
    <cfRule type="expression" dxfId="127" priority="231" stopIfTrue="1">
      <formula>$L$5=P$7</formula>
    </cfRule>
  </conditionalFormatting>
  <conditionalFormatting sqref="P87:P88">
    <cfRule type="expression" dxfId="126" priority="230" stopIfTrue="1">
      <formula>$L$5=P$7</formula>
    </cfRule>
  </conditionalFormatting>
  <conditionalFormatting sqref="Q33:R42 Q45:R54 Q57:R69 Q73:R73">
    <cfRule type="expression" dxfId="125" priority="226" stopIfTrue="1">
      <formula>$L$5=Q$7</formula>
    </cfRule>
  </conditionalFormatting>
  <conditionalFormatting sqref="Q14:Q15">
    <cfRule type="expression" dxfId="124" priority="225" stopIfTrue="1">
      <formula>$L$5=Q$7</formula>
    </cfRule>
  </conditionalFormatting>
  <conditionalFormatting sqref="Q139 Q141:Q142">
    <cfRule type="expression" dxfId="123" priority="222" stopIfTrue="1">
      <formula>$L$5=Q$7</formula>
    </cfRule>
  </conditionalFormatting>
  <conditionalFormatting sqref="Q135:Q136">
    <cfRule type="expression" dxfId="122" priority="221" stopIfTrue="1">
      <formula>$L$5=Q$7</formula>
    </cfRule>
  </conditionalFormatting>
  <conditionalFormatting sqref="Q137">
    <cfRule type="expression" dxfId="121" priority="220" stopIfTrue="1">
      <formula>$L$5=Q$7</formula>
    </cfRule>
  </conditionalFormatting>
  <conditionalFormatting sqref="Q138">
    <cfRule type="expression" dxfId="120" priority="219" stopIfTrue="1">
      <formula>$L$5=Q$7</formula>
    </cfRule>
  </conditionalFormatting>
  <conditionalFormatting sqref="Q146">
    <cfRule type="expression" dxfId="119" priority="216" stopIfTrue="1">
      <formula>$L$5=Q$7</formula>
    </cfRule>
  </conditionalFormatting>
  <conditionalFormatting sqref="Q151">
    <cfRule type="expression" dxfId="118" priority="215" stopIfTrue="1">
      <formula>$L$5=Q$7</formula>
    </cfRule>
  </conditionalFormatting>
  <conditionalFormatting sqref="Q145">
    <cfRule type="expression" dxfId="117" priority="212" stopIfTrue="1">
      <formula>$L$5=Q$7</formula>
    </cfRule>
  </conditionalFormatting>
  <conditionalFormatting sqref="Q86">
    <cfRule type="expression" dxfId="116" priority="211" stopIfTrue="1">
      <formula>$L$5=Q$7</formula>
    </cfRule>
  </conditionalFormatting>
  <conditionalFormatting sqref="Q77">
    <cfRule type="expression" dxfId="115" priority="208" stopIfTrue="1">
      <formula>$L$5=Q$7</formula>
    </cfRule>
  </conditionalFormatting>
  <conditionalFormatting sqref="Q87:Q88">
    <cfRule type="expression" dxfId="114" priority="207" stopIfTrue="1">
      <formula>$L$5=Q$7</formula>
    </cfRule>
  </conditionalFormatting>
  <conditionalFormatting sqref="R151">
    <cfRule type="expression" dxfId="113" priority="192" stopIfTrue="1">
      <formula>$L$5=R$7</formula>
    </cfRule>
  </conditionalFormatting>
  <conditionalFormatting sqref="Q140">
    <cfRule type="expression" dxfId="112" priority="134" stopIfTrue="1">
      <formula>$L$5=Q$7</formula>
    </cfRule>
  </conditionalFormatting>
  <conditionalFormatting sqref="P159">
    <cfRule type="expression" dxfId="111" priority="130" stopIfTrue="1">
      <formula>$L$5=P$7</formula>
    </cfRule>
  </conditionalFormatting>
  <conditionalFormatting sqref="Q159">
    <cfRule type="expression" dxfId="110" priority="129" stopIfTrue="1">
      <formula>$L$5=Q$7</formula>
    </cfRule>
  </conditionalFormatting>
  <conditionalFormatting sqref="P163">
    <cfRule type="expression" dxfId="109" priority="125" stopIfTrue="1">
      <formula>$L$5=P$7</formula>
    </cfRule>
  </conditionalFormatting>
  <conditionalFormatting sqref="Q163">
    <cfRule type="expression" dxfId="108" priority="124" stopIfTrue="1">
      <formula>$L$5=Q$7</formula>
    </cfRule>
  </conditionalFormatting>
  <conditionalFormatting sqref="P165">
    <cfRule type="expression" dxfId="107" priority="120" stopIfTrue="1">
      <formula>$L$5=P$7</formula>
    </cfRule>
  </conditionalFormatting>
  <conditionalFormatting sqref="Q165">
    <cfRule type="expression" dxfId="106" priority="119" stopIfTrue="1">
      <formula>$L$5=Q$7</formula>
    </cfRule>
  </conditionalFormatting>
  <conditionalFormatting sqref="P169">
    <cfRule type="expression" dxfId="105" priority="115" stopIfTrue="1">
      <formula>$L$5=P$7</formula>
    </cfRule>
  </conditionalFormatting>
  <conditionalFormatting sqref="P166">
    <cfRule type="expression" dxfId="104" priority="110" stopIfTrue="1">
      <formula>$L$5=P$7</formula>
    </cfRule>
  </conditionalFormatting>
  <conditionalFormatting sqref="Q166">
    <cfRule type="expression" dxfId="103" priority="109" stopIfTrue="1">
      <formula>$L$5=Q$7</formula>
    </cfRule>
  </conditionalFormatting>
  <conditionalFormatting sqref="P164">
    <cfRule type="expression" dxfId="102" priority="105" stopIfTrue="1">
      <formula>$L$5=P$7</formula>
    </cfRule>
  </conditionalFormatting>
  <conditionalFormatting sqref="Q164">
    <cfRule type="expression" dxfId="101" priority="104" stopIfTrue="1">
      <formula>$L$5=Q$7</formula>
    </cfRule>
  </conditionalFormatting>
  <conditionalFormatting sqref="L34:L42">
    <cfRule type="cellIs" dxfId="100" priority="77" stopIfTrue="1" operator="lessThan">
      <formula>0</formula>
    </cfRule>
  </conditionalFormatting>
  <conditionalFormatting sqref="L46:L56">
    <cfRule type="cellIs" dxfId="99" priority="75" stopIfTrue="1" operator="lessThan">
      <formula>0</formula>
    </cfRule>
  </conditionalFormatting>
  <conditionalFormatting sqref="L58:L68 L73">
    <cfRule type="cellIs" dxfId="98" priority="73" stopIfTrue="1" operator="lessThan">
      <formula>0</formula>
    </cfRule>
  </conditionalFormatting>
  <conditionalFormatting sqref="P20">
    <cfRule type="expression" dxfId="97" priority="67" stopIfTrue="1">
      <formula>$L$5=P$7</formula>
    </cfRule>
  </conditionalFormatting>
  <conditionalFormatting sqref="Q20">
    <cfRule type="expression" dxfId="96" priority="66" stopIfTrue="1">
      <formula>$L$5=Q$7</formula>
    </cfRule>
  </conditionalFormatting>
  <conditionalFormatting sqref="Q134">
    <cfRule type="expression" dxfId="95" priority="61" stopIfTrue="1">
      <formula>$L$5=Q$7</formula>
    </cfRule>
  </conditionalFormatting>
  <conditionalFormatting sqref="R9">
    <cfRule type="expression" dxfId="94" priority="56" stopIfTrue="1">
      <formula>$L$5=R$7</formula>
    </cfRule>
  </conditionalFormatting>
  <conditionalFormatting sqref="Q16:Q17">
    <cfRule type="expression" dxfId="93" priority="55" stopIfTrue="1">
      <formula>$L$5=Q$7</formula>
    </cfRule>
  </conditionalFormatting>
  <conditionalFormatting sqref="R14:R15">
    <cfRule type="expression" dxfId="92" priority="54" stopIfTrue="1">
      <formula>$L$5=R$7</formula>
    </cfRule>
  </conditionalFormatting>
  <conditionalFormatting sqref="R16:R17">
    <cfRule type="expression" dxfId="91" priority="53" stopIfTrue="1">
      <formula>$L$5=R$7</formula>
    </cfRule>
  </conditionalFormatting>
  <conditionalFormatting sqref="P21">
    <cfRule type="expression" dxfId="90" priority="52" stopIfTrue="1">
      <formula>$L$5=P$7</formula>
    </cfRule>
  </conditionalFormatting>
  <conditionalFormatting sqref="Q21">
    <cfRule type="expression" dxfId="89" priority="51" stopIfTrue="1">
      <formula>$L$5=Q$7</formula>
    </cfRule>
  </conditionalFormatting>
  <conditionalFormatting sqref="R20">
    <cfRule type="expression" dxfId="88" priority="50" stopIfTrue="1">
      <formula>$L$5=R$7</formula>
    </cfRule>
  </conditionalFormatting>
  <conditionalFormatting sqref="R21">
    <cfRule type="expression" dxfId="87" priority="49" stopIfTrue="1">
      <formula>$L$5=R$7</formula>
    </cfRule>
  </conditionalFormatting>
  <conditionalFormatting sqref="Q34:Q42">
    <cfRule type="expression" dxfId="86" priority="47" stopIfTrue="1">
      <formula>$L$5=Q$7</formula>
    </cfRule>
  </conditionalFormatting>
  <conditionalFormatting sqref="R77">
    <cfRule type="expression" dxfId="85" priority="43" stopIfTrue="1">
      <formula>$L$5=R$7</formula>
    </cfRule>
  </conditionalFormatting>
  <conditionalFormatting sqref="P79:P84">
    <cfRule type="expression" dxfId="84" priority="42" stopIfTrue="1">
      <formula>$L$5=P$7</formula>
    </cfRule>
  </conditionalFormatting>
  <conditionalFormatting sqref="Q79:Q84">
    <cfRule type="expression" dxfId="83" priority="41" stopIfTrue="1">
      <formula>$L$5=Q$7</formula>
    </cfRule>
  </conditionalFormatting>
  <conditionalFormatting sqref="R79:R84">
    <cfRule type="expression" dxfId="82" priority="40" stopIfTrue="1">
      <formula>$L$5=R$7</formula>
    </cfRule>
  </conditionalFormatting>
  <conditionalFormatting sqref="R86">
    <cfRule type="expression" dxfId="81" priority="39" stopIfTrue="1">
      <formula>$L$5=R$7</formula>
    </cfRule>
  </conditionalFormatting>
  <conditionalFormatting sqref="R87:R88">
    <cfRule type="expression" dxfId="80" priority="38" stopIfTrue="1">
      <formula>$L$5=R$7</formula>
    </cfRule>
  </conditionalFormatting>
  <conditionalFormatting sqref="R139 R141:R142">
    <cfRule type="expression" dxfId="79" priority="37" stopIfTrue="1">
      <formula>$L$5=R$7</formula>
    </cfRule>
  </conditionalFormatting>
  <conditionalFormatting sqref="R135:R136">
    <cfRule type="expression" dxfId="78" priority="36" stopIfTrue="1">
      <formula>$L$5=R$7</formula>
    </cfRule>
  </conditionalFormatting>
  <conditionalFormatting sqref="R137">
    <cfRule type="expression" dxfId="77" priority="35" stopIfTrue="1">
      <formula>$L$5=R$7</formula>
    </cfRule>
  </conditionalFormatting>
  <conditionalFormatting sqref="R138">
    <cfRule type="expression" dxfId="76" priority="34" stopIfTrue="1">
      <formula>$L$5=R$7</formula>
    </cfRule>
  </conditionalFormatting>
  <conditionalFormatting sqref="R140">
    <cfRule type="expression" dxfId="75" priority="33" stopIfTrue="1">
      <formula>$L$5=R$7</formula>
    </cfRule>
  </conditionalFormatting>
  <conditionalFormatting sqref="R134">
    <cfRule type="expression" dxfId="74" priority="32" stopIfTrue="1">
      <formula>$L$5=R$7</formula>
    </cfRule>
  </conditionalFormatting>
  <conditionalFormatting sqref="R146">
    <cfRule type="expression" dxfId="73" priority="31" stopIfTrue="1">
      <formula>$L$5=R$7</formula>
    </cfRule>
  </conditionalFormatting>
  <conditionalFormatting sqref="R145">
    <cfRule type="expression" dxfId="72" priority="30" stopIfTrue="1">
      <formula>$L$5=R$7</formula>
    </cfRule>
  </conditionalFormatting>
  <conditionalFormatting sqref="Q149:R149">
    <cfRule type="expression" dxfId="71" priority="29" stopIfTrue="1">
      <formula>$L$5=Q$7</formula>
    </cfRule>
  </conditionalFormatting>
  <conditionalFormatting sqref="R159">
    <cfRule type="expression" dxfId="70" priority="28" stopIfTrue="1">
      <formula>$L$5=R$7</formula>
    </cfRule>
  </conditionalFormatting>
  <conditionalFormatting sqref="R163">
    <cfRule type="expression" dxfId="69" priority="27" stopIfTrue="1">
      <formula>$L$5=R$7</formula>
    </cfRule>
  </conditionalFormatting>
  <conditionalFormatting sqref="R165">
    <cfRule type="expression" dxfId="68" priority="26" stopIfTrue="1">
      <formula>$L$5=R$7</formula>
    </cfRule>
  </conditionalFormatting>
  <conditionalFormatting sqref="R166">
    <cfRule type="expression" dxfId="67" priority="25" stopIfTrue="1">
      <formula>$L$5=R$7</formula>
    </cfRule>
  </conditionalFormatting>
  <conditionalFormatting sqref="R164">
    <cfRule type="expression" dxfId="66" priority="24" stopIfTrue="1">
      <formula>$L$5=R$7</formula>
    </cfRule>
  </conditionalFormatting>
  <conditionalFormatting sqref="Q169:R169">
    <cfRule type="expression" dxfId="65" priority="22" stopIfTrue="1">
      <formula>$L$5=Q$7</formula>
    </cfRule>
  </conditionalFormatting>
  <conditionalFormatting sqref="Q9">
    <cfRule type="expression" dxfId="64" priority="21" stopIfTrue="1">
      <formula>$L$5=Q$7</formula>
    </cfRule>
  </conditionalFormatting>
  <conditionalFormatting sqref="Q153">
    <cfRule type="expression" dxfId="63" priority="20" stopIfTrue="1">
      <formula>$L$5=Q$7</formula>
    </cfRule>
  </conditionalFormatting>
  <conditionalFormatting sqref="P149">
    <cfRule type="expression" dxfId="62" priority="19" stopIfTrue="1">
      <formula>$L$5=P$7</formula>
    </cfRule>
  </conditionalFormatting>
  <conditionalFormatting sqref="P139:P142">
    <cfRule type="expression" dxfId="61" priority="18" stopIfTrue="1">
      <formula>$L$5=P$7</formula>
    </cfRule>
  </conditionalFormatting>
  <conditionalFormatting sqref="P135:P136">
    <cfRule type="expression" dxfId="60" priority="17" stopIfTrue="1">
      <formula>$L$5=P$7</formula>
    </cfRule>
  </conditionalFormatting>
  <conditionalFormatting sqref="P137">
    <cfRule type="expression" dxfId="59" priority="16" stopIfTrue="1">
      <formula>$L$5=P$7</formula>
    </cfRule>
  </conditionalFormatting>
  <conditionalFormatting sqref="P138">
    <cfRule type="expression" dxfId="58" priority="15" stopIfTrue="1">
      <formula>$L$5=P$7</formula>
    </cfRule>
  </conditionalFormatting>
  <conditionalFormatting sqref="P146">
    <cfRule type="top10" dxfId="57" priority="14" stopIfTrue="1" rank="10"/>
  </conditionalFormatting>
  <conditionalFormatting sqref="P151">
    <cfRule type="expression" dxfId="56" priority="13" stopIfTrue="1">
      <formula>$L$5=P$7</formula>
    </cfRule>
  </conditionalFormatting>
  <conditionalFormatting sqref="P153:P154">
    <cfRule type="expression" dxfId="55" priority="12" stopIfTrue="1">
      <formula>$L$5=P$7</formula>
    </cfRule>
  </conditionalFormatting>
  <conditionalFormatting sqref="P145">
    <cfRule type="expression" dxfId="54" priority="11" stopIfTrue="1">
      <formula>$L$5=P$7</formula>
    </cfRule>
  </conditionalFormatting>
  <conditionalFormatting sqref="P134">
    <cfRule type="expression" dxfId="53" priority="10" stopIfTrue="1">
      <formula>$L$5=P$7</formula>
    </cfRule>
  </conditionalFormatting>
  <conditionalFormatting sqref="L17">
    <cfRule type="cellIs" dxfId="52" priority="9" stopIfTrue="1" operator="lessThan">
      <formula>0</formula>
    </cfRule>
  </conditionalFormatting>
  <conditionalFormatting sqref="P70:P72">
    <cfRule type="expression" dxfId="51" priority="8" stopIfTrue="1">
      <formula>$L$5=P$7</formula>
    </cfRule>
  </conditionalFormatting>
  <conditionalFormatting sqref="Q70:R72">
    <cfRule type="expression" dxfId="50" priority="7" stopIfTrue="1">
      <formula>$L$5=Q$7</formula>
    </cfRule>
  </conditionalFormatting>
  <conditionalFormatting sqref="L70:L71">
    <cfRule type="cellIs" dxfId="49" priority="6" stopIfTrue="1" operator="lessThan">
      <formula>0</formula>
    </cfRule>
  </conditionalFormatting>
  <conditionalFormatting sqref="L72">
    <cfRule type="cellIs" dxfId="48" priority="5" stopIfTrue="1" operator="lessThan">
      <formula>0</formula>
    </cfRule>
  </conditionalFormatting>
  <conditionalFormatting sqref="L106">
    <cfRule type="cellIs" dxfId="47" priority="3" stopIfTrue="1" operator="lessThan">
      <formula>0</formula>
    </cfRule>
  </conditionalFormatting>
  <conditionalFormatting sqref="L104">
    <cfRule type="cellIs" dxfId="46" priority="2" stopIfTrue="1" operator="lessThan">
      <formula>0</formula>
    </cfRule>
  </conditionalFormatting>
  <conditionalFormatting sqref="P104">
    <cfRule type="expression" dxfId="45" priority="1" stopIfTrue="1">
      <formula>$L$5=P$7</formula>
    </cfRule>
  </conditionalFormatting>
  <printOptions horizontalCentered="1"/>
  <pageMargins left="0.74803149606299213" right="0.74803149606299213" top="0.11811023622047245" bottom="0.98425196850393704" header="0.51181102362204722" footer="0.51181102362204722"/>
  <pageSetup paperSize="9" scale="25" orientation="portrait" r:id="rId3"/>
  <headerFooter alignWithMargins="0"/>
  <ignoredErrors>
    <ignoredError sqref="L77 L221 C46:C54 C58:C66 L85 L14:L16 L19:L21 L34:L42 L46:L54 L58:L66 L87:L88 L137:L143 L146 L151:L154 L163:L166 L169 L79 L144" unlockedFormula="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DX131"/>
  <sheetViews>
    <sheetView showGridLines="0" view="pageBreakPreview" zoomScale="70" zoomScaleNormal="70" zoomScaleSheetLayoutView="70" workbookViewId="0">
      <pane xSplit="15" ySplit="10" topLeftCell="R11" activePane="bottomRight" state="frozen"/>
      <selection pane="topRight" activeCell="P1" sqref="P1"/>
      <selection pane="bottomLeft" activeCell="A11" sqref="A11"/>
      <selection pane="bottomRight"/>
    </sheetView>
  </sheetViews>
  <sheetFormatPr baseColWidth="10" defaultColWidth="0" defaultRowHeight="12.75" zeroHeight="1" x14ac:dyDescent="0.2"/>
  <cols>
    <col min="1" max="2" width="2.42578125" customWidth="1"/>
    <col min="3" max="3" width="13" customWidth="1"/>
    <col min="4" max="5" width="9.140625" customWidth="1"/>
    <col min="6" max="6" width="7.7109375" customWidth="1"/>
    <col min="7" max="7" width="9" customWidth="1"/>
    <col min="8" max="8" width="22" bestFit="1" customWidth="1"/>
    <col min="9" max="9" width="7.42578125" customWidth="1"/>
    <col min="10" max="10" width="2.28515625" customWidth="1"/>
    <col min="11" max="11" width="9.140625" style="160" customWidth="1"/>
    <col min="12" max="12" width="15" customWidth="1"/>
    <col min="13" max="13" width="1.7109375" customWidth="1"/>
    <col min="14" max="14" width="16.28515625" customWidth="1"/>
    <col min="15" max="16" width="2.7109375" customWidth="1"/>
    <col min="17" max="62" width="15.28515625" customWidth="1"/>
    <col min="63" max="120" width="15.28515625" hidden="1" customWidth="1"/>
    <col min="121" max="125" width="9.140625" hidden="1" customWidth="1"/>
    <col min="126" max="128" width="0" hidden="1" customWidth="1"/>
    <col min="129" max="16384" width="9.140625" hidden="1"/>
  </cols>
  <sheetData>
    <row r="1" spans="1:125" x14ac:dyDescent="0.2">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7"/>
    </row>
    <row r="2" spans="1:125" x14ac:dyDescent="0.2">
      <c r="C2" t="s">
        <v>2</v>
      </c>
      <c r="F2" s="75" t="str">
        <f>+Inputs!$G$2</f>
        <v>NTE Express</v>
      </c>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7"/>
    </row>
    <row r="3" spans="1:125" ht="13.5" thickBot="1" x14ac:dyDescent="0.25">
      <c r="C3" t="s">
        <v>3</v>
      </c>
      <c r="F3" t="s">
        <v>432</v>
      </c>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7"/>
    </row>
    <row r="4" spans="1:125" ht="13.5" thickBot="1" x14ac:dyDescent="0.25">
      <c r="C4" t="s">
        <v>4</v>
      </c>
      <c r="F4" s="710">
        <f ca="1">+Inputs!G4</f>
        <v>0</v>
      </c>
      <c r="S4" s="11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7"/>
    </row>
    <row r="5" spans="1:125" x14ac:dyDescent="0.2">
      <c r="BJ5" s="133"/>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7"/>
    </row>
    <row r="6" spans="1:125" x14ac:dyDescent="0.2">
      <c r="R6" s="75">
        <f>+IFERROR(INDEX(Inputs!$A$33:$A$42,MATCH(R7,Inputs!$C$33:$C$42,0),1),Q6)</f>
        <v>0</v>
      </c>
      <c r="S6" s="75">
        <f>+IFERROR(INDEX(Inputs!$A$33:$A$42,MATCH(S7,Inputs!$C$33:$C$42,0),1),R6)</f>
        <v>1</v>
      </c>
      <c r="T6" s="75">
        <f>+IFERROR(INDEX(Inputs!$A$33:$A$42,MATCH(T7,Inputs!$C$33:$C$42,0),1),S6)</f>
        <v>1</v>
      </c>
      <c r="U6" s="75">
        <f>+IFERROR(INDEX(Inputs!$A$33:$A$42,MATCH(U7,Inputs!$C$33:$C$42,0),1),T6)</f>
        <v>1</v>
      </c>
      <c r="V6" s="75">
        <f>+IFERROR(INDEX(Inputs!$A$33:$A$42,MATCH(V7,Inputs!$C$33:$C$42,0),1),U6)</f>
        <v>2</v>
      </c>
      <c r="W6" s="75">
        <f>+IFERROR(INDEX(Inputs!$A$33:$A$42,MATCH(W7,Inputs!$C$33:$C$42,0),1),V6)</f>
        <v>2</v>
      </c>
      <c r="X6" s="75">
        <f>+IFERROR(INDEX(Inputs!$A$33:$A$42,MATCH(X7,Inputs!$C$33:$C$42,0),1),W6)</f>
        <v>2</v>
      </c>
      <c r="Y6" s="75">
        <f>+IFERROR(INDEX(Inputs!$A$33:$A$42,MATCH(Y7,Inputs!$C$33:$C$42,0),1),X6)</f>
        <v>2</v>
      </c>
      <c r="Z6" s="75">
        <f>+IFERROR(INDEX(Inputs!$A$33:$A$42,MATCH(Z7,Inputs!$C$33:$C$42,0),1),Y6)</f>
        <v>2</v>
      </c>
      <c r="AA6" s="75">
        <f>+IFERROR(INDEX(Inputs!$A$33:$A$42,MATCH(AA7,Inputs!$C$33:$C$42,0),1),Z6)</f>
        <v>3</v>
      </c>
      <c r="AB6" s="75">
        <f>+IFERROR(INDEX(Inputs!$A$33:$A$42,MATCH(AB7,Inputs!$C$33:$C$42,0),1),AA6)</f>
        <v>3</v>
      </c>
      <c r="AC6" s="75">
        <f>+IFERROR(INDEX(Inputs!$A$33:$A$42,MATCH(AC7,Inputs!$C$33:$C$42,0),1),AB6)</f>
        <v>3</v>
      </c>
      <c r="AD6" s="75">
        <f>+IFERROR(INDEX(Inputs!$A$33:$A$42,MATCH(AD7,Inputs!$C$33:$C$42,0),1),AC6)</f>
        <v>3</v>
      </c>
      <c r="AE6" s="75">
        <f>+IFERROR(INDEX(Inputs!$A$33:$A$42,MATCH(AE7,Inputs!$C$33:$C$42,0),1),AD6)</f>
        <v>3</v>
      </c>
      <c r="AF6" s="75">
        <f>+IFERROR(INDEX(Inputs!$A$33:$A$42,MATCH(AF7,Inputs!$C$33:$C$42,0),1),AE6)</f>
        <v>4</v>
      </c>
      <c r="AG6" s="75">
        <f>+IFERROR(INDEX(Inputs!$A$33:$A$42,MATCH(AG7,Inputs!$C$33:$C$42,0),1),AF6)</f>
        <v>4</v>
      </c>
      <c r="AH6" s="75">
        <f>+IFERROR(INDEX(Inputs!$A$33:$A$42,MATCH(AH7,Inputs!$C$33:$C$42,0),1),AG6)</f>
        <v>4</v>
      </c>
      <c r="AI6" s="75">
        <f>+IFERROR(INDEX(Inputs!$A$33:$A$42,MATCH(AI7,Inputs!$C$33:$C$42,0),1),AH6)</f>
        <v>4</v>
      </c>
      <c r="AJ6" s="75">
        <f>+IFERROR(INDEX(Inputs!$A$33:$A$42,MATCH(AJ7,Inputs!$C$33:$C$42,0),1),AI6)</f>
        <v>4</v>
      </c>
      <c r="AK6" s="75">
        <f>+IFERROR(INDEX(Inputs!$A$33:$A$42,MATCH(AK7,Inputs!$C$33:$C$42,0),1),AJ6)</f>
        <v>5</v>
      </c>
      <c r="AL6" s="75">
        <f>+IFERROR(INDEX(Inputs!$A$33:$A$42,MATCH(AL7,Inputs!$C$33:$C$42,0),1),AK6)</f>
        <v>5</v>
      </c>
      <c r="AM6" s="75">
        <f>+IFERROR(INDEX(Inputs!$A$33:$A$42,MATCH(AM7,Inputs!$C$33:$C$42,0),1),AL6)</f>
        <v>5</v>
      </c>
      <c r="AN6" s="75">
        <f>+IFERROR(INDEX(Inputs!$A$33:$A$42,MATCH(AN7,Inputs!$C$33:$C$42,0),1),AM6)</f>
        <v>5</v>
      </c>
      <c r="AO6" s="75">
        <f>+IFERROR(INDEX(Inputs!$A$33:$A$42,MATCH(AO7,Inputs!$C$33:$C$42,0),1),AN6)</f>
        <v>5</v>
      </c>
      <c r="AP6" s="75">
        <f>+IFERROR(INDEX(Inputs!$A$33:$A$42,MATCH(AP7,Inputs!$C$33:$C$42,0),1),AO6)</f>
        <v>6</v>
      </c>
      <c r="AQ6" s="75">
        <f>+IFERROR(INDEX(Inputs!$A$33:$A$42,MATCH(AQ7,Inputs!$C$33:$C$42,0),1),AP6)</f>
        <v>6</v>
      </c>
      <c r="AR6" s="75">
        <f>+IFERROR(INDEX(Inputs!$A$33:$A$42,MATCH(AR7,Inputs!$C$33:$C$42,0),1),AQ6)</f>
        <v>6</v>
      </c>
      <c r="AS6" s="75">
        <f>+IFERROR(INDEX(Inputs!$A$33:$A$42,MATCH(AS7,Inputs!$C$33:$C$42,0),1),AR6)</f>
        <v>6</v>
      </c>
      <c r="AT6" s="75">
        <f>+IFERROR(INDEX(Inputs!$A$33:$A$42,MATCH(AT7,Inputs!$C$33:$C$42,0),1),AS6)</f>
        <v>6</v>
      </c>
      <c r="AU6" s="75">
        <f>+IFERROR(INDEX(Inputs!$A$33:$A$42,MATCH(AU7,Inputs!$C$33:$C$42,0),1),AT6)</f>
        <v>7</v>
      </c>
      <c r="AV6" s="75">
        <f>+IFERROR(INDEX(Inputs!$A$33:$A$42,MATCH(AV7,Inputs!$C$33:$C$42,0),1),AU6)</f>
        <v>7</v>
      </c>
      <c r="AW6" s="75">
        <f>+IFERROR(INDEX(Inputs!$A$33:$A$42,MATCH(AW7,Inputs!$C$33:$C$42,0),1),AV6)</f>
        <v>7</v>
      </c>
      <c r="AX6" s="75">
        <f>+IFERROR(INDEX(Inputs!$A$33:$A$42,MATCH(AX7,Inputs!$C$33:$C$42,0),1),AW6)</f>
        <v>7</v>
      </c>
      <c r="AY6" s="75">
        <f>+IFERROR(INDEX(Inputs!$A$33:$A$42,MATCH(AY7,Inputs!$C$33:$C$42,0),1),AX6)</f>
        <v>7</v>
      </c>
      <c r="AZ6" s="75">
        <f>+IFERROR(INDEX(Inputs!$A$33:$A$42,MATCH(AZ7,Inputs!$C$33:$C$42,0),1),AY6)</f>
        <v>8</v>
      </c>
      <c r="BA6" s="75">
        <f>+IFERROR(INDEX(Inputs!$A$33:$A$42,MATCH(BA7,Inputs!$C$33:$C$42,0),1),AZ6)</f>
        <v>8</v>
      </c>
      <c r="BB6" s="75">
        <f>+IFERROR(INDEX(Inputs!$A$33:$A$42,MATCH(BB7,Inputs!$C$33:$C$42,0),1),BA6)</f>
        <v>8</v>
      </c>
      <c r="BC6" s="75">
        <f>+IFERROR(INDEX(Inputs!$A$33:$A$42,MATCH(BC7,Inputs!$C$33:$C$42,0),1),BB6)</f>
        <v>8</v>
      </c>
      <c r="BD6" s="75">
        <f>+IFERROR(INDEX(Inputs!$A$33:$A$42,MATCH(BD7,Inputs!$C$33:$C$42,0),1),BC6)</f>
        <v>8</v>
      </c>
      <c r="BE6" s="75">
        <f>+IFERROR(INDEX(Inputs!$A$33:$A$42,MATCH(BE7,Inputs!$C$33:$C$42,0),1),BD6)</f>
        <v>9</v>
      </c>
      <c r="BF6" s="75">
        <f>+IFERROR(INDEX(Inputs!$A$33:$A$42,MATCH(BF7,Inputs!$C$33:$C$42,0),1),BE6)</f>
        <v>9</v>
      </c>
      <c r="BG6" s="75">
        <f>+IFERROR(INDEX(Inputs!$A$33:$A$42,MATCH(BG7,Inputs!$C$33:$C$42,0),1),BF6)</f>
        <v>9</v>
      </c>
      <c r="BH6" s="75">
        <f>+IFERROR(INDEX(Inputs!$A$33:$A$42,MATCH(BH7,Inputs!$C$33:$C$42,0),1),BG6)</f>
        <v>9</v>
      </c>
      <c r="BI6" s="75">
        <f>+IFERROR(INDEX(Inputs!$A$33:$A$42,MATCH(BI7,Inputs!$C$33:$C$42,0),1),BH6)</f>
        <v>9</v>
      </c>
      <c r="BJ6" s="75">
        <f>+IFERROR(INDEX(Inputs!$A$33:$A$42,MATCH(BJ7,Inputs!$C$33:$C$42,0),1),BI6)</f>
        <v>10</v>
      </c>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7"/>
    </row>
    <row r="7" spans="1:125" x14ac:dyDescent="0.2">
      <c r="C7" t="s">
        <v>19</v>
      </c>
      <c r="Q7" s="655">
        <f t="shared" ref="Q7:BJ7" si="0">+YEAR(Q9)</f>
        <v>2016</v>
      </c>
      <c r="R7" s="655">
        <f t="shared" si="0"/>
        <v>2017</v>
      </c>
      <c r="S7" s="655">
        <f t="shared" si="0"/>
        <v>2018</v>
      </c>
      <c r="T7" s="655">
        <f t="shared" si="0"/>
        <v>2019</v>
      </c>
      <c r="U7" s="655">
        <f t="shared" si="0"/>
        <v>2020</v>
      </c>
      <c r="V7" s="655">
        <f t="shared" si="0"/>
        <v>2021</v>
      </c>
      <c r="W7" s="655">
        <f t="shared" si="0"/>
        <v>2022</v>
      </c>
      <c r="X7" s="655">
        <f t="shared" si="0"/>
        <v>2023</v>
      </c>
      <c r="Y7" s="655">
        <f t="shared" si="0"/>
        <v>2024</v>
      </c>
      <c r="Z7" s="655">
        <f t="shared" si="0"/>
        <v>2025</v>
      </c>
      <c r="AA7" s="655">
        <f t="shared" si="0"/>
        <v>2026</v>
      </c>
      <c r="AB7" s="655">
        <f t="shared" si="0"/>
        <v>2027</v>
      </c>
      <c r="AC7" s="655">
        <f t="shared" si="0"/>
        <v>2028</v>
      </c>
      <c r="AD7" s="655">
        <f t="shared" si="0"/>
        <v>2029</v>
      </c>
      <c r="AE7" s="655">
        <f t="shared" si="0"/>
        <v>2030</v>
      </c>
      <c r="AF7" s="655">
        <f t="shared" si="0"/>
        <v>2031</v>
      </c>
      <c r="AG7" s="655">
        <f t="shared" si="0"/>
        <v>2032</v>
      </c>
      <c r="AH7" s="655">
        <f t="shared" si="0"/>
        <v>2033</v>
      </c>
      <c r="AI7" s="655">
        <f t="shared" si="0"/>
        <v>2034</v>
      </c>
      <c r="AJ7" s="655">
        <f t="shared" si="0"/>
        <v>2035</v>
      </c>
      <c r="AK7" s="655">
        <f t="shared" si="0"/>
        <v>2036</v>
      </c>
      <c r="AL7" s="655">
        <f t="shared" si="0"/>
        <v>2037</v>
      </c>
      <c r="AM7" s="655">
        <f t="shared" si="0"/>
        <v>2038</v>
      </c>
      <c r="AN7" s="655">
        <f t="shared" si="0"/>
        <v>2039</v>
      </c>
      <c r="AO7" s="655">
        <f t="shared" si="0"/>
        <v>2040</v>
      </c>
      <c r="AP7" s="655">
        <f t="shared" si="0"/>
        <v>2041</v>
      </c>
      <c r="AQ7" s="655">
        <f t="shared" si="0"/>
        <v>2042</v>
      </c>
      <c r="AR7" s="655">
        <f t="shared" si="0"/>
        <v>2043</v>
      </c>
      <c r="AS7" s="655">
        <f t="shared" si="0"/>
        <v>2044</v>
      </c>
      <c r="AT7" s="655">
        <f t="shared" si="0"/>
        <v>2045</v>
      </c>
      <c r="AU7" s="655">
        <f t="shared" si="0"/>
        <v>2046</v>
      </c>
      <c r="AV7" s="655">
        <f t="shared" si="0"/>
        <v>2047</v>
      </c>
      <c r="AW7" s="655">
        <f t="shared" si="0"/>
        <v>2048</v>
      </c>
      <c r="AX7" s="655">
        <f t="shared" si="0"/>
        <v>2049</v>
      </c>
      <c r="AY7" s="655">
        <f t="shared" si="0"/>
        <v>2050</v>
      </c>
      <c r="AZ7" s="655">
        <f t="shared" si="0"/>
        <v>2051</v>
      </c>
      <c r="BA7" s="655">
        <f t="shared" si="0"/>
        <v>2052</v>
      </c>
      <c r="BB7" s="655">
        <f t="shared" si="0"/>
        <v>2053</v>
      </c>
      <c r="BC7" s="655">
        <f t="shared" si="0"/>
        <v>2054</v>
      </c>
      <c r="BD7" s="655">
        <f t="shared" si="0"/>
        <v>2055</v>
      </c>
      <c r="BE7" s="655">
        <f t="shared" si="0"/>
        <v>2056</v>
      </c>
      <c r="BF7" s="655">
        <f t="shared" si="0"/>
        <v>2057</v>
      </c>
      <c r="BG7" s="655">
        <f t="shared" si="0"/>
        <v>2058</v>
      </c>
      <c r="BH7" s="655">
        <f t="shared" si="0"/>
        <v>2059</v>
      </c>
      <c r="BI7" s="655">
        <f t="shared" si="0"/>
        <v>2060</v>
      </c>
      <c r="BJ7" s="655">
        <f t="shared" si="0"/>
        <v>2061</v>
      </c>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7"/>
    </row>
    <row r="8" spans="1:125" x14ac:dyDescent="0.2">
      <c r="C8" t="s">
        <v>45</v>
      </c>
      <c r="Q8" s="167">
        <v>42370</v>
      </c>
      <c r="R8" s="84">
        <f t="shared" ref="R8:BJ8" si="1">+Q9+1</f>
        <v>42736</v>
      </c>
      <c r="S8" s="84">
        <f t="shared" si="1"/>
        <v>43101</v>
      </c>
      <c r="T8" s="84">
        <f t="shared" si="1"/>
        <v>43466</v>
      </c>
      <c r="U8" s="84">
        <f t="shared" si="1"/>
        <v>43831</v>
      </c>
      <c r="V8" s="84">
        <f t="shared" si="1"/>
        <v>44197</v>
      </c>
      <c r="W8" s="84">
        <f t="shared" si="1"/>
        <v>44562</v>
      </c>
      <c r="X8" s="84">
        <f t="shared" si="1"/>
        <v>44927</v>
      </c>
      <c r="Y8" s="84">
        <f t="shared" si="1"/>
        <v>45292</v>
      </c>
      <c r="Z8" s="84">
        <f t="shared" si="1"/>
        <v>45658</v>
      </c>
      <c r="AA8" s="84">
        <f t="shared" si="1"/>
        <v>46023</v>
      </c>
      <c r="AB8" s="84">
        <f t="shared" si="1"/>
        <v>46388</v>
      </c>
      <c r="AC8" s="84">
        <f t="shared" si="1"/>
        <v>46753</v>
      </c>
      <c r="AD8" s="84">
        <f t="shared" si="1"/>
        <v>47119</v>
      </c>
      <c r="AE8" s="84">
        <f t="shared" si="1"/>
        <v>47484</v>
      </c>
      <c r="AF8" s="84">
        <f t="shared" si="1"/>
        <v>47849</v>
      </c>
      <c r="AG8" s="84">
        <f t="shared" si="1"/>
        <v>48214</v>
      </c>
      <c r="AH8" s="84">
        <f t="shared" si="1"/>
        <v>48580</v>
      </c>
      <c r="AI8" s="84">
        <f t="shared" si="1"/>
        <v>48945</v>
      </c>
      <c r="AJ8" s="84">
        <f t="shared" si="1"/>
        <v>49310</v>
      </c>
      <c r="AK8" s="84">
        <f t="shared" si="1"/>
        <v>49675</v>
      </c>
      <c r="AL8" s="84">
        <f t="shared" si="1"/>
        <v>50041</v>
      </c>
      <c r="AM8" s="84">
        <f t="shared" si="1"/>
        <v>50406</v>
      </c>
      <c r="AN8" s="84">
        <f t="shared" si="1"/>
        <v>50771</v>
      </c>
      <c r="AO8" s="84">
        <f t="shared" si="1"/>
        <v>51136</v>
      </c>
      <c r="AP8" s="84">
        <f t="shared" si="1"/>
        <v>51502</v>
      </c>
      <c r="AQ8" s="84">
        <f t="shared" si="1"/>
        <v>51867</v>
      </c>
      <c r="AR8" s="84">
        <f t="shared" si="1"/>
        <v>52232</v>
      </c>
      <c r="AS8" s="84">
        <f t="shared" si="1"/>
        <v>52597</v>
      </c>
      <c r="AT8" s="84">
        <f t="shared" si="1"/>
        <v>52963</v>
      </c>
      <c r="AU8" s="84">
        <f t="shared" si="1"/>
        <v>53328</v>
      </c>
      <c r="AV8" s="84">
        <f t="shared" si="1"/>
        <v>53693</v>
      </c>
      <c r="AW8" s="84">
        <f t="shared" si="1"/>
        <v>54058</v>
      </c>
      <c r="AX8" s="84">
        <f t="shared" si="1"/>
        <v>54424</v>
      </c>
      <c r="AY8" s="84">
        <f t="shared" si="1"/>
        <v>54789</v>
      </c>
      <c r="AZ8" s="84">
        <f t="shared" si="1"/>
        <v>55154</v>
      </c>
      <c r="BA8" s="84">
        <f t="shared" si="1"/>
        <v>55519</v>
      </c>
      <c r="BB8" s="84">
        <f t="shared" si="1"/>
        <v>55885</v>
      </c>
      <c r="BC8" s="84">
        <f t="shared" si="1"/>
        <v>56250</v>
      </c>
      <c r="BD8" s="84">
        <f t="shared" si="1"/>
        <v>56615</v>
      </c>
      <c r="BE8" s="84">
        <f t="shared" si="1"/>
        <v>56980</v>
      </c>
      <c r="BF8" s="84">
        <f t="shared" si="1"/>
        <v>57346</v>
      </c>
      <c r="BG8" s="84">
        <f t="shared" si="1"/>
        <v>57711</v>
      </c>
      <c r="BH8" s="84">
        <f t="shared" si="1"/>
        <v>58076</v>
      </c>
      <c r="BI8" s="84">
        <f t="shared" si="1"/>
        <v>58441</v>
      </c>
      <c r="BJ8" s="84">
        <f t="shared" si="1"/>
        <v>58807</v>
      </c>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44"/>
    </row>
    <row r="9" spans="1:125" x14ac:dyDescent="0.2">
      <c r="C9" t="s">
        <v>46</v>
      </c>
      <c r="Q9" s="84">
        <f t="shared" ref="Q9:BJ9" si="2">+EOMONTH(Q8,11)</f>
        <v>42735</v>
      </c>
      <c r="R9" s="84">
        <f t="shared" si="2"/>
        <v>43100</v>
      </c>
      <c r="S9" s="84">
        <f t="shared" si="2"/>
        <v>43465</v>
      </c>
      <c r="T9" s="84">
        <f t="shared" si="2"/>
        <v>43830</v>
      </c>
      <c r="U9" s="84">
        <f t="shared" si="2"/>
        <v>44196</v>
      </c>
      <c r="V9" s="84">
        <f t="shared" si="2"/>
        <v>44561</v>
      </c>
      <c r="W9" s="84">
        <f t="shared" si="2"/>
        <v>44926</v>
      </c>
      <c r="X9" s="84">
        <f t="shared" si="2"/>
        <v>45291</v>
      </c>
      <c r="Y9" s="84">
        <f t="shared" si="2"/>
        <v>45657</v>
      </c>
      <c r="Z9" s="84">
        <f t="shared" si="2"/>
        <v>46022</v>
      </c>
      <c r="AA9" s="84">
        <f t="shared" si="2"/>
        <v>46387</v>
      </c>
      <c r="AB9" s="84">
        <f t="shared" si="2"/>
        <v>46752</v>
      </c>
      <c r="AC9" s="84">
        <f t="shared" si="2"/>
        <v>47118</v>
      </c>
      <c r="AD9" s="84">
        <f t="shared" si="2"/>
        <v>47483</v>
      </c>
      <c r="AE9" s="84">
        <f t="shared" si="2"/>
        <v>47848</v>
      </c>
      <c r="AF9" s="84">
        <f t="shared" si="2"/>
        <v>48213</v>
      </c>
      <c r="AG9" s="84">
        <f t="shared" si="2"/>
        <v>48579</v>
      </c>
      <c r="AH9" s="84">
        <f t="shared" si="2"/>
        <v>48944</v>
      </c>
      <c r="AI9" s="84">
        <f t="shared" si="2"/>
        <v>49309</v>
      </c>
      <c r="AJ9" s="84">
        <f t="shared" si="2"/>
        <v>49674</v>
      </c>
      <c r="AK9" s="84">
        <f t="shared" si="2"/>
        <v>50040</v>
      </c>
      <c r="AL9" s="84">
        <f t="shared" si="2"/>
        <v>50405</v>
      </c>
      <c r="AM9" s="84">
        <f t="shared" si="2"/>
        <v>50770</v>
      </c>
      <c r="AN9" s="84">
        <f t="shared" si="2"/>
        <v>51135</v>
      </c>
      <c r="AO9" s="84">
        <f t="shared" si="2"/>
        <v>51501</v>
      </c>
      <c r="AP9" s="84">
        <f t="shared" si="2"/>
        <v>51866</v>
      </c>
      <c r="AQ9" s="84">
        <f t="shared" si="2"/>
        <v>52231</v>
      </c>
      <c r="AR9" s="84">
        <f t="shared" si="2"/>
        <v>52596</v>
      </c>
      <c r="AS9" s="84">
        <f t="shared" si="2"/>
        <v>52962</v>
      </c>
      <c r="AT9" s="84">
        <f t="shared" si="2"/>
        <v>53327</v>
      </c>
      <c r="AU9" s="84">
        <f t="shared" si="2"/>
        <v>53692</v>
      </c>
      <c r="AV9" s="84">
        <f t="shared" si="2"/>
        <v>54057</v>
      </c>
      <c r="AW9" s="84">
        <f t="shared" si="2"/>
        <v>54423</v>
      </c>
      <c r="AX9" s="84">
        <f t="shared" si="2"/>
        <v>54788</v>
      </c>
      <c r="AY9" s="84">
        <f t="shared" si="2"/>
        <v>55153</v>
      </c>
      <c r="AZ9" s="84">
        <f t="shared" si="2"/>
        <v>55518</v>
      </c>
      <c r="BA9" s="84">
        <f t="shared" si="2"/>
        <v>55884</v>
      </c>
      <c r="BB9" s="84">
        <f t="shared" si="2"/>
        <v>56249</v>
      </c>
      <c r="BC9" s="84">
        <f t="shared" si="2"/>
        <v>56614</v>
      </c>
      <c r="BD9" s="84">
        <f t="shared" si="2"/>
        <v>56979</v>
      </c>
      <c r="BE9" s="84">
        <f t="shared" si="2"/>
        <v>57345</v>
      </c>
      <c r="BF9" s="84">
        <f t="shared" si="2"/>
        <v>57710</v>
      </c>
      <c r="BG9" s="84">
        <f t="shared" si="2"/>
        <v>58075</v>
      </c>
      <c r="BH9" s="84">
        <f t="shared" si="2"/>
        <v>58440</v>
      </c>
      <c r="BI9" s="84">
        <f t="shared" si="2"/>
        <v>58806</v>
      </c>
      <c r="BJ9" s="84">
        <f t="shared" si="2"/>
        <v>59171</v>
      </c>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44"/>
    </row>
    <row r="10" spans="1:125" x14ac:dyDescent="0.2">
      <c r="K10" s="160" t="s">
        <v>47</v>
      </c>
      <c r="L10" s="8" t="s">
        <v>48</v>
      </c>
      <c r="M10" s="8"/>
      <c r="N10" s="8" t="s">
        <v>49</v>
      </c>
      <c r="DQ10" s="57"/>
    </row>
    <row r="11" spans="1:125" x14ac:dyDescent="0.2">
      <c r="DQ11" s="57"/>
    </row>
    <row r="12" spans="1:125" x14ac:dyDescent="0.2">
      <c r="C12" t="s">
        <v>52</v>
      </c>
      <c r="K12" s="160" t="s">
        <v>20</v>
      </c>
      <c r="Q12" s="709">
        <f>+IF(OR(CF!Q7&lt;YEAR(Inputs!$L$29),CF!Q7&gt;YEAR(Inputs!$L$30)),0,IF(CF!Q7=YEAR(Inputs!$L$30),(Inputs!$L$30-CF!Q8+1)/CF!Q$15,IF(CF!Q7=YEAR(Inputs!$L$29),(CF!Q9-Inputs!$L$29+1)/CF!Q15,1)))</f>
        <v>1</v>
      </c>
      <c r="R12" s="709">
        <f>+IF(OR(CF!R7&lt;YEAR(Inputs!$L$29),CF!R7&gt;YEAR(Inputs!$L$30)),0,IF(CF!R7=YEAR(Inputs!$L$30),(Inputs!$L$30-CF!R8+1)/CF!R$15,IF(CF!R7=YEAR(Inputs!$L$29),(CF!R9-Inputs!$L$29+1)/CF!R15,1)))</f>
        <v>1</v>
      </c>
      <c r="S12" s="709">
        <f>+IF(OR(CF!S7&lt;YEAR(Inputs!$L$29),CF!S7&gt;YEAR(Inputs!$L$30)),0,IF(CF!S7=YEAR(Inputs!$L$30),(Inputs!$L$30-CF!S8+1)/CF!S$15,IF(CF!S7=YEAR(Inputs!$L$29),(CF!S9-Inputs!$L$29+1)/CF!S15,1)))</f>
        <v>1</v>
      </c>
      <c r="T12" s="709">
        <f>+IF(OR(CF!T7&lt;YEAR(Inputs!$L$29),CF!T7&gt;YEAR(Inputs!$L$30)),0,IF(CF!T7=YEAR(Inputs!$L$30),(Inputs!$L$30-CF!T8+1)/CF!T$15,IF(CF!T7=YEAR(Inputs!$L$29),(CF!T9-Inputs!$L$29+1)/CF!T15,1)))</f>
        <v>1</v>
      </c>
      <c r="U12" s="709">
        <f>+IF(OR(CF!U7&lt;YEAR(Inputs!$L$29),CF!U7&gt;YEAR(Inputs!$L$30)),0,IF(CF!U7=YEAR(Inputs!$L$30),(Inputs!$L$30-CF!U8+1)/CF!U$15,IF(CF!U7=YEAR(Inputs!$L$29),(CF!U9-Inputs!$L$29+1)/CF!U15,1)))</f>
        <v>1</v>
      </c>
      <c r="V12" s="709">
        <f>+IF(OR(CF!V7&lt;YEAR(Inputs!$L$29),CF!V7&gt;YEAR(Inputs!$L$30)),0,IF(CF!V7=YEAR(Inputs!$L$30),(Inputs!$L$30-CF!V8+1)/CF!V$15,IF(CF!V7=YEAR(Inputs!$L$29),(CF!V9-Inputs!$L$29+1)/CF!V15,1)))</f>
        <v>1</v>
      </c>
      <c r="W12" s="709">
        <f>+IF(OR(CF!W7&lt;YEAR(Inputs!$L$29),CF!W7&gt;YEAR(Inputs!$L$30)),0,IF(CF!W7=YEAR(Inputs!$L$30),(Inputs!$L$30-CF!W8+1)/CF!W$15,IF(CF!W7=YEAR(Inputs!$L$29),(CF!W9-Inputs!$L$29+1)/CF!W15,1)))</f>
        <v>1</v>
      </c>
      <c r="X12" s="709">
        <f>+IF(OR(CF!X7&lt;YEAR(Inputs!$L$29),CF!X7&gt;YEAR(Inputs!$L$30)),0,IF(CF!X7=YEAR(Inputs!$L$30),(Inputs!$L$30-CF!X8+1)/CF!X$15,IF(CF!X7=YEAR(Inputs!$L$29),(CF!X9-Inputs!$L$29+1)/CF!X15,1)))</f>
        <v>1</v>
      </c>
      <c r="Y12" s="709">
        <f>+IF(OR(CF!Y7&lt;YEAR(Inputs!$L$29),CF!Y7&gt;YEAR(Inputs!$L$30)),0,IF(CF!Y7=YEAR(Inputs!$L$30),(Inputs!$L$30-CF!Y8+1)/CF!Y$15,IF(CF!Y7=YEAR(Inputs!$L$29),(CF!Y9-Inputs!$L$29+1)/CF!Y15,1)))</f>
        <v>1</v>
      </c>
      <c r="Z12" s="709">
        <f>+IF(OR(CF!Z7&lt;YEAR(Inputs!$L$29),CF!Z7&gt;YEAR(Inputs!$L$30)),0,IF(CF!Z7=YEAR(Inputs!$L$30),(Inputs!$L$30-CF!Z8+1)/CF!Z$15,IF(CF!Z7=YEAR(Inputs!$L$29),(CF!Z9-Inputs!$L$29+1)/CF!Z15,1)))</f>
        <v>1</v>
      </c>
      <c r="AA12" s="709">
        <f>+IF(OR(CF!AA7&lt;YEAR(Inputs!$L$29),CF!AA7&gt;YEAR(Inputs!$L$30)),0,IF(CF!AA7=YEAR(Inputs!$L$30),(Inputs!$L$30-CF!AA8+1)/CF!AA$15,IF(CF!AA7=YEAR(Inputs!$L$29),(CF!AA9-Inputs!$L$29+1)/CF!AA15,1)))</f>
        <v>1</v>
      </c>
      <c r="AB12" s="709">
        <f>+IF(OR(CF!AB7&lt;YEAR(Inputs!$L$29),CF!AB7&gt;YEAR(Inputs!$L$30)),0,IF(CF!AB7=YEAR(Inputs!$L$30),(Inputs!$L$30-CF!AB8+1)/CF!AB$15,IF(CF!AB7=YEAR(Inputs!$L$29),(CF!AB9-Inputs!$L$29+1)/CF!AB15,1)))</f>
        <v>1</v>
      </c>
      <c r="AC12" s="709">
        <f>+IF(OR(CF!AC7&lt;YEAR(Inputs!$L$29),CF!AC7&gt;YEAR(Inputs!$L$30)),0,IF(CF!AC7=YEAR(Inputs!$L$30),(Inputs!$L$30-CF!AC8+1)/CF!AC$15,IF(CF!AC7=YEAR(Inputs!$L$29),(CF!AC9-Inputs!$L$29+1)/CF!AC15,1)))</f>
        <v>1</v>
      </c>
      <c r="AD12" s="709">
        <f>+IF(OR(CF!AD7&lt;YEAR(Inputs!$L$29),CF!AD7&gt;YEAR(Inputs!$L$30)),0,IF(CF!AD7=YEAR(Inputs!$L$30),(Inputs!$L$30-CF!AD8+1)/CF!AD$15,IF(CF!AD7=YEAR(Inputs!$L$29),(CF!AD9-Inputs!$L$29+1)/CF!AD15,1)))</f>
        <v>1</v>
      </c>
      <c r="AE12" s="709">
        <f>+IF(OR(CF!AE7&lt;YEAR(Inputs!$L$29),CF!AE7&gt;YEAR(Inputs!$L$30)),0,IF(CF!AE7=YEAR(Inputs!$L$30),(Inputs!$L$30-CF!AE8+1)/CF!AE$15,IF(CF!AE7=YEAR(Inputs!$L$29),(CF!AE9-Inputs!$L$29+1)/CF!AE15,1)))</f>
        <v>1</v>
      </c>
      <c r="AF12" s="709">
        <f>+IF(OR(CF!AF7&lt;YEAR(Inputs!$L$29),CF!AF7&gt;YEAR(Inputs!$L$30)),0,IF(CF!AF7=YEAR(Inputs!$L$30),(Inputs!$L$30-CF!AF8+1)/CF!AF$15,IF(CF!AF7=YEAR(Inputs!$L$29),(CF!AF9-Inputs!$L$29+1)/CF!AF15,1)))</f>
        <v>1</v>
      </c>
      <c r="AG12" s="709">
        <f>+IF(OR(CF!AG7&lt;YEAR(Inputs!$L$29),CF!AG7&gt;YEAR(Inputs!$L$30)),0,IF(CF!AG7=YEAR(Inputs!$L$30),(Inputs!$L$30-CF!AG8+1)/CF!AG$15,IF(CF!AG7=YEAR(Inputs!$L$29),(CF!AG9-Inputs!$L$29+1)/CF!AG15,1)))</f>
        <v>1</v>
      </c>
      <c r="AH12" s="709">
        <f>+IF(OR(CF!AH7&lt;YEAR(Inputs!$L$29),CF!AH7&gt;YEAR(Inputs!$L$30)),0,IF(CF!AH7=YEAR(Inputs!$L$30),(Inputs!$L$30-CF!AH8+1)/CF!AH$15,IF(CF!AH7=YEAR(Inputs!$L$29),(CF!AH9-Inputs!$L$29+1)/CF!AH15,1)))</f>
        <v>1</v>
      </c>
      <c r="AI12" s="709">
        <f>+IF(OR(CF!AI7&lt;YEAR(Inputs!$L$29),CF!AI7&gt;YEAR(Inputs!$L$30)),0,IF(CF!AI7=YEAR(Inputs!$L$30),(Inputs!$L$30-CF!AI8+1)/CF!AI$15,IF(CF!AI7=YEAR(Inputs!$L$29),(CF!AI9-Inputs!$L$29+1)/CF!AI15,1)))</f>
        <v>1</v>
      </c>
      <c r="AJ12" s="709">
        <f>+IF(OR(CF!AJ7&lt;YEAR(Inputs!$L$29),CF!AJ7&gt;YEAR(Inputs!$L$30)),0,IF(CF!AJ7=YEAR(Inputs!$L$30),(Inputs!$L$30-CF!AJ8+1)/CF!AJ$15,IF(CF!AJ7=YEAR(Inputs!$L$29),(CF!AJ9-Inputs!$L$29+1)/CF!AJ15,1)))</f>
        <v>1</v>
      </c>
      <c r="AK12" s="709">
        <f>+IF(OR(CF!AK7&lt;YEAR(Inputs!$L$29),CF!AK7&gt;YEAR(Inputs!$L$30)),0,IF(CF!AK7=YEAR(Inputs!$L$30),(Inputs!$L$30-CF!AK8+1)/CF!AK$15,IF(CF!AK7=YEAR(Inputs!$L$29),(CF!AK9-Inputs!$L$29+1)/CF!AK15,1)))</f>
        <v>1</v>
      </c>
      <c r="AL12" s="709">
        <f>+IF(OR(CF!AL7&lt;YEAR(Inputs!$L$29),CF!AL7&gt;YEAR(Inputs!$L$30)),0,IF(CF!AL7=YEAR(Inputs!$L$30),(Inputs!$L$30-CF!AL8+1)/CF!AL$15,IF(CF!AL7=YEAR(Inputs!$L$29),(CF!AL9-Inputs!$L$29+1)/CF!AL15,1)))</f>
        <v>1</v>
      </c>
      <c r="AM12" s="709">
        <f>+IF(OR(CF!AM7&lt;YEAR(Inputs!$L$29),CF!AM7&gt;YEAR(Inputs!$L$30)),0,IF(CF!AM7=YEAR(Inputs!$L$30),(Inputs!$L$30-CF!AM8+1)/CF!AM$15,IF(CF!AM7=YEAR(Inputs!$L$29),(CF!AM9-Inputs!$L$29+1)/CF!AM15,1)))</f>
        <v>1</v>
      </c>
      <c r="AN12" s="709">
        <f>+IF(OR(CF!AN7&lt;YEAR(Inputs!$L$29),CF!AN7&gt;YEAR(Inputs!$L$30)),0,IF(CF!AN7=YEAR(Inputs!$L$30),(Inputs!$L$30-CF!AN8+1)/CF!AN$15,IF(CF!AN7=YEAR(Inputs!$L$29),(CF!AN9-Inputs!$L$29+1)/CF!AN15,1)))</f>
        <v>1</v>
      </c>
      <c r="AO12" s="709">
        <f>+IF(OR(CF!AO7&lt;YEAR(Inputs!$L$29),CF!AO7&gt;YEAR(Inputs!$L$30)),0,IF(CF!AO7=YEAR(Inputs!$L$30),(Inputs!$L$30-CF!AO8+1)/CF!AO$15,IF(CF!AO7=YEAR(Inputs!$L$29),(CF!AO9-Inputs!$L$29+1)/CF!AO15,1)))</f>
        <v>1</v>
      </c>
      <c r="AP12" s="709">
        <f>+IF(OR(CF!AP7&lt;YEAR(Inputs!$L$29),CF!AP7&gt;YEAR(Inputs!$L$30)),0,IF(CF!AP7=YEAR(Inputs!$L$30),(Inputs!$L$30-CF!AP8+1)/CF!AP$15,IF(CF!AP7=YEAR(Inputs!$L$29),(CF!AP9-Inputs!$L$29+1)/CF!AP15,1)))</f>
        <v>1</v>
      </c>
      <c r="AQ12" s="709">
        <f>+IF(OR(CF!AQ7&lt;YEAR(Inputs!$L$29),CF!AQ7&gt;YEAR(Inputs!$L$30)),0,IF(CF!AQ7=YEAR(Inputs!$L$30),(Inputs!$L$30-CF!AQ8+1)/CF!AQ$15,IF(CF!AQ7=YEAR(Inputs!$L$29),(CF!AQ9-Inputs!$L$29+1)/CF!AQ15,1)))</f>
        <v>1</v>
      </c>
      <c r="AR12" s="709">
        <f>+IF(OR(CF!AR7&lt;YEAR(Inputs!$L$29),CF!AR7&gt;YEAR(Inputs!$L$30)),0,IF(CF!AR7=YEAR(Inputs!$L$30),(Inputs!$L$30-CF!AR8+1)/CF!AR$15,IF(CF!AR7=YEAR(Inputs!$L$29),(CF!AR9-Inputs!$L$29+1)/CF!AR15,1)))</f>
        <v>1</v>
      </c>
      <c r="AS12" s="709">
        <f>+IF(OR(CF!AS7&lt;YEAR(Inputs!$L$29),CF!AS7&gt;YEAR(Inputs!$L$30)),0,IF(CF!AS7=YEAR(Inputs!$L$30),(Inputs!$L$30-CF!AS8+1)/CF!AS$15,IF(CF!AS7=YEAR(Inputs!$L$29),(CF!AS9-Inputs!$L$29+1)/CF!AS15,1)))</f>
        <v>1</v>
      </c>
      <c r="AT12" s="709">
        <f>+IF(OR(CF!AT7&lt;YEAR(Inputs!$L$29),CF!AT7&gt;YEAR(Inputs!$L$30)),0,IF(CF!AT7=YEAR(Inputs!$L$30),(Inputs!$L$30-CF!AT8+1)/CF!AT$15,IF(CF!AT7=YEAR(Inputs!$L$29),(CF!AT9-Inputs!$L$29+1)/CF!AT15,1)))</f>
        <v>1</v>
      </c>
      <c r="AU12" s="709">
        <f>+IF(OR(CF!AU7&lt;YEAR(Inputs!$L$29),CF!AU7&gt;YEAR(Inputs!$L$30)),0,IF(CF!AU7=YEAR(Inputs!$L$30),(Inputs!$L$30-CF!AU8+1)/CF!AU$15,IF(CF!AU7=YEAR(Inputs!$L$29),(CF!AU9-Inputs!$L$29+1)/CF!AU15,1)))</f>
        <v>1</v>
      </c>
      <c r="AV12" s="709">
        <f>+IF(OR(CF!AV7&lt;YEAR(Inputs!$L$29),CF!AV7&gt;YEAR(Inputs!$L$30)),0,IF(CF!AV7=YEAR(Inputs!$L$30),(Inputs!$L$30-CF!AV8+1)/CF!AV$15,IF(CF!AV7=YEAR(Inputs!$L$29),(CF!AV9-Inputs!$L$29+1)/CF!AV15,1)))</f>
        <v>1</v>
      </c>
      <c r="AW12" s="709">
        <f>+IF(OR(CF!AW7&lt;YEAR(Inputs!$L$29),CF!AW7&gt;YEAR(Inputs!$L$30)),0,IF(CF!AW7=YEAR(Inputs!$L$30),(Inputs!$L$30-CF!AW8+1)/CF!AW$15,IF(CF!AW7=YEAR(Inputs!$L$29),(CF!AW9-Inputs!$L$29+1)/CF!AW15,1)))</f>
        <v>1</v>
      </c>
      <c r="AX12" s="709">
        <f>+IF(OR(CF!AX7&lt;YEAR(Inputs!$L$29),CF!AX7&gt;YEAR(Inputs!$L$30)),0,IF(CF!AX7=YEAR(Inputs!$L$30),(Inputs!$L$30-CF!AX8+1)/CF!AX$15,IF(CF!AX7=YEAR(Inputs!$L$29),(CF!AX9-Inputs!$L$29+1)/CF!AX15,1)))</f>
        <v>1</v>
      </c>
      <c r="AY12" s="709">
        <f>+IF(OR(CF!AY7&lt;YEAR(Inputs!$L$29),CF!AY7&gt;YEAR(Inputs!$L$30)),0,IF(CF!AY7=YEAR(Inputs!$L$30),(Inputs!$L$30-CF!AY8+1)/CF!AY$15,IF(CF!AY7=YEAR(Inputs!$L$29),(CF!AY9-Inputs!$L$29+1)/CF!AY15,1)))</f>
        <v>1</v>
      </c>
      <c r="AZ12" s="709">
        <f>+IF(OR(CF!AZ7&lt;YEAR(Inputs!$L$29),CF!AZ7&gt;YEAR(Inputs!$L$30)),0,IF(CF!AZ7=YEAR(Inputs!$L$30),(Inputs!$L$30-CF!AZ8+1)/CF!AZ$15,IF(CF!AZ7=YEAR(Inputs!$L$29),(CF!AZ9-Inputs!$L$29+1)/CF!AZ15,1)))</f>
        <v>1</v>
      </c>
      <c r="BA12" s="709">
        <f>+IF(OR(CF!BA7&lt;YEAR(Inputs!$L$29),CF!BA7&gt;YEAR(Inputs!$L$30)),0,IF(CF!BA7=YEAR(Inputs!$L$30),(Inputs!$L$30-CF!BA8+1)/CF!BA$15,IF(CF!BA7=YEAR(Inputs!$L$29),(CF!BA9-Inputs!$L$29+1)/CF!BA15,1)))</f>
        <v>1</v>
      </c>
      <c r="BB12" s="709">
        <f>+IF(OR(CF!BB7&lt;YEAR(Inputs!$L$29),CF!BB7&gt;YEAR(Inputs!$L$30)),0,IF(CF!BB7=YEAR(Inputs!$L$30),(Inputs!$L$30-CF!BB8+1)/CF!BB$15,IF(CF!BB7=YEAR(Inputs!$L$29),(CF!BB9-Inputs!$L$29+1)/CF!BB15,1)))</f>
        <v>1</v>
      </c>
      <c r="BC12" s="709">
        <f>+IF(OR(CF!BC7&lt;YEAR(Inputs!$L$29),CF!BC7&gt;YEAR(Inputs!$L$30)),0,IF(CF!BC7=YEAR(Inputs!$L$30),(Inputs!$L$30-CF!BC8+1)/CF!BC$15,IF(CF!BC7=YEAR(Inputs!$L$29),(CF!BC9-Inputs!$L$29+1)/CF!BC15,1)))</f>
        <v>1</v>
      </c>
      <c r="BD12" s="709">
        <f>+IF(OR(CF!BD7&lt;YEAR(Inputs!$L$29),CF!BD7&gt;YEAR(Inputs!$L$30)),0,IF(CF!BD7=YEAR(Inputs!$L$30),(Inputs!$L$30-CF!BD8+1)/CF!BD$15,IF(CF!BD7=YEAR(Inputs!$L$29),(CF!BD9-Inputs!$L$29+1)/CF!BD15,1)))</f>
        <v>1</v>
      </c>
      <c r="BE12" s="709">
        <f>+IF(OR(CF!BE7&lt;YEAR(Inputs!$L$29),CF!BE7&gt;YEAR(Inputs!$L$30)),0,IF(CF!BE7=YEAR(Inputs!$L$30),(Inputs!$L$30-CF!BE8+1)/CF!BE$15,IF(CF!BE7=YEAR(Inputs!$L$29),(CF!BE9-Inputs!$L$29+1)/CF!BE15,1)))</f>
        <v>1</v>
      </c>
      <c r="BF12" s="709">
        <f>+IF(OR(CF!BF7&lt;YEAR(Inputs!$L$29),CF!BF7&gt;YEAR(Inputs!$L$30)),0,IF(CF!BF7=YEAR(Inputs!$L$30),(Inputs!$L$30-CF!BF8+1)/CF!BF$15,IF(CF!BF7=YEAR(Inputs!$L$29),(CF!BF9-Inputs!$L$29+1)/CF!BF15,1)))</f>
        <v>1</v>
      </c>
      <c r="BG12" s="709">
        <f>+IF(OR(CF!BG7&lt;YEAR(Inputs!$L$29),CF!BG7&gt;YEAR(Inputs!$L$30)),0,IF(CF!BG7=YEAR(Inputs!$L$30),(Inputs!$L$30-CF!BG8+1)/CF!BG$15,IF(CF!BG7=YEAR(Inputs!$L$29),(CF!BG9-Inputs!$L$29+1)/CF!BG15,1)))</f>
        <v>1</v>
      </c>
      <c r="BH12" s="709">
        <f>+IF(OR(CF!BH7&lt;YEAR(Inputs!$L$29),CF!BH7&gt;YEAR(Inputs!$L$30)),0,IF(CF!BH7=YEAR(Inputs!$L$30),(Inputs!$L$30-CF!BH8+1)/CF!BH$15,IF(CF!BH7=YEAR(Inputs!$L$29),(CF!BH9-Inputs!$L$29+1)/CF!BH15,1)))</f>
        <v>1</v>
      </c>
      <c r="BI12" s="709">
        <f>+IF(OR(CF!BI7&lt;YEAR(Inputs!$L$29),CF!BI7&gt;YEAR(Inputs!$L$30)),0,IF(CF!BI7=YEAR(Inputs!$L$30),(Inputs!$L$30-CF!BI8+1)/CF!BI$15,IF(CF!BI7=YEAR(Inputs!$L$29),(CF!BI9-Inputs!$L$29+1)/CF!BI15,1)))</f>
        <v>1</v>
      </c>
      <c r="BJ12" s="709">
        <f>+IF(OR(CF!BJ7&lt;YEAR(Inputs!$L$29),CF!BJ7&gt;YEAR(Inputs!$L$30)),0,IF(CF!BJ7=YEAR(Inputs!$L$30),(Inputs!$L$30-CF!BJ8+1)/CF!BJ$15,IF(CF!BJ7=YEAR(Inputs!$L$29),(CF!BJ9-Inputs!$L$29+1)/CF!BJ15,1)))</f>
        <v>0.24657534246575341</v>
      </c>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row>
    <row r="13" spans="1:125" x14ac:dyDescent="0.2">
      <c r="DQ13" s="57"/>
    </row>
    <row r="14" spans="1:125" s="140" customFormat="1" ht="15.75" x14ac:dyDescent="0.25">
      <c r="A14" s="136"/>
      <c r="B14" s="136"/>
      <c r="C14" s="136" t="s">
        <v>371</v>
      </c>
      <c r="D14" s="136"/>
      <c r="E14" s="136"/>
      <c r="F14" s="136"/>
      <c r="G14" s="136"/>
      <c r="H14" s="136"/>
      <c r="I14" s="136"/>
      <c r="J14" s="136"/>
      <c r="K14" s="598"/>
      <c r="L14" s="136"/>
      <c r="M14" s="136"/>
      <c r="N14" s="136"/>
      <c r="O14" s="137"/>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9"/>
      <c r="DQ14" s="138"/>
      <c r="DR14" s="138"/>
      <c r="DS14" s="138"/>
      <c r="DT14" s="138"/>
      <c r="DU14" s="138"/>
    </row>
    <row r="15" spans="1:125" x14ac:dyDescent="0.2">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row>
    <row r="16" spans="1:125" x14ac:dyDescent="0.2">
      <c r="C16" t="s">
        <v>267</v>
      </c>
      <c r="N16" s="78">
        <f>+SUM(Q16:BJ16)</f>
        <v>31617619.88418154</v>
      </c>
      <c r="O16" s="78"/>
      <c r="P16" s="78"/>
      <c r="Q16" s="142"/>
      <c r="R16" s="78">
        <f t="shared" ref="R16:AO16" si="3">+R34</f>
        <v>0</v>
      </c>
      <c r="S16" s="78">
        <f t="shared" si="3"/>
        <v>99995.383361491404</v>
      </c>
      <c r="T16" s="78">
        <f t="shared" si="3"/>
        <v>110892.63499175895</v>
      </c>
      <c r="U16" s="78">
        <f t="shared" si="3"/>
        <v>122977.44237811655</v>
      </c>
      <c r="V16" s="78">
        <f t="shared" si="3"/>
        <v>136379.22243426612</v>
      </c>
      <c r="W16" s="78">
        <f t="shared" si="3"/>
        <v>147989.64874127222</v>
      </c>
      <c r="X16" s="78">
        <f t="shared" si="3"/>
        <v>160588.51006516948</v>
      </c>
      <c r="Y16" s="78">
        <f t="shared" si="3"/>
        <v>174259.95523536199</v>
      </c>
      <c r="Z16" s="78">
        <f t="shared" si="3"/>
        <v>189095.29695684407</v>
      </c>
      <c r="AA16" s="78">
        <f t="shared" si="3"/>
        <v>205193.6216952556</v>
      </c>
      <c r="AB16" s="78">
        <f t="shared" si="3"/>
        <v>218151.68779285997</v>
      </c>
      <c r="AC16" s="78">
        <f t="shared" si="3"/>
        <v>231928.06137781523</v>
      </c>
      <c r="AD16" s="78">
        <f t="shared" si="3"/>
        <v>246574.41892242918</v>
      </c>
      <c r="AE16" s="78">
        <f t="shared" si="3"/>
        <v>262145.70029062143</v>
      </c>
      <c r="AF16" s="78">
        <f t="shared" si="3"/>
        <v>278700.31482251739</v>
      </c>
      <c r="AG16" s="78">
        <f t="shared" si="3"/>
        <v>305795.33461873961</v>
      </c>
      <c r="AH16" s="78">
        <f t="shared" si="3"/>
        <v>335524.51038362371</v>
      </c>
      <c r="AI16" s="78">
        <f t="shared" si="3"/>
        <v>368143.9326356274</v>
      </c>
      <c r="AJ16" s="78">
        <f t="shared" si="3"/>
        <v>403934.58880684001</v>
      </c>
      <c r="AK16" s="78">
        <f t="shared" si="3"/>
        <v>443204.78370084305</v>
      </c>
      <c r="AL16" s="78">
        <f t="shared" si="3"/>
        <v>486909.90690950124</v>
      </c>
      <c r="AM16" s="78">
        <f t="shared" si="3"/>
        <v>534924.8612953726</v>
      </c>
      <c r="AN16" s="78">
        <f t="shared" si="3"/>
        <v>587674.64611283329</v>
      </c>
      <c r="AO16" s="78">
        <f t="shared" si="3"/>
        <v>645626.17046348774</v>
      </c>
      <c r="AP16" s="78">
        <f t="shared" ref="AP16:BJ16" si="4">+AP34</f>
        <v>709292.3860923493</v>
      </c>
      <c r="AQ16" s="78">
        <f t="shared" si="4"/>
        <v>750382.9050056797</v>
      </c>
      <c r="AR16" s="78">
        <f t="shared" si="4"/>
        <v>793853.86783420376</v>
      </c>
      <c r="AS16" s="78">
        <f t="shared" si="4"/>
        <v>839843.17775810137</v>
      </c>
      <c r="AT16" s="78">
        <f t="shared" si="4"/>
        <v>888496.72692422429</v>
      </c>
      <c r="AU16" s="78">
        <f t="shared" si="4"/>
        <v>939968.8592605762</v>
      </c>
      <c r="AV16" s="78">
        <f t="shared" si="4"/>
        <v>993784.81824656378</v>
      </c>
      <c r="AW16" s="78">
        <f t="shared" si="4"/>
        <v>1050681.8978601643</v>
      </c>
      <c r="AX16" s="78">
        <f t="shared" si="4"/>
        <v>1110836.5012446234</v>
      </c>
      <c r="AY16" s="78">
        <f t="shared" si="4"/>
        <v>1174435.131137687</v>
      </c>
      <c r="AZ16" s="78">
        <f t="shared" si="4"/>
        <v>1241674.9681028472</v>
      </c>
      <c r="BA16" s="78">
        <f t="shared" si="4"/>
        <v>1299492.443952414</v>
      </c>
      <c r="BB16" s="78">
        <f t="shared" si="4"/>
        <v>1360002.1384578201</v>
      </c>
      <c r="BC16" s="78">
        <f t="shared" si="4"/>
        <v>1423329.4123544544</v>
      </c>
      <c r="BD16" s="78">
        <f t="shared" si="4"/>
        <v>1489605.4636873708</v>
      </c>
      <c r="BE16" s="78">
        <f t="shared" si="4"/>
        <v>1558967.5996203499</v>
      </c>
      <c r="BF16" s="78">
        <f t="shared" si="4"/>
        <v>1616727.695374218</v>
      </c>
      <c r="BG16" s="78">
        <f t="shared" si="4"/>
        <v>1676627.8155021067</v>
      </c>
      <c r="BH16" s="78">
        <f t="shared" si="4"/>
        <v>1738747.248382292</v>
      </c>
      <c r="BI16" s="78">
        <f t="shared" si="4"/>
        <v>1803168.2200450725</v>
      </c>
      <c r="BJ16" s="78">
        <f t="shared" si="4"/>
        <v>461089.97334577679</v>
      </c>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row>
    <row r="17" spans="1:125" x14ac:dyDescent="0.2">
      <c r="C17" t="s">
        <v>18</v>
      </c>
      <c r="N17" s="78">
        <f t="shared" ref="N17:N20" si="5">+SUM(Q17:BJ17)</f>
        <v>-446961.57783952728</v>
      </c>
      <c r="O17" s="78"/>
      <c r="P17" s="78"/>
      <c r="Q17" s="142"/>
      <c r="R17" s="78">
        <f t="shared" ref="R17:AO17" si="6">+R110</f>
        <v>0</v>
      </c>
      <c r="S17" s="78">
        <f t="shared" si="6"/>
        <v>0</v>
      </c>
      <c r="T17" s="78">
        <f t="shared" si="6"/>
        <v>0</v>
      </c>
      <c r="U17" s="78">
        <f t="shared" si="6"/>
        <v>0</v>
      </c>
      <c r="V17" s="78">
        <f t="shared" si="6"/>
        <v>0</v>
      </c>
      <c r="W17" s="78">
        <f t="shared" si="6"/>
        <v>0</v>
      </c>
      <c r="X17" s="78">
        <f t="shared" si="6"/>
        <v>0</v>
      </c>
      <c r="Y17" s="78">
        <f t="shared" si="6"/>
        <v>0</v>
      </c>
      <c r="Z17" s="78">
        <f t="shared" si="6"/>
        <v>0</v>
      </c>
      <c r="AA17" s="78">
        <f t="shared" si="6"/>
        <v>0</v>
      </c>
      <c r="AB17" s="78">
        <f t="shared" si="6"/>
        <v>0</v>
      </c>
      <c r="AC17" s="78">
        <f t="shared" si="6"/>
        <v>0</v>
      </c>
      <c r="AD17" s="78">
        <f t="shared" si="6"/>
        <v>0</v>
      </c>
      <c r="AE17" s="78">
        <f t="shared" si="6"/>
        <v>0</v>
      </c>
      <c r="AF17" s="78">
        <f t="shared" si="6"/>
        <v>0</v>
      </c>
      <c r="AG17" s="78">
        <f t="shared" si="6"/>
        <v>0</v>
      </c>
      <c r="AH17" s="78">
        <f t="shared" si="6"/>
        <v>0</v>
      </c>
      <c r="AI17" s="78">
        <f t="shared" si="6"/>
        <v>0</v>
      </c>
      <c r="AJ17" s="78">
        <f t="shared" si="6"/>
        <v>0</v>
      </c>
      <c r="AK17" s="78">
        <f t="shared" si="6"/>
        <v>0</v>
      </c>
      <c r="AL17" s="78">
        <f t="shared" si="6"/>
        <v>0</v>
      </c>
      <c r="AM17" s="78">
        <f t="shared" si="6"/>
        <v>0</v>
      </c>
      <c r="AN17" s="78">
        <f t="shared" si="6"/>
        <v>0</v>
      </c>
      <c r="AO17" s="78">
        <f t="shared" si="6"/>
        <v>0</v>
      </c>
      <c r="AP17" s="78">
        <f t="shared" ref="AP17:BJ17" si="7">+AP110</f>
        <v>0</v>
      </c>
      <c r="AQ17" s="78">
        <f t="shared" si="7"/>
        <v>0</v>
      </c>
      <c r="AR17" s="78">
        <f t="shared" si="7"/>
        <v>0</v>
      </c>
      <c r="AS17" s="78">
        <f t="shared" si="7"/>
        <v>0</v>
      </c>
      <c r="AT17" s="78">
        <f t="shared" si="7"/>
        <v>0</v>
      </c>
      <c r="AU17" s="78">
        <f t="shared" si="7"/>
        <v>0</v>
      </c>
      <c r="AV17" s="78">
        <f t="shared" si="7"/>
        <v>0</v>
      </c>
      <c r="AW17" s="78">
        <f t="shared" si="7"/>
        <v>0</v>
      </c>
      <c r="AX17" s="78">
        <f t="shared" si="7"/>
        <v>0</v>
      </c>
      <c r="AY17" s="78">
        <f t="shared" si="7"/>
        <v>0</v>
      </c>
      <c r="AZ17" s="78">
        <f t="shared" si="7"/>
        <v>0</v>
      </c>
      <c r="BA17" s="78">
        <f t="shared" si="7"/>
        <v>0</v>
      </c>
      <c r="BB17" s="78">
        <f t="shared" si="7"/>
        <v>-2451.0748028550297</v>
      </c>
      <c r="BC17" s="78">
        <f t="shared" si="7"/>
        <v>-28388.597133371513</v>
      </c>
      <c r="BD17" s="78">
        <f t="shared" si="7"/>
        <v>-31360.53338051727</v>
      </c>
      <c r="BE17" s="78">
        <f t="shared" si="7"/>
        <v>-34431.761185107287</v>
      </c>
      <c r="BF17" s="78">
        <f t="shared" si="7"/>
        <v>-36081.762194184121</v>
      </c>
      <c r="BG17" s="78">
        <f t="shared" si="7"/>
        <v>-37636.280590502545</v>
      </c>
      <c r="BH17" s="78">
        <f t="shared" si="7"/>
        <v>-39585.404210636392</v>
      </c>
      <c r="BI17" s="78">
        <f t="shared" si="7"/>
        <v>-179389.91767413123</v>
      </c>
      <c r="BJ17" s="78">
        <f t="shared" si="7"/>
        <v>-57636.246668221895</v>
      </c>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row>
    <row r="18" spans="1:125" x14ac:dyDescent="0.2">
      <c r="C18" t="s">
        <v>64</v>
      </c>
      <c r="N18" s="78">
        <f t="shared" si="5"/>
        <v>2366387.7601875118</v>
      </c>
      <c r="O18" s="78"/>
      <c r="P18" s="78"/>
      <c r="Q18" s="142"/>
      <c r="R18" s="78">
        <f t="shared" ref="R18:BJ18" si="8">+R42</f>
        <v>0</v>
      </c>
      <c r="S18" s="78">
        <f t="shared" si="8"/>
        <v>17116.801882543594</v>
      </c>
      <c r="T18" s="78">
        <f t="shared" si="8"/>
        <v>18251.715924132259</v>
      </c>
      <c r="U18" s="78">
        <f t="shared" si="8"/>
        <v>19461.879413055398</v>
      </c>
      <c r="V18" s="78">
        <f t="shared" si="8"/>
        <v>20752.281695745118</v>
      </c>
      <c r="W18" s="78">
        <f t="shared" si="8"/>
        <v>21619.771470281008</v>
      </c>
      <c r="X18" s="78">
        <f t="shared" si="8"/>
        <v>22523.524173393016</v>
      </c>
      <c r="Y18" s="78">
        <f t="shared" si="8"/>
        <v>23465.055673080424</v>
      </c>
      <c r="Z18" s="78">
        <f t="shared" si="8"/>
        <v>24445.945203868072</v>
      </c>
      <c r="AA18" s="78">
        <f t="shared" si="8"/>
        <v>25467.838015662743</v>
      </c>
      <c r="AB18" s="78">
        <f t="shared" si="8"/>
        <v>26490.989749443772</v>
      </c>
      <c r="AC18" s="78">
        <f t="shared" si="8"/>
        <v>27555.245854537963</v>
      </c>
      <c r="AD18" s="78">
        <f t="shared" si="8"/>
        <v>28662.257668948518</v>
      </c>
      <c r="AE18" s="78">
        <f t="shared" si="8"/>
        <v>29813.742871973129</v>
      </c>
      <c r="AF18" s="78">
        <f t="shared" si="8"/>
        <v>31011.48814941684</v>
      </c>
      <c r="AG18" s="78">
        <f t="shared" si="8"/>
        <v>32710.13366247325</v>
      </c>
      <c r="AH18" s="78">
        <f t="shared" si="8"/>
        <v>34501.822004210582</v>
      </c>
      <c r="AI18" s="78">
        <f t="shared" si="8"/>
        <v>36391.649569316498</v>
      </c>
      <c r="AJ18" s="78">
        <f t="shared" si="8"/>
        <v>38384.991906059637</v>
      </c>
      <c r="AK18" s="78">
        <f t="shared" si="8"/>
        <v>40487.519006848277</v>
      </c>
      <c r="AL18" s="78">
        <f t="shared" si="8"/>
        <v>42936.801184184449</v>
      </c>
      <c r="AM18" s="78">
        <f t="shared" si="8"/>
        <v>45534.252064651133</v>
      </c>
      <c r="AN18" s="78">
        <f t="shared" si="8"/>
        <v>48288.835076305142</v>
      </c>
      <c r="AO18" s="78">
        <f t="shared" si="8"/>
        <v>51210.055887506605</v>
      </c>
      <c r="AP18" s="78">
        <f t="shared" si="8"/>
        <v>54307.995209608394</v>
      </c>
      <c r="AQ18" s="78">
        <f t="shared" si="8"/>
        <v>56570.629298947191</v>
      </c>
      <c r="AR18" s="78">
        <f t="shared" si="8"/>
        <v>58927.531515888171</v>
      </c>
      <c r="AS18" s="78">
        <f t="shared" si="8"/>
        <v>61382.629353579039</v>
      </c>
      <c r="AT18" s="78">
        <f t="shared" si="8"/>
        <v>63940.013936320618</v>
      </c>
      <c r="AU18" s="78">
        <f t="shared" si="8"/>
        <v>66603.946836931951</v>
      </c>
      <c r="AV18" s="78">
        <f t="shared" si="8"/>
        <v>69494.383668132767</v>
      </c>
      <c r="AW18" s="78">
        <f t="shared" si="8"/>
        <v>72510.257886634616</v>
      </c>
      <c r="AX18" s="78">
        <f t="shared" si="8"/>
        <v>75657.0131464773</v>
      </c>
      <c r="AY18" s="78">
        <f t="shared" si="8"/>
        <v>78940.329342026875</v>
      </c>
      <c r="AZ18" s="78">
        <f t="shared" si="8"/>
        <v>82366.132860187121</v>
      </c>
      <c r="BA18" s="78">
        <f t="shared" si="8"/>
        <v>85447.987193585664</v>
      </c>
      <c r="BB18" s="78">
        <f t="shared" si="8"/>
        <v>88645.153801610621</v>
      </c>
      <c r="BC18" s="78">
        <f t="shared" si="8"/>
        <v>91961.947268678021</v>
      </c>
      <c r="BD18" s="78">
        <f t="shared" si="8"/>
        <v>95402.843615952515</v>
      </c>
      <c r="BE18" s="78">
        <f t="shared" si="8"/>
        <v>98972.486341749158</v>
      </c>
      <c r="BF18" s="78">
        <f t="shared" si="8"/>
        <v>102223.65601555163</v>
      </c>
      <c r="BG18" s="78">
        <f t="shared" si="8"/>
        <v>105581.62410008973</v>
      </c>
      <c r="BH18" s="78">
        <f t="shared" si="8"/>
        <v>109049.89884060444</v>
      </c>
      <c r="BI18" s="78">
        <f t="shared" si="8"/>
        <v>112632.10372548105</v>
      </c>
      <c r="BJ18" s="78">
        <f t="shared" si="8"/>
        <v>28684.598121837771</v>
      </c>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row>
    <row r="19" spans="1:125" x14ac:dyDescent="0.2">
      <c r="C19" t="s">
        <v>65</v>
      </c>
      <c r="N19" s="78">
        <f t="shared" si="5"/>
        <v>554873.30688708287</v>
      </c>
      <c r="O19" s="78"/>
      <c r="P19" s="78"/>
      <c r="Q19" s="78"/>
      <c r="R19" s="78">
        <f t="shared" ref="R19:AO19" si="9">+R50</f>
        <v>0</v>
      </c>
      <c r="S19" s="78">
        <f t="shared" si="9"/>
        <v>1554.0519999999958</v>
      </c>
      <c r="T19" s="78">
        <f t="shared" si="9"/>
        <v>2271.9001843671922</v>
      </c>
      <c r="U19" s="78">
        <f t="shared" si="9"/>
        <v>3321.3370258702384</v>
      </c>
      <c r="V19" s="78">
        <f t="shared" si="9"/>
        <v>4855.5300603970763</v>
      </c>
      <c r="W19" s="78">
        <f t="shared" si="9"/>
        <v>5234.7233595289154</v>
      </c>
      <c r="X19" s="78">
        <f t="shared" si="9"/>
        <v>5643.5298123881421</v>
      </c>
      <c r="Y19" s="78">
        <f t="shared" si="9"/>
        <v>6084.2620623566136</v>
      </c>
      <c r="Z19" s="78">
        <f t="shared" si="9"/>
        <v>6559.4133590245247</v>
      </c>
      <c r="AA19" s="78">
        <f t="shared" si="9"/>
        <v>7071.6716626575071</v>
      </c>
      <c r="AB19" s="78">
        <f t="shared" si="9"/>
        <v>7112.6761485473016</v>
      </c>
      <c r="AC19" s="78">
        <f t="shared" si="9"/>
        <v>7153.9183954564542</v>
      </c>
      <c r="AD19" s="78">
        <f t="shared" si="9"/>
        <v>7195.3997820219884</v>
      </c>
      <c r="AE19" s="78">
        <f t="shared" si="9"/>
        <v>7237.1216948748361</v>
      </c>
      <c r="AF19" s="78">
        <f t="shared" si="9"/>
        <v>7279.0855286861879</v>
      </c>
      <c r="AG19" s="78">
        <f t="shared" si="9"/>
        <v>7825.0840659259275</v>
      </c>
      <c r="AH19" s="78">
        <f t="shared" si="9"/>
        <v>8412.0375282717268</v>
      </c>
      <c r="AI19" s="78">
        <f t="shared" si="9"/>
        <v>9043.0179127639458</v>
      </c>
      <c r="AJ19" s="78">
        <f t="shared" si="9"/>
        <v>9721.3276445487663</v>
      </c>
      <c r="AK19" s="78">
        <f t="shared" si="9"/>
        <v>10450.516861110962</v>
      </c>
      <c r="AL19" s="78">
        <f t="shared" si="9"/>
        <v>11402.936904942444</v>
      </c>
      <c r="AM19" s="78">
        <f t="shared" si="9"/>
        <v>12442.156860390503</v>
      </c>
      <c r="AN19" s="78">
        <f t="shared" si="9"/>
        <v>13576.087338645486</v>
      </c>
      <c r="AO19" s="78">
        <f t="shared" si="9"/>
        <v>14813.35989367567</v>
      </c>
      <c r="AP19" s="78">
        <f t="shared" ref="AP19:BJ19" si="10">+AP50</f>
        <v>16163.392726188255</v>
      </c>
      <c r="AQ19" s="78">
        <f t="shared" si="10"/>
        <v>14764.028626131159</v>
      </c>
      <c r="AR19" s="78">
        <f t="shared" si="10"/>
        <v>13485.816063854612</v>
      </c>
      <c r="AS19" s="78">
        <f t="shared" si="10"/>
        <v>12318.266207248376</v>
      </c>
      <c r="AT19" s="78">
        <f t="shared" si="10"/>
        <v>11251.798306766013</v>
      </c>
      <c r="AU19" s="78">
        <f t="shared" si="10"/>
        <v>10277.661077144619</v>
      </c>
      <c r="AV19" s="78">
        <f t="shared" si="10"/>
        <v>11712.773240383072</v>
      </c>
      <c r="AW19" s="78">
        <f t="shared" si="10"/>
        <v>13348.276028065735</v>
      </c>
      <c r="AX19" s="78">
        <f t="shared" si="10"/>
        <v>15212.150808753046</v>
      </c>
      <c r="AY19" s="78">
        <f t="shared" si="10"/>
        <v>17336.286104789135</v>
      </c>
      <c r="AZ19" s="78">
        <f t="shared" si="10"/>
        <v>19757.023164283295</v>
      </c>
      <c r="BA19" s="78">
        <f t="shared" si="10"/>
        <v>18360.971768753996</v>
      </c>
      <c r="BB19" s="78">
        <f t="shared" si="10"/>
        <v>17063.566787856769</v>
      </c>
      <c r="BC19" s="78">
        <f t="shared" si="10"/>
        <v>15857.837765381382</v>
      </c>
      <c r="BD19" s="78">
        <f t="shared" si="10"/>
        <v>14737.306784658558</v>
      </c>
      <c r="BE19" s="78">
        <f t="shared" si="10"/>
        <v>13695.953665213941</v>
      </c>
      <c r="BF19" s="78">
        <f t="shared" si="10"/>
        <v>17217.14575767015</v>
      </c>
      <c r="BG19" s="78">
        <f t="shared" si="10"/>
        <v>21643.626671558894</v>
      </c>
      <c r="BH19" s="78">
        <f t="shared" si="10"/>
        <v>27208.143677887198</v>
      </c>
      <c r="BI19" s="78">
        <f t="shared" si="10"/>
        <v>34203.282732155618</v>
      </c>
      <c r="BJ19" s="78">
        <f t="shared" si="10"/>
        <v>42996.852835886602</v>
      </c>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row>
    <row r="20" spans="1:125" s="75" customFormat="1" x14ac:dyDescent="0.2">
      <c r="C20" s="75" t="s">
        <v>496</v>
      </c>
      <c r="K20" s="599"/>
      <c r="N20" s="78">
        <f t="shared" si="5"/>
        <v>846.99999999999966</v>
      </c>
      <c r="O20" s="78"/>
      <c r="P20" s="78"/>
      <c r="Q20" s="78"/>
      <c r="R20" s="78">
        <f t="shared" ref="R20:BJ20" si="11">+R59</f>
        <v>0</v>
      </c>
      <c r="S20" s="78">
        <f t="shared" si="11"/>
        <v>846.99999999999966</v>
      </c>
      <c r="T20" s="78">
        <f t="shared" si="11"/>
        <v>0</v>
      </c>
      <c r="U20" s="78">
        <f t="shared" si="11"/>
        <v>0</v>
      </c>
      <c r="V20" s="78">
        <f t="shared" si="11"/>
        <v>0</v>
      </c>
      <c r="W20" s="78">
        <f t="shared" si="11"/>
        <v>0</v>
      </c>
      <c r="X20" s="78">
        <f t="shared" si="11"/>
        <v>0</v>
      </c>
      <c r="Y20" s="78">
        <f t="shared" si="11"/>
        <v>0</v>
      </c>
      <c r="Z20" s="78">
        <f t="shared" si="11"/>
        <v>0</v>
      </c>
      <c r="AA20" s="78">
        <f t="shared" si="11"/>
        <v>0</v>
      </c>
      <c r="AB20" s="78">
        <f t="shared" si="11"/>
        <v>0</v>
      </c>
      <c r="AC20" s="78">
        <f t="shared" si="11"/>
        <v>0</v>
      </c>
      <c r="AD20" s="78">
        <f t="shared" si="11"/>
        <v>0</v>
      </c>
      <c r="AE20" s="78">
        <f t="shared" si="11"/>
        <v>0</v>
      </c>
      <c r="AF20" s="78">
        <f t="shared" si="11"/>
        <v>0</v>
      </c>
      <c r="AG20" s="78">
        <f t="shared" si="11"/>
        <v>0</v>
      </c>
      <c r="AH20" s="78">
        <f t="shared" si="11"/>
        <v>0</v>
      </c>
      <c r="AI20" s="78">
        <f t="shared" si="11"/>
        <v>0</v>
      </c>
      <c r="AJ20" s="78">
        <f t="shared" si="11"/>
        <v>0</v>
      </c>
      <c r="AK20" s="78">
        <f t="shared" si="11"/>
        <v>0</v>
      </c>
      <c r="AL20" s="78">
        <f t="shared" si="11"/>
        <v>0</v>
      </c>
      <c r="AM20" s="78">
        <f t="shared" si="11"/>
        <v>0</v>
      </c>
      <c r="AN20" s="78">
        <f t="shared" si="11"/>
        <v>0</v>
      </c>
      <c r="AO20" s="78">
        <f t="shared" si="11"/>
        <v>0</v>
      </c>
      <c r="AP20" s="78">
        <f t="shared" si="11"/>
        <v>0</v>
      </c>
      <c r="AQ20" s="78">
        <f t="shared" si="11"/>
        <v>0</v>
      </c>
      <c r="AR20" s="78">
        <f t="shared" si="11"/>
        <v>0</v>
      </c>
      <c r="AS20" s="78">
        <f t="shared" si="11"/>
        <v>0</v>
      </c>
      <c r="AT20" s="78">
        <f t="shared" si="11"/>
        <v>0</v>
      </c>
      <c r="AU20" s="78">
        <f t="shared" si="11"/>
        <v>0</v>
      </c>
      <c r="AV20" s="78">
        <f t="shared" si="11"/>
        <v>0</v>
      </c>
      <c r="AW20" s="78">
        <f t="shared" si="11"/>
        <v>0</v>
      </c>
      <c r="AX20" s="78">
        <f t="shared" si="11"/>
        <v>0</v>
      </c>
      <c r="AY20" s="78">
        <f t="shared" si="11"/>
        <v>0</v>
      </c>
      <c r="AZ20" s="78">
        <f t="shared" si="11"/>
        <v>0</v>
      </c>
      <c r="BA20" s="78">
        <f t="shared" si="11"/>
        <v>0</v>
      </c>
      <c r="BB20" s="78">
        <f t="shared" si="11"/>
        <v>0</v>
      </c>
      <c r="BC20" s="78">
        <f t="shared" si="11"/>
        <v>0</v>
      </c>
      <c r="BD20" s="78">
        <f t="shared" si="11"/>
        <v>0</v>
      </c>
      <c r="BE20" s="78">
        <f t="shared" si="11"/>
        <v>0</v>
      </c>
      <c r="BF20" s="78">
        <f t="shared" si="11"/>
        <v>0</v>
      </c>
      <c r="BG20" s="78">
        <f t="shared" si="11"/>
        <v>0</v>
      </c>
      <c r="BH20" s="78">
        <f t="shared" si="11"/>
        <v>0</v>
      </c>
      <c r="BI20" s="78">
        <f t="shared" si="11"/>
        <v>0</v>
      </c>
      <c r="BJ20" s="78">
        <f t="shared" si="11"/>
        <v>0</v>
      </c>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row>
    <row r="21" spans="1:125" x14ac:dyDescent="0.2">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row>
    <row r="22" spans="1:125" x14ac:dyDescent="0.2">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row>
    <row r="23" spans="1:125" s="140" customFormat="1" ht="15.75" x14ac:dyDescent="0.25">
      <c r="A23" s="136"/>
      <c r="B23" s="136" t="s">
        <v>372</v>
      </c>
      <c r="C23" s="136"/>
      <c r="D23" s="136"/>
      <c r="E23" s="136"/>
      <c r="F23" s="136"/>
      <c r="G23" s="136"/>
      <c r="H23" s="136"/>
      <c r="I23" s="136"/>
      <c r="J23" s="136"/>
      <c r="K23" s="598"/>
      <c r="L23" s="136"/>
      <c r="M23" s="136"/>
      <c r="N23" s="136"/>
      <c r="O23" s="137"/>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8"/>
      <c r="DD23" s="138"/>
      <c r="DE23" s="138"/>
      <c r="DF23" s="138"/>
      <c r="DG23" s="138"/>
      <c r="DH23" s="138"/>
      <c r="DI23" s="138"/>
      <c r="DJ23" s="138"/>
      <c r="DK23" s="138"/>
      <c r="DL23" s="138"/>
      <c r="DM23" s="138"/>
      <c r="DN23" s="138"/>
      <c r="DO23" s="138"/>
      <c r="DP23" s="139"/>
      <c r="DQ23" s="138"/>
      <c r="DR23" s="138"/>
      <c r="DS23" s="138"/>
      <c r="DT23" s="138"/>
      <c r="DU23" s="138"/>
    </row>
    <row r="24" spans="1:125" x14ac:dyDescent="0.2">
      <c r="P24" s="78"/>
      <c r="S24" s="117"/>
      <c r="DQ24" s="57"/>
    </row>
    <row r="25" spans="1:125" x14ac:dyDescent="0.2">
      <c r="C25" s="151" t="s">
        <v>284</v>
      </c>
      <c r="P25" s="138"/>
      <c r="R25" s="207"/>
      <c r="S25" s="207">
        <f>+IF(S7&lt;=2021,Inputs!$L$20,Inputs!$L$21)</f>
        <v>2.2499999999999999E-2</v>
      </c>
      <c r="T25" s="207">
        <f>+IF(T7&lt;=2021,Inputs!$L$20,Inputs!$L$21)</f>
        <v>2.2499999999999999E-2</v>
      </c>
      <c r="U25" s="207">
        <f>+IF(U7&lt;=2021,Inputs!$L$20,Inputs!$L$21)</f>
        <v>2.2499999999999999E-2</v>
      </c>
      <c r="V25" s="207">
        <f>+IF(V7&lt;=2021,Inputs!$L$20,Inputs!$L$21)</f>
        <v>2.2499999999999999E-2</v>
      </c>
      <c r="W25" s="207">
        <f>+IF(W7&lt;=2021,Inputs!$L$20,Inputs!$L$21)</f>
        <v>2.3E-2</v>
      </c>
      <c r="X25" s="207">
        <f>+IF(X7&lt;=2021,Inputs!$L$20,Inputs!$L$21)</f>
        <v>2.3E-2</v>
      </c>
      <c r="Y25" s="207">
        <f>+IF(Y7&lt;=2021,Inputs!$L$20,Inputs!$L$21)</f>
        <v>2.3E-2</v>
      </c>
      <c r="Z25" s="207">
        <f>+IF(Z7&lt;=2021,Inputs!$L$20,Inputs!$L$21)</f>
        <v>2.3E-2</v>
      </c>
      <c r="AA25" s="207">
        <f>+IF(AA7&lt;=2021,Inputs!$L$20,Inputs!$L$21)</f>
        <v>2.3E-2</v>
      </c>
      <c r="AB25" s="207">
        <f>+IF(AB7&lt;=2021,Inputs!$L$20,Inputs!$L$21)</f>
        <v>2.3E-2</v>
      </c>
      <c r="AC25" s="207">
        <f>+IF(AC7&lt;=2021,Inputs!$L$20,Inputs!$L$21)</f>
        <v>2.3E-2</v>
      </c>
      <c r="AD25" s="207">
        <f>+IF(AD7&lt;=2021,Inputs!$L$20,Inputs!$L$21)</f>
        <v>2.3E-2</v>
      </c>
      <c r="AE25" s="207">
        <f>+IF(AE7&lt;=2021,Inputs!$L$20,Inputs!$L$21)</f>
        <v>2.3E-2</v>
      </c>
      <c r="AF25" s="207">
        <f>+IF(AF7&lt;=2021,Inputs!$L$20,Inputs!$L$21)</f>
        <v>2.3E-2</v>
      </c>
      <c r="AG25" s="207">
        <f>+IF(AG7&lt;=2021,Inputs!$L$20,Inputs!$L$21)</f>
        <v>2.3E-2</v>
      </c>
      <c r="AH25" s="207">
        <f>+IF(AH7&lt;=2021,Inputs!$L$20,Inputs!$L$21)</f>
        <v>2.3E-2</v>
      </c>
      <c r="AI25" s="207">
        <f>+IF(AI7&lt;=2021,Inputs!$L$20,Inputs!$L$21)</f>
        <v>2.3E-2</v>
      </c>
      <c r="AJ25" s="207">
        <f>+IF(AJ7&lt;=2021,Inputs!$L$20,Inputs!$L$21)</f>
        <v>2.3E-2</v>
      </c>
      <c r="AK25" s="207">
        <f>+IF(AK7&lt;=2021,Inputs!$L$20,Inputs!$L$21)</f>
        <v>2.3E-2</v>
      </c>
      <c r="AL25" s="207">
        <f>+IF(AL7&lt;=2021,Inputs!$L$20,Inputs!$L$21)</f>
        <v>2.3E-2</v>
      </c>
      <c r="AM25" s="207">
        <f>+IF(AM7&lt;=2021,Inputs!$L$20,Inputs!$L$21)</f>
        <v>2.3E-2</v>
      </c>
      <c r="AN25" s="207">
        <f>+IF(AN7&lt;=2021,Inputs!$L$20,Inputs!$L$21)</f>
        <v>2.3E-2</v>
      </c>
      <c r="AO25" s="207">
        <f>+IF(AO7&lt;=2021,Inputs!$L$20,Inputs!$L$21)</f>
        <v>2.3E-2</v>
      </c>
      <c r="AP25" s="207">
        <f>+IF(AP7&lt;=2021,Inputs!$L$20,Inputs!$L$21)</f>
        <v>2.3E-2</v>
      </c>
      <c r="AQ25" s="207">
        <f>+IF(AQ7&lt;=2021,Inputs!$L$20,Inputs!$L$21)</f>
        <v>2.3E-2</v>
      </c>
      <c r="AR25" s="207">
        <f>+IF(AR7&lt;=2021,Inputs!$L$20,Inputs!$L$21)</f>
        <v>2.3E-2</v>
      </c>
      <c r="AS25" s="207">
        <f>+IF(AS7&lt;=2021,Inputs!$L$20,Inputs!$L$21)</f>
        <v>2.3E-2</v>
      </c>
      <c r="AT25" s="207">
        <f>+IF(AT7&lt;=2021,Inputs!$L$20,Inputs!$L$21)</f>
        <v>2.3E-2</v>
      </c>
      <c r="AU25" s="207">
        <f>+IF(AU7&lt;=2021,Inputs!$L$20,Inputs!$L$21)</f>
        <v>2.3E-2</v>
      </c>
      <c r="AV25" s="207">
        <f>+IF(AV7&lt;=2021,Inputs!$L$20,Inputs!$L$21)</f>
        <v>2.3E-2</v>
      </c>
      <c r="AW25" s="207">
        <f>+IF(AW7&lt;=2021,Inputs!$L$20,Inputs!$L$21)</f>
        <v>2.3E-2</v>
      </c>
      <c r="AX25" s="207">
        <f>+IF(AX7&lt;=2021,Inputs!$L$20,Inputs!$L$21)</f>
        <v>2.3E-2</v>
      </c>
      <c r="AY25" s="207">
        <f>+IF(AY7&lt;=2021,Inputs!$L$20,Inputs!$L$21)</f>
        <v>2.3E-2</v>
      </c>
      <c r="AZ25" s="207">
        <f>+IF(AZ7&lt;=2021,Inputs!$L$20,Inputs!$L$21)</f>
        <v>2.3E-2</v>
      </c>
      <c r="BA25" s="207">
        <f>+IF(BA7&lt;=2021,Inputs!$L$20,Inputs!$L$21)</f>
        <v>2.3E-2</v>
      </c>
      <c r="BB25" s="207">
        <f>+IF(BB7&lt;=2021,Inputs!$L$20,Inputs!$L$21)</f>
        <v>2.3E-2</v>
      </c>
      <c r="BC25" s="207">
        <f>+IF(BC7&lt;=2021,Inputs!$L$20,Inputs!$L$21)</f>
        <v>2.3E-2</v>
      </c>
      <c r="BD25" s="207">
        <f>+IF(BD7&lt;=2021,Inputs!$L$20,Inputs!$L$21)</f>
        <v>2.3E-2</v>
      </c>
      <c r="BE25" s="207">
        <f>+IF(BE7&lt;=2021,Inputs!$L$20,Inputs!$L$21)</f>
        <v>2.3E-2</v>
      </c>
      <c r="BF25" s="207">
        <f>+IF(BF7&lt;=2021,Inputs!$L$20,Inputs!$L$21)</f>
        <v>2.3E-2</v>
      </c>
      <c r="BG25" s="207">
        <f>+IF(BG7&lt;=2021,Inputs!$L$20,Inputs!$L$21)</f>
        <v>2.3E-2</v>
      </c>
      <c r="BH25" s="207">
        <f>+IF(BH7&lt;=2021,Inputs!$L$20,Inputs!$L$21)</f>
        <v>2.3E-2</v>
      </c>
      <c r="BI25" s="207">
        <f>+IF(BI7&lt;=2021,Inputs!$L$20,Inputs!$L$21)</f>
        <v>2.3E-2</v>
      </c>
      <c r="BJ25" s="207">
        <f>+IF(BJ7&lt;=2021,Inputs!$L$20,Inputs!$L$21)</f>
        <v>2.3E-2</v>
      </c>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152"/>
    </row>
    <row r="26" spans="1:125" x14ac:dyDescent="0.2">
      <c r="C26" s="151" t="s">
        <v>285</v>
      </c>
      <c r="L26" s="153"/>
      <c r="P26" s="78"/>
      <c r="Q26" s="166"/>
      <c r="R26" s="708">
        <v>1.1726611830964475</v>
      </c>
      <c r="S26" s="707">
        <f t="shared" ref="S26:BJ26" si="12">+R26*(1+S25)</f>
        <v>1.1990460597161174</v>
      </c>
      <c r="T26" s="707">
        <f t="shared" si="12"/>
        <v>1.22602459605973</v>
      </c>
      <c r="U26" s="707">
        <f t="shared" si="12"/>
        <v>1.2536101494710739</v>
      </c>
      <c r="V26" s="707">
        <f t="shared" si="12"/>
        <v>1.2818163778341729</v>
      </c>
      <c r="W26" s="707">
        <f t="shared" si="12"/>
        <v>1.3112981545243587</v>
      </c>
      <c r="X26" s="707">
        <f t="shared" si="12"/>
        <v>1.3414580120784187</v>
      </c>
      <c r="Y26" s="707">
        <f t="shared" si="12"/>
        <v>1.3723115463562223</v>
      </c>
      <c r="Z26" s="707">
        <f t="shared" si="12"/>
        <v>1.4038747119224153</v>
      </c>
      <c r="AA26" s="707">
        <f t="shared" si="12"/>
        <v>1.4361638302966306</v>
      </c>
      <c r="AB26" s="707">
        <f t="shared" si="12"/>
        <v>1.469195598393453</v>
      </c>
      <c r="AC26" s="707">
        <f t="shared" si="12"/>
        <v>1.5029870971565022</v>
      </c>
      <c r="AD26" s="707">
        <f t="shared" si="12"/>
        <v>1.5375558003911016</v>
      </c>
      <c r="AE26" s="707">
        <f t="shared" si="12"/>
        <v>1.5729195838000969</v>
      </c>
      <c r="AF26" s="707">
        <f t="shared" si="12"/>
        <v>1.6090967342274989</v>
      </c>
      <c r="AG26" s="707">
        <f t="shared" si="12"/>
        <v>1.6461059591147311</v>
      </c>
      <c r="AH26" s="707">
        <f t="shared" si="12"/>
        <v>1.6839663961743698</v>
      </c>
      <c r="AI26" s="707">
        <f t="shared" si="12"/>
        <v>1.7226976232863802</v>
      </c>
      <c r="AJ26" s="707">
        <f t="shared" si="12"/>
        <v>1.7623196686219669</v>
      </c>
      <c r="AK26" s="707">
        <f t="shared" si="12"/>
        <v>1.802853021000272</v>
      </c>
      <c r="AL26" s="707">
        <f t="shared" si="12"/>
        <v>1.8443186404832781</v>
      </c>
      <c r="AM26" s="707">
        <f t="shared" si="12"/>
        <v>1.8867379692143933</v>
      </c>
      <c r="AN26" s="707">
        <f t="shared" si="12"/>
        <v>1.9301329425063243</v>
      </c>
      <c r="AO26" s="707">
        <f t="shared" si="12"/>
        <v>1.9745260001839695</v>
      </c>
      <c r="AP26" s="707">
        <f t="shared" si="12"/>
        <v>2.0199400981882007</v>
      </c>
      <c r="AQ26" s="707">
        <f t="shared" si="12"/>
        <v>2.0663987204465291</v>
      </c>
      <c r="AR26" s="707">
        <f t="shared" si="12"/>
        <v>2.1139258910167991</v>
      </c>
      <c r="AS26" s="707">
        <f t="shared" si="12"/>
        <v>2.1625461865101854</v>
      </c>
      <c r="AT26" s="707">
        <f t="shared" si="12"/>
        <v>2.2122847487999193</v>
      </c>
      <c r="AU26" s="707">
        <f t="shared" si="12"/>
        <v>2.2631672980223172</v>
      </c>
      <c r="AV26" s="707">
        <f t="shared" si="12"/>
        <v>2.3152201458768302</v>
      </c>
      <c r="AW26" s="707">
        <f t="shared" si="12"/>
        <v>2.3684702092319969</v>
      </c>
      <c r="AX26" s="707">
        <f t="shared" si="12"/>
        <v>2.4229450240443327</v>
      </c>
      <c r="AY26" s="707">
        <f t="shared" si="12"/>
        <v>2.4786727595973521</v>
      </c>
      <c r="AZ26" s="707">
        <f t="shared" si="12"/>
        <v>2.535682233068091</v>
      </c>
      <c r="BA26" s="707">
        <f t="shared" si="12"/>
        <v>2.5940029244286569</v>
      </c>
      <c r="BB26" s="707">
        <f t="shared" si="12"/>
        <v>2.653664991690516</v>
      </c>
      <c r="BC26" s="707">
        <f t="shared" si="12"/>
        <v>2.7146992864993975</v>
      </c>
      <c r="BD26" s="707">
        <f t="shared" si="12"/>
        <v>2.7771373700888833</v>
      </c>
      <c r="BE26" s="707">
        <f t="shared" si="12"/>
        <v>2.8410115296009275</v>
      </c>
      <c r="BF26" s="707">
        <f t="shared" si="12"/>
        <v>2.9063547947817487</v>
      </c>
      <c r="BG26" s="707">
        <f t="shared" si="12"/>
        <v>2.9732009550617287</v>
      </c>
      <c r="BH26" s="707">
        <f t="shared" si="12"/>
        <v>3.0415845770281482</v>
      </c>
      <c r="BI26" s="707">
        <f t="shared" si="12"/>
        <v>3.1115410222997952</v>
      </c>
      <c r="BJ26" s="707">
        <f t="shared" si="12"/>
        <v>3.1831064658126902</v>
      </c>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57"/>
    </row>
    <row r="27" spans="1:125" x14ac:dyDescent="0.2">
      <c r="P27" s="70"/>
      <c r="S27" s="779"/>
      <c r="T27" s="707"/>
      <c r="U27" s="707"/>
      <c r="V27" s="707"/>
      <c r="W27" s="707"/>
      <c r="X27" s="707"/>
      <c r="Y27" s="707"/>
      <c r="Z27" s="707"/>
      <c r="AA27" s="707"/>
      <c r="AB27" s="707"/>
      <c r="AC27" s="707"/>
      <c r="AD27" s="707"/>
      <c r="AE27" s="707"/>
      <c r="AF27" s="707"/>
      <c r="AG27" s="707"/>
      <c r="AH27" s="707"/>
      <c r="AI27" s="707"/>
      <c r="AJ27" s="707"/>
      <c r="AK27" s="707"/>
      <c r="AL27" s="707"/>
      <c r="AM27" s="707"/>
      <c r="AN27" s="707"/>
      <c r="AO27" s="707"/>
      <c r="AP27" s="707"/>
      <c r="AQ27" s="707"/>
      <c r="AR27" s="707"/>
      <c r="AS27" s="707"/>
      <c r="AT27" s="707"/>
      <c r="AU27" s="707"/>
      <c r="AV27" s="707"/>
      <c r="AW27" s="707"/>
      <c r="AX27" s="707"/>
      <c r="AY27" s="707"/>
      <c r="AZ27" s="707"/>
      <c r="BA27" s="707"/>
      <c r="BB27" s="707"/>
      <c r="BC27" s="707"/>
      <c r="BD27" s="707"/>
      <c r="BE27" s="707"/>
      <c r="BF27" s="707"/>
      <c r="BG27" s="707"/>
      <c r="BH27" s="707"/>
      <c r="BI27" s="707"/>
      <c r="BJ27" s="707"/>
      <c r="DQ27" s="57"/>
    </row>
    <row r="28" spans="1:125" ht="15.75" x14ac:dyDescent="0.25">
      <c r="B28" s="135"/>
      <c r="C28" s="157" t="s">
        <v>267</v>
      </c>
      <c r="DQ28" s="57"/>
    </row>
    <row r="29" spans="1:125" x14ac:dyDescent="0.2">
      <c r="C29" s="201" t="s">
        <v>424</v>
      </c>
      <c r="D29" s="201"/>
      <c r="E29" s="201"/>
      <c r="F29" s="201"/>
      <c r="G29" s="201"/>
      <c r="H29" s="201"/>
      <c r="I29" s="201"/>
      <c r="J29" s="201"/>
      <c r="K29" s="648"/>
      <c r="L29" s="201"/>
      <c r="M29" s="201"/>
      <c r="N29" s="201"/>
      <c r="O29" s="201"/>
      <c r="P29" s="201"/>
      <c r="Q29" s="201"/>
      <c r="R29" s="201"/>
      <c r="S29" s="203"/>
      <c r="T29" s="706">
        <f>+POWER(INDEX(Inputs!$L$33:$L42,S$6+1,1)/INDEX(Inputs!$L$33:$L$42,S$6,1),1/(INDEX(Inputs!$C$33:$C$42,S$6+1,1)-INDEX(Inputs!$C$33:$C$42,S$6,1)))-1</f>
        <v>8.4574618486156217E-2</v>
      </c>
      <c r="U29" s="706">
        <f>+POWER(INDEX(Inputs!$L$33:$L42,T$6+1,1)/INDEX(Inputs!$L$33:$L$42,T$6,1),1/(INDEX(Inputs!$C$33:$C$42,T$6+1,1)-INDEX(Inputs!$C$33:$C$42,T$6,1)))-1</f>
        <v>8.4574618486156217E-2</v>
      </c>
      <c r="V29" s="706">
        <f>+POWER(INDEX(Inputs!$L$33:$L42,U$6+1,1)/INDEX(Inputs!$L$33:$L$42,U$6,1),1/(INDEX(Inputs!$C$33:$C$42,U$6+1,1)-INDEX(Inputs!$C$33:$C$42,U$6,1)))-1</f>
        <v>8.4574618486156217E-2</v>
      </c>
      <c r="W29" s="706">
        <f>+POWER(INDEX(Inputs!$L$33:$L42,V$6+1,1)/INDEX(Inputs!$L$33:$L$42,V$6,1),1/(INDEX(Inputs!$C$33:$C$42,V$6+1,1)-INDEX(Inputs!$C$33:$C$42,V$6,1)))-1</f>
        <v>6.0736457172217539E-2</v>
      </c>
      <c r="X29" s="706">
        <f>+POWER(INDEX(Inputs!$L$33:$L42,W$6+1,1)/INDEX(Inputs!$L$33:$L$42,W$6,1),1/(INDEX(Inputs!$C$33:$C$42,W$6+1,1)-INDEX(Inputs!$C$33:$C$42,W$6,1)))-1</f>
        <v>6.0736457172217539E-2</v>
      </c>
      <c r="Y29" s="706">
        <f>+POWER(INDEX(Inputs!$L$33:$L42,X$6+1,1)/INDEX(Inputs!$L$33:$L$42,X$6,1),1/(INDEX(Inputs!$C$33:$C$42,X$6+1,1)-INDEX(Inputs!$C$33:$C$42,X$6,1)))-1</f>
        <v>6.0736457172217539E-2</v>
      </c>
      <c r="Z29" s="706">
        <f>+POWER(INDEX(Inputs!$L$33:$L42,Y$6+1,1)/INDEX(Inputs!$L$33:$L$42,Y$6,1),1/(INDEX(Inputs!$C$33:$C$42,Y$6+1,1)-INDEX(Inputs!$C$33:$C$42,Y$6,1)))-1</f>
        <v>6.0736457172217539E-2</v>
      </c>
      <c r="AA29" s="706">
        <f>+POWER(INDEX(Inputs!$L$33:$L42,Z$6+1,1)/INDEX(Inputs!$L$33:$L$42,Z$6,1),1/(INDEX(Inputs!$C$33:$C$42,Z$6+1,1)-INDEX(Inputs!$C$33:$C$42,Z$6,1)))-1</f>
        <v>6.0736457172217539E-2</v>
      </c>
      <c r="AB29" s="706">
        <f>+POWER(INDEX(Inputs!$L$33:$L42,AA$6+1,1)/INDEX(Inputs!$L$33:$L$42,AA$6,1),1/(INDEX(Inputs!$C$33:$C$42,AA$6+1,1)-INDEX(Inputs!$C$33:$C$42,AA$6,1)))-1</f>
        <v>3.924773527727754E-2</v>
      </c>
      <c r="AC29" s="706">
        <f>+POWER(INDEX(Inputs!$L$33:$L42,AB$6+1,1)/INDEX(Inputs!$L$33:$L$42,AB$6,1),1/(INDEX(Inputs!$C$33:$C$42,AB$6+1,1)-INDEX(Inputs!$C$33:$C$42,AB$6,1)))-1</f>
        <v>3.924773527727754E-2</v>
      </c>
      <c r="AD29" s="706">
        <f>+POWER(INDEX(Inputs!$L$33:$L42,AC$6+1,1)/INDEX(Inputs!$L$33:$L$42,AC$6,1),1/(INDEX(Inputs!$C$33:$C$42,AC$6+1,1)-INDEX(Inputs!$C$33:$C$42,AC$6,1)))-1</f>
        <v>3.924773527727754E-2</v>
      </c>
      <c r="AE29" s="706">
        <f>+POWER(INDEX(Inputs!$L$33:$L42,AD$6+1,1)/INDEX(Inputs!$L$33:$L$42,AD$6,1),1/(INDEX(Inputs!$C$33:$C$42,AD$6+1,1)-INDEX(Inputs!$C$33:$C$42,AD$6,1)))-1</f>
        <v>3.924773527727754E-2</v>
      </c>
      <c r="AF29" s="706">
        <f>+POWER(INDEX(Inputs!$L$33:$L42,AE$6+1,1)/INDEX(Inputs!$L$33:$L$42,AE$6,1),1/(INDEX(Inputs!$C$33:$C$42,AE$6+1,1)-INDEX(Inputs!$C$33:$C$42,AE$6,1)))-1</f>
        <v>3.924773527727754E-2</v>
      </c>
      <c r="AG29" s="706">
        <f>+POWER(INDEX(Inputs!$L$33:$L42,AF$6+1,1)/INDEX(Inputs!$L$33:$L$42,AF$6,1),1/(INDEX(Inputs!$C$33:$C$42,AF$6+1,1)-INDEX(Inputs!$C$33:$C$42,AF$6,1)))-1</f>
        <v>7.255053114369181E-2</v>
      </c>
      <c r="AH29" s="706">
        <f>+POWER(INDEX(Inputs!$L$33:$L42,AG$6+1,1)/INDEX(Inputs!$L$33:$L$42,AG$6,1),1/(INDEX(Inputs!$C$33:$C$42,AG$6+1,1)-INDEX(Inputs!$C$33:$C$42,AG$6,1)))-1</f>
        <v>7.255053114369181E-2</v>
      </c>
      <c r="AI29" s="706">
        <f>+POWER(INDEX(Inputs!$L$33:$L42,AH$6+1,1)/INDEX(Inputs!$L$33:$L$42,AH$6,1),1/(INDEX(Inputs!$C$33:$C$42,AH$6+1,1)-INDEX(Inputs!$C$33:$C$42,AH$6,1)))-1</f>
        <v>7.255053114369181E-2</v>
      </c>
      <c r="AJ29" s="706">
        <f>+POWER(INDEX(Inputs!$L$33:$L42,AI$6+1,1)/INDEX(Inputs!$L$33:$L$42,AI$6,1),1/(INDEX(Inputs!$C$33:$C$42,AI$6+1,1)-INDEX(Inputs!$C$33:$C$42,AI$6,1)))-1</f>
        <v>7.255053114369181E-2</v>
      </c>
      <c r="AK29" s="706">
        <f>+POWER(INDEX(Inputs!$L$33:$L42,AJ$6+1,1)/INDEX(Inputs!$L$33:$L$42,AJ$6,1),1/(INDEX(Inputs!$C$33:$C$42,AJ$6+1,1)-INDEX(Inputs!$C$33:$C$42,AJ$6,1)))-1</f>
        <v>7.255053114369181E-2</v>
      </c>
      <c r="AL29" s="706">
        <f>+POWER(INDEX(Inputs!$L$33:$L42,AK$6+1,1)/INDEX(Inputs!$L$33:$L$42,AK$6,1),1/(INDEX(Inputs!$C$33:$C$42,AK$6+1,1)-INDEX(Inputs!$C$33:$C$42,AK$6,1)))-1</f>
        <v>7.391161119250067E-2</v>
      </c>
      <c r="AM29" s="706">
        <f>+POWER(INDEX(Inputs!$L$33:$L42,AL$6+1,1)/INDEX(Inputs!$L$33:$L$42,AL$6,1),1/(INDEX(Inputs!$C$33:$C$42,AL$6+1,1)-INDEX(Inputs!$C$33:$C$42,AL$6,1)))-1</f>
        <v>7.391161119250067E-2</v>
      </c>
      <c r="AN29" s="706">
        <f>+POWER(INDEX(Inputs!$L$33:$L42,AM$6+1,1)/INDEX(Inputs!$L$33:$L$42,AM$6,1),1/(INDEX(Inputs!$C$33:$C$42,AM$6+1,1)-INDEX(Inputs!$C$33:$C$42,AM$6,1)))-1</f>
        <v>7.391161119250067E-2</v>
      </c>
      <c r="AO29" s="706">
        <f>+POWER(INDEX(Inputs!$L$33:$L42,AN$6+1,1)/INDEX(Inputs!$L$33:$L$42,AN$6,1),1/(INDEX(Inputs!$C$33:$C$42,AN$6+1,1)-INDEX(Inputs!$C$33:$C$42,AN$6,1)))-1</f>
        <v>7.391161119250067E-2</v>
      </c>
      <c r="AP29" s="706">
        <f>+POWER(INDEX(Inputs!$L$33:$L42,AO$6+1,1)/INDEX(Inputs!$L$33:$L$42,AO$6,1),1/(INDEX(Inputs!$C$33:$C$42,AO$6+1,1)-INDEX(Inputs!$C$33:$C$42,AO$6,1)))-1</f>
        <v>7.391161119250067E-2</v>
      </c>
      <c r="AQ29" s="706">
        <f>+POWER(INDEX(Inputs!$L$33:$L42,AP$6+1,1)/INDEX(Inputs!$L$33:$L$42,AP$6,1),1/(INDEX(Inputs!$C$33:$C$42,AP$6+1,1)-INDEX(Inputs!$C$33:$C$42,AP$6,1)))-1</f>
        <v>3.4146341463414664E-2</v>
      </c>
      <c r="AR29" s="706">
        <f>+POWER(INDEX(Inputs!$L$33:$L42,AQ$6+1,1)/INDEX(Inputs!$L$33:$L$42,AQ$6,1),1/(INDEX(Inputs!$C$33:$C$42,AQ$6+1,1)-INDEX(Inputs!$C$33:$C$42,AQ$6,1)))-1</f>
        <v>3.4146341463414664E-2</v>
      </c>
      <c r="AS29" s="706">
        <f>+POWER(INDEX(Inputs!$L$33:$L42,AR$6+1,1)/INDEX(Inputs!$L$33:$L$42,AR$6,1),1/(INDEX(Inputs!$C$33:$C$42,AR$6+1,1)-INDEX(Inputs!$C$33:$C$42,AR$6,1)))-1</f>
        <v>3.4146341463414664E-2</v>
      </c>
      <c r="AT29" s="706">
        <f>+POWER(INDEX(Inputs!$L$33:$L42,AS$6+1,1)/INDEX(Inputs!$L$33:$L$42,AS$6,1),1/(INDEX(Inputs!$C$33:$C$42,AS$6+1,1)-INDEX(Inputs!$C$33:$C$42,AS$6,1)))-1</f>
        <v>3.4146341463414664E-2</v>
      </c>
      <c r="AU29" s="706">
        <f>+POWER(INDEX(Inputs!$L$33:$L42,AT$6+1,1)/INDEX(Inputs!$L$33:$L$42,AT$6,1),1/(INDEX(Inputs!$C$33:$C$42,AT$6+1,1)-INDEX(Inputs!$C$33:$C$42,AT$6,1)))-1</f>
        <v>3.4146341463414664E-2</v>
      </c>
      <c r="AV29" s="706">
        <f>+POWER(INDEX(Inputs!$L$33:$L42,AU$6+1,1)/INDEX(Inputs!$L$33:$L$42,AU$6,1),1/(INDEX(Inputs!$C$33:$C$42,AU$6+1,1)-INDEX(Inputs!$C$33:$C$42,AU$6,1)))-1</f>
        <v>3.34828122170443E-2</v>
      </c>
      <c r="AW29" s="706">
        <f>+POWER(INDEX(Inputs!$L$33:$L42,AV$6+1,1)/INDEX(Inputs!$L$33:$L$42,AV$6,1),1/(INDEX(Inputs!$C$33:$C$42,AV$6+1,1)-INDEX(Inputs!$C$33:$C$42,AV$6,1)))-1</f>
        <v>3.34828122170443E-2</v>
      </c>
      <c r="AX29" s="706">
        <f>+POWER(INDEX(Inputs!$L$33:$L42,AW$6+1,1)/INDEX(Inputs!$L$33:$L$42,AW$6,1),1/(INDEX(Inputs!$C$33:$C$42,AW$6+1,1)-INDEX(Inputs!$C$33:$C$42,AW$6,1)))-1</f>
        <v>3.34828122170443E-2</v>
      </c>
      <c r="AY29" s="706">
        <f>+POWER(INDEX(Inputs!$L$33:$L42,AX$6+1,1)/INDEX(Inputs!$L$33:$L$42,AX$6,1),1/(INDEX(Inputs!$C$33:$C$42,AX$6+1,1)-INDEX(Inputs!$C$33:$C$42,AX$6,1)))-1</f>
        <v>3.34828122170443E-2</v>
      </c>
      <c r="AZ29" s="706">
        <f>+POWER(INDEX(Inputs!$L$33:$L42,AY$6+1,1)/INDEX(Inputs!$L$33:$L$42,AY$6,1),1/(INDEX(Inputs!$C$33:$C$42,AY$6+1,1)-INDEX(Inputs!$C$33:$C$42,AY$6,1)))-1</f>
        <v>3.34828122170443E-2</v>
      </c>
      <c r="BA29" s="706">
        <f>+POWER(INDEX(Inputs!$L$33:$L42,AZ$6+1,1)/INDEX(Inputs!$L$33:$L$42,AZ$6,1),1/(INDEX(Inputs!$C$33:$C$42,AZ$6+1,1)-INDEX(Inputs!$C$33:$C$42,AZ$6,1)))-1</f>
        <v>2.3034309643834128E-2</v>
      </c>
      <c r="BB29" s="706">
        <f>+POWER(INDEX(Inputs!$L$33:$L42,BA$6+1,1)/INDEX(Inputs!$L$33:$L$42,BA$6,1),1/(INDEX(Inputs!$C$33:$C$42,BA$6+1,1)-INDEX(Inputs!$C$33:$C$42,BA$6,1)))-1</f>
        <v>2.3034309643834128E-2</v>
      </c>
      <c r="BC29" s="706">
        <f>+POWER(INDEX(Inputs!$L$33:$L42,BB$6+1,1)/INDEX(Inputs!$L$33:$L$42,BB$6,1),1/(INDEX(Inputs!$C$33:$C$42,BB$6+1,1)-INDEX(Inputs!$C$33:$C$42,BB$6,1)))-1</f>
        <v>2.3034309643834128E-2</v>
      </c>
      <c r="BD29" s="706">
        <f>+POWER(INDEX(Inputs!$L$33:$L42,BC$6+1,1)/INDEX(Inputs!$L$33:$L$42,BC$6,1),1/(INDEX(Inputs!$C$33:$C$42,BC$6+1,1)-INDEX(Inputs!$C$33:$C$42,BC$6,1)))-1</f>
        <v>2.3034309643834128E-2</v>
      </c>
      <c r="BE29" s="706">
        <f>+POWER(INDEX(Inputs!$L$33:$L42,BD$6+1,1)/INDEX(Inputs!$L$33:$L$42,BD$6,1),1/(INDEX(Inputs!$C$33:$C$42,BD$6+1,1)-INDEX(Inputs!$C$33:$C$42,BD$6,1)))-1</f>
        <v>2.3034309643834128E-2</v>
      </c>
      <c r="BF29" s="706">
        <f>+POWER(INDEX(Inputs!$L$33:$L42,BE$6+1,1)/INDEX(Inputs!$L$33:$L$42,BE$6,1),1/(INDEX(Inputs!$C$33:$C$42,BE$6+1,1)-INDEX(Inputs!$C$33:$C$42,BE$6,1)))-1</f>
        <v>1.3734332416717621E-2</v>
      </c>
      <c r="BG29" s="706">
        <f>+POWER(INDEX(Inputs!$L$33:$L42,BF$6+1,1)/INDEX(Inputs!$L$33:$L$42,BF$6,1),1/(INDEX(Inputs!$C$33:$C$42,BF$6+1,1)-INDEX(Inputs!$C$33:$C$42,BF$6,1)))-1</f>
        <v>1.3734332416717621E-2</v>
      </c>
      <c r="BH29" s="706">
        <f>+POWER(INDEX(Inputs!$L$33:$L42,BG$6+1,1)/INDEX(Inputs!$L$33:$L$42,BG$6,1),1/(INDEX(Inputs!$C$33:$C$42,BG$6+1,1)-INDEX(Inputs!$C$33:$C$42,BG$6,1)))-1</f>
        <v>1.3734332416717621E-2</v>
      </c>
      <c r="BI29" s="706">
        <f>+POWER(INDEX(Inputs!$L$33:$L42,BH$6+1,1)/INDEX(Inputs!$L$33:$L$42,BH$6,1),1/(INDEX(Inputs!$C$33:$C$42,BH$6+1,1)-INDEX(Inputs!$C$33:$C$42,BH$6,1)))-1</f>
        <v>1.3734332416717621E-2</v>
      </c>
      <c r="BJ29" s="706">
        <f>+POWER(INDEX(Inputs!$L$33:$L42,BI$6+1,1)/INDEX(Inputs!$L$33:$L$42,BI$6,1),1/(INDEX(Inputs!$C$33:$C$42,BI$6+1,1)-INDEX(Inputs!$C$33:$C$42,BI$6,1)))-1</f>
        <v>1.3734332416717621E-2</v>
      </c>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57"/>
    </row>
    <row r="30" spans="1:125" s="75" customFormat="1" x14ac:dyDescent="0.2">
      <c r="C30" s="169" t="s">
        <v>278</v>
      </c>
      <c r="D30" s="169"/>
      <c r="E30" s="169"/>
      <c r="F30" s="169"/>
      <c r="G30" s="169"/>
      <c r="H30" s="703">
        <f>+Inputs!L14</f>
        <v>1</v>
      </c>
      <c r="I30" s="169"/>
      <c r="J30" s="169"/>
      <c r="K30" s="649" t="s">
        <v>62</v>
      </c>
      <c r="L30" s="169"/>
      <c r="M30" s="169"/>
      <c r="N30" s="43">
        <f>SUM(Q30:BJ30)</f>
        <v>14142872.430829108</v>
      </c>
      <c r="O30" s="169"/>
      <c r="P30" s="170"/>
      <c r="Q30" s="171"/>
      <c r="R30" s="171"/>
      <c r="S30" s="171">
        <f t="shared" ref="S30:AV30" si="13">+CHOOSE($H$30,S31,S32)</f>
        <v>83395.781630912505</v>
      </c>
      <c r="T30" s="171">
        <f t="shared" si="13"/>
        <v>90448.94804570172</v>
      </c>
      <c r="U30" s="171">
        <f t="shared" si="13"/>
        <v>98098.63331914111</v>
      </c>
      <c r="V30" s="171">
        <f t="shared" si="13"/>
        <v>106395.28780612082</v>
      </c>
      <c r="W30" s="171">
        <f t="shared" si="13"/>
        <v>112857.36064728303</v>
      </c>
      <c r="X30" s="171">
        <f t="shared" si="13"/>
        <v>119711.91689880624</v>
      </c>
      <c r="Y30" s="171">
        <f t="shared" si="13"/>
        <v>126982.79461253465</v>
      </c>
      <c r="Z30" s="171">
        <f t="shared" si="13"/>
        <v>134695.27967912736</v>
      </c>
      <c r="AA30" s="171">
        <f t="shared" si="13"/>
        <v>142876.19376465856</v>
      </c>
      <c r="AB30" s="171">
        <f t="shared" si="13"/>
        <v>148483.76079495889</v>
      </c>
      <c r="AC30" s="171">
        <f t="shared" si="13"/>
        <v>154311.41213161402</v>
      </c>
      <c r="AD30" s="171">
        <f t="shared" si="13"/>
        <v>160367.78558521849</v>
      </c>
      <c r="AE30" s="171">
        <f t="shared" si="13"/>
        <v>166661.85798087035</v>
      </c>
      <c r="AF30" s="171">
        <f t="shared" si="13"/>
        <v>173202.95846372272</v>
      </c>
      <c r="AG30" s="171">
        <f t="shared" si="13"/>
        <v>185768.92509592458</v>
      </c>
      <c r="AH30" s="171">
        <f t="shared" si="13"/>
        <v>199246.5592816266</v>
      </c>
      <c r="AI30" s="171">
        <f t="shared" si="13"/>
        <v>213702.00298606168</v>
      </c>
      <c r="AJ30" s="171">
        <f t="shared" si="13"/>
        <v>229206.19680917126</v>
      </c>
      <c r="AK30" s="171">
        <f t="shared" si="13"/>
        <v>245835.22812910227</v>
      </c>
      <c r="AL30" s="171">
        <f t="shared" si="13"/>
        <v>264005.30592800019</v>
      </c>
      <c r="AM30" s="171">
        <f t="shared" si="13"/>
        <v>283518.36345250771</v>
      </c>
      <c r="AN30" s="171">
        <f t="shared" si="13"/>
        <v>304473.66249794356</v>
      </c>
      <c r="AO30" s="171">
        <f t="shared" si="13"/>
        <v>326977.80145884823</v>
      </c>
      <c r="AP30" s="171">
        <f t="shared" si="13"/>
        <v>351145.25758885324</v>
      </c>
      <c r="AQ30" s="171">
        <f t="shared" si="13"/>
        <v>363135.58345774096</v>
      </c>
      <c r="AR30" s="171">
        <f t="shared" si="13"/>
        <v>375535.33508800529</v>
      </c>
      <c r="AS30" s="171">
        <f t="shared" si="13"/>
        <v>388358.49287149817</v>
      </c>
      <c r="AT30" s="171">
        <f t="shared" si="13"/>
        <v>401619.51457930543</v>
      </c>
      <c r="AU30" s="171">
        <f t="shared" si="13"/>
        <v>415333.3516625014</v>
      </c>
      <c r="AV30" s="171">
        <f t="shared" si="13"/>
        <v>429239.88028369256</v>
      </c>
      <c r="AW30" s="171">
        <f t="shared" ref="AW30:BJ30" si="14">+CHOOSE($H$30,AW31,AW32)</f>
        <v>443612.03859129804</v>
      </c>
      <c r="AX30" s="171">
        <f t="shared" si="14"/>
        <v>458465.41717667069</v>
      </c>
      <c r="AY30" s="171">
        <f t="shared" si="14"/>
        <v>473816.12864800601</v>
      </c>
      <c r="AZ30" s="171">
        <f t="shared" si="14"/>
        <v>489680.82510893408</v>
      </c>
      <c r="BA30" s="171">
        <f t="shared" si="14"/>
        <v>500960.28486114147</v>
      </c>
      <c r="BB30" s="171">
        <f t="shared" si="14"/>
        <v>512499.55918189633</v>
      </c>
      <c r="BC30" s="171">
        <f t="shared" si="14"/>
        <v>524304.6327204206</v>
      </c>
      <c r="BD30" s="171">
        <f t="shared" si="14"/>
        <v>536381.62797819951</v>
      </c>
      <c r="BE30" s="171">
        <f t="shared" si="14"/>
        <v>548736.80848431319</v>
      </c>
      <c r="BF30" s="171">
        <f t="shared" si="14"/>
        <v>556273.3422213255</v>
      </c>
      <c r="BG30" s="171">
        <f t="shared" si="14"/>
        <v>563913.38521795173</v>
      </c>
      <c r="BH30" s="171">
        <f t="shared" si="14"/>
        <v>571658.35910477163</v>
      </c>
      <c r="BI30" s="171">
        <f t="shared" si="14"/>
        <v>579509.70503751189</v>
      </c>
      <c r="BJ30" s="171">
        <f t="shared" si="14"/>
        <v>587468.88396521099</v>
      </c>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1"/>
      <c r="DF30" s="171"/>
      <c r="DG30" s="171"/>
      <c r="DH30" s="171"/>
      <c r="DI30" s="171"/>
      <c r="DJ30" s="171"/>
      <c r="DK30" s="171"/>
      <c r="DL30" s="171"/>
      <c r="DM30" s="171"/>
      <c r="DN30" s="171"/>
      <c r="DO30" s="171"/>
      <c r="DP30" s="171"/>
      <c r="DQ30" s="54"/>
    </row>
    <row r="31" spans="1:125" s="75" customFormat="1" x14ac:dyDescent="0.2">
      <c r="C31" s="75" t="s">
        <v>457</v>
      </c>
      <c r="K31" s="599"/>
      <c r="N31" s="79"/>
      <c r="Q31" s="142"/>
      <c r="R31" s="132"/>
      <c r="S31" s="132">
        <f>+IF(S$6&lt;&gt;R$6,INDEX(Inputs!$L$33:$L$42,S$6,1),R31*(1+S29))</f>
        <v>83395.781630912505</v>
      </c>
      <c r="T31" s="132">
        <f>+IF(T$6&lt;&gt;S$6,INDEX(Inputs!$L$33:$L$42,T$6,1),S31*(1+T29))</f>
        <v>90448.94804570172</v>
      </c>
      <c r="U31" s="132">
        <f>+IF(U$6&lt;&gt;T$6,INDEX(Inputs!$L$33:$L$42,U$6,1),T31*(1+U29))</f>
        <v>98098.63331914111</v>
      </c>
      <c r="V31" s="132">
        <f>+IF(V$6&lt;&gt;U$6,INDEX(Inputs!$L$33:$L$42,V$6,1),U31*(1+V29))</f>
        <v>106395.28780612082</v>
      </c>
      <c r="W31" s="132">
        <f>+IF(W$6&lt;&gt;V$6,INDEX(Inputs!$L$33:$L$42,W$6,1),V31*(1+W29))</f>
        <v>112857.36064728303</v>
      </c>
      <c r="X31" s="132">
        <f>+IF(X$6&lt;&gt;W$6,INDEX(Inputs!$L$33:$L$42,X$6,1),W31*(1+X29))</f>
        <v>119711.91689880624</v>
      </c>
      <c r="Y31" s="132">
        <f>+IF(Y$6&lt;&gt;X$6,INDEX(Inputs!$L$33:$L$42,Y$6,1),X31*(1+Y29))</f>
        <v>126982.79461253465</v>
      </c>
      <c r="Z31" s="132">
        <f>+IF(Z$6&lt;&gt;Y$6,INDEX(Inputs!$L$33:$L$42,Z$6,1),Y31*(1+Z29))</f>
        <v>134695.27967912736</v>
      </c>
      <c r="AA31" s="132">
        <f>+IF(AA$6&lt;&gt;Z$6,INDEX(Inputs!$L$33:$L$42,AA$6,1),Z31*(1+AA29))</f>
        <v>142876.19376465856</v>
      </c>
      <c r="AB31" s="132">
        <f>+IF(AB$6&lt;&gt;AA$6,INDEX(Inputs!$L$33:$L$42,AB$6,1),AA31*(1+AB29))</f>
        <v>148483.76079495889</v>
      </c>
      <c r="AC31" s="132">
        <f>+IF(AC$6&lt;&gt;AB$6,INDEX(Inputs!$L$33:$L$42,AC$6,1),AB31*(1+AC29))</f>
        <v>154311.41213161402</v>
      </c>
      <c r="AD31" s="132">
        <f>+IF(AD$6&lt;&gt;AC$6,INDEX(Inputs!$L$33:$L$42,AD$6,1),AC31*(1+AD29))</f>
        <v>160367.78558521849</v>
      </c>
      <c r="AE31" s="132">
        <f>+IF(AE$6&lt;&gt;AD$6,INDEX(Inputs!$L$33:$L$42,AE$6,1),AD31*(1+AE29))</f>
        <v>166661.85798087035</v>
      </c>
      <c r="AF31" s="132">
        <f>+IF(AF$6&lt;&gt;AE$6,INDEX(Inputs!$L$33:$L$42,AF$6,1),AE31*(1+AF29))</f>
        <v>173202.95846372272</v>
      </c>
      <c r="AG31" s="132">
        <f>+IF(AG$6&lt;&gt;AF$6,INDEX(Inputs!$L$33:$L$42,AG$6,1),AF31*(1+AG29))</f>
        <v>185768.92509592458</v>
      </c>
      <c r="AH31" s="132">
        <f>+IF(AH$6&lt;&gt;AG$6,INDEX(Inputs!$L$33:$L$42,AH$6,1),AG31*(1+AH29))</f>
        <v>199246.5592816266</v>
      </c>
      <c r="AI31" s="132">
        <f>+IF(AI$6&lt;&gt;AH$6,INDEX(Inputs!$L$33:$L$42,AI$6,1),AH31*(1+AI29))</f>
        <v>213702.00298606168</v>
      </c>
      <c r="AJ31" s="132">
        <f>+IF(AJ$6&lt;&gt;AI$6,INDEX(Inputs!$L$33:$L$42,AJ$6,1),AI31*(1+AJ29))</f>
        <v>229206.19680917126</v>
      </c>
      <c r="AK31" s="132">
        <f>+IF(AK$6&lt;&gt;AJ$6,INDEX(Inputs!$L$33:$L$42,AK$6,1),AJ31*(1+AK29))</f>
        <v>245835.22812910227</v>
      </c>
      <c r="AL31" s="132">
        <f>+IF(AL$6&lt;&gt;AK$6,INDEX(Inputs!$L$33:$L$42,AL$6,1),AK31*(1+AL29))</f>
        <v>264005.30592800019</v>
      </c>
      <c r="AM31" s="132">
        <f>+IF(AM$6&lt;&gt;AL$6,INDEX(Inputs!$L$33:$L$42,AM$6,1),AL31*(1+AM29))</f>
        <v>283518.36345250771</v>
      </c>
      <c r="AN31" s="132">
        <f>+IF(AN$6&lt;&gt;AM$6,INDEX(Inputs!$L$33:$L$42,AN$6,1),AM31*(1+AN29))</f>
        <v>304473.66249794356</v>
      </c>
      <c r="AO31" s="132">
        <f>+IF(AO$6&lt;&gt;AN$6,INDEX(Inputs!$L$33:$L$42,AO$6,1),AN31*(1+AO29))</f>
        <v>326977.80145884823</v>
      </c>
      <c r="AP31" s="132">
        <f>+IF(AP$6&lt;&gt;AO$6,INDEX(Inputs!$L$33:$L$42,AP$6,1),AO31*(1+AP29))</f>
        <v>351145.25758885324</v>
      </c>
      <c r="AQ31" s="132">
        <f>+IF(AQ$6&lt;&gt;AP$6,INDEX(Inputs!$L$33:$L$42,AQ$6,1),AP31*(1+AQ29))</f>
        <v>363135.58345774096</v>
      </c>
      <c r="AR31" s="132">
        <f>+IF(AR$6&lt;&gt;AQ$6,INDEX(Inputs!$L$33:$L$42,AR$6,1),AQ31*(1+AR29))</f>
        <v>375535.33508800529</v>
      </c>
      <c r="AS31" s="132">
        <f>+IF(AS$6&lt;&gt;AR$6,INDEX(Inputs!$L$33:$L$42,AS$6,1),AR31*(1+AS29))</f>
        <v>388358.49287149817</v>
      </c>
      <c r="AT31" s="132">
        <f>+IF(AT$6&lt;&gt;AS$6,INDEX(Inputs!$L$33:$L$42,AT$6,1),AS31*(1+AT29))</f>
        <v>401619.51457930543</v>
      </c>
      <c r="AU31" s="132">
        <f>+IF(AU$6&lt;&gt;AT$6,INDEX(Inputs!$L$33:$L$42,AU$6,1),AT31*(1+AU29))</f>
        <v>415333.3516625014</v>
      </c>
      <c r="AV31" s="132">
        <f>+IF(AV$6&lt;&gt;AU$6,INDEX(Inputs!$L$33:$L$42,AV$6,1),AU31*(1+AV29))</f>
        <v>429239.88028369256</v>
      </c>
      <c r="AW31" s="132">
        <f>+IF(AW$6&lt;&gt;AV$6,INDEX(Inputs!$L$33:$L$42,AW$6,1),AV31*(1+AW29))</f>
        <v>443612.03859129804</v>
      </c>
      <c r="AX31" s="132">
        <f>+IF(AX$6&lt;&gt;AW$6,INDEX(Inputs!$L$33:$L$42,AX$6,1),AW31*(1+AX29))</f>
        <v>458465.41717667069</v>
      </c>
      <c r="AY31" s="132">
        <f>+IF(AY$6&lt;&gt;AX$6,INDEX(Inputs!$L$33:$L$42,AY$6,1),AX31*(1+AY29))</f>
        <v>473816.12864800601</v>
      </c>
      <c r="AZ31" s="132">
        <f>+IF(AZ$6&lt;&gt;AY$6,INDEX(Inputs!$L$33:$L$42,AZ$6,1),AY31*(1+AZ29))</f>
        <v>489680.82510893408</v>
      </c>
      <c r="BA31" s="132">
        <f>+IF(BA$6&lt;&gt;AZ$6,INDEX(Inputs!$L$33:$L$42,BA$6,1),AZ31*(1+BA29))</f>
        <v>500960.28486114147</v>
      </c>
      <c r="BB31" s="132">
        <f>+IF(BB$6&lt;&gt;BA$6,INDEX(Inputs!$L$33:$L$42,BB$6,1),BA31*(1+BB29))</f>
        <v>512499.55918189633</v>
      </c>
      <c r="BC31" s="132">
        <f>+IF(BC$6&lt;&gt;BB$6,INDEX(Inputs!$L$33:$L$42,BC$6,1),BB31*(1+BC29))</f>
        <v>524304.6327204206</v>
      </c>
      <c r="BD31" s="132">
        <f>+IF(BD$6&lt;&gt;BC$6,INDEX(Inputs!$L$33:$L$42,BD$6,1),BC31*(1+BD29))</f>
        <v>536381.62797819951</v>
      </c>
      <c r="BE31" s="132">
        <f>+IF(BE$6&lt;&gt;BD$6,INDEX(Inputs!$L$33:$L$42,BE$6,1),BD31*(1+BE29))</f>
        <v>548736.80848431319</v>
      </c>
      <c r="BF31" s="132">
        <f>+IF(BF$6&lt;&gt;BE$6,INDEX(Inputs!$L$33:$L$42,BF$6,1),BE31*(1+BF29))</f>
        <v>556273.3422213255</v>
      </c>
      <c r="BG31" s="132">
        <f>+IF(BG$6&lt;&gt;BF$6,INDEX(Inputs!$L$33:$L$42,BG$6,1),BF31*(1+BG29))</f>
        <v>563913.38521795173</v>
      </c>
      <c r="BH31" s="132">
        <f>+IF(BH$6&lt;&gt;BG$6,INDEX(Inputs!$L$33:$L$42,BH$6,1),BG31*(1+BH29))</f>
        <v>571658.35910477163</v>
      </c>
      <c r="BI31" s="132">
        <f>+IF(BI$6&lt;&gt;BH$6,INDEX(Inputs!$L$33:$L$42,BI$6,1),BH31*(1+BI29))</f>
        <v>579509.70503751189</v>
      </c>
      <c r="BJ31" s="132">
        <f>+IF(BJ$6&lt;&gt;BI$6,INDEX(Inputs!$L$33:$L$42,BJ$6,1),BI31*(1+BJ29))</f>
        <v>587468.88396521099</v>
      </c>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54"/>
    </row>
    <row r="32" spans="1:125" s="75" customFormat="1" x14ac:dyDescent="0.2">
      <c r="K32" s="599"/>
      <c r="N32" s="79"/>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168"/>
      <c r="CJ32" s="168"/>
      <c r="CK32" s="168"/>
      <c r="CL32" s="168"/>
      <c r="CM32" s="168"/>
      <c r="CN32" s="168"/>
      <c r="CO32" s="168"/>
      <c r="CP32" s="168"/>
      <c r="CQ32" s="168"/>
      <c r="CR32" s="168"/>
      <c r="CS32" s="168"/>
      <c r="CT32" s="168"/>
      <c r="CU32" s="168"/>
      <c r="CV32" s="168"/>
      <c r="CW32" s="168"/>
      <c r="CX32" s="168"/>
      <c r="CY32" s="168"/>
      <c r="CZ32" s="168"/>
      <c r="DA32" s="168"/>
      <c r="DB32" s="168"/>
      <c r="DC32" s="168"/>
      <c r="DD32" s="168"/>
      <c r="DE32" s="168"/>
      <c r="DF32" s="168"/>
      <c r="DG32" s="168"/>
      <c r="DH32" s="168"/>
      <c r="DI32" s="168"/>
      <c r="DJ32" s="168"/>
      <c r="DK32" s="168"/>
      <c r="DL32" s="168"/>
      <c r="DM32" s="168"/>
      <c r="DN32" s="168"/>
      <c r="DO32" s="168"/>
      <c r="DP32" s="168"/>
      <c r="DQ32" s="54"/>
    </row>
    <row r="33" spans="1:121" x14ac:dyDescent="0.2">
      <c r="Q33" s="150"/>
      <c r="R33" s="150"/>
      <c r="S33" s="572"/>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49"/>
    </row>
    <row r="34" spans="1:121" s="147" customFormat="1" x14ac:dyDescent="0.2">
      <c r="A34" s="75"/>
      <c r="B34" s="75"/>
      <c r="C34" s="154" t="s">
        <v>283</v>
      </c>
      <c r="D34" s="154"/>
      <c r="E34" s="154"/>
      <c r="F34" s="154"/>
      <c r="G34" s="154"/>
      <c r="H34" s="154"/>
      <c r="I34" s="154"/>
      <c r="J34" s="154"/>
      <c r="K34" s="650" t="s">
        <v>62</v>
      </c>
      <c r="L34" s="154"/>
      <c r="M34" s="154"/>
      <c r="N34" s="702">
        <f>SUM(Q34:BJ34)</f>
        <v>31617619.88418154</v>
      </c>
      <c r="O34" s="154"/>
      <c r="P34" s="155"/>
      <c r="Q34" s="156"/>
      <c r="R34" s="146"/>
      <c r="S34" s="702">
        <f t="shared" ref="S34:BJ34" si="15">+S30*S26*S12</f>
        <v>99995.383361491404</v>
      </c>
      <c r="T34" s="702">
        <f t="shared" si="15"/>
        <v>110892.63499175895</v>
      </c>
      <c r="U34" s="702">
        <f t="shared" si="15"/>
        <v>122977.44237811655</v>
      </c>
      <c r="V34" s="702">
        <f t="shared" si="15"/>
        <v>136379.22243426612</v>
      </c>
      <c r="W34" s="702">
        <f t="shared" si="15"/>
        <v>147989.64874127222</v>
      </c>
      <c r="X34" s="702">
        <f t="shared" si="15"/>
        <v>160588.51006516948</v>
      </c>
      <c r="Y34" s="702">
        <f t="shared" si="15"/>
        <v>174259.95523536199</v>
      </c>
      <c r="Z34" s="702">
        <f t="shared" si="15"/>
        <v>189095.29695684407</v>
      </c>
      <c r="AA34" s="702">
        <f t="shared" si="15"/>
        <v>205193.6216952556</v>
      </c>
      <c r="AB34" s="702">
        <f t="shared" si="15"/>
        <v>218151.68779285997</v>
      </c>
      <c r="AC34" s="702">
        <f t="shared" si="15"/>
        <v>231928.06137781523</v>
      </c>
      <c r="AD34" s="702">
        <f t="shared" si="15"/>
        <v>246574.41892242918</v>
      </c>
      <c r="AE34" s="702">
        <f t="shared" si="15"/>
        <v>262145.70029062143</v>
      </c>
      <c r="AF34" s="702">
        <f t="shared" si="15"/>
        <v>278700.31482251739</v>
      </c>
      <c r="AG34" s="702">
        <f t="shared" si="15"/>
        <v>305795.33461873961</v>
      </c>
      <c r="AH34" s="702">
        <f t="shared" si="15"/>
        <v>335524.51038362371</v>
      </c>
      <c r="AI34" s="702">
        <f t="shared" si="15"/>
        <v>368143.9326356274</v>
      </c>
      <c r="AJ34" s="702">
        <f t="shared" si="15"/>
        <v>403934.58880684001</v>
      </c>
      <c r="AK34" s="702">
        <f t="shared" si="15"/>
        <v>443204.78370084305</v>
      </c>
      <c r="AL34" s="702">
        <f t="shared" si="15"/>
        <v>486909.90690950124</v>
      </c>
      <c r="AM34" s="702">
        <f t="shared" si="15"/>
        <v>534924.8612953726</v>
      </c>
      <c r="AN34" s="702">
        <f t="shared" si="15"/>
        <v>587674.64611283329</v>
      </c>
      <c r="AO34" s="702">
        <f t="shared" si="15"/>
        <v>645626.17046348774</v>
      </c>
      <c r="AP34" s="702">
        <f t="shared" si="15"/>
        <v>709292.3860923493</v>
      </c>
      <c r="AQ34" s="702">
        <f t="shared" si="15"/>
        <v>750382.9050056797</v>
      </c>
      <c r="AR34" s="702">
        <f t="shared" si="15"/>
        <v>793853.86783420376</v>
      </c>
      <c r="AS34" s="702">
        <f t="shared" si="15"/>
        <v>839843.17775810137</v>
      </c>
      <c r="AT34" s="702">
        <f t="shared" si="15"/>
        <v>888496.72692422429</v>
      </c>
      <c r="AU34" s="702">
        <f t="shared" si="15"/>
        <v>939968.8592605762</v>
      </c>
      <c r="AV34" s="702">
        <f t="shared" si="15"/>
        <v>993784.81824656378</v>
      </c>
      <c r="AW34" s="702">
        <f t="shared" si="15"/>
        <v>1050681.8978601643</v>
      </c>
      <c r="AX34" s="702">
        <f t="shared" si="15"/>
        <v>1110836.5012446234</v>
      </c>
      <c r="AY34" s="702">
        <f t="shared" si="15"/>
        <v>1174435.131137687</v>
      </c>
      <c r="AZ34" s="702">
        <f t="shared" si="15"/>
        <v>1241674.9681028472</v>
      </c>
      <c r="BA34" s="702">
        <f t="shared" si="15"/>
        <v>1299492.443952414</v>
      </c>
      <c r="BB34" s="702">
        <f t="shared" si="15"/>
        <v>1360002.1384578201</v>
      </c>
      <c r="BC34" s="702">
        <f t="shared" si="15"/>
        <v>1423329.4123544544</v>
      </c>
      <c r="BD34" s="702">
        <f t="shared" si="15"/>
        <v>1489605.4636873708</v>
      </c>
      <c r="BE34" s="702">
        <f t="shared" si="15"/>
        <v>1558967.5996203499</v>
      </c>
      <c r="BF34" s="702">
        <f t="shared" si="15"/>
        <v>1616727.695374218</v>
      </c>
      <c r="BG34" s="702">
        <f t="shared" si="15"/>
        <v>1676627.8155021067</v>
      </c>
      <c r="BH34" s="702">
        <f t="shared" si="15"/>
        <v>1738747.248382292</v>
      </c>
      <c r="BI34" s="702">
        <f t="shared" si="15"/>
        <v>1803168.2200450725</v>
      </c>
      <c r="BJ34" s="702">
        <f t="shared" si="15"/>
        <v>461089.97334577679</v>
      </c>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54"/>
    </row>
    <row r="35" spans="1:121" x14ac:dyDescent="0.2">
      <c r="DQ35" s="57"/>
    </row>
    <row r="36" spans="1:121" ht="15.75" x14ac:dyDescent="0.25">
      <c r="B36" s="135"/>
      <c r="C36" s="157" t="s">
        <v>64</v>
      </c>
      <c r="DQ36" s="57"/>
    </row>
    <row r="37" spans="1:121" x14ac:dyDescent="0.2">
      <c r="C37" s="201" t="s">
        <v>424</v>
      </c>
      <c r="S37" s="202"/>
      <c r="T37" s="705">
        <f>+POWER(INDEX(Inputs!$L$45:$L54,S$6+1,1)/INDEX(Inputs!$L$45:$L$54,S$6,1),1/(INDEX(Inputs!$C$45:$C$54,S$6+1,1)-INDEX(Inputs!$C$45:$C$54,S$6,1)))-1</f>
        <v>4.2840189764711489E-2</v>
      </c>
      <c r="U37" s="705">
        <f>+POWER(INDEX(Inputs!$L$45:$L54,T$6+1,1)/INDEX(Inputs!$L$45:$L$54,T$6,1),1/(INDEX(Inputs!$C$45:$C$54,T$6+1,1)-INDEX(Inputs!$C$45:$C$54,T$6,1)))-1</f>
        <v>4.2840189764711489E-2</v>
      </c>
      <c r="V37" s="705">
        <f>+POWER(INDEX(Inputs!$L$45:$L54,U$6+1,1)/INDEX(Inputs!$L$45:$L$54,U$6,1),1/(INDEX(Inputs!$C$45:$C$54,U$6+1,1)-INDEX(Inputs!$C$45:$C$54,U$6,1)))-1</f>
        <v>4.2840189764711489E-2</v>
      </c>
      <c r="W37" s="705">
        <f>+POWER(INDEX(Inputs!$L$45:$L54,V$6+1,1)/INDEX(Inputs!$L$45:$L$54,V$6,1),1/(INDEX(Inputs!$C$45:$C$54,V$6+1,1)-INDEX(Inputs!$C$45:$C$54,V$6,1)))-1</f>
        <v>1.8379413007904466E-2</v>
      </c>
      <c r="X37" s="705">
        <f>+POWER(INDEX(Inputs!$L$45:$L54,W$6+1,1)/INDEX(Inputs!$L$45:$L$54,W$6,1),1/(INDEX(Inputs!$C$45:$C$54,W$6+1,1)-INDEX(Inputs!$C$45:$C$54,W$6,1)))-1</f>
        <v>1.8379413007904466E-2</v>
      </c>
      <c r="Y37" s="705">
        <f>+POWER(INDEX(Inputs!$L$45:$L54,X$6+1,1)/INDEX(Inputs!$L$45:$L$54,X$6,1),1/(INDEX(Inputs!$C$45:$C$54,X$6+1,1)-INDEX(Inputs!$C$45:$C$54,X$6,1)))-1</f>
        <v>1.8379413007904466E-2</v>
      </c>
      <c r="Z37" s="705">
        <f>+POWER(INDEX(Inputs!$L$45:$L54,Y$6+1,1)/INDEX(Inputs!$L$45:$L$54,Y$6,1),1/(INDEX(Inputs!$C$45:$C$54,Y$6+1,1)-INDEX(Inputs!$C$45:$C$54,Y$6,1)))-1</f>
        <v>1.8379413007904466E-2</v>
      </c>
      <c r="AA37" s="705">
        <f>+POWER(INDEX(Inputs!$L$45:$L54,Z$6+1,1)/INDEX(Inputs!$L$45:$L$54,Z$6,1),1/(INDEX(Inputs!$C$45:$C$54,Z$6+1,1)-INDEX(Inputs!$C$45:$C$54,Z$6,1)))-1</f>
        <v>1.8379413007904466E-2</v>
      </c>
      <c r="AB37" s="705">
        <f>+POWER(INDEX(Inputs!$L$45:$L54,AA$6+1,1)/INDEX(Inputs!$L$45:$L$54,AA$6,1),1/(INDEX(Inputs!$C$45:$C$54,AA$6+1,1)-INDEX(Inputs!$C$45:$C$54,AA$6,1)))-1</f>
        <v>1.6788140146779096E-2</v>
      </c>
      <c r="AC37" s="705">
        <f>+POWER(INDEX(Inputs!$L$45:$L54,AB$6+1,1)/INDEX(Inputs!$L$45:$L$54,AB$6,1),1/(INDEX(Inputs!$C$45:$C$54,AB$6+1,1)-INDEX(Inputs!$C$45:$C$54,AB$6,1)))-1</f>
        <v>1.6788140146779096E-2</v>
      </c>
      <c r="AD37" s="705">
        <f>+POWER(INDEX(Inputs!$L$45:$L54,AC$6+1,1)/INDEX(Inputs!$L$45:$L$54,AC$6,1),1/(INDEX(Inputs!$C$45:$C$54,AC$6+1,1)-INDEX(Inputs!$C$45:$C$54,AC$6,1)))-1</f>
        <v>1.6788140146779096E-2</v>
      </c>
      <c r="AE37" s="705">
        <f>+POWER(INDEX(Inputs!$L$45:$L54,AD$6+1,1)/INDEX(Inputs!$L$45:$L$54,AD$6,1),1/(INDEX(Inputs!$C$45:$C$54,AD$6+1,1)-INDEX(Inputs!$C$45:$C$54,AD$6,1)))-1</f>
        <v>1.6788140146779096E-2</v>
      </c>
      <c r="AF37" s="705">
        <f>+POWER(INDEX(Inputs!$L$45:$L54,AE$6+1,1)/INDEX(Inputs!$L$45:$L$54,AE$6,1),1/(INDEX(Inputs!$C$45:$C$54,AE$6+1,1)-INDEX(Inputs!$C$45:$C$54,AE$6,1)))-1</f>
        <v>1.6788140146779096E-2</v>
      </c>
      <c r="AG37" s="705">
        <f>+POWER(INDEX(Inputs!$L$45:$L54,AF$6+1,1)/INDEX(Inputs!$L$45:$L$54,AF$6,1),1/(INDEX(Inputs!$C$45:$C$54,AF$6+1,1)-INDEX(Inputs!$C$45:$C$54,AF$6,1)))-1</f>
        <v>3.1060330240395118E-2</v>
      </c>
      <c r="AH37" s="705">
        <f>+POWER(INDEX(Inputs!$L$45:$L54,AG$6+1,1)/INDEX(Inputs!$L$45:$L$54,AG$6,1),1/(INDEX(Inputs!$C$45:$C$54,AG$6+1,1)-INDEX(Inputs!$C$45:$C$54,AG$6,1)))-1</f>
        <v>3.1060330240395118E-2</v>
      </c>
      <c r="AI37" s="705">
        <f>+POWER(INDEX(Inputs!$L$45:$L54,AH$6+1,1)/INDEX(Inputs!$L$45:$L$54,AH$6,1),1/(INDEX(Inputs!$C$45:$C$54,AH$6+1,1)-INDEX(Inputs!$C$45:$C$54,AH$6,1)))-1</f>
        <v>3.1060330240395118E-2</v>
      </c>
      <c r="AJ37" s="705">
        <f>+POWER(INDEX(Inputs!$L$45:$L54,AI$6+1,1)/INDEX(Inputs!$L$45:$L$54,AI$6,1),1/(INDEX(Inputs!$C$45:$C$54,AI$6+1,1)-INDEX(Inputs!$C$45:$C$54,AI$6,1)))-1</f>
        <v>3.1060330240395118E-2</v>
      </c>
      <c r="AK37" s="705">
        <f>+POWER(INDEX(Inputs!$L$45:$L54,AJ$6+1,1)/INDEX(Inputs!$L$45:$L$54,AJ$6,1),1/(INDEX(Inputs!$C$45:$C$54,AJ$6+1,1)-INDEX(Inputs!$C$45:$C$54,AJ$6,1)))-1</f>
        <v>3.1060330240395118E-2</v>
      </c>
      <c r="AL37" s="705">
        <f>+POWER(INDEX(Inputs!$L$45:$L54,AK$6+1,1)/INDEX(Inputs!$L$45:$L$54,AK$6,1),1/(INDEX(Inputs!$C$45:$C$54,AK$6+1,1)-INDEX(Inputs!$C$45:$C$54,AK$6,1)))-1</f>
        <v>3.6651755592878921E-2</v>
      </c>
      <c r="AM37" s="705">
        <f>+POWER(INDEX(Inputs!$L$45:$L54,AL$6+1,1)/INDEX(Inputs!$L$45:$L$54,AL$6,1),1/(INDEX(Inputs!$C$45:$C$54,AL$6+1,1)-INDEX(Inputs!$C$45:$C$54,AL$6,1)))-1</f>
        <v>3.6651755592878921E-2</v>
      </c>
      <c r="AN37" s="705">
        <f>+POWER(INDEX(Inputs!$L$45:$L54,AM$6+1,1)/INDEX(Inputs!$L$45:$L$54,AM$6,1),1/(INDEX(Inputs!$C$45:$C$54,AM$6+1,1)-INDEX(Inputs!$C$45:$C$54,AM$6,1)))-1</f>
        <v>3.6651755592878921E-2</v>
      </c>
      <c r="AO37" s="705">
        <f>+POWER(INDEX(Inputs!$L$45:$L54,AN$6+1,1)/INDEX(Inputs!$L$45:$L$54,AN$6,1),1/(INDEX(Inputs!$C$45:$C$54,AN$6+1,1)-INDEX(Inputs!$C$45:$C$54,AN$6,1)))-1</f>
        <v>3.6651755592878921E-2</v>
      </c>
      <c r="AP37" s="705">
        <f>+POWER(INDEX(Inputs!$L$45:$L54,AO$6+1,1)/INDEX(Inputs!$L$45:$L$54,AO$6,1),1/(INDEX(Inputs!$C$45:$C$54,AO$6+1,1)-INDEX(Inputs!$C$45:$C$54,AO$6,1)))-1</f>
        <v>3.6651755592878921E-2</v>
      </c>
      <c r="AQ37" s="705">
        <f>+POWER(INDEX(Inputs!$L$45:$L54,AP$6+1,1)/INDEX(Inputs!$L$45:$L$54,AP$6,1),1/(INDEX(Inputs!$C$45:$C$54,AP$6+1,1)-INDEX(Inputs!$C$45:$C$54,AP$6,1)))-1</f>
        <v>1.8243403288064952E-2</v>
      </c>
      <c r="AR37" s="705">
        <f>+POWER(INDEX(Inputs!$L$45:$L54,AQ$6+1,1)/INDEX(Inputs!$L$45:$L$54,AQ$6,1),1/(INDEX(Inputs!$C$45:$C$54,AQ$6+1,1)-INDEX(Inputs!$C$45:$C$54,AQ$6,1)))-1</f>
        <v>1.8243403288064952E-2</v>
      </c>
      <c r="AS37" s="705">
        <f>+POWER(INDEX(Inputs!$L$45:$L54,AR$6+1,1)/INDEX(Inputs!$L$45:$L$54,AR$6,1),1/(INDEX(Inputs!$C$45:$C$54,AR$6+1,1)-INDEX(Inputs!$C$45:$C$54,AR$6,1)))-1</f>
        <v>1.8243403288064952E-2</v>
      </c>
      <c r="AT37" s="705">
        <f>+POWER(INDEX(Inputs!$L$45:$L54,AS$6+1,1)/INDEX(Inputs!$L$45:$L$54,AS$6,1),1/(INDEX(Inputs!$C$45:$C$54,AS$6+1,1)-INDEX(Inputs!$C$45:$C$54,AS$6,1)))-1</f>
        <v>1.8243403288064952E-2</v>
      </c>
      <c r="AU37" s="705">
        <f>+POWER(INDEX(Inputs!$L$45:$L54,AT$6+1,1)/INDEX(Inputs!$L$45:$L$54,AT$6,1),1/(INDEX(Inputs!$C$45:$C$54,AT$6+1,1)-INDEX(Inputs!$C$45:$C$54,AT$6,1)))-1</f>
        <v>1.8243403288064952E-2</v>
      </c>
      <c r="AV37" s="705">
        <f>+POWER(INDEX(Inputs!$L$45:$L54,AU$6+1,1)/INDEX(Inputs!$L$45:$L$54,AU$6,1),1/(INDEX(Inputs!$C$45:$C$54,AU$6+1,1)-INDEX(Inputs!$C$45:$C$54,AU$6,1)))-1</f>
        <v>1.9938788477865899E-2</v>
      </c>
      <c r="AW37" s="705">
        <f>+POWER(INDEX(Inputs!$L$45:$L54,AV$6+1,1)/INDEX(Inputs!$L$45:$L$54,AV$6,1),1/(INDEX(Inputs!$C$45:$C$54,AV$6+1,1)-INDEX(Inputs!$C$45:$C$54,AV$6,1)))-1</f>
        <v>1.9938788477865899E-2</v>
      </c>
      <c r="AX37" s="705">
        <f>+POWER(INDEX(Inputs!$L$45:$L54,AW$6+1,1)/INDEX(Inputs!$L$45:$L$54,AW$6,1),1/(INDEX(Inputs!$C$45:$C$54,AW$6+1,1)-INDEX(Inputs!$C$45:$C$54,AW$6,1)))-1</f>
        <v>1.9938788477865899E-2</v>
      </c>
      <c r="AY37" s="705">
        <f>+POWER(INDEX(Inputs!$L$45:$L54,AX$6+1,1)/INDEX(Inputs!$L$45:$L$54,AX$6,1),1/(INDEX(Inputs!$C$45:$C$54,AX$6+1,1)-INDEX(Inputs!$C$45:$C$54,AX$6,1)))-1</f>
        <v>1.9938788477865899E-2</v>
      </c>
      <c r="AZ37" s="705">
        <f>+POWER(INDEX(Inputs!$L$45:$L54,AY$6+1,1)/INDEX(Inputs!$L$45:$L$54,AY$6,1),1/(INDEX(Inputs!$C$45:$C$54,AY$6+1,1)-INDEX(Inputs!$C$45:$C$54,AY$6,1)))-1</f>
        <v>1.9938788477865899E-2</v>
      </c>
      <c r="BA37" s="705">
        <f>+POWER(INDEX(Inputs!$L$45:$L54,AZ$6+1,1)/INDEX(Inputs!$L$45:$L$54,AZ$6,1),1/(INDEX(Inputs!$C$45:$C$54,AZ$6+1,1)-INDEX(Inputs!$C$45:$C$54,AZ$6,1)))-1</f>
        <v>1.4092398191429156E-2</v>
      </c>
      <c r="BB37" s="705">
        <f>+POWER(INDEX(Inputs!$L$45:$L54,BA$6+1,1)/INDEX(Inputs!$L$45:$L$54,BA$6,1),1/(INDEX(Inputs!$C$45:$C$54,BA$6+1,1)-INDEX(Inputs!$C$45:$C$54,BA$6,1)))-1</f>
        <v>1.4092398191429156E-2</v>
      </c>
      <c r="BC37" s="705">
        <f>+POWER(INDEX(Inputs!$L$45:$L54,BB$6+1,1)/INDEX(Inputs!$L$45:$L$54,BB$6,1),1/(INDEX(Inputs!$C$45:$C$54,BB$6+1,1)-INDEX(Inputs!$C$45:$C$54,BB$6,1)))-1</f>
        <v>1.4092398191429156E-2</v>
      </c>
      <c r="BD37" s="705">
        <f>+POWER(INDEX(Inputs!$L$45:$L54,BC$6+1,1)/INDEX(Inputs!$L$45:$L$54,BC$6,1),1/(INDEX(Inputs!$C$45:$C$54,BC$6+1,1)-INDEX(Inputs!$C$45:$C$54,BC$6,1)))-1</f>
        <v>1.4092398191429156E-2</v>
      </c>
      <c r="BE37" s="705">
        <f>+POWER(INDEX(Inputs!$L$45:$L54,BD$6+1,1)/INDEX(Inputs!$L$45:$L$54,BD$6,1),1/(INDEX(Inputs!$C$45:$C$54,BD$6+1,1)-INDEX(Inputs!$C$45:$C$54,BD$6,1)))-1</f>
        <v>1.4092398191429156E-2</v>
      </c>
      <c r="BF37" s="705">
        <f>+POWER(INDEX(Inputs!$L$45:$L54,BE$6+1,1)/INDEX(Inputs!$L$45:$L$54,BE$6,1),1/(INDEX(Inputs!$C$45:$C$54,BE$6+1,1)-INDEX(Inputs!$C$45:$C$54,BE$6,1)))-1</f>
        <v>9.6277879104718078E-3</v>
      </c>
      <c r="BG37" s="705">
        <f>+POWER(INDEX(Inputs!$L$45:$L54,BF$6+1,1)/INDEX(Inputs!$L$45:$L$54,BF$6,1),1/(INDEX(Inputs!$C$45:$C$54,BF$6+1,1)-INDEX(Inputs!$C$45:$C$54,BF$6,1)))-1</f>
        <v>9.6277879104718078E-3</v>
      </c>
      <c r="BH37" s="705">
        <f>+POWER(INDEX(Inputs!$L$45:$L54,BG$6+1,1)/INDEX(Inputs!$L$45:$L$54,BG$6,1),1/(INDEX(Inputs!$C$45:$C$54,BG$6+1,1)-INDEX(Inputs!$C$45:$C$54,BG$6,1)))-1</f>
        <v>9.6277879104718078E-3</v>
      </c>
      <c r="BI37" s="705">
        <f>+POWER(INDEX(Inputs!$L$45:$L54,BH$6+1,1)/INDEX(Inputs!$L$45:$L$54,BH$6,1),1/(INDEX(Inputs!$C$45:$C$54,BH$6+1,1)-INDEX(Inputs!$C$45:$C$54,BH$6,1)))-1</f>
        <v>9.6277879104718078E-3</v>
      </c>
      <c r="BJ37" s="705">
        <f>+POWER(INDEX(Inputs!$L$45:$L54,BI$6+1,1)/INDEX(Inputs!$L$45:$L$54,BI$6,1),1/(INDEX(Inputs!$C$45:$C$54,BI$6+1,1)-INDEX(Inputs!$C$45:$C$54,BI$6,1)))-1</f>
        <v>9.6277879104718078E-3</v>
      </c>
      <c r="DQ37" s="57"/>
    </row>
    <row r="38" spans="1:121" s="75" customFormat="1" x14ac:dyDescent="0.2">
      <c r="C38" s="169" t="s">
        <v>64</v>
      </c>
      <c r="D38" s="169"/>
      <c r="E38" s="169"/>
      <c r="F38" s="169"/>
      <c r="G38" s="169"/>
      <c r="H38" s="703">
        <f>+Inputs!L15</f>
        <v>1</v>
      </c>
      <c r="I38" s="169"/>
      <c r="J38" s="169"/>
      <c r="K38" s="649" t="s">
        <v>62</v>
      </c>
      <c r="L38" s="169"/>
      <c r="M38" s="169"/>
      <c r="N38" s="43">
        <f>SUM(Q38:BJ38)</f>
        <v>1117457.5974141294</v>
      </c>
      <c r="O38" s="169"/>
      <c r="P38" s="170"/>
      <c r="Q38" s="171"/>
      <c r="R38" s="171"/>
      <c r="S38" s="171">
        <f t="shared" ref="S38:BJ38" si="16">+CHOOSE($H$38,S39,S40)</f>
        <v>14275.3497614563</v>
      </c>
      <c r="T38" s="171">
        <f t="shared" si="16"/>
        <v>14886.908454194718</v>
      </c>
      <c r="U38" s="171">
        <f t="shared" si="16"/>
        <v>15524.666437382308</v>
      </c>
      <c r="V38" s="171">
        <f t="shared" si="16"/>
        <v>16189.746093593616</v>
      </c>
      <c r="W38" s="171">
        <f t="shared" si="16"/>
        <v>16487.304123540882</v>
      </c>
      <c r="X38" s="171">
        <f t="shared" si="16"/>
        <v>16790.331095414367</v>
      </c>
      <c r="Y38" s="171">
        <f t="shared" si="16"/>
        <v>17098.92752515645</v>
      </c>
      <c r="Z38" s="171">
        <f t="shared" si="16"/>
        <v>17413.195776133525</v>
      </c>
      <c r="AA38" s="171">
        <f t="shared" si="16"/>
        <v>17733.240093090579</v>
      </c>
      <c r="AB38" s="171">
        <f t="shared" si="16"/>
        <v>18030.948213029864</v>
      </c>
      <c r="AC38" s="171">
        <f t="shared" si="16"/>
        <v>18333.654298609526</v>
      </c>
      <c r="AD38" s="171">
        <f t="shared" si="16"/>
        <v>18641.44225637718</v>
      </c>
      <c r="AE38" s="171">
        <f t="shared" si="16"/>
        <v>18954.397401515329</v>
      </c>
      <c r="AF38" s="171">
        <f t="shared" si="16"/>
        <v>19272.606481489722</v>
      </c>
      <c r="AG38" s="171">
        <f t="shared" si="16"/>
        <v>19871.220003397972</v>
      </c>
      <c r="AH38" s="171">
        <f t="shared" si="16"/>
        <v>20488.426658983059</v>
      </c>
      <c r="AI38" s="171">
        <f t="shared" si="16"/>
        <v>21124.803957117187</v>
      </c>
      <c r="AJ38" s="171">
        <f t="shared" si="16"/>
        <v>21780.947344288852</v>
      </c>
      <c r="AK38" s="171">
        <f t="shared" si="16"/>
        <v>22457.470761751116</v>
      </c>
      <c r="AL38" s="171">
        <f t="shared" si="16"/>
        <v>23280.57649134504</v>
      </c>
      <c r="AM38" s="171">
        <f t="shared" si="16"/>
        <v>24133.850490967143</v>
      </c>
      <c r="AN38" s="171">
        <f t="shared" si="16"/>
        <v>25018.398480677151</v>
      </c>
      <c r="AO38" s="171">
        <f t="shared" si="16"/>
        <v>25935.366707116184</v>
      </c>
      <c r="AP38" s="171">
        <f t="shared" si="16"/>
        <v>26885.943428877086</v>
      </c>
      <c r="AQ38" s="171">
        <f t="shared" si="16"/>
        <v>27376.43453763019</v>
      </c>
      <c r="AR38" s="171">
        <f t="shared" si="16"/>
        <v>27875.873873489487</v>
      </c>
      <c r="AS38" s="171">
        <f t="shared" si="16"/>
        <v>28384.424682570789</v>
      </c>
      <c r="AT38" s="171">
        <f t="shared" si="16"/>
        <v>28902.253189154631</v>
      </c>
      <c r="AU38" s="171">
        <f t="shared" si="16"/>
        <v>29429.528650018154</v>
      </c>
      <c r="AV38" s="171">
        <f t="shared" si="16"/>
        <v>30016.317796774161</v>
      </c>
      <c r="AW38" s="171">
        <f t="shared" si="16"/>
        <v>30614.806808208443</v>
      </c>
      <c r="AX38" s="171">
        <f t="shared" si="16"/>
        <v>31225.228965448041</v>
      </c>
      <c r="AY38" s="171">
        <f t="shared" si="16"/>
        <v>31847.822200963041</v>
      </c>
      <c r="AZ38" s="171">
        <f t="shared" si="16"/>
        <v>32482.829191308738</v>
      </c>
      <c r="BA38" s="171">
        <f t="shared" si="16"/>
        <v>32940.590154656842</v>
      </c>
      <c r="BB38" s="171">
        <f t="shared" si="16"/>
        <v>33404.802067776938</v>
      </c>
      <c r="BC38" s="171">
        <f t="shared" si="16"/>
        <v>33875.555840021923</v>
      </c>
      <c r="BD38" s="171">
        <f t="shared" si="16"/>
        <v>34352.943661875506</v>
      </c>
      <c r="BE38" s="171">
        <f t="shared" si="16"/>
        <v>34837.059023006383</v>
      </c>
      <c r="BF38" s="171">
        <f t="shared" si="16"/>
        <v>35172.46283870448</v>
      </c>
      <c r="BG38" s="171">
        <f t="shared" si="16"/>
        <v>35511.095851204474</v>
      </c>
      <c r="BH38" s="171">
        <f t="shared" si="16"/>
        <v>35852.989150528309</v>
      </c>
      <c r="BI38" s="171">
        <f t="shared" si="16"/>
        <v>36198.174126026039</v>
      </c>
      <c r="BJ38" s="171">
        <f t="shared" si="16"/>
        <v>36546.68246925775</v>
      </c>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c r="CX38" s="171"/>
      <c r="CY38" s="171"/>
      <c r="CZ38" s="171"/>
      <c r="DA38" s="171"/>
      <c r="DB38" s="171"/>
      <c r="DC38" s="171"/>
      <c r="DD38" s="171"/>
      <c r="DE38" s="171"/>
      <c r="DF38" s="171"/>
      <c r="DG38" s="171"/>
      <c r="DH38" s="171"/>
      <c r="DI38" s="171"/>
      <c r="DJ38" s="171"/>
      <c r="DK38" s="171"/>
      <c r="DL38" s="171"/>
      <c r="DM38" s="171"/>
      <c r="DN38" s="171"/>
      <c r="DO38" s="171"/>
      <c r="DP38" s="171"/>
      <c r="DQ38" s="54"/>
    </row>
    <row r="39" spans="1:121" s="75" customFormat="1" x14ac:dyDescent="0.2">
      <c r="C39" s="75" t="s">
        <v>458</v>
      </c>
      <c r="K39" s="599"/>
      <c r="N39" s="79"/>
      <c r="Q39" s="142"/>
      <c r="R39" s="132"/>
      <c r="S39" s="132">
        <f>+IF(S$6&lt;&gt;R$6,INDEX(Inputs!$L$45:$L$54,S$6,1),R39*(1+S37))</f>
        <v>14275.3497614563</v>
      </c>
      <c r="T39" s="132">
        <f>+IF(T$6&lt;&gt;S$6,INDEX(Inputs!$L$45:$L$54,T$6,1),S39*(1+T37))</f>
        <v>14886.908454194718</v>
      </c>
      <c r="U39" s="132">
        <f>+IF(U$6&lt;&gt;T$6,INDEX(Inputs!$L$45:$L$54,U$6,1),T39*(1+U37))</f>
        <v>15524.666437382308</v>
      </c>
      <c r="V39" s="132">
        <f>+IF(V$6&lt;&gt;U$6,INDEX(Inputs!$L$45:$L$54,V$6,1),U39*(1+V37))</f>
        <v>16189.746093593616</v>
      </c>
      <c r="W39" s="132">
        <f>+IF(W$6&lt;&gt;V$6,INDEX(Inputs!$L$45:$L$54,W$6,1),V39*(1+W37))</f>
        <v>16487.304123540882</v>
      </c>
      <c r="X39" s="132">
        <f>+IF(X$6&lt;&gt;W$6,INDEX(Inputs!$L$45:$L$54,X$6,1),W39*(1+X37))</f>
        <v>16790.331095414367</v>
      </c>
      <c r="Y39" s="132">
        <f>+IF(Y$6&lt;&gt;X$6,INDEX(Inputs!$L$45:$L$54,Y$6,1),X39*(1+Y37))</f>
        <v>17098.92752515645</v>
      </c>
      <c r="Z39" s="132">
        <f>+IF(Z$6&lt;&gt;Y$6,INDEX(Inputs!$L$45:$L$54,Z$6,1),Y39*(1+Z37))</f>
        <v>17413.195776133525</v>
      </c>
      <c r="AA39" s="132">
        <f>+IF(AA$6&lt;&gt;Z$6,INDEX(Inputs!$L$45:$L$54,AA$6,1),Z39*(1+AA37))</f>
        <v>17733.240093090579</v>
      </c>
      <c r="AB39" s="132">
        <f>+IF(AB$6&lt;&gt;AA$6,INDEX(Inputs!$L$45:$L$54,AB$6,1),AA39*(1+AB37))</f>
        <v>18030.948213029864</v>
      </c>
      <c r="AC39" s="132">
        <f>+IF(AC$6&lt;&gt;AB$6,INDEX(Inputs!$L$45:$L$54,AC$6,1),AB39*(1+AC37))</f>
        <v>18333.654298609526</v>
      </c>
      <c r="AD39" s="132">
        <f>+IF(AD$6&lt;&gt;AC$6,INDEX(Inputs!$L$45:$L$54,AD$6,1),AC39*(1+AD37))</f>
        <v>18641.44225637718</v>
      </c>
      <c r="AE39" s="132">
        <f>+IF(AE$6&lt;&gt;AD$6,INDEX(Inputs!$L$45:$L$54,AE$6,1),AD39*(1+AE37))</f>
        <v>18954.397401515329</v>
      </c>
      <c r="AF39" s="132">
        <f>+IF(AF$6&lt;&gt;AE$6,INDEX(Inputs!$L$45:$L$54,AF$6,1),AE39*(1+AF37))</f>
        <v>19272.606481489722</v>
      </c>
      <c r="AG39" s="132">
        <f>+IF(AG$6&lt;&gt;AF$6,INDEX(Inputs!$L$45:$L$54,AG$6,1),AF39*(1+AG37))</f>
        <v>19871.220003397972</v>
      </c>
      <c r="AH39" s="132">
        <f>+IF(AH$6&lt;&gt;AG$6,INDEX(Inputs!$L$45:$L$54,AH$6,1),AG39*(1+AH37))</f>
        <v>20488.426658983059</v>
      </c>
      <c r="AI39" s="132">
        <f>+IF(AI$6&lt;&gt;AH$6,INDEX(Inputs!$L$45:$L$54,AI$6,1),AH39*(1+AI37))</f>
        <v>21124.803957117187</v>
      </c>
      <c r="AJ39" s="132">
        <f>+IF(AJ$6&lt;&gt;AI$6,INDEX(Inputs!$L$45:$L$54,AJ$6,1),AI39*(1+AJ37))</f>
        <v>21780.947344288852</v>
      </c>
      <c r="AK39" s="132">
        <f>+IF(AK$6&lt;&gt;AJ$6,INDEX(Inputs!$L$45:$L$54,AK$6,1),AJ39*(1+AK37))</f>
        <v>22457.470761751116</v>
      </c>
      <c r="AL39" s="132">
        <f>+IF(AL$6&lt;&gt;AK$6,INDEX(Inputs!$L$45:$L$54,AL$6,1),AK39*(1+AL37))</f>
        <v>23280.57649134504</v>
      </c>
      <c r="AM39" s="132">
        <f>+IF(AM$6&lt;&gt;AL$6,INDEX(Inputs!$L$45:$L$54,AM$6,1),AL39*(1+AM37))</f>
        <v>24133.850490967143</v>
      </c>
      <c r="AN39" s="132">
        <f>+IF(AN$6&lt;&gt;AM$6,INDEX(Inputs!$L$45:$L$54,AN$6,1),AM39*(1+AN37))</f>
        <v>25018.398480677151</v>
      </c>
      <c r="AO39" s="132">
        <f>+IF(AO$6&lt;&gt;AN$6,INDEX(Inputs!$L$45:$L$54,AO$6,1),AN39*(1+AO37))</f>
        <v>25935.366707116184</v>
      </c>
      <c r="AP39" s="132">
        <f>+IF(AP$6&lt;&gt;AO$6,INDEX(Inputs!$L$45:$L$54,AP$6,1),AO39*(1+AP37))</f>
        <v>26885.943428877086</v>
      </c>
      <c r="AQ39" s="132">
        <f>+IF(AQ$6&lt;&gt;AP$6,INDEX(Inputs!$L$45:$L$54,AQ$6,1),AP39*(1+AQ37))</f>
        <v>27376.43453763019</v>
      </c>
      <c r="AR39" s="132">
        <f>+IF(AR$6&lt;&gt;AQ$6,INDEX(Inputs!$L$45:$L$54,AR$6,1),AQ39*(1+AR37))</f>
        <v>27875.873873489487</v>
      </c>
      <c r="AS39" s="132">
        <f>+IF(AS$6&lt;&gt;AR$6,INDEX(Inputs!$L$45:$L$54,AS$6,1),AR39*(1+AS37))</f>
        <v>28384.424682570789</v>
      </c>
      <c r="AT39" s="132">
        <f>+IF(AT$6&lt;&gt;AS$6,INDEX(Inputs!$L$45:$L$54,AT$6,1),AS39*(1+AT37))</f>
        <v>28902.253189154631</v>
      </c>
      <c r="AU39" s="132">
        <f>+IF(AU$6&lt;&gt;AT$6,INDEX(Inputs!$L$45:$L$54,AU$6,1),AT39*(1+AU37))</f>
        <v>29429.528650018154</v>
      </c>
      <c r="AV39" s="132">
        <f>+IF(AV$6&lt;&gt;AU$6,INDEX(Inputs!$L$45:$L$54,AV$6,1),AU39*(1+AV37))</f>
        <v>30016.317796774161</v>
      </c>
      <c r="AW39" s="132">
        <f>+IF(AW$6&lt;&gt;AV$6,INDEX(Inputs!$L$45:$L$54,AW$6,1),AV39*(1+AW37))</f>
        <v>30614.806808208443</v>
      </c>
      <c r="AX39" s="132">
        <f>+IF(AX$6&lt;&gt;AW$6,INDEX(Inputs!$L$45:$L$54,AX$6,1),AW39*(1+AX37))</f>
        <v>31225.228965448041</v>
      </c>
      <c r="AY39" s="132">
        <f>+IF(AY$6&lt;&gt;AX$6,INDEX(Inputs!$L$45:$L$54,AY$6,1),AX39*(1+AY37))</f>
        <v>31847.822200963041</v>
      </c>
      <c r="AZ39" s="132">
        <f>+IF(AZ$6&lt;&gt;AY$6,INDEX(Inputs!$L$45:$L$54,AZ$6,1),AY39*(1+AZ37))</f>
        <v>32482.829191308738</v>
      </c>
      <c r="BA39" s="132">
        <f>+IF(BA$6&lt;&gt;AZ$6,INDEX(Inputs!$L$45:$L$54,BA$6,1),AZ39*(1+BA37))</f>
        <v>32940.590154656842</v>
      </c>
      <c r="BB39" s="132">
        <f>+IF(BB$6&lt;&gt;BA$6,INDEX(Inputs!$L$45:$L$54,BB$6,1),BA39*(1+BB37))</f>
        <v>33404.802067776938</v>
      </c>
      <c r="BC39" s="132">
        <f>+IF(BC$6&lt;&gt;BB$6,INDEX(Inputs!$L$45:$L$54,BC$6,1),BB39*(1+BC37))</f>
        <v>33875.555840021923</v>
      </c>
      <c r="BD39" s="132">
        <f>+IF(BD$6&lt;&gt;BC$6,INDEX(Inputs!$L$45:$L$54,BD$6,1),BC39*(1+BD37))</f>
        <v>34352.943661875506</v>
      </c>
      <c r="BE39" s="132">
        <f>+IF(BE$6&lt;&gt;BD$6,INDEX(Inputs!$L$45:$L$54,BE$6,1),BD39*(1+BE37))</f>
        <v>34837.059023006383</v>
      </c>
      <c r="BF39" s="132">
        <f>+IF(BF$6&lt;&gt;BE$6,INDEX(Inputs!$L$45:$L$54,BF$6,1),BE39*(1+BF37))</f>
        <v>35172.46283870448</v>
      </c>
      <c r="BG39" s="132">
        <f>+IF(BG$6&lt;&gt;BF$6,INDEX(Inputs!$L$45:$L$54,BG$6,1),BF39*(1+BG37))</f>
        <v>35511.095851204474</v>
      </c>
      <c r="BH39" s="132">
        <f>+IF(BH$6&lt;&gt;BG$6,INDEX(Inputs!$L$45:$L$54,BH$6,1),BG39*(1+BH37))</f>
        <v>35852.989150528309</v>
      </c>
      <c r="BI39" s="132">
        <f>+IF(BI$6&lt;&gt;BH$6,INDEX(Inputs!$L$45:$L$54,BI$6,1),BH39*(1+BI37))</f>
        <v>36198.174126026039</v>
      </c>
      <c r="BJ39" s="132">
        <f>+IF(BJ$6&lt;&gt;BI$6,INDEX(Inputs!$L$45:$L$54,BJ$6,1),BI39*(1+BJ37))</f>
        <v>36546.68246925775</v>
      </c>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54"/>
    </row>
    <row r="40" spans="1:121" s="75" customFormat="1" x14ac:dyDescent="0.2">
      <c r="K40" s="599"/>
      <c r="N40" s="79"/>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68"/>
      <c r="CF40" s="168"/>
      <c r="CG40" s="168"/>
      <c r="CH40" s="168"/>
      <c r="CI40" s="168"/>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68"/>
      <c r="DJ40" s="168"/>
      <c r="DK40" s="168"/>
      <c r="DL40" s="168"/>
      <c r="DM40" s="168"/>
      <c r="DN40" s="168"/>
      <c r="DO40" s="168"/>
      <c r="DP40" s="168"/>
      <c r="DQ40" s="54"/>
    </row>
    <row r="41" spans="1:121" x14ac:dyDescent="0.2">
      <c r="L41" s="151"/>
      <c r="DQ41" s="57"/>
    </row>
    <row r="42" spans="1:121" s="147" customFormat="1" x14ac:dyDescent="0.2">
      <c r="A42" s="75"/>
      <c r="B42" s="75"/>
      <c r="C42" s="154" t="s">
        <v>388</v>
      </c>
      <c r="D42" s="154"/>
      <c r="E42" s="154"/>
      <c r="F42" s="154"/>
      <c r="G42" s="154"/>
      <c r="H42" s="154"/>
      <c r="I42" s="154"/>
      <c r="J42" s="154"/>
      <c r="K42" s="650" t="s">
        <v>62</v>
      </c>
      <c r="L42" s="154"/>
      <c r="M42" s="154"/>
      <c r="N42" s="702">
        <f>SUM(Q42:BJ42)</f>
        <v>2366387.7601875118</v>
      </c>
      <c r="O42" s="154"/>
      <c r="P42" s="155"/>
      <c r="Q42" s="156"/>
      <c r="R42" s="146"/>
      <c r="S42" s="702">
        <f>+S38*S26*S12</f>
        <v>17116.801882543594</v>
      </c>
      <c r="T42" s="702">
        <f t="shared" ref="T42:BJ42" si="17">+T38*T26*T12</f>
        <v>18251.715924132259</v>
      </c>
      <c r="U42" s="702">
        <f t="shared" si="17"/>
        <v>19461.879413055398</v>
      </c>
      <c r="V42" s="702">
        <f t="shared" si="17"/>
        <v>20752.281695745118</v>
      </c>
      <c r="W42" s="702">
        <f t="shared" si="17"/>
        <v>21619.771470281008</v>
      </c>
      <c r="X42" s="702">
        <f t="shared" si="17"/>
        <v>22523.524173393016</v>
      </c>
      <c r="Y42" s="702">
        <f t="shared" si="17"/>
        <v>23465.055673080424</v>
      </c>
      <c r="Z42" s="702">
        <f t="shared" si="17"/>
        <v>24445.945203868072</v>
      </c>
      <c r="AA42" s="702">
        <f t="shared" si="17"/>
        <v>25467.838015662743</v>
      </c>
      <c r="AB42" s="702">
        <f t="shared" si="17"/>
        <v>26490.989749443772</v>
      </c>
      <c r="AC42" s="702">
        <f t="shared" si="17"/>
        <v>27555.245854537963</v>
      </c>
      <c r="AD42" s="702">
        <f t="shared" si="17"/>
        <v>28662.257668948518</v>
      </c>
      <c r="AE42" s="702">
        <f t="shared" si="17"/>
        <v>29813.742871973129</v>
      </c>
      <c r="AF42" s="702">
        <f t="shared" si="17"/>
        <v>31011.48814941684</v>
      </c>
      <c r="AG42" s="702">
        <f t="shared" si="17"/>
        <v>32710.13366247325</v>
      </c>
      <c r="AH42" s="702">
        <f t="shared" si="17"/>
        <v>34501.822004210582</v>
      </c>
      <c r="AI42" s="702">
        <f t="shared" si="17"/>
        <v>36391.649569316498</v>
      </c>
      <c r="AJ42" s="702">
        <f t="shared" si="17"/>
        <v>38384.991906059637</v>
      </c>
      <c r="AK42" s="702">
        <f t="shared" si="17"/>
        <v>40487.519006848277</v>
      </c>
      <c r="AL42" s="702">
        <f t="shared" si="17"/>
        <v>42936.801184184449</v>
      </c>
      <c r="AM42" s="702">
        <f t="shared" si="17"/>
        <v>45534.252064651133</v>
      </c>
      <c r="AN42" s="702">
        <f t="shared" si="17"/>
        <v>48288.835076305142</v>
      </c>
      <c r="AO42" s="702">
        <f t="shared" si="17"/>
        <v>51210.055887506605</v>
      </c>
      <c r="AP42" s="702">
        <f t="shared" si="17"/>
        <v>54307.995209608394</v>
      </c>
      <c r="AQ42" s="702">
        <f t="shared" si="17"/>
        <v>56570.629298947191</v>
      </c>
      <c r="AR42" s="702">
        <f t="shared" si="17"/>
        <v>58927.531515888171</v>
      </c>
      <c r="AS42" s="702">
        <f t="shared" si="17"/>
        <v>61382.629353579039</v>
      </c>
      <c r="AT42" s="702">
        <f t="shared" si="17"/>
        <v>63940.013936320618</v>
      </c>
      <c r="AU42" s="702">
        <f t="shared" si="17"/>
        <v>66603.946836931951</v>
      </c>
      <c r="AV42" s="702">
        <f t="shared" si="17"/>
        <v>69494.383668132767</v>
      </c>
      <c r="AW42" s="702">
        <f t="shared" si="17"/>
        <v>72510.257886634616</v>
      </c>
      <c r="AX42" s="702">
        <f t="shared" si="17"/>
        <v>75657.0131464773</v>
      </c>
      <c r="AY42" s="702">
        <f t="shared" si="17"/>
        <v>78940.329342026875</v>
      </c>
      <c r="AZ42" s="702">
        <f t="shared" si="17"/>
        <v>82366.132860187121</v>
      </c>
      <c r="BA42" s="702">
        <f t="shared" si="17"/>
        <v>85447.987193585664</v>
      </c>
      <c r="BB42" s="702">
        <f t="shared" si="17"/>
        <v>88645.153801610621</v>
      </c>
      <c r="BC42" s="702">
        <f t="shared" si="17"/>
        <v>91961.947268678021</v>
      </c>
      <c r="BD42" s="702">
        <f t="shared" si="17"/>
        <v>95402.843615952515</v>
      </c>
      <c r="BE42" s="702">
        <f t="shared" si="17"/>
        <v>98972.486341749158</v>
      </c>
      <c r="BF42" s="702">
        <f t="shared" si="17"/>
        <v>102223.65601555163</v>
      </c>
      <c r="BG42" s="702">
        <f t="shared" si="17"/>
        <v>105581.62410008973</v>
      </c>
      <c r="BH42" s="702">
        <f t="shared" si="17"/>
        <v>109049.89884060444</v>
      </c>
      <c r="BI42" s="702">
        <f t="shared" si="17"/>
        <v>112632.10372548105</v>
      </c>
      <c r="BJ42" s="702">
        <f t="shared" si="17"/>
        <v>28684.598121837771</v>
      </c>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54"/>
    </row>
    <row r="43" spans="1:121" x14ac:dyDescent="0.2">
      <c r="DQ43" s="57"/>
    </row>
    <row r="44" spans="1:121" ht="15.75" x14ac:dyDescent="0.25">
      <c r="B44" s="135"/>
      <c r="C44" s="157" t="s">
        <v>65</v>
      </c>
      <c r="DQ44" s="57"/>
    </row>
    <row r="45" spans="1:121" x14ac:dyDescent="0.2">
      <c r="C45" s="201" t="s">
        <v>424</v>
      </c>
      <c r="S45" s="196"/>
      <c r="T45" s="704">
        <f>+POWER(INDEX(Inputs!$L$57:$L66,S$6+1,1)/INDEX(Inputs!$L$57:$L$66,S$6,1),1/(INDEX(Inputs!$C$57:$C$66,S$6+1,1)-INDEX(Inputs!$C$57:$C$66,S$6,1)))-1</f>
        <v>0.42975091616932137</v>
      </c>
      <c r="U45" s="704">
        <f>+POWER(INDEX(Inputs!$L$57:$L66,T$6+1,1)/INDEX(Inputs!$L$57:$L$66,T$6,1),1/(INDEX(Inputs!$C$57:$C$66,T$6+1,1)-INDEX(Inputs!$C$57:$C$66,T$6,1)))-1</f>
        <v>0.42975091616932137</v>
      </c>
      <c r="V45" s="704">
        <f>+POWER(INDEX(Inputs!$L$57:$L66,U$6+1,1)/INDEX(Inputs!$L$57:$L$66,U$6,1),1/(INDEX(Inputs!$C$57:$C$66,U$6+1,1)-INDEX(Inputs!$C$57:$C$66,U$6,1)))-1</f>
        <v>0.42975091616932137</v>
      </c>
      <c r="W45" s="704">
        <f>+POWER(INDEX(Inputs!$L$57:$L66,V$6+1,1)/INDEX(Inputs!$L$57:$L$66,V$6,1),1/(INDEX(Inputs!$C$57:$C$66,V$6+1,1)-INDEX(Inputs!$C$57:$C$66,V$6,1)))-1</f>
        <v>5.3856441694980273E-2</v>
      </c>
      <c r="X45" s="704">
        <f>+POWER(INDEX(Inputs!$L$57:$L66,W$6+1,1)/INDEX(Inputs!$L$57:$L$66,W$6,1),1/(INDEX(Inputs!$C$57:$C$66,W$6+1,1)-INDEX(Inputs!$C$57:$C$66,W$6,1)))-1</f>
        <v>5.3856441694980273E-2</v>
      </c>
      <c r="Y45" s="704">
        <f>+POWER(INDEX(Inputs!$L$57:$L66,X$6+1,1)/INDEX(Inputs!$L$57:$L$66,X$6,1),1/(INDEX(Inputs!$C$57:$C$66,X$6+1,1)-INDEX(Inputs!$C$57:$C$66,X$6,1)))-1</f>
        <v>5.3856441694980273E-2</v>
      </c>
      <c r="Z45" s="704">
        <f>+POWER(INDEX(Inputs!$L$57:$L66,Y$6+1,1)/INDEX(Inputs!$L$57:$L$66,Y$6,1),1/(INDEX(Inputs!$C$57:$C$66,Y$6+1,1)-INDEX(Inputs!$C$57:$C$66,Y$6,1)))-1</f>
        <v>5.3856441694980273E-2</v>
      </c>
      <c r="AA45" s="704">
        <f>+POWER(INDEX(Inputs!$L$57:$L66,Z$6+1,1)/INDEX(Inputs!$L$57:$L$66,Z$6,1),1/(INDEX(Inputs!$C$57:$C$66,Z$6+1,1)-INDEX(Inputs!$C$57:$C$66,Z$6,1)))-1</f>
        <v>5.3856441694980273E-2</v>
      </c>
      <c r="AB45" s="704">
        <f>+POWER(INDEX(Inputs!$L$57:$L66,AA$6+1,1)/INDEX(Inputs!$L$57:$L$66,AA$6,1),1/(INDEX(Inputs!$C$57:$C$66,AA$6+1,1)-INDEX(Inputs!$C$57:$C$66,AA$6,1)))-1</f>
        <v>-1.6814843756784992E-2</v>
      </c>
      <c r="AC45" s="704">
        <f>+POWER(INDEX(Inputs!$L$57:$L66,AB$6+1,1)/INDEX(Inputs!$L$57:$L$66,AB$6,1),1/(INDEX(Inputs!$C$57:$C$66,AB$6+1,1)-INDEX(Inputs!$C$57:$C$66,AB$6,1)))-1</f>
        <v>-1.6814843756784992E-2</v>
      </c>
      <c r="AD45" s="704">
        <f>+POWER(INDEX(Inputs!$L$57:$L66,AC$6+1,1)/INDEX(Inputs!$L$57:$L$66,AC$6,1),1/(INDEX(Inputs!$C$57:$C$66,AC$6+1,1)-INDEX(Inputs!$C$57:$C$66,AC$6,1)))-1</f>
        <v>-1.6814843756784992E-2</v>
      </c>
      <c r="AE45" s="704">
        <f>+POWER(INDEX(Inputs!$L$57:$L66,AD$6+1,1)/INDEX(Inputs!$L$57:$L$66,AD$6,1),1/(INDEX(Inputs!$C$57:$C$66,AD$6+1,1)-INDEX(Inputs!$C$57:$C$66,AD$6,1)))-1</f>
        <v>-1.6814843756784992E-2</v>
      </c>
      <c r="AF45" s="704">
        <f>+POWER(INDEX(Inputs!$L$57:$L66,AE$6+1,1)/INDEX(Inputs!$L$57:$L$66,AE$6,1),1/(INDEX(Inputs!$C$57:$C$66,AE$6+1,1)-INDEX(Inputs!$C$57:$C$66,AE$6,1)))-1</f>
        <v>-1.6814843756784992E-2</v>
      </c>
      <c r="AG45" s="704">
        <f>+POWER(INDEX(Inputs!$L$57:$L66,AF$6+1,1)/INDEX(Inputs!$L$57:$L$66,AF$6,1),1/(INDEX(Inputs!$C$57:$C$66,AF$6+1,1)-INDEX(Inputs!$C$57:$C$66,AF$6,1)))-1</f>
        <v>5.08399035132725E-2</v>
      </c>
      <c r="AH45" s="704">
        <f>+POWER(INDEX(Inputs!$L$57:$L66,AG$6+1,1)/INDEX(Inputs!$L$57:$L$66,AG$6,1),1/(INDEX(Inputs!$C$57:$C$66,AG$6+1,1)-INDEX(Inputs!$C$57:$C$66,AG$6,1)))-1</f>
        <v>5.08399035132725E-2</v>
      </c>
      <c r="AI45" s="704">
        <f>+POWER(INDEX(Inputs!$L$57:$L66,AH$6+1,1)/INDEX(Inputs!$L$57:$L$66,AH$6,1),1/(INDEX(Inputs!$C$57:$C$66,AH$6+1,1)-INDEX(Inputs!$C$57:$C$66,AH$6,1)))-1</f>
        <v>5.08399035132725E-2</v>
      </c>
      <c r="AJ45" s="704">
        <f>+POWER(INDEX(Inputs!$L$57:$L66,AI$6+1,1)/INDEX(Inputs!$L$57:$L$66,AI$6,1),1/(INDEX(Inputs!$C$57:$C$66,AI$6+1,1)-INDEX(Inputs!$C$57:$C$66,AI$6,1)))-1</f>
        <v>5.08399035132725E-2</v>
      </c>
      <c r="AK45" s="704">
        <f>+POWER(INDEX(Inputs!$L$57:$L66,AJ$6+1,1)/INDEX(Inputs!$L$57:$L$66,AJ$6,1),1/(INDEX(Inputs!$C$57:$C$66,AJ$6+1,1)-INDEX(Inputs!$C$57:$C$66,AJ$6,1)))-1</f>
        <v>5.08399035132725E-2</v>
      </c>
      <c r="AL45" s="704">
        <f>+POWER(INDEX(Inputs!$L$57:$L66,AK$6+1,1)/INDEX(Inputs!$L$57:$L$66,AK$6,1),1/(INDEX(Inputs!$C$57:$C$66,AK$6+1,1)-INDEX(Inputs!$C$57:$C$66,AK$6,1)))-1</f>
        <v>6.6604268250455734E-2</v>
      </c>
      <c r="AM45" s="704">
        <f>+POWER(INDEX(Inputs!$L$57:$L66,AL$6+1,1)/INDEX(Inputs!$L$57:$L$66,AL$6,1),1/(INDEX(Inputs!$C$57:$C$66,AL$6+1,1)-INDEX(Inputs!$C$57:$C$66,AL$6,1)))-1</f>
        <v>6.6604268250455734E-2</v>
      </c>
      <c r="AN45" s="704">
        <f>+POWER(INDEX(Inputs!$L$57:$L66,AM$6+1,1)/INDEX(Inputs!$L$57:$L$66,AM$6,1),1/(INDEX(Inputs!$C$57:$C$66,AM$6+1,1)-INDEX(Inputs!$C$57:$C$66,AM$6,1)))-1</f>
        <v>6.6604268250455734E-2</v>
      </c>
      <c r="AO45" s="704">
        <f>+POWER(INDEX(Inputs!$L$57:$L66,AN$6+1,1)/INDEX(Inputs!$L$57:$L$66,AN$6,1),1/(INDEX(Inputs!$C$57:$C$66,AN$6+1,1)-INDEX(Inputs!$C$57:$C$66,AN$6,1)))-1</f>
        <v>6.6604268250455734E-2</v>
      </c>
      <c r="AP45" s="704">
        <f>+POWER(INDEX(Inputs!$L$57:$L66,AO$6+1,1)/INDEX(Inputs!$L$57:$L$66,AO$6,1),1/(INDEX(Inputs!$C$57:$C$66,AO$6+1,1)-INDEX(Inputs!$C$57:$C$66,AO$6,1)))-1</f>
        <v>6.6604268250455734E-2</v>
      </c>
      <c r="AQ45" s="704">
        <f>+POWER(INDEX(Inputs!$L$57:$L66,AP$6+1,1)/INDEX(Inputs!$L$57:$L$66,AP$6,1),1/(INDEX(Inputs!$C$57:$C$66,AP$6+1,1)-INDEX(Inputs!$C$57:$C$66,AP$6,1)))-1</f>
        <v>-0.10711254820625871</v>
      </c>
      <c r="AR45" s="704">
        <f>+POWER(INDEX(Inputs!$L$57:$L66,AQ$6+1,1)/INDEX(Inputs!$L$57:$L$66,AQ$6,1),1/(INDEX(Inputs!$C$57:$C$66,AQ$6+1,1)-INDEX(Inputs!$C$57:$C$66,AQ$6,1)))-1</f>
        <v>-0.10711254820625871</v>
      </c>
      <c r="AS45" s="704">
        <f>+POWER(INDEX(Inputs!$L$57:$L66,AR$6+1,1)/INDEX(Inputs!$L$57:$L$66,AR$6,1),1/(INDEX(Inputs!$C$57:$C$66,AR$6+1,1)-INDEX(Inputs!$C$57:$C$66,AR$6,1)))-1</f>
        <v>-0.10711254820625871</v>
      </c>
      <c r="AT45" s="704">
        <f>+POWER(INDEX(Inputs!$L$57:$L66,AS$6+1,1)/INDEX(Inputs!$L$57:$L$66,AS$6,1),1/(INDEX(Inputs!$C$57:$C$66,AS$6+1,1)-INDEX(Inputs!$C$57:$C$66,AS$6,1)))-1</f>
        <v>-0.10711254820625871</v>
      </c>
      <c r="AU45" s="704">
        <f>+POWER(INDEX(Inputs!$L$57:$L66,AT$6+1,1)/INDEX(Inputs!$L$57:$L$66,AT$6,1),1/(INDEX(Inputs!$C$57:$C$66,AT$6+1,1)-INDEX(Inputs!$C$57:$C$66,AT$6,1)))-1</f>
        <v>-0.10711254820625871</v>
      </c>
      <c r="AV45" s="704">
        <f>+POWER(INDEX(Inputs!$L$57:$L66,AU$6+1,1)/INDEX(Inputs!$L$57:$L$66,AU$6,1),1/(INDEX(Inputs!$C$57:$C$66,AU$6+1,1)-INDEX(Inputs!$C$57:$C$66,AU$6,1)))-1</f>
        <v>0.11401184779961793</v>
      </c>
      <c r="AW45" s="704">
        <f>+POWER(INDEX(Inputs!$L$57:$L66,AV$6+1,1)/INDEX(Inputs!$L$57:$L$66,AV$6,1),1/(INDEX(Inputs!$C$57:$C$66,AV$6+1,1)-INDEX(Inputs!$C$57:$C$66,AV$6,1)))-1</f>
        <v>0.11401184779961793</v>
      </c>
      <c r="AX45" s="704">
        <f>+POWER(INDEX(Inputs!$L$57:$L66,AW$6+1,1)/INDEX(Inputs!$L$57:$L$66,AW$6,1),1/(INDEX(Inputs!$C$57:$C$66,AW$6+1,1)-INDEX(Inputs!$C$57:$C$66,AW$6,1)))-1</f>
        <v>0.11401184779961793</v>
      </c>
      <c r="AY45" s="704">
        <f>+POWER(INDEX(Inputs!$L$57:$L66,AX$6+1,1)/INDEX(Inputs!$L$57:$L$66,AX$6,1),1/(INDEX(Inputs!$C$57:$C$66,AX$6+1,1)-INDEX(Inputs!$C$57:$C$66,AX$6,1)))-1</f>
        <v>0.11401184779961793</v>
      </c>
      <c r="AZ45" s="704">
        <f>+POWER(INDEX(Inputs!$L$57:$L66,AY$6+1,1)/INDEX(Inputs!$L$57:$L$66,AY$6,1),1/(INDEX(Inputs!$C$57:$C$66,AY$6+1,1)-INDEX(Inputs!$C$57:$C$66,AY$6,1)))-1</f>
        <v>0.11401184779961793</v>
      </c>
      <c r="BA45" s="704">
        <f>+POWER(INDEX(Inputs!$L$57:$L66,AZ$6+1,1)/INDEX(Inputs!$L$57:$L$66,AZ$6,1),1/(INDEX(Inputs!$C$57:$C$66,AZ$6+1,1)-INDEX(Inputs!$C$57:$C$66,AZ$6,1)))-1</f>
        <v>-9.1555248602753547E-2</v>
      </c>
      <c r="BB45" s="704">
        <f>+POWER(INDEX(Inputs!$L$57:$L66,BA$6+1,1)/INDEX(Inputs!$L$57:$L$66,BA$6,1),1/(INDEX(Inputs!$C$57:$C$66,BA$6+1,1)-INDEX(Inputs!$C$57:$C$66,BA$6,1)))-1</f>
        <v>-9.1555248602753547E-2</v>
      </c>
      <c r="BC45" s="704">
        <f>+POWER(INDEX(Inputs!$L$57:$L66,BB$6+1,1)/INDEX(Inputs!$L$57:$L$66,BB$6,1),1/(INDEX(Inputs!$C$57:$C$66,BB$6+1,1)-INDEX(Inputs!$C$57:$C$66,BB$6,1)))-1</f>
        <v>-9.1555248602753547E-2</v>
      </c>
      <c r="BD45" s="704">
        <f>+POWER(INDEX(Inputs!$L$57:$L66,BC$6+1,1)/INDEX(Inputs!$L$57:$L$66,BC$6,1),1/(INDEX(Inputs!$C$57:$C$66,BC$6+1,1)-INDEX(Inputs!$C$57:$C$66,BC$6,1)))-1</f>
        <v>-9.1555248602753547E-2</v>
      </c>
      <c r="BE45" s="704">
        <f>+POWER(INDEX(Inputs!$L$57:$L66,BD$6+1,1)/INDEX(Inputs!$L$57:$L$66,BD$6,1),1/(INDEX(Inputs!$C$57:$C$66,BD$6+1,1)-INDEX(Inputs!$C$57:$C$66,BD$6,1)))-1</f>
        <v>-9.1555248602753547E-2</v>
      </c>
      <c r="BF45" s="704">
        <f>+POWER(INDEX(Inputs!$L$57:$L66,BE$6+1,1)/INDEX(Inputs!$L$57:$L$66,BE$6,1),1/(INDEX(Inputs!$C$57:$C$66,BE$6+1,1)-INDEX(Inputs!$C$57:$C$66,BE$6,1)))-1</f>
        <v>0.22883407139604217</v>
      </c>
      <c r="BG45" s="704">
        <f>+POWER(INDEX(Inputs!$L$57:$L66,BF$6+1,1)/INDEX(Inputs!$L$57:$L$66,BF$6,1),1/(INDEX(Inputs!$C$57:$C$66,BF$6+1,1)-INDEX(Inputs!$C$57:$C$66,BF$6,1)))-1</f>
        <v>0.22883407139604217</v>
      </c>
      <c r="BH45" s="704">
        <f>+POWER(INDEX(Inputs!$L$57:$L66,BG$6+1,1)/INDEX(Inputs!$L$57:$L$66,BG$6,1),1/(INDEX(Inputs!$C$57:$C$66,BG$6+1,1)-INDEX(Inputs!$C$57:$C$66,BG$6,1)))-1</f>
        <v>0.22883407139604217</v>
      </c>
      <c r="BI45" s="704">
        <f>+POWER(INDEX(Inputs!$L$57:$L66,BH$6+1,1)/INDEX(Inputs!$L$57:$L$66,BH$6,1),1/(INDEX(Inputs!$C$57:$C$66,BH$6+1,1)-INDEX(Inputs!$C$57:$C$66,BH$6,1)))-1</f>
        <v>0.22883407139604217</v>
      </c>
      <c r="BJ45" s="704">
        <f>+POWER(INDEX(Inputs!$L$57:$L66,BI$6+1,1)/INDEX(Inputs!$L$57:$L$66,BI$6,1),1/(INDEX(Inputs!$C$57:$C$66,BI$6+1,1)-INDEX(Inputs!$C$57:$C$66,BI$6,1)))-1</f>
        <v>0.22883407139604217</v>
      </c>
      <c r="DQ45" s="57"/>
    </row>
    <row r="46" spans="1:121" s="75" customFormat="1" x14ac:dyDescent="0.2">
      <c r="C46" s="169" t="s">
        <v>65</v>
      </c>
      <c r="D46" s="169"/>
      <c r="E46" s="169"/>
      <c r="F46" s="169"/>
      <c r="G46" s="169"/>
      <c r="H46" s="703">
        <f>+Inputs!L16</f>
        <v>1</v>
      </c>
      <c r="I46" s="169"/>
      <c r="J46" s="169"/>
      <c r="K46" s="649" t="s">
        <v>62</v>
      </c>
      <c r="L46" s="169"/>
      <c r="M46" s="169"/>
      <c r="N46" s="43">
        <f>SUM(Q46:BJ46)</f>
        <v>253580.88298150478</v>
      </c>
      <c r="O46" s="169"/>
      <c r="P46" s="170"/>
      <c r="Q46" s="171"/>
      <c r="R46" s="171"/>
      <c r="S46" s="171">
        <f t="shared" ref="S46:BJ46" si="18">+CHOOSE($H$46,S47,S48)</f>
        <v>1296.0736473859299</v>
      </c>
      <c r="T46" s="171">
        <f t="shared" si="18"/>
        <v>1853.0624847729473</v>
      </c>
      <c r="U46" s="171">
        <f t="shared" si="18"/>
        <v>2649.4177853231204</v>
      </c>
      <c r="V46" s="171">
        <f t="shared" si="18"/>
        <v>3788.0075058810262</v>
      </c>
      <c r="W46" s="171">
        <f t="shared" si="18"/>
        <v>3992.0161112616552</v>
      </c>
      <c r="X46" s="171">
        <f t="shared" si="18"/>
        <v>4207.0118942032404</v>
      </c>
      <c r="Y46" s="171">
        <f t="shared" si="18"/>
        <v>4433.5865849934862</v>
      </c>
      <c r="Z46" s="171">
        <f t="shared" si="18"/>
        <v>4672.3637824078342</v>
      </c>
      <c r="AA46" s="171">
        <f t="shared" si="18"/>
        <v>4924.0006700328177</v>
      </c>
      <c r="AB46" s="171">
        <f t="shared" si="18"/>
        <v>4841.2043681079113</v>
      </c>
      <c r="AC46" s="171">
        <f t="shared" si="18"/>
        <v>4759.8002730635117</v>
      </c>
      <c r="AD46" s="171">
        <f t="shared" si="18"/>
        <v>4679.7649751584458</v>
      </c>
      <c r="AE46" s="171">
        <f t="shared" si="18"/>
        <v>4601.0754582826821</v>
      </c>
      <c r="AF46" s="171">
        <f t="shared" si="18"/>
        <v>4523.7090933384798</v>
      </c>
      <c r="AG46" s="171">
        <f t="shared" si="18"/>
        <v>4753.6940271659214</v>
      </c>
      <c r="AH46" s="171">
        <f t="shared" si="18"/>
        <v>4995.3713728386565</v>
      </c>
      <c r="AI46" s="171">
        <f t="shared" si="18"/>
        <v>5249.335571446737</v>
      </c>
      <c r="AJ46" s="171">
        <f t="shared" si="18"/>
        <v>5516.2112854078787</v>
      </c>
      <c r="AK46" s="171">
        <f t="shared" si="18"/>
        <v>5796.6549349168408</v>
      </c>
      <c r="AL46" s="171">
        <f t="shared" si="18"/>
        <v>6182.7368951573699</v>
      </c>
      <c r="AM46" s="171">
        <f t="shared" si="18"/>
        <v>6594.5335618444215</v>
      </c>
      <c r="AN46" s="171">
        <f t="shared" si="18"/>
        <v>7033.7576441841402</v>
      </c>
      <c r="AO46" s="171">
        <f t="shared" si="18"/>
        <v>7502.2359251260741</v>
      </c>
      <c r="AP46" s="171">
        <f t="shared" si="18"/>
        <v>8001.9168591613789</v>
      </c>
      <c r="AQ46" s="171">
        <f t="shared" si="18"/>
        <v>7144.8111538419816</v>
      </c>
      <c r="AR46" s="171">
        <f t="shared" si="18"/>
        <v>6379.5122247014679</v>
      </c>
      <c r="AS46" s="171">
        <f t="shared" si="18"/>
        <v>5696.1864140007156</v>
      </c>
      <c r="AT46" s="171">
        <f t="shared" si="18"/>
        <v>5086.0533721392276</v>
      </c>
      <c r="AU46" s="171">
        <f t="shared" si="18"/>
        <v>4541.2732351363584</v>
      </c>
      <c r="AV46" s="171">
        <f t="shared" si="18"/>
        <v>5059.032188037203</v>
      </c>
      <c r="AW46" s="171">
        <f t="shared" si="18"/>
        <v>5635.8217958730684</v>
      </c>
      <c r="AX46" s="171">
        <f t="shared" si="18"/>
        <v>6278.3722526899182</v>
      </c>
      <c r="AY46" s="171">
        <f t="shared" si="18"/>
        <v>6994.1810743929454</v>
      </c>
      <c r="AZ46" s="171">
        <f t="shared" si="18"/>
        <v>7791.6005825295997</v>
      </c>
      <c r="BA46" s="171">
        <f t="shared" si="18"/>
        <v>7078.2386541827427</v>
      </c>
      <c r="BB46" s="171">
        <f t="shared" si="18"/>
        <v>6430.1887545294221</v>
      </c>
      <c r="BC46" s="171">
        <f t="shared" si="18"/>
        <v>5841.4712245458504</v>
      </c>
      <c r="BD46" s="171">
        <f t="shared" si="18"/>
        <v>5306.6538743767242</v>
      </c>
      <c r="BE46" s="171">
        <f t="shared" si="18"/>
        <v>4820.8018596593975</v>
      </c>
      <c r="BF46" s="171">
        <f t="shared" si="18"/>
        <v>5923.9655765988691</v>
      </c>
      <c r="BG46" s="171">
        <f t="shared" si="18"/>
        <v>7279.5707383019908</v>
      </c>
      <c r="BH46" s="171">
        <f t="shared" si="18"/>
        <v>8945.3845483631285</v>
      </c>
      <c r="BI46" s="171">
        <f t="shared" si="18"/>
        <v>10992.393314768309</v>
      </c>
      <c r="BJ46" s="171">
        <f t="shared" si="18"/>
        <v>13507.827431373371</v>
      </c>
      <c r="BK46" s="171"/>
      <c r="BL46" s="171"/>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c r="DP46" s="171"/>
      <c r="DQ46" s="54"/>
    </row>
    <row r="47" spans="1:121" s="75" customFormat="1" x14ac:dyDescent="0.2">
      <c r="C47" s="75" t="s">
        <v>459</v>
      </c>
      <c r="K47" s="599"/>
      <c r="N47" s="79"/>
      <c r="Q47" s="142"/>
      <c r="R47" s="132"/>
      <c r="S47" s="132">
        <f>+IF(S$6&lt;&gt;R$6,INDEX(Inputs!$L$57:$L$66,S$6,1),R47*(1+S45))</f>
        <v>1296.0736473859299</v>
      </c>
      <c r="T47" s="132">
        <f>+IF(T$6&lt;&gt;S$6,INDEX(Inputs!$L$57:$L$66,T$6,1),S47*(1+T45))</f>
        <v>1853.0624847729473</v>
      </c>
      <c r="U47" s="132">
        <f>+IF(U$6&lt;&gt;T$6,INDEX(Inputs!$L$57:$L$66,U$6,1),T47*(1+U45))</f>
        <v>2649.4177853231204</v>
      </c>
      <c r="V47" s="132">
        <f>+IF(V$6&lt;&gt;U$6,INDEX(Inputs!$L$57:$L$66,V$6,1),U47*(1+V45))</f>
        <v>3788.0075058810262</v>
      </c>
      <c r="W47" s="132">
        <f>+IF(W$6&lt;&gt;V$6,INDEX(Inputs!$L$57:$L$66,W$6,1),V47*(1+W45))</f>
        <v>3992.0161112616552</v>
      </c>
      <c r="X47" s="132">
        <f>+IF(X$6&lt;&gt;W$6,INDEX(Inputs!$L$57:$L$66,X$6,1),W47*(1+X45))</f>
        <v>4207.0118942032404</v>
      </c>
      <c r="Y47" s="132">
        <f>+IF(Y$6&lt;&gt;X$6,INDEX(Inputs!$L$57:$L$66,Y$6,1),X47*(1+Y45))</f>
        <v>4433.5865849934862</v>
      </c>
      <c r="Z47" s="132">
        <f>+IF(Z$6&lt;&gt;Y$6,INDEX(Inputs!$L$57:$L$66,Z$6,1),Y47*(1+Z45))</f>
        <v>4672.3637824078342</v>
      </c>
      <c r="AA47" s="132">
        <f>+IF(AA$6&lt;&gt;Z$6,INDEX(Inputs!$L$57:$L$66,AA$6,1),Z47*(1+AA45))</f>
        <v>4924.0006700328177</v>
      </c>
      <c r="AB47" s="132">
        <f>+IF(AB$6&lt;&gt;AA$6,INDEX(Inputs!$L$57:$L$66,AB$6,1),AA47*(1+AB45))</f>
        <v>4841.2043681079113</v>
      </c>
      <c r="AC47" s="132">
        <f>+IF(AC$6&lt;&gt;AB$6,INDEX(Inputs!$L$57:$L$66,AC$6,1),AB47*(1+AC45))</f>
        <v>4759.8002730635117</v>
      </c>
      <c r="AD47" s="132">
        <f>+IF(AD$6&lt;&gt;AC$6,INDEX(Inputs!$L$57:$L$66,AD$6,1),AC47*(1+AD45))</f>
        <v>4679.7649751584458</v>
      </c>
      <c r="AE47" s="132">
        <f>+IF(AE$6&lt;&gt;AD$6,INDEX(Inputs!$L$57:$L$66,AE$6,1),AD47*(1+AE45))</f>
        <v>4601.0754582826821</v>
      </c>
      <c r="AF47" s="132">
        <f>+IF(AF$6&lt;&gt;AE$6,INDEX(Inputs!$L$57:$L$66,AF$6,1),AE47*(1+AF45))</f>
        <v>4523.7090933384798</v>
      </c>
      <c r="AG47" s="132">
        <f>+IF(AG$6&lt;&gt;AF$6,INDEX(Inputs!$L$57:$L$66,AG$6,1),AF47*(1+AG45))</f>
        <v>4753.6940271659214</v>
      </c>
      <c r="AH47" s="132">
        <f>+IF(AH$6&lt;&gt;AG$6,INDEX(Inputs!$L$57:$L$66,AH$6,1),AG47*(1+AH45))</f>
        <v>4995.3713728386565</v>
      </c>
      <c r="AI47" s="132">
        <f>+IF(AI$6&lt;&gt;AH$6,INDEX(Inputs!$L$57:$L$66,AI$6,1),AH47*(1+AI45))</f>
        <v>5249.335571446737</v>
      </c>
      <c r="AJ47" s="132">
        <f>+IF(AJ$6&lt;&gt;AI$6,INDEX(Inputs!$L$57:$L$66,AJ$6,1),AI47*(1+AJ45))</f>
        <v>5516.2112854078787</v>
      </c>
      <c r="AK47" s="132">
        <f>+IF(AK$6&lt;&gt;AJ$6,INDEX(Inputs!$L$57:$L$66,AK$6,1),AJ47*(1+AK45))</f>
        <v>5796.6549349168408</v>
      </c>
      <c r="AL47" s="132">
        <f>+IF(AL$6&lt;&gt;AK$6,INDEX(Inputs!$L$57:$L$66,AL$6,1),AK47*(1+AL45))</f>
        <v>6182.7368951573699</v>
      </c>
      <c r="AM47" s="132">
        <f>+IF(AM$6&lt;&gt;AL$6,INDEX(Inputs!$L$57:$L$66,AM$6,1),AL47*(1+AM45))</f>
        <v>6594.5335618444215</v>
      </c>
      <c r="AN47" s="132">
        <f>+IF(AN$6&lt;&gt;AM$6,INDEX(Inputs!$L$57:$L$66,AN$6,1),AM47*(1+AN45))</f>
        <v>7033.7576441841402</v>
      </c>
      <c r="AO47" s="132">
        <f>+IF(AO$6&lt;&gt;AN$6,INDEX(Inputs!$L$57:$L$66,AO$6,1),AN47*(1+AO45))</f>
        <v>7502.2359251260741</v>
      </c>
      <c r="AP47" s="132">
        <f>+IF(AP$6&lt;&gt;AO$6,INDEX(Inputs!$L$57:$L$66,AP$6,1),AO47*(1+AP45))</f>
        <v>8001.9168591613789</v>
      </c>
      <c r="AQ47" s="132">
        <f>+IF(AQ$6&lt;&gt;AP$6,INDEX(Inputs!$L$57:$L$66,AQ$6,1),AP47*(1+AQ45))</f>
        <v>7144.8111538419816</v>
      </c>
      <c r="AR47" s="132">
        <f>+IF(AR$6&lt;&gt;AQ$6,INDEX(Inputs!$L$57:$L$66,AR$6,1),AQ47*(1+AR45))</f>
        <v>6379.5122247014679</v>
      </c>
      <c r="AS47" s="132">
        <f>+IF(AS$6&lt;&gt;AR$6,INDEX(Inputs!$L$57:$L$66,AS$6,1),AR47*(1+AS45))</f>
        <v>5696.1864140007156</v>
      </c>
      <c r="AT47" s="132">
        <f>+IF(AT$6&lt;&gt;AS$6,INDEX(Inputs!$L$57:$L$66,AT$6,1),AS47*(1+AT45))</f>
        <v>5086.0533721392276</v>
      </c>
      <c r="AU47" s="132">
        <f>+IF(AU$6&lt;&gt;AT$6,INDEX(Inputs!$L$57:$L$66,AU$6,1),AT47*(1+AU45))</f>
        <v>4541.2732351363584</v>
      </c>
      <c r="AV47" s="132">
        <f>+IF(AV$6&lt;&gt;AU$6,INDEX(Inputs!$L$57:$L$66,AV$6,1),AU47*(1+AV45))</f>
        <v>5059.032188037203</v>
      </c>
      <c r="AW47" s="132">
        <f>+IF(AW$6&lt;&gt;AV$6,INDEX(Inputs!$L$57:$L$66,AW$6,1),AV47*(1+AW45))</f>
        <v>5635.8217958730684</v>
      </c>
      <c r="AX47" s="132">
        <f>+IF(AX$6&lt;&gt;AW$6,INDEX(Inputs!$L$57:$L$66,AX$6,1),AW47*(1+AX45))</f>
        <v>6278.3722526899182</v>
      </c>
      <c r="AY47" s="132">
        <f>+IF(AY$6&lt;&gt;AX$6,INDEX(Inputs!$L$57:$L$66,AY$6,1),AX47*(1+AY45))</f>
        <v>6994.1810743929454</v>
      </c>
      <c r="AZ47" s="132">
        <f>+IF(AZ$6&lt;&gt;AY$6,INDEX(Inputs!$L$57:$L$66,AZ$6,1),AY47*(1+AZ45))</f>
        <v>7791.6005825295997</v>
      </c>
      <c r="BA47" s="132">
        <f>+IF(BA$6&lt;&gt;AZ$6,INDEX(Inputs!$L$57:$L$66,BA$6,1),AZ47*(1+BA45))</f>
        <v>7078.2386541827427</v>
      </c>
      <c r="BB47" s="132">
        <f>+IF(BB$6&lt;&gt;BA$6,INDEX(Inputs!$L$57:$L$66,BB$6,1),BA47*(1+BB45))</f>
        <v>6430.1887545294221</v>
      </c>
      <c r="BC47" s="132">
        <f>+IF(BC$6&lt;&gt;BB$6,INDEX(Inputs!$L$57:$L$66,BC$6,1),BB47*(1+BC45))</f>
        <v>5841.4712245458504</v>
      </c>
      <c r="BD47" s="132">
        <f>+IF(BD$6&lt;&gt;BC$6,INDEX(Inputs!$L$57:$L$66,BD$6,1),BC47*(1+BD45))</f>
        <v>5306.6538743767242</v>
      </c>
      <c r="BE47" s="132">
        <f>+IF(BE$6&lt;&gt;BD$6,INDEX(Inputs!$L$57:$L$66,BE$6,1),BD47*(1+BE45))</f>
        <v>4820.8018596593975</v>
      </c>
      <c r="BF47" s="132">
        <f>+IF(BF$6&lt;&gt;BE$6,INDEX(Inputs!$L$57:$L$66,BF$6,1),BE47*(1+BF45))</f>
        <v>5923.9655765988691</v>
      </c>
      <c r="BG47" s="132">
        <f>+IF(BG$6&lt;&gt;BF$6,INDEX(Inputs!$L$57:$L$66,BG$6,1),BF47*(1+BG45))</f>
        <v>7279.5707383019908</v>
      </c>
      <c r="BH47" s="132">
        <f>+IF(BH$6&lt;&gt;BG$6,INDEX(Inputs!$L$57:$L$66,BH$6,1),BG47*(1+BH45))</f>
        <v>8945.3845483631285</v>
      </c>
      <c r="BI47" s="132">
        <f>+IF(BI$6&lt;&gt;BH$6,INDEX(Inputs!$L$57:$L$66,BI$6,1),BH47*(1+BI45))</f>
        <v>10992.393314768309</v>
      </c>
      <c r="BJ47" s="132">
        <f>+IF(BJ$6&lt;&gt;BI$6,INDEX(Inputs!$L$57:$L$66,BJ$6,1),BI47*(1+BJ45))</f>
        <v>13507.827431373371</v>
      </c>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54"/>
    </row>
    <row r="48" spans="1:121" s="75" customFormat="1" x14ac:dyDescent="0.2">
      <c r="K48" s="599"/>
      <c r="N48" s="79"/>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c r="DJ48" s="168"/>
      <c r="DK48" s="168"/>
      <c r="DL48" s="168"/>
      <c r="DM48" s="168"/>
      <c r="DN48" s="168"/>
      <c r="DO48" s="168"/>
      <c r="DP48" s="168"/>
      <c r="DQ48" s="54"/>
    </row>
    <row r="49" spans="1:125" x14ac:dyDescent="0.2">
      <c r="DQ49" s="57"/>
    </row>
    <row r="50" spans="1:125" s="147" customFormat="1" x14ac:dyDescent="0.2">
      <c r="A50" s="75"/>
      <c r="B50" s="75"/>
      <c r="C50" s="154" t="s">
        <v>373</v>
      </c>
      <c r="D50" s="154"/>
      <c r="E50" s="154"/>
      <c r="F50" s="154"/>
      <c r="G50" s="154"/>
      <c r="H50" s="154"/>
      <c r="I50" s="154"/>
      <c r="J50" s="154"/>
      <c r="K50" s="650" t="s">
        <v>62</v>
      </c>
      <c r="L50" s="154"/>
      <c r="M50" s="154"/>
      <c r="N50" s="702">
        <f>SUM(Q50:BJ50)</f>
        <v>554873.30688708287</v>
      </c>
      <c r="O50" s="154"/>
      <c r="P50" s="155"/>
      <c r="Q50" s="156"/>
      <c r="R50" s="146"/>
      <c r="S50" s="702">
        <f t="shared" ref="S50:AX50" si="19">+S46*S26</f>
        <v>1554.0519999999958</v>
      </c>
      <c r="T50" s="702">
        <f t="shared" si="19"/>
        <v>2271.9001843671922</v>
      </c>
      <c r="U50" s="702">
        <f t="shared" si="19"/>
        <v>3321.3370258702384</v>
      </c>
      <c r="V50" s="702">
        <f t="shared" si="19"/>
        <v>4855.5300603970763</v>
      </c>
      <c r="W50" s="702">
        <f t="shared" si="19"/>
        <v>5234.7233595289154</v>
      </c>
      <c r="X50" s="702">
        <f t="shared" si="19"/>
        <v>5643.5298123881421</v>
      </c>
      <c r="Y50" s="702">
        <f t="shared" si="19"/>
        <v>6084.2620623566136</v>
      </c>
      <c r="Z50" s="702">
        <f t="shared" si="19"/>
        <v>6559.4133590245247</v>
      </c>
      <c r="AA50" s="702">
        <f t="shared" si="19"/>
        <v>7071.6716626575071</v>
      </c>
      <c r="AB50" s="702">
        <f t="shared" si="19"/>
        <v>7112.6761485473016</v>
      </c>
      <c r="AC50" s="702">
        <f t="shared" si="19"/>
        <v>7153.9183954564542</v>
      </c>
      <c r="AD50" s="702">
        <f t="shared" si="19"/>
        <v>7195.3997820219884</v>
      </c>
      <c r="AE50" s="702">
        <f t="shared" si="19"/>
        <v>7237.1216948748361</v>
      </c>
      <c r="AF50" s="702">
        <f t="shared" si="19"/>
        <v>7279.0855286861879</v>
      </c>
      <c r="AG50" s="702">
        <f t="shared" si="19"/>
        <v>7825.0840659259275</v>
      </c>
      <c r="AH50" s="702">
        <f t="shared" si="19"/>
        <v>8412.0375282717268</v>
      </c>
      <c r="AI50" s="702">
        <f t="shared" si="19"/>
        <v>9043.0179127639458</v>
      </c>
      <c r="AJ50" s="702">
        <f t="shared" si="19"/>
        <v>9721.3276445487663</v>
      </c>
      <c r="AK50" s="702">
        <f t="shared" si="19"/>
        <v>10450.516861110962</v>
      </c>
      <c r="AL50" s="702">
        <f t="shared" si="19"/>
        <v>11402.936904942444</v>
      </c>
      <c r="AM50" s="702">
        <f t="shared" si="19"/>
        <v>12442.156860390503</v>
      </c>
      <c r="AN50" s="702">
        <f t="shared" si="19"/>
        <v>13576.087338645486</v>
      </c>
      <c r="AO50" s="702">
        <f t="shared" si="19"/>
        <v>14813.35989367567</v>
      </c>
      <c r="AP50" s="702">
        <f t="shared" si="19"/>
        <v>16163.392726188255</v>
      </c>
      <c r="AQ50" s="702">
        <f t="shared" si="19"/>
        <v>14764.028626131159</v>
      </c>
      <c r="AR50" s="702">
        <f t="shared" si="19"/>
        <v>13485.816063854612</v>
      </c>
      <c r="AS50" s="702">
        <f t="shared" si="19"/>
        <v>12318.266207248376</v>
      </c>
      <c r="AT50" s="702">
        <f t="shared" si="19"/>
        <v>11251.798306766013</v>
      </c>
      <c r="AU50" s="702">
        <f t="shared" si="19"/>
        <v>10277.661077144619</v>
      </c>
      <c r="AV50" s="702">
        <f t="shared" si="19"/>
        <v>11712.773240383072</v>
      </c>
      <c r="AW50" s="702">
        <f t="shared" si="19"/>
        <v>13348.276028065735</v>
      </c>
      <c r="AX50" s="702">
        <f t="shared" si="19"/>
        <v>15212.150808753046</v>
      </c>
      <c r="AY50" s="702">
        <f t="shared" ref="AY50:BJ50" si="20">+AY46*AY26</f>
        <v>17336.286104789135</v>
      </c>
      <c r="AZ50" s="702">
        <f t="shared" si="20"/>
        <v>19757.023164283295</v>
      </c>
      <c r="BA50" s="702">
        <f t="shared" si="20"/>
        <v>18360.971768753996</v>
      </c>
      <c r="BB50" s="702">
        <f t="shared" si="20"/>
        <v>17063.566787856769</v>
      </c>
      <c r="BC50" s="702">
        <f t="shared" si="20"/>
        <v>15857.837765381382</v>
      </c>
      <c r="BD50" s="702">
        <f t="shared" si="20"/>
        <v>14737.306784658558</v>
      </c>
      <c r="BE50" s="702">
        <f t="shared" si="20"/>
        <v>13695.953665213941</v>
      </c>
      <c r="BF50" s="702">
        <f t="shared" si="20"/>
        <v>17217.14575767015</v>
      </c>
      <c r="BG50" s="702">
        <f t="shared" si="20"/>
        <v>21643.626671558894</v>
      </c>
      <c r="BH50" s="702">
        <f t="shared" si="20"/>
        <v>27208.143677887198</v>
      </c>
      <c r="BI50" s="702">
        <f t="shared" si="20"/>
        <v>34203.282732155618</v>
      </c>
      <c r="BJ50" s="702">
        <f t="shared" si="20"/>
        <v>42996.852835886602</v>
      </c>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c r="CN50" s="146"/>
      <c r="CO50" s="146"/>
      <c r="CP50" s="146"/>
      <c r="CQ50" s="146"/>
      <c r="CR50" s="146"/>
      <c r="CS50" s="146"/>
      <c r="CT50" s="146"/>
      <c r="CU50" s="146"/>
      <c r="CV50" s="146"/>
      <c r="CW50" s="146"/>
      <c r="CX50" s="146"/>
      <c r="CY50" s="146"/>
      <c r="CZ50" s="146"/>
      <c r="DA50" s="146"/>
      <c r="DB50" s="146"/>
      <c r="DC50" s="146"/>
      <c r="DD50" s="146"/>
      <c r="DE50" s="146"/>
      <c r="DF50" s="146"/>
      <c r="DG50" s="146"/>
      <c r="DH50" s="146"/>
      <c r="DI50" s="146"/>
      <c r="DJ50" s="146"/>
      <c r="DK50" s="146"/>
      <c r="DL50" s="146"/>
      <c r="DM50" s="146"/>
      <c r="DN50" s="146"/>
      <c r="DO50" s="146"/>
      <c r="DP50" s="146"/>
      <c r="DQ50" s="54"/>
    </row>
    <row r="51" spans="1:125" x14ac:dyDescent="0.2">
      <c r="DQ51" s="57"/>
    </row>
    <row r="52" spans="1:125" x14ac:dyDescent="0.2">
      <c r="DQ52" s="57"/>
    </row>
    <row r="53" spans="1:125" s="75" customFormat="1" ht="15.75" x14ac:dyDescent="0.25">
      <c r="B53" s="135"/>
      <c r="C53" s="787" t="s">
        <v>492</v>
      </c>
      <c r="K53" s="599"/>
      <c r="DQ53" s="54"/>
    </row>
    <row r="54" spans="1:125" s="75" customFormat="1" x14ac:dyDescent="0.2">
      <c r="C54" s="788" t="s">
        <v>424</v>
      </c>
      <c r="K54" s="599"/>
      <c r="S54" s="704"/>
      <c r="T54" s="704"/>
      <c r="U54" s="704"/>
      <c r="V54" s="704"/>
      <c r="W54" s="704"/>
      <c r="X54" s="704"/>
      <c r="Y54" s="704"/>
      <c r="Z54" s="704"/>
      <c r="AA54" s="704"/>
      <c r="AB54" s="704"/>
      <c r="AC54" s="704"/>
      <c r="AD54" s="704"/>
      <c r="AE54" s="704"/>
      <c r="AF54" s="704"/>
      <c r="AG54" s="704"/>
      <c r="AH54" s="704"/>
      <c r="AI54" s="704"/>
      <c r="AJ54" s="704"/>
      <c r="AK54" s="704"/>
      <c r="AL54" s="704"/>
      <c r="AM54" s="704"/>
      <c r="AN54" s="704"/>
      <c r="AO54" s="704"/>
      <c r="AP54" s="704"/>
      <c r="AQ54" s="704"/>
      <c r="AR54" s="704"/>
      <c r="AS54" s="704"/>
      <c r="AT54" s="704"/>
      <c r="AU54" s="704"/>
      <c r="AV54" s="704"/>
      <c r="AW54" s="704"/>
      <c r="AX54" s="704"/>
      <c r="AY54" s="704"/>
      <c r="AZ54" s="704"/>
      <c r="BA54" s="704"/>
      <c r="BB54" s="704"/>
      <c r="BC54" s="704"/>
      <c r="BD54" s="704"/>
      <c r="BE54" s="704"/>
      <c r="BF54" s="704"/>
      <c r="BG54" s="704"/>
      <c r="BH54" s="704"/>
      <c r="BI54" s="704"/>
      <c r="BJ54" s="704"/>
      <c r="DQ54" s="54"/>
    </row>
    <row r="55" spans="1:125" s="75" customFormat="1" x14ac:dyDescent="0.2">
      <c r="C55" s="169" t="s">
        <v>493</v>
      </c>
      <c r="D55" s="169"/>
      <c r="E55" s="169"/>
      <c r="F55" s="169"/>
      <c r="G55" s="169"/>
      <c r="H55" s="703">
        <f>+Inputs!L17</f>
        <v>1</v>
      </c>
      <c r="I55" s="169"/>
      <c r="J55" s="169"/>
      <c r="K55" s="649" t="s">
        <v>62</v>
      </c>
      <c r="L55" s="169"/>
      <c r="M55" s="169"/>
      <c r="N55" s="43">
        <f>SUM(Q55:BJ55)</f>
        <v>706.39488211197897</v>
      </c>
      <c r="O55" s="169"/>
      <c r="P55" s="170"/>
      <c r="Q55" s="171"/>
      <c r="R55" s="171"/>
      <c r="S55" s="171">
        <f t="shared" ref="S55:BJ55" si="21">+CHOOSE($H$46,S56,S57)</f>
        <v>706.39488211197897</v>
      </c>
      <c r="T55" s="171">
        <f t="shared" si="21"/>
        <v>0</v>
      </c>
      <c r="U55" s="171">
        <f t="shared" si="21"/>
        <v>0</v>
      </c>
      <c r="V55" s="171">
        <f t="shared" si="21"/>
        <v>0</v>
      </c>
      <c r="W55" s="171">
        <f t="shared" si="21"/>
        <v>0</v>
      </c>
      <c r="X55" s="171">
        <f t="shared" si="21"/>
        <v>0</v>
      </c>
      <c r="Y55" s="171">
        <f t="shared" si="21"/>
        <v>0</v>
      </c>
      <c r="Z55" s="171">
        <f t="shared" si="21"/>
        <v>0</v>
      </c>
      <c r="AA55" s="171">
        <f t="shared" si="21"/>
        <v>0</v>
      </c>
      <c r="AB55" s="171">
        <f t="shared" si="21"/>
        <v>0</v>
      </c>
      <c r="AC55" s="171">
        <f t="shared" si="21"/>
        <v>0</v>
      </c>
      <c r="AD55" s="171">
        <f t="shared" si="21"/>
        <v>0</v>
      </c>
      <c r="AE55" s="171">
        <f t="shared" si="21"/>
        <v>0</v>
      </c>
      <c r="AF55" s="171">
        <f t="shared" si="21"/>
        <v>0</v>
      </c>
      <c r="AG55" s="171">
        <f t="shared" si="21"/>
        <v>0</v>
      </c>
      <c r="AH55" s="171">
        <f t="shared" si="21"/>
        <v>0</v>
      </c>
      <c r="AI55" s="171">
        <f t="shared" si="21"/>
        <v>0</v>
      </c>
      <c r="AJ55" s="171">
        <f t="shared" si="21"/>
        <v>0</v>
      </c>
      <c r="AK55" s="171">
        <f t="shared" si="21"/>
        <v>0</v>
      </c>
      <c r="AL55" s="171">
        <f t="shared" si="21"/>
        <v>0</v>
      </c>
      <c r="AM55" s="171">
        <f t="shared" si="21"/>
        <v>0</v>
      </c>
      <c r="AN55" s="171">
        <f t="shared" si="21"/>
        <v>0</v>
      </c>
      <c r="AO55" s="171">
        <f t="shared" si="21"/>
        <v>0</v>
      </c>
      <c r="AP55" s="171">
        <f t="shared" si="21"/>
        <v>0</v>
      </c>
      <c r="AQ55" s="171">
        <f t="shared" si="21"/>
        <v>0</v>
      </c>
      <c r="AR55" s="171">
        <f t="shared" si="21"/>
        <v>0</v>
      </c>
      <c r="AS55" s="171">
        <f t="shared" si="21"/>
        <v>0</v>
      </c>
      <c r="AT55" s="171">
        <f t="shared" si="21"/>
        <v>0</v>
      </c>
      <c r="AU55" s="171">
        <f t="shared" si="21"/>
        <v>0</v>
      </c>
      <c r="AV55" s="171">
        <f t="shared" si="21"/>
        <v>0</v>
      </c>
      <c r="AW55" s="171">
        <f t="shared" si="21"/>
        <v>0</v>
      </c>
      <c r="AX55" s="171">
        <f t="shared" si="21"/>
        <v>0</v>
      </c>
      <c r="AY55" s="171">
        <f t="shared" si="21"/>
        <v>0</v>
      </c>
      <c r="AZ55" s="171">
        <f t="shared" si="21"/>
        <v>0</v>
      </c>
      <c r="BA55" s="171">
        <f t="shared" si="21"/>
        <v>0</v>
      </c>
      <c r="BB55" s="171">
        <f t="shared" si="21"/>
        <v>0</v>
      </c>
      <c r="BC55" s="171">
        <f t="shared" si="21"/>
        <v>0</v>
      </c>
      <c r="BD55" s="171">
        <f t="shared" si="21"/>
        <v>0</v>
      </c>
      <c r="BE55" s="171">
        <f t="shared" si="21"/>
        <v>0</v>
      </c>
      <c r="BF55" s="171">
        <f t="shared" si="21"/>
        <v>0</v>
      </c>
      <c r="BG55" s="171">
        <f t="shared" si="21"/>
        <v>0</v>
      </c>
      <c r="BH55" s="171">
        <f t="shared" si="21"/>
        <v>0</v>
      </c>
      <c r="BI55" s="171">
        <f t="shared" si="21"/>
        <v>0</v>
      </c>
      <c r="BJ55" s="171">
        <f t="shared" si="21"/>
        <v>0</v>
      </c>
      <c r="BK55" s="171"/>
      <c r="BL55" s="171"/>
      <c r="BM55" s="171"/>
      <c r="BN55" s="171"/>
      <c r="BO55" s="171"/>
      <c r="BP55" s="171"/>
      <c r="BQ55" s="171"/>
      <c r="BR55" s="171"/>
      <c r="BS55" s="171"/>
      <c r="BT55" s="171"/>
      <c r="BU55" s="171"/>
      <c r="BV55" s="171"/>
      <c r="BW55" s="171"/>
      <c r="BX55" s="171"/>
      <c r="BY55" s="171"/>
      <c r="BZ55" s="171"/>
      <c r="CA55" s="171"/>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171"/>
      <c r="DL55" s="171"/>
      <c r="DM55" s="171"/>
      <c r="DN55" s="171"/>
      <c r="DO55" s="171"/>
      <c r="DP55" s="171"/>
      <c r="DQ55" s="54"/>
    </row>
    <row r="56" spans="1:125" s="75" customFormat="1" x14ac:dyDescent="0.2">
      <c r="C56" s="75" t="s">
        <v>494</v>
      </c>
      <c r="K56" s="599"/>
      <c r="N56" s="79"/>
      <c r="Q56" s="142"/>
      <c r="R56" s="132"/>
      <c r="S56" s="132">
        <f>+IF(S7=2018,Inputs!$L$68,0)</f>
        <v>706.39488211197897</v>
      </c>
      <c r="T56" s="132">
        <f>+IF(T7=2018,Inputs!$L$68,0)</f>
        <v>0</v>
      </c>
      <c r="U56" s="132">
        <f>+IF(U7=2018,Inputs!$L$68,0)</f>
        <v>0</v>
      </c>
      <c r="V56" s="132">
        <f>+IF(V7=2018,Inputs!$L$68,0)</f>
        <v>0</v>
      </c>
      <c r="W56" s="132">
        <f>+IF(W7=2018,Inputs!$L$68,0)</f>
        <v>0</v>
      </c>
      <c r="X56" s="132">
        <f>+IF(X7=2018,Inputs!$L$68,0)</f>
        <v>0</v>
      </c>
      <c r="Y56" s="132">
        <f>+IF(Y7=2018,Inputs!$L$68,0)</f>
        <v>0</v>
      </c>
      <c r="Z56" s="132">
        <f>+IF(Z7=2018,Inputs!$L$68,0)</f>
        <v>0</v>
      </c>
      <c r="AA56" s="132">
        <f>+IF(AA7=2018,Inputs!$L$68,0)</f>
        <v>0</v>
      </c>
      <c r="AB56" s="132">
        <f>+IF(AB7=2018,Inputs!$L$68,0)</f>
        <v>0</v>
      </c>
      <c r="AC56" s="132">
        <f>+IF(AC7=2018,Inputs!$L$68,0)</f>
        <v>0</v>
      </c>
      <c r="AD56" s="132">
        <f>+IF(AD7=2018,Inputs!$L$68,0)</f>
        <v>0</v>
      </c>
      <c r="AE56" s="132">
        <f>+IF(AE7=2018,Inputs!$L$68,0)</f>
        <v>0</v>
      </c>
      <c r="AF56" s="132">
        <f>+IF(AF7=2018,Inputs!$L$68,0)</f>
        <v>0</v>
      </c>
      <c r="AG56" s="132">
        <f>+IF(AG7=2018,Inputs!$L$68,0)</f>
        <v>0</v>
      </c>
      <c r="AH56" s="132">
        <f>+IF(AH7=2018,Inputs!$L$68,0)</f>
        <v>0</v>
      </c>
      <c r="AI56" s="132">
        <f>+IF(AI7=2018,Inputs!$L$68,0)</f>
        <v>0</v>
      </c>
      <c r="AJ56" s="132">
        <f>+IF(AJ7=2018,Inputs!$L$68,0)</f>
        <v>0</v>
      </c>
      <c r="AK56" s="132">
        <f>+IF(AK7=2018,Inputs!$L$68,0)</f>
        <v>0</v>
      </c>
      <c r="AL56" s="132">
        <f>+IF(AL7=2018,Inputs!$L$68,0)</f>
        <v>0</v>
      </c>
      <c r="AM56" s="132">
        <f>+IF(AM7=2018,Inputs!$L$68,0)</f>
        <v>0</v>
      </c>
      <c r="AN56" s="132">
        <f>+IF(AN7=2018,Inputs!$L$68,0)</f>
        <v>0</v>
      </c>
      <c r="AO56" s="132">
        <f>+IF(AO7=2018,Inputs!$L$68,0)</f>
        <v>0</v>
      </c>
      <c r="AP56" s="132">
        <f>+IF(AP7=2018,Inputs!$L$68,0)</f>
        <v>0</v>
      </c>
      <c r="AQ56" s="132">
        <f>+IF(AQ7=2018,Inputs!$L$68,0)</f>
        <v>0</v>
      </c>
      <c r="AR56" s="132">
        <f>+IF(AR7=2018,Inputs!$L$68,0)</f>
        <v>0</v>
      </c>
      <c r="AS56" s="132">
        <f>+IF(AS7=2018,Inputs!$L$68,0)</f>
        <v>0</v>
      </c>
      <c r="AT56" s="132">
        <f>+IF(AT7=2018,Inputs!$L$68,0)</f>
        <v>0</v>
      </c>
      <c r="AU56" s="132">
        <f>+IF(AU7=2018,Inputs!$L$68,0)</f>
        <v>0</v>
      </c>
      <c r="AV56" s="132">
        <f>+IF(AV7=2018,Inputs!$L$68,0)</f>
        <v>0</v>
      </c>
      <c r="AW56" s="132">
        <f>+IF(AW7=2018,Inputs!$L$68,0)</f>
        <v>0</v>
      </c>
      <c r="AX56" s="132">
        <f>+IF(AX7=2018,Inputs!$L$68,0)</f>
        <v>0</v>
      </c>
      <c r="AY56" s="132">
        <f>+IF(AY7=2018,Inputs!$L$68,0)</f>
        <v>0</v>
      </c>
      <c r="AZ56" s="132">
        <f>+IF(AZ7=2018,Inputs!$L$68,0)</f>
        <v>0</v>
      </c>
      <c r="BA56" s="132">
        <f>+IF(BA7=2018,Inputs!$L$68,0)</f>
        <v>0</v>
      </c>
      <c r="BB56" s="132">
        <f>+IF(BB7=2018,Inputs!$L$68,0)</f>
        <v>0</v>
      </c>
      <c r="BC56" s="132">
        <f>+IF(BC7=2018,Inputs!$L$68,0)</f>
        <v>0</v>
      </c>
      <c r="BD56" s="132">
        <f>+IF(BD7=2018,Inputs!$L$68,0)</f>
        <v>0</v>
      </c>
      <c r="BE56" s="132">
        <f>+IF(BE7=2018,Inputs!$L$68,0)</f>
        <v>0</v>
      </c>
      <c r="BF56" s="132">
        <f>+IF(BF7=2018,Inputs!$L$68,0)</f>
        <v>0</v>
      </c>
      <c r="BG56" s="132">
        <f>+IF(BG7=2018,Inputs!$L$68,0)</f>
        <v>0</v>
      </c>
      <c r="BH56" s="132">
        <f>+IF(BH7=2018,Inputs!$L$68,0)</f>
        <v>0</v>
      </c>
      <c r="BI56" s="132">
        <f>+IF(BI7=2018,Inputs!$L$68,0)</f>
        <v>0</v>
      </c>
      <c r="BJ56" s="132">
        <f>+IF(BJ7=2018,Inputs!$L$68,0)</f>
        <v>0</v>
      </c>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2"/>
      <c r="DQ56" s="54"/>
    </row>
    <row r="57" spans="1:125" s="75" customFormat="1" x14ac:dyDescent="0.2">
      <c r="K57" s="599"/>
      <c r="N57" s="79"/>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c r="BY57" s="168"/>
      <c r="BZ57" s="168"/>
      <c r="CA57" s="168"/>
      <c r="CB57" s="168"/>
      <c r="CC57" s="168"/>
      <c r="CD57" s="168"/>
      <c r="CE57" s="168"/>
      <c r="CF57" s="168"/>
      <c r="CG57" s="168"/>
      <c r="CH57" s="168"/>
      <c r="CI57" s="168"/>
      <c r="CJ57" s="168"/>
      <c r="CK57" s="168"/>
      <c r="CL57" s="168"/>
      <c r="CM57" s="168"/>
      <c r="CN57" s="168"/>
      <c r="CO57" s="168"/>
      <c r="CP57" s="168"/>
      <c r="CQ57" s="168"/>
      <c r="CR57" s="168"/>
      <c r="CS57" s="168"/>
      <c r="CT57" s="168"/>
      <c r="CU57" s="168"/>
      <c r="CV57" s="168"/>
      <c r="CW57" s="168"/>
      <c r="CX57" s="168"/>
      <c r="CY57" s="168"/>
      <c r="CZ57" s="168"/>
      <c r="DA57" s="168"/>
      <c r="DB57" s="168"/>
      <c r="DC57" s="168"/>
      <c r="DD57" s="168"/>
      <c r="DE57" s="168"/>
      <c r="DF57" s="168"/>
      <c r="DG57" s="168"/>
      <c r="DH57" s="168"/>
      <c r="DI57" s="168"/>
      <c r="DJ57" s="168"/>
      <c r="DK57" s="168"/>
      <c r="DL57" s="168"/>
      <c r="DM57" s="168"/>
      <c r="DN57" s="168"/>
      <c r="DO57" s="168"/>
      <c r="DP57" s="168"/>
      <c r="DQ57" s="54"/>
    </row>
    <row r="58" spans="1:125" x14ac:dyDescent="0.2">
      <c r="DQ58" s="57"/>
    </row>
    <row r="59" spans="1:125" s="147" customFormat="1" x14ac:dyDescent="0.2">
      <c r="A59" s="75"/>
      <c r="B59" s="75"/>
      <c r="C59" s="154" t="s">
        <v>495</v>
      </c>
      <c r="D59" s="154"/>
      <c r="E59" s="154"/>
      <c r="F59" s="154"/>
      <c r="G59" s="154"/>
      <c r="H59" s="154"/>
      <c r="I59" s="154"/>
      <c r="J59" s="154"/>
      <c r="K59" s="650" t="s">
        <v>62</v>
      </c>
      <c r="L59" s="154"/>
      <c r="M59" s="154"/>
      <c r="N59" s="702">
        <f>SUM(Q59:BJ59)</f>
        <v>846.99999999999966</v>
      </c>
      <c r="O59" s="154"/>
      <c r="P59" s="155"/>
      <c r="Q59" s="156"/>
      <c r="R59" s="146"/>
      <c r="S59" s="702">
        <f>+S55*S26</f>
        <v>846.99999999999966</v>
      </c>
      <c r="T59" s="702">
        <f t="shared" ref="T59:BJ59" si="22">+T55*T26</f>
        <v>0</v>
      </c>
      <c r="U59" s="702">
        <f t="shared" si="22"/>
        <v>0</v>
      </c>
      <c r="V59" s="702">
        <f t="shared" si="22"/>
        <v>0</v>
      </c>
      <c r="W59" s="702">
        <f t="shared" si="22"/>
        <v>0</v>
      </c>
      <c r="X59" s="702">
        <f t="shared" si="22"/>
        <v>0</v>
      </c>
      <c r="Y59" s="702">
        <f t="shared" si="22"/>
        <v>0</v>
      </c>
      <c r="Z59" s="702">
        <f t="shared" si="22"/>
        <v>0</v>
      </c>
      <c r="AA59" s="702">
        <f t="shared" si="22"/>
        <v>0</v>
      </c>
      <c r="AB59" s="702">
        <f t="shared" si="22"/>
        <v>0</v>
      </c>
      <c r="AC59" s="702">
        <f t="shared" si="22"/>
        <v>0</v>
      </c>
      <c r="AD59" s="702">
        <f t="shared" si="22"/>
        <v>0</v>
      </c>
      <c r="AE59" s="702">
        <f t="shared" si="22"/>
        <v>0</v>
      </c>
      <c r="AF59" s="702">
        <f t="shared" si="22"/>
        <v>0</v>
      </c>
      <c r="AG59" s="702">
        <f t="shared" si="22"/>
        <v>0</v>
      </c>
      <c r="AH59" s="702">
        <f t="shared" si="22"/>
        <v>0</v>
      </c>
      <c r="AI59" s="702">
        <f t="shared" si="22"/>
        <v>0</v>
      </c>
      <c r="AJ59" s="702">
        <f t="shared" si="22"/>
        <v>0</v>
      </c>
      <c r="AK59" s="702">
        <f t="shared" si="22"/>
        <v>0</v>
      </c>
      <c r="AL59" s="702">
        <f t="shared" si="22"/>
        <v>0</v>
      </c>
      <c r="AM59" s="702">
        <f t="shared" si="22"/>
        <v>0</v>
      </c>
      <c r="AN59" s="702">
        <f t="shared" si="22"/>
        <v>0</v>
      </c>
      <c r="AO59" s="702">
        <f t="shared" si="22"/>
        <v>0</v>
      </c>
      <c r="AP59" s="702">
        <f t="shared" si="22"/>
        <v>0</v>
      </c>
      <c r="AQ59" s="702">
        <f t="shared" si="22"/>
        <v>0</v>
      </c>
      <c r="AR59" s="702">
        <f t="shared" si="22"/>
        <v>0</v>
      </c>
      <c r="AS59" s="702">
        <f t="shared" si="22"/>
        <v>0</v>
      </c>
      <c r="AT59" s="702">
        <f t="shared" si="22"/>
        <v>0</v>
      </c>
      <c r="AU59" s="702">
        <f t="shared" si="22"/>
        <v>0</v>
      </c>
      <c r="AV59" s="702">
        <f t="shared" si="22"/>
        <v>0</v>
      </c>
      <c r="AW59" s="702">
        <f t="shared" si="22"/>
        <v>0</v>
      </c>
      <c r="AX59" s="702">
        <f t="shared" si="22"/>
        <v>0</v>
      </c>
      <c r="AY59" s="702">
        <f t="shared" si="22"/>
        <v>0</v>
      </c>
      <c r="AZ59" s="702">
        <f t="shared" si="22"/>
        <v>0</v>
      </c>
      <c r="BA59" s="702">
        <f t="shared" si="22"/>
        <v>0</v>
      </c>
      <c r="BB59" s="702">
        <f t="shared" si="22"/>
        <v>0</v>
      </c>
      <c r="BC59" s="702">
        <f t="shared" si="22"/>
        <v>0</v>
      </c>
      <c r="BD59" s="702">
        <f t="shared" si="22"/>
        <v>0</v>
      </c>
      <c r="BE59" s="702">
        <f t="shared" si="22"/>
        <v>0</v>
      </c>
      <c r="BF59" s="702">
        <f t="shared" si="22"/>
        <v>0</v>
      </c>
      <c r="BG59" s="702">
        <f t="shared" si="22"/>
        <v>0</v>
      </c>
      <c r="BH59" s="702">
        <f t="shared" si="22"/>
        <v>0</v>
      </c>
      <c r="BI59" s="702">
        <f t="shared" si="22"/>
        <v>0</v>
      </c>
      <c r="BJ59" s="702">
        <f t="shared" si="22"/>
        <v>0</v>
      </c>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54"/>
    </row>
    <row r="60" spans="1:125" x14ac:dyDescent="0.2">
      <c r="DQ60" s="57"/>
    </row>
    <row r="61" spans="1:125" x14ac:dyDescent="0.2">
      <c r="DQ61" s="57"/>
    </row>
    <row r="62" spans="1:125" s="140" customFormat="1" ht="15.75" x14ac:dyDescent="0.25">
      <c r="A62" s="136"/>
      <c r="B62" s="136" t="s">
        <v>273</v>
      </c>
      <c r="C62" s="136"/>
      <c r="D62" s="136"/>
      <c r="E62" s="136"/>
      <c r="F62" s="136"/>
      <c r="G62" s="136"/>
      <c r="H62" s="136"/>
      <c r="I62" s="136"/>
      <c r="J62" s="136"/>
      <c r="K62" s="598"/>
      <c r="L62" s="136"/>
      <c r="M62" s="136"/>
      <c r="N62" s="136"/>
      <c r="O62" s="137"/>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c r="BQ62" s="138"/>
      <c r="BR62" s="138"/>
      <c r="BS62" s="138"/>
      <c r="BT62" s="138"/>
      <c r="BU62" s="138"/>
      <c r="BV62" s="138"/>
      <c r="BW62" s="138"/>
      <c r="BX62" s="138"/>
      <c r="BY62" s="138"/>
      <c r="BZ62" s="138"/>
      <c r="CA62" s="138"/>
      <c r="CB62" s="138"/>
      <c r="CC62" s="138"/>
      <c r="CD62" s="138"/>
      <c r="CE62" s="138"/>
      <c r="CF62" s="138"/>
      <c r="CG62" s="138"/>
      <c r="CH62" s="138"/>
      <c r="CI62" s="138"/>
      <c r="CJ62" s="138"/>
      <c r="CK62" s="138"/>
      <c r="CL62" s="138"/>
      <c r="CM62" s="138"/>
      <c r="CN62" s="138"/>
      <c r="CO62" s="138"/>
      <c r="CP62" s="138"/>
      <c r="CQ62" s="138"/>
      <c r="CR62" s="138"/>
      <c r="CS62" s="138"/>
      <c r="CT62" s="138"/>
      <c r="CU62" s="138"/>
      <c r="CV62" s="138"/>
      <c r="CW62" s="138"/>
      <c r="CX62" s="138"/>
      <c r="CY62" s="138"/>
      <c r="CZ62" s="138"/>
      <c r="DA62" s="138"/>
      <c r="DB62" s="138"/>
      <c r="DC62" s="138"/>
      <c r="DD62" s="138"/>
      <c r="DE62" s="138"/>
      <c r="DF62" s="138"/>
      <c r="DG62" s="138"/>
      <c r="DH62" s="138"/>
      <c r="DI62" s="138"/>
      <c r="DJ62" s="138"/>
      <c r="DK62" s="138"/>
      <c r="DL62" s="138"/>
      <c r="DM62" s="138"/>
      <c r="DN62" s="138"/>
      <c r="DO62" s="138"/>
      <c r="DP62" s="139"/>
      <c r="DQ62" s="138"/>
      <c r="DR62" s="138"/>
      <c r="DS62" s="138"/>
      <c r="DT62" s="138"/>
      <c r="DU62" s="138"/>
    </row>
    <row r="63" spans="1:125" x14ac:dyDescent="0.2">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DQ63" s="57"/>
    </row>
    <row r="64" spans="1:125" x14ac:dyDescent="0.2">
      <c r="DQ64" s="57"/>
    </row>
    <row r="65" spans="3:121" x14ac:dyDescent="0.2">
      <c r="C65" t="s">
        <v>282</v>
      </c>
      <c r="K65" s="88" t="s">
        <v>62</v>
      </c>
      <c r="N65" s="78">
        <f>SUM(Q65:BJ65)</f>
        <v>31617619.88418154</v>
      </c>
      <c r="Q65" s="114"/>
      <c r="R65" s="114"/>
      <c r="S65" s="197">
        <f t="shared" ref="S65:BJ65" si="23">+S16</f>
        <v>99995.383361491404</v>
      </c>
      <c r="T65" s="197">
        <f t="shared" si="23"/>
        <v>110892.63499175895</v>
      </c>
      <c r="U65" s="197">
        <f t="shared" si="23"/>
        <v>122977.44237811655</v>
      </c>
      <c r="V65" s="197">
        <f t="shared" si="23"/>
        <v>136379.22243426612</v>
      </c>
      <c r="W65" s="197">
        <f t="shared" si="23"/>
        <v>147989.64874127222</v>
      </c>
      <c r="X65" s="197">
        <f t="shared" si="23"/>
        <v>160588.51006516948</v>
      </c>
      <c r="Y65" s="197">
        <f t="shared" si="23"/>
        <v>174259.95523536199</v>
      </c>
      <c r="Z65" s="197">
        <f t="shared" si="23"/>
        <v>189095.29695684407</v>
      </c>
      <c r="AA65" s="197">
        <f t="shared" si="23"/>
        <v>205193.6216952556</v>
      </c>
      <c r="AB65" s="197">
        <f t="shared" si="23"/>
        <v>218151.68779285997</v>
      </c>
      <c r="AC65" s="197">
        <f t="shared" si="23"/>
        <v>231928.06137781523</v>
      </c>
      <c r="AD65" s="197">
        <f t="shared" si="23"/>
        <v>246574.41892242918</v>
      </c>
      <c r="AE65" s="197">
        <f t="shared" si="23"/>
        <v>262145.70029062143</v>
      </c>
      <c r="AF65" s="197">
        <f t="shared" si="23"/>
        <v>278700.31482251739</v>
      </c>
      <c r="AG65" s="197">
        <f t="shared" si="23"/>
        <v>305795.33461873961</v>
      </c>
      <c r="AH65" s="197">
        <f t="shared" si="23"/>
        <v>335524.51038362371</v>
      </c>
      <c r="AI65" s="197">
        <f t="shared" si="23"/>
        <v>368143.9326356274</v>
      </c>
      <c r="AJ65" s="197">
        <f t="shared" si="23"/>
        <v>403934.58880684001</v>
      </c>
      <c r="AK65" s="197">
        <f t="shared" si="23"/>
        <v>443204.78370084305</v>
      </c>
      <c r="AL65" s="197">
        <f t="shared" si="23"/>
        <v>486909.90690950124</v>
      </c>
      <c r="AM65" s="197">
        <f t="shared" si="23"/>
        <v>534924.8612953726</v>
      </c>
      <c r="AN65" s="197">
        <f t="shared" si="23"/>
        <v>587674.64611283329</v>
      </c>
      <c r="AO65" s="197">
        <f t="shared" si="23"/>
        <v>645626.17046348774</v>
      </c>
      <c r="AP65" s="197">
        <f t="shared" si="23"/>
        <v>709292.3860923493</v>
      </c>
      <c r="AQ65" s="197">
        <f t="shared" si="23"/>
        <v>750382.9050056797</v>
      </c>
      <c r="AR65" s="197">
        <f t="shared" si="23"/>
        <v>793853.86783420376</v>
      </c>
      <c r="AS65" s="197">
        <f t="shared" si="23"/>
        <v>839843.17775810137</v>
      </c>
      <c r="AT65" s="197">
        <f t="shared" si="23"/>
        <v>888496.72692422429</v>
      </c>
      <c r="AU65" s="197">
        <f t="shared" si="23"/>
        <v>939968.8592605762</v>
      </c>
      <c r="AV65" s="197">
        <f t="shared" si="23"/>
        <v>993784.81824656378</v>
      </c>
      <c r="AW65" s="197">
        <f t="shared" si="23"/>
        <v>1050681.8978601643</v>
      </c>
      <c r="AX65" s="197">
        <f t="shared" si="23"/>
        <v>1110836.5012446234</v>
      </c>
      <c r="AY65" s="197">
        <f t="shared" si="23"/>
        <v>1174435.131137687</v>
      </c>
      <c r="AZ65" s="197">
        <f t="shared" si="23"/>
        <v>1241674.9681028472</v>
      </c>
      <c r="BA65" s="197">
        <f t="shared" si="23"/>
        <v>1299492.443952414</v>
      </c>
      <c r="BB65" s="197">
        <f t="shared" si="23"/>
        <v>1360002.1384578201</v>
      </c>
      <c r="BC65" s="197">
        <f t="shared" si="23"/>
        <v>1423329.4123544544</v>
      </c>
      <c r="BD65" s="197">
        <f t="shared" si="23"/>
        <v>1489605.4636873708</v>
      </c>
      <c r="BE65" s="197">
        <f t="shared" si="23"/>
        <v>1558967.5996203499</v>
      </c>
      <c r="BF65" s="197">
        <f t="shared" si="23"/>
        <v>1616727.695374218</v>
      </c>
      <c r="BG65" s="197">
        <f t="shared" si="23"/>
        <v>1676627.8155021067</v>
      </c>
      <c r="BH65" s="197">
        <f t="shared" si="23"/>
        <v>1738747.248382292</v>
      </c>
      <c r="BI65" s="197">
        <f t="shared" si="23"/>
        <v>1803168.2200450725</v>
      </c>
      <c r="BJ65" s="197">
        <f t="shared" si="23"/>
        <v>461089.97334577679</v>
      </c>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4"/>
      <c r="DJ65" s="114"/>
      <c r="DK65" s="114"/>
      <c r="DL65" s="114"/>
      <c r="DM65" s="114"/>
      <c r="DN65" s="114"/>
      <c r="DO65" s="114"/>
      <c r="DP65" s="114"/>
      <c r="DQ65" s="57"/>
    </row>
    <row r="66" spans="3:121" x14ac:dyDescent="0.2">
      <c r="C66" t="s">
        <v>287</v>
      </c>
      <c r="K66" s="88"/>
      <c r="N66" s="83"/>
      <c r="Q66" s="102"/>
      <c r="R66" s="701">
        <v>215655.97431999998</v>
      </c>
      <c r="S66" s="197">
        <f t="shared" ref="S66:BJ66" si="24">+R66+S65</f>
        <v>315651.35768149141</v>
      </c>
      <c r="T66" s="197">
        <f t="shared" si="24"/>
        <v>426543.99267325038</v>
      </c>
      <c r="U66" s="197">
        <f t="shared" si="24"/>
        <v>549521.43505136692</v>
      </c>
      <c r="V66" s="197">
        <f t="shared" si="24"/>
        <v>685900.65748563304</v>
      </c>
      <c r="W66" s="197">
        <f t="shared" si="24"/>
        <v>833890.3062269052</v>
      </c>
      <c r="X66" s="197">
        <f t="shared" si="24"/>
        <v>994478.81629207474</v>
      </c>
      <c r="Y66" s="197">
        <f t="shared" si="24"/>
        <v>1168738.7715274368</v>
      </c>
      <c r="Z66" s="197">
        <f t="shared" si="24"/>
        <v>1357834.068484281</v>
      </c>
      <c r="AA66" s="197">
        <f t="shared" si="24"/>
        <v>1563027.6901795366</v>
      </c>
      <c r="AB66" s="197">
        <f t="shared" si="24"/>
        <v>1781179.3779723966</v>
      </c>
      <c r="AC66" s="197">
        <f t="shared" si="24"/>
        <v>2013107.4393502118</v>
      </c>
      <c r="AD66" s="197">
        <f t="shared" si="24"/>
        <v>2259681.858272641</v>
      </c>
      <c r="AE66" s="197">
        <f t="shared" si="24"/>
        <v>2521827.5585632622</v>
      </c>
      <c r="AF66" s="197">
        <f t="shared" si="24"/>
        <v>2800527.8733857796</v>
      </c>
      <c r="AG66" s="197">
        <f t="shared" si="24"/>
        <v>3106323.2080045193</v>
      </c>
      <c r="AH66" s="197">
        <f t="shared" si="24"/>
        <v>3441847.718388143</v>
      </c>
      <c r="AI66" s="197">
        <f t="shared" si="24"/>
        <v>3809991.6510237702</v>
      </c>
      <c r="AJ66" s="197">
        <f t="shared" si="24"/>
        <v>4213926.2398306103</v>
      </c>
      <c r="AK66" s="197">
        <f t="shared" si="24"/>
        <v>4657131.0235314537</v>
      </c>
      <c r="AL66" s="197">
        <f t="shared" si="24"/>
        <v>5144040.9304409549</v>
      </c>
      <c r="AM66" s="197">
        <f t="shared" si="24"/>
        <v>5678965.7917363271</v>
      </c>
      <c r="AN66" s="197">
        <f t="shared" si="24"/>
        <v>6266640.4378491603</v>
      </c>
      <c r="AO66" s="197">
        <f t="shared" si="24"/>
        <v>6912266.6083126478</v>
      </c>
      <c r="AP66" s="197">
        <f t="shared" si="24"/>
        <v>7621558.9944049967</v>
      </c>
      <c r="AQ66" s="197">
        <f t="shared" si="24"/>
        <v>8371941.8994106762</v>
      </c>
      <c r="AR66" s="197">
        <f t="shared" si="24"/>
        <v>9165795.7672448792</v>
      </c>
      <c r="AS66" s="197">
        <f t="shared" si="24"/>
        <v>10005638.945002981</v>
      </c>
      <c r="AT66" s="197">
        <f t="shared" si="24"/>
        <v>10894135.671927204</v>
      </c>
      <c r="AU66" s="197">
        <f t="shared" si="24"/>
        <v>11834104.53118778</v>
      </c>
      <c r="AV66" s="197">
        <f t="shared" si="24"/>
        <v>12827889.349434344</v>
      </c>
      <c r="AW66" s="197">
        <f t="shared" si="24"/>
        <v>13878571.247294508</v>
      </c>
      <c r="AX66" s="197">
        <f t="shared" si="24"/>
        <v>14989407.748539131</v>
      </c>
      <c r="AY66" s="197">
        <f t="shared" si="24"/>
        <v>16163842.879676819</v>
      </c>
      <c r="AZ66" s="197">
        <f t="shared" si="24"/>
        <v>17405517.847779665</v>
      </c>
      <c r="BA66" s="197">
        <f t="shared" si="24"/>
        <v>18705010.29173208</v>
      </c>
      <c r="BB66" s="197">
        <f t="shared" si="24"/>
        <v>20065012.4301899</v>
      </c>
      <c r="BC66" s="197">
        <f t="shared" si="24"/>
        <v>21488341.842544354</v>
      </c>
      <c r="BD66" s="197">
        <f t="shared" si="24"/>
        <v>22977947.306231726</v>
      </c>
      <c r="BE66" s="197">
        <f t="shared" si="24"/>
        <v>24536914.905852076</v>
      </c>
      <c r="BF66" s="197">
        <f t="shared" si="24"/>
        <v>26153642.601226293</v>
      </c>
      <c r="BG66" s="197">
        <f t="shared" si="24"/>
        <v>27830270.4167284</v>
      </c>
      <c r="BH66" s="197">
        <f t="shared" si="24"/>
        <v>29569017.665110692</v>
      </c>
      <c r="BI66" s="197">
        <f t="shared" si="24"/>
        <v>31372185.885155763</v>
      </c>
      <c r="BJ66" s="197">
        <f t="shared" si="24"/>
        <v>31833275.858501539</v>
      </c>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57"/>
    </row>
    <row r="67" spans="3:121" x14ac:dyDescent="0.2">
      <c r="K67" s="88"/>
      <c r="N67" s="83"/>
      <c r="DQ67" s="57"/>
    </row>
    <row r="68" spans="3:121" x14ac:dyDescent="0.2">
      <c r="C68" s="113" t="s">
        <v>288</v>
      </c>
      <c r="D68" s="112"/>
      <c r="E68" s="112"/>
      <c r="F68" s="112"/>
      <c r="G68" s="112"/>
      <c r="H68" s="112"/>
      <c r="I68" s="112"/>
      <c r="J68" s="112"/>
      <c r="K68" s="617" t="s">
        <v>62</v>
      </c>
      <c r="L68" s="112"/>
      <c r="M68" s="112"/>
      <c r="N68" s="111"/>
      <c r="O68" s="112"/>
      <c r="P68" s="112"/>
      <c r="Q68" s="103"/>
      <c r="R68" s="103"/>
      <c r="S68" s="700">
        <v>0</v>
      </c>
      <c r="T68" s="700">
        <v>0</v>
      </c>
      <c r="U68" s="700">
        <v>0</v>
      </c>
      <c r="V68" s="700">
        <v>0</v>
      </c>
      <c r="W68" s="700">
        <v>0</v>
      </c>
      <c r="X68" s="700">
        <v>0</v>
      </c>
      <c r="Y68" s="700">
        <v>0</v>
      </c>
      <c r="Z68" s="700">
        <v>0</v>
      </c>
      <c r="AA68" s="700">
        <v>0</v>
      </c>
      <c r="AB68" s="700">
        <v>0</v>
      </c>
      <c r="AC68" s="700">
        <v>0</v>
      </c>
      <c r="AD68" s="700">
        <v>0</v>
      </c>
      <c r="AE68" s="700">
        <v>0</v>
      </c>
      <c r="AF68" s="700">
        <v>0</v>
      </c>
      <c r="AG68" s="700">
        <v>0</v>
      </c>
      <c r="AH68" s="700">
        <v>0</v>
      </c>
      <c r="AI68" s="700">
        <v>0</v>
      </c>
      <c r="AJ68" s="700">
        <v>0</v>
      </c>
      <c r="AK68" s="700">
        <v>0</v>
      </c>
      <c r="AL68" s="700">
        <v>0</v>
      </c>
      <c r="AM68" s="700">
        <v>0</v>
      </c>
      <c r="AN68" s="700">
        <v>0</v>
      </c>
      <c r="AO68" s="700">
        <v>0</v>
      </c>
      <c r="AP68" s="700">
        <v>0</v>
      </c>
      <c r="AQ68" s="700">
        <v>0</v>
      </c>
      <c r="AR68" s="700">
        <v>0</v>
      </c>
      <c r="AS68" s="700">
        <v>0</v>
      </c>
      <c r="AT68" s="700">
        <v>0</v>
      </c>
      <c r="AU68" s="700">
        <v>0</v>
      </c>
      <c r="AV68" s="700">
        <v>0</v>
      </c>
      <c r="AW68" s="700">
        <v>0</v>
      </c>
      <c r="AX68" s="700">
        <v>0</v>
      </c>
      <c r="AY68" s="700">
        <v>0</v>
      </c>
      <c r="AZ68" s="700">
        <v>0</v>
      </c>
      <c r="BA68" s="700">
        <v>0</v>
      </c>
      <c r="BB68" s="700">
        <v>0</v>
      </c>
      <c r="BC68" s="700">
        <v>0</v>
      </c>
      <c r="BD68" s="700">
        <v>0</v>
      </c>
      <c r="BE68" s="700">
        <v>0</v>
      </c>
      <c r="BF68" s="700">
        <v>0</v>
      </c>
      <c r="BG68" s="700">
        <v>0</v>
      </c>
      <c r="BH68" s="700">
        <v>0</v>
      </c>
      <c r="BI68" s="700">
        <v>0</v>
      </c>
      <c r="BJ68" s="700">
        <v>0</v>
      </c>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57"/>
    </row>
    <row r="69" spans="3:121" x14ac:dyDescent="0.2">
      <c r="C69" s="110" t="s">
        <v>289</v>
      </c>
      <c r="D69" s="109"/>
      <c r="E69" s="109"/>
      <c r="F69" s="109"/>
      <c r="G69" s="109"/>
      <c r="H69" s="109"/>
      <c r="I69" s="109"/>
      <c r="J69" s="109"/>
      <c r="K69" s="651" t="s">
        <v>62</v>
      </c>
      <c r="L69" s="109"/>
      <c r="M69" s="109"/>
      <c r="N69" s="129">
        <f>SUM(Q69:BJ69)</f>
        <v>466810868.04377151</v>
      </c>
      <c r="O69" s="109"/>
      <c r="P69" s="109"/>
      <c r="Q69" s="104"/>
      <c r="R69" s="104"/>
      <c r="S69" s="699">
        <v>515846.75902525196</v>
      </c>
      <c r="T69" s="699">
        <v>678721.83681799413</v>
      </c>
      <c r="U69" s="699">
        <v>852771.72557384707</v>
      </c>
      <c r="V69" s="699">
        <v>1038569.6080474055</v>
      </c>
      <c r="W69" s="699">
        <v>1236713.801537364</v>
      </c>
      <c r="X69" s="699">
        <v>1447829.5987129933</v>
      </c>
      <c r="Y69" s="699">
        <v>1664355.1287066492</v>
      </c>
      <c r="Z69" s="699">
        <v>1900953.4652918465</v>
      </c>
      <c r="AA69" s="699">
        <v>2158734.2918191743</v>
      </c>
      <c r="AB69" s="699">
        <v>2438858.3124303133</v>
      </c>
      <c r="AC69" s="699">
        <v>2742536.5931816865</v>
      </c>
      <c r="AD69" s="699">
        <v>3070366.266602824</v>
      </c>
      <c r="AE69" s="699">
        <v>3398896.1946884026</v>
      </c>
      <c r="AF69" s="699">
        <v>3751847.7289483091</v>
      </c>
      <c r="AG69" s="699">
        <v>4129937.2668057117</v>
      </c>
      <c r="AH69" s="699">
        <v>4534407.7888464481</v>
      </c>
      <c r="AI69" s="699">
        <v>4966606.4618453141</v>
      </c>
      <c r="AJ69" s="699">
        <v>5427939.0108041083</v>
      </c>
      <c r="AK69" s="699">
        <v>5919868.716666963</v>
      </c>
      <c r="AL69" s="699">
        <v>6443921.8593160799</v>
      </c>
      <c r="AM69" s="699">
        <v>7001284.0366375363</v>
      </c>
      <c r="AN69" s="699">
        <v>7593527.5568255456</v>
      </c>
      <c r="AO69" s="699">
        <v>8222348.8279405162</v>
      </c>
      <c r="AP69" s="699">
        <v>8889301.9698053002</v>
      </c>
      <c r="AQ69" s="699">
        <v>9595141.4692020714</v>
      </c>
      <c r="AR69" s="699">
        <v>10340917.58600161</v>
      </c>
      <c r="AS69" s="699">
        <v>11128155.740375491</v>
      </c>
      <c r="AT69" s="699">
        <v>11955728.060343061</v>
      </c>
      <c r="AU69" s="699">
        <v>12822327.48664395</v>
      </c>
      <c r="AV69" s="699">
        <v>13729176.488646481</v>
      </c>
      <c r="AW69" s="699">
        <v>14677767.382619057</v>
      </c>
      <c r="AX69" s="699">
        <v>15669821.027267227</v>
      </c>
      <c r="AY69" s="699">
        <v>16702382.257237855</v>
      </c>
      <c r="AZ69" s="699">
        <v>17776962.354012657</v>
      </c>
      <c r="BA69" s="699">
        <v>18891006.305389848</v>
      </c>
      <c r="BB69" s="699">
        <v>20045403.83176706</v>
      </c>
      <c r="BC69" s="699">
        <v>21241624.467054542</v>
      </c>
      <c r="BD69" s="699">
        <v>22480345.663697775</v>
      </c>
      <c r="BE69" s="699">
        <v>23763859.173837267</v>
      </c>
      <c r="BF69" s="699">
        <v>25091932.771658011</v>
      </c>
      <c r="BG69" s="699">
        <v>26467470.342436098</v>
      </c>
      <c r="BH69" s="699">
        <v>27889534.357133299</v>
      </c>
      <c r="BI69" s="699">
        <v>28257583.23578532</v>
      </c>
      <c r="BJ69" s="699">
        <v>28257583.23578532</v>
      </c>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57"/>
    </row>
    <row r="70" spans="3:121" x14ac:dyDescent="0.2">
      <c r="K70" s="88"/>
      <c r="N70" s="67"/>
      <c r="DQ70" s="57"/>
    </row>
    <row r="71" spans="3:121" x14ac:dyDescent="0.2">
      <c r="C71" s="113" t="s">
        <v>290</v>
      </c>
      <c r="D71" s="112"/>
      <c r="E71" s="112"/>
      <c r="F71" s="112"/>
      <c r="G71" s="112"/>
      <c r="H71" s="112"/>
      <c r="I71" s="112"/>
      <c r="J71" s="112"/>
      <c r="K71" s="617" t="s">
        <v>62</v>
      </c>
      <c r="L71" s="112"/>
      <c r="M71" s="112"/>
      <c r="N71" s="130"/>
      <c r="O71" s="112"/>
      <c r="P71" s="112"/>
      <c r="Q71" s="127"/>
      <c r="R71" s="127"/>
      <c r="S71" s="698">
        <f t="shared" ref="S71:AO71" si="25">S69</f>
        <v>515846.75902525196</v>
      </c>
      <c r="T71" s="698">
        <f t="shared" si="25"/>
        <v>678721.83681799413</v>
      </c>
      <c r="U71" s="698">
        <f t="shared" si="25"/>
        <v>852771.72557384707</v>
      </c>
      <c r="V71" s="698">
        <f t="shared" si="25"/>
        <v>1038569.6080474055</v>
      </c>
      <c r="W71" s="698">
        <f t="shared" si="25"/>
        <v>1236713.801537364</v>
      </c>
      <c r="X71" s="698">
        <f t="shared" si="25"/>
        <v>1447829.5987129933</v>
      </c>
      <c r="Y71" s="698">
        <f t="shared" si="25"/>
        <v>1664355.1287066492</v>
      </c>
      <c r="Z71" s="698">
        <f t="shared" si="25"/>
        <v>1900953.4652918465</v>
      </c>
      <c r="AA71" s="698">
        <f t="shared" si="25"/>
        <v>2158734.2918191743</v>
      </c>
      <c r="AB71" s="698">
        <f t="shared" si="25"/>
        <v>2438858.3124303133</v>
      </c>
      <c r="AC71" s="698">
        <f t="shared" si="25"/>
        <v>2742536.5931816865</v>
      </c>
      <c r="AD71" s="698">
        <f t="shared" si="25"/>
        <v>3070366.266602824</v>
      </c>
      <c r="AE71" s="698">
        <f t="shared" si="25"/>
        <v>3398896.1946884026</v>
      </c>
      <c r="AF71" s="698">
        <f t="shared" si="25"/>
        <v>3751847.7289483091</v>
      </c>
      <c r="AG71" s="698">
        <f t="shared" si="25"/>
        <v>4129937.2668057117</v>
      </c>
      <c r="AH71" s="698">
        <f t="shared" si="25"/>
        <v>4534407.7888464481</v>
      </c>
      <c r="AI71" s="698">
        <f t="shared" si="25"/>
        <v>4966606.4618453141</v>
      </c>
      <c r="AJ71" s="698">
        <f t="shared" si="25"/>
        <v>5427939.0108041083</v>
      </c>
      <c r="AK71" s="698">
        <f t="shared" si="25"/>
        <v>5919868.716666963</v>
      </c>
      <c r="AL71" s="698">
        <f t="shared" si="25"/>
        <v>6443921.8593160799</v>
      </c>
      <c r="AM71" s="698">
        <f t="shared" si="25"/>
        <v>7001284.0366375363</v>
      </c>
      <c r="AN71" s="698">
        <f t="shared" si="25"/>
        <v>7593527.5568255456</v>
      </c>
      <c r="AO71" s="698">
        <f t="shared" si="25"/>
        <v>8222348.8279405162</v>
      </c>
      <c r="AP71" s="698">
        <f t="shared" ref="AP71:BJ71" si="26">AP69</f>
        <v>8889301.9698053002</v>
      </c>
      <c r="AQ71" s="698">
        <f t="shared" si="26"/>
        <v>9595141.4692020714</v>
      </c>
      <c r="AR71" s="698">
        <f t="shared" si="26"/>
        <v>10340917.58600161</v>
      </c>
      <c r="AS71" s="698">
        <f t="shared" si="26"/>
        <v>11128155.740375491</v>
      </c>
      <c r="AT71" s="698">
        <f t="shared" si="26"/>
        <v>11955728.060343061</v>
      </c>
      <c r="AU71" s="698">
        <f t="shared" si="26"/>
        <v>12822327.48664395</v>
      </c>
      <c r="AV71" s="698">
        <f t="shared" si="26"/>
        <v>13729176.488646481</v>
      </c>
      <c r="AW71" s="698">
        <f t="shared" si="26"/>
        <v>14677767.382619057</v>
      </c>
      <c r="AX71" s="698">
        <f t="shared" si="26"/>
        <v>15669821.027267227</v>
      </c>
      <c r="AY71" s="698">
        <f t="shared" si="26"/>
        <v>16702382.257237855</v>
      </c>
      <c r="AZ71" s="698">
        <f t="shared" si="26"/>
        <v>17776962.354012657</v>
      </c>
      <c r="BA71" s="698">
        <f t="shared" si="26"/>
        <v>18891006.305389848</v>
      </c>
      <c r="BB71" s="698">
        <f t="shared" si="26"/>
        <v>20045403.83176706</v>
      </c>
      <c r="BC71" s="698">
        <f t="shared" si="26"/>
        <v>21241624.467054542</v>
      </c>
      <c r="BD71" s="698">
        <f t="shared" si="26"/>
        <v>22480345.663697775</v>
      </c>
      <c r="BE71" s="698">
        <f t="shared" si="26"/>
        <v>23763859.173837267</v>
      </c>
      <c r="BF71" s="698">
        <f t="shared" si="26"/>
        <v>25091932.771658011</v>
      </c>
      <c r="BG71" s="698">
        <f t="shared" si="26"/>
        <v>26467470.342436098</v>
      </c>
      <c r="BH71" s="698">
        <f t="shared" si="26"/>
        <v>27889534.357133299</v>
      </c>
      <c r="BI71" s="698">
        <f t="shared" si="26"/>
        <v>28257583.23578532</v>
      </c>
      <c r="BJ71" s="698">
        <f t="shared" si="26"/>
        <v>28257583.23578532</v>
      </c>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27"/>
      <c r="CL71" s="127"/>
      <c r="CM71" s="127"/>
      <c r="CN71" s="127"/>
      <c r="CO71" s="127"/>
      <c r="CP71" s="127"/>
      <c r="CQ71" s="127"/>
      <c r="CR71" s="127"/>
      <c r="CS71" s="127"/>
      <c r="CT71" s="127"/>
      <c r="CU71" s="127"/>
      <c r="CV71" s="127"/>
      <c r="CW71" s="127"/>
      <c r="CX71" s="127"/>
      <c r="CY71" s="127"/>
      <c r="CZ71" s="127"/>
      <c r="DA71" s="127"/>
      <c r="DB71" s="127"/>
      <c r="DC71" s="127"/>
      <c r="DD71" s="127"/>
      <c r="DE71" s="127"/>
      <c r="DF71" s="127"/>
      <c r="DG71" s="127"/>
      <c r="DH71" s="127"/>
      <c r="DI71" s="127"/>
      <c r="DJ71" s="127"/>
      <c r="DK71" s="127"/>
      <c r="DL71" s="127"/>
      <c r="DM71" s="127"/>
      <c r="DN71" s="127"/>
      <c r="DO71" s="127"/>
      <c r="DP71" s="127"/>
      <c r="DQ71" s="57"/>
    </row>
    <row r="72" spans="3:121" x14ac:dyDescent="0.2">
      <c r="C72" s="110" t="s">
        <v>291</v>
      </c>
      <c r="D72" s="109"/>
      <c r="E72" s="109"/>
      <c r="F72" s="109"/>
      <c r="G72" s="109"/>
      <c r="H72" s="109"/>
      <c r="I72" s="109"/>
      <c r="J72" s="109"/>
      <c r="K72" s="651" t="s">
        <v>62</v>
      </c>
      <c r="L72" s="109"/>
      <c r="M72" s="109"/>
      <c r="N72" s="129">
        <f>SUM(Q72:BJ72)</f>
        <v>576545440.41209674</v>
      </c>
      <c r="O72" s="109"/>
      <c r="P72" s="109"/>
      <c r="Q72" s="104"/>
      <c r="R72" s="104"/>
      <c r="S72" s="699">
        <v>637108.33921604278</v>
      </c>
      <c r="T72" s="699">
        <v>838270.9296494897</v>
      </c>
      <c r="U72" s="699">
        <v>1053235.2259756206</v>
      </c>
      <c r="V72" s="699">
        <v>1282709.1506664832</v>
      </c>
      <c r="W72" s="699">
        <v>1527431.6691877444</v>
      </c>
      <c r="X72" s="699">
        <v>1788175.0635535349</v>
      </c>
      <c r="Y72" s="699">
        <v>2055599.8721784905</v>
      </c>
      <c r="Z72" s="699">
        <v>2347816.0597298294</v>
      </c>
      <c r="AA72" s="699">
        <v>2666194.1660126001</v>
      </c>
      <c r="AB72" s="699">
        <v>3012167.7452269397</v>
      </c>
      <c r="AC72" s="699">
        <v>3387232.5522077652</v>
      </c>
      <c r="AD72" s="699">
        <v>3792126.0891444865</v>
      </c>
      <c r="AE72" s="699">
        <v>4197884.4916221546</v>
      </c>
      <c r="AF72" s="699">
        <v>4633805.3574253945</v>
      </c>
      <c r="AG72" s="699">
        <v>5100773.4895785693</v>
      </c>
      <c r="AH72" s="699">
        <v>5600324.0596861634</v>
      </c>
      <c r="AI72" s="699">
        <v>6134120.9168884894</v>
      </c>
      <c r="AJ72" s="699">
        <v>6703900.2340035802</v>
      </c>
      <c r="AK72" s="699">
        <v>7311469.2696325853</v>
      </c>
      <c r="AL72" s="699">
        <v>7958713.090656152</v>
      </c>
      <c r="AM72" s="699">
        <v>8647095.9968628529</v>
      </c>
      <c r="AN72" s="699">
        <v>9378559.9034529384</v>
      </c>
      <c r="AO72" s="699">
        <v>10155199.998005064</v>
      </c>
      <c r="AP72" s="699">
        <v>10978935.731755391</v>
      </c>
      <c r="AQ72" s="699">
        <v>11850698.950862378</v>
      </c>
      <c r="AR72" s="699">
        <v>12771786.802803082</v>
      </c>
      <c r="AS72" s="699">
        <v>13744083.292652879</v>
      </c>
      <c r="AT72" s="699">
        <v>14766195.41632311</v>
      </c>
      <c r="AU72" s="699">
        <v>15836508.860376576</v>
      </c>
      <c r="AV72" s="699">
        <v>16956533.463569395</v>
      </c>
      <c r="AW72" s="699">
        <v>18128112.345244106</v>
      </c>
      <c r="AX72" s="699">
        <v>19353370.891307935</v>
      </c>
      <c r="AY72" s="699">
        <v>20628659.257195018</v>
      </c>
      <c r="AZ72" s="699">
        <v>21955843.98566841</v>
      </c>
      <c r="BA72" s="699">
        <v>23331769.45046493</v>
      </c>
      <c r="BB72" s="699">
        <v>24757534.521113154</v>
      </c>
      <c r="BC72" s="699">
        <v>26234954.179083053</v>
      </c>
      <c r="BD72" s="699">
        <v>27764865.127513468</v>
      </c>
      <c r="BE72" s="699">
        <v>29350097.84730709</v>
      </c>
      <c r="BF72" s="699">
        <v>30990365.52265916</v>
      </c>
      <c r="BG72" s="699">
        <v>32689254.663503401</v>
      </c>
      <c r="BH72" s="699">
        <v>34445607.353156105</v>
      </c>
      <c r="BI72" s="699">
        <v>34900174.539487571</v>
      </c>
      <c r="BJ72" s="699">
        <v>34900174.539487571</v>
      </c>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57"/>
    </row>
    <row r="73" spans="3:121" x14ac:dyDescent="0.2">
      <c r="K73" s="88"/>
      <c r="N73" s="67"/>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57"/>
    </row>
    <row r="74" spans="3:121" x14ac:dyDescent="0.2">
      <c r="C74" s="113" t="s">
        <v>292</v>
      </c>
      <c r="D74" s="112"/>
      <c r="E74" s="112"/>
      <c r="F74" s="112"/>
      <c r="G74" s="112"/>
      <c r="H74" s="112"/>
      <c r="I74" s="112"/>
      <c r="J74" s="112"/>
      <c r="K74" s="617" t="s">
        <v>62</v>
      </c>
      <c r="L74" s="112"/>
      <c r="M74" s="112"/>
      <c r="N74" s="130"/>
      <c r="O74" s="112"/>
      <c r="P74" s="112"/>
      <c r="Q74" s="127"/>
      <c r="R74" s="127"/>
      <c r="S74" s="698">
        <f t="shared" ref="S74:AO74" si="27">S72</f>
        <v>637108.33921604278</v>
      </c>
      <c r="T74" s="698">
        <f t="shared" si="27"/>
        <v>838270.9296494897</v>
      </c>
      <c r="U74" s="698">
        <f t="shared" si="27"/>
        <v>1053235.2259756206</v>
      </c>
      <c r="V74" s="698">
        <f t="shared" si="27"/>
        <v>1282709.1506664832</v>
      </c>
      <c r="W74" s="698">
        <f t="shared" si="27"/>
        <v>1527431.6691877444</v>
      </c>
      <c r="X74" s="698">
        <f t="shared" si="27"/>
        <v>1788175.0635535349</v>
      </c>
      <c r="Y74" s="698">
        <f t="shared" si="27"/>
        <v>2055599.8721784905</v>
      </c>
      <c r="Z74" s="698">
        <f t="shared" si="27"/>
        <v>2347816.0597298294</v>
      </c>
      <c r="AA74" s="698">
        <f t="shared" si="27"/>
        <v>2666194.1660126001</v>
      </c>
      <c r="AB74" s="698">
        <f t="shared" si="27"/>
        <v>3012167.7452269397</v>
      </c>
      <c r="AC74" s="698">
        <f t="shared" si="27"/>
        <v>3387232.5522077652</v>
      </c>
      <c r="AD74" s="698">
        <f t="shared" si="27"/>
        <v>3792126.0891444865</v>
      </c>
      <c r="AE74" s="698">
        <f t="shared" si="27"/>
        <v>4197884.4916221546</v>
      </c>
      <c r="AF74" s="698">
        <f t="shared" si="27"/>
        <v>4633805.3574253945</v>
      </c>
      <c r="AG74" s="698">
        <f t="shared" si="27"/>
        <v>5100773.4895785693</v>
      </c>
      <c r="AH74" s="698">
        <f t="shared" si="27"/>
        <v>5600324.0596861634</v>
      </c>
      <c r="AI74" s="698">
        <f t="shared" si="27"/>
        <v>6134120.9168884894</v>
      </c>
      <c r="AJ74" s="698">
        <f t="shared" si="27"/>
        <v>6703900.2340035802</v>
      </c>
      <c r="AK74" s="698">
        <f t="shared" si="27"/>
        <v>7311469.2696325853</v>
      </c>
      <c r="AL74" s="698">
        <f t="shared" si="27"/>
        <v>7958713.090656152</v>
      </c>
      <c r="AM74" s="698">
        <f t="shared" si="27"/>
        <v>8647095.9968628529</v>
      </c>
      <c r="AN74" s="698">
        <f t="shared" si="27"/>
        <v>9378559.9034529384</v>
      </c>
      <c r="AO74" s="698">
        <f t="shared" si="27"/>
        <v>10155199.998005064</v>
      </c>
      <c r="AP74" s="698">
        <f t="shared" ref="AP74:BJ74" si="28">AP72</f>
        <v>10978935.731755391</v>
      </c>
      <c r="AQ74" s="698">
        <f t="shared" si="28"/>
        <v>11850698.950862378</v>
      </c>
      <c r="AR74" s="698">
        <f t="shared" si="28"/>
        <v>12771786.802803082</v>
      </c>
      <c r="AS74" s="698">
        <f t="shared" si="28"/>
        <v>13744083.292652879</v>
      </c>
      <c r="AT74" s="698">
        <f t="shared" si="28"/>
        <v>14766195.41632311</v>
      </c>
      <c r="AU74" s="698">
        <f t="shared" si="28"/>
        <v>15836508.860376576</v>
      </c>
      <c r="AV74" s="698">
        <f t="shared" si="28"/>
        <v>16956533.463569395</v>
      </c>
      <c r="AW74" s="698">
        <f t="shared" si="28"/>
        <v>18128112.345244106</v>
      </c>
      <c r="AX74" s="698">
        <f t="shared" si="28"/>
        <v>19353370.891307935</v>
      </c>
      <c r="AY74" s="698">
        <f t="shared" si="28"/>
        <v>20628659.257195018</v>
      </c>
      <c r="AZ74" s="698">
        <f t="shared" si="28"/>
        <v>21955843.98566841</v>
      </c>
      <c r="BA74" s="698">
        <f t="shared" si="28"/>
        <v>23331769.45046493</v>
      </c>
      <c r="BB74" s="698">
        <f t="shared" si="28"/>
        <v>24757534.521113154</v>
      </c>
      <c r="BC74" s="698">
        <f t="shared" si="28"/>
        <v>26234954.179083053</v>
      </c>
      <c r="BD74" s="698">
        <f t="shared" si="28"/>
        <v>27764865.127513468</v>
      </c>
      <c r="BE74" s="698">
        <f t="shared" si="28"/>
        <v>29350097.84730709</v>
      </c>
      <c r="BF74" s="698">
        <f t="shared" si="28"/>
        <v>30990365.52265916</v>
      </c>
      <c r="BG74" s="698">
        <f t="shared" si="28"/>
        <v>32689254.663503401</v>
      </c>
      <c r="BH74" s="698">
        <f t="shared" si="28"/>
        <v>34445607.353156105</v>
      </c>
      <c r="BI74" s="698">
        <f t="shared" si="28"/>
        <v>34900174.539487571</v>
      </c>
      <c r="BJ74" s="698">
        <f t="shared" si="28"/>
        <v>34900174.539487571</v>
      </c>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27"/>
      <c r="CL74" s="127"/>
      <c r="CM74" s="127"/>
      <c r="CN74" s="127"/>
      <c r="CO74" s="127"/>
      <c r="CP74" s="127"/>
      <c r="CQ74" s="127"/>
      <c r="CR74" s="127"/>
      <c r="CS74" s="127"/>
      <c r="CT74" s="127"/>
      <c r="CU74" s="127"/>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57"/>
    </row>
    <row r="75" spans="3:121" x14ac:dyDescent="0.2">
      <c r="C75" s="110" t="s">
        <v>293</v>
      </c>
      <c r="D75" s="109"/>
      <c r="E75" s="109"/>
      <c r="F75" s="109"/>
      <c r="G75" s="109"/>
      <c r="H75" s="109"/>
      <c r="I75" s="109"/>
      <c r="J75" s="109"/>
      <c r="K75" s="651" t="s">
        <v>62</v>
      </c>
      <c r="L75" s="109"/>
      <c r="M75" s="109"/>
      <c r="N75" s="129">
        <f>SUM(Q75:BJ75)</f>
        <v>710251074.89286804</v>
      </c>
      <c r="O75" s="109"/>
      <c r="P75" s="109"/>
      <c r="Q75" s="104"/>
      <c r="R75" s="104"/>
      <c r="S75" s="699">
        <v>784859.00855961419</v>
      </c>
      <c r="T75" s="699">
        <v>1032672.8599387286</v>
      </c>
      <c r="U75" s="699">
        <v>1297489.1464400901</v>
      </c>
      <c r="V75" s="699">
        <v>1580179.9635855253</v>
      </c>
      <c r="W75" s="699">
        <v>1881655.6490162839</v>
      </c>
      <c r="X75" s="699">
        <v>2202867.583303974</v>
      </c>
      <c r="Y75" s="699">
        <v>2532310.4068273581</v>
      </c>
      <c r="Z75" s="699">
        <v>2892293.9341640524</v>
      </c>
      <c r="AA75" s="699">
        <v>3284506.5445839078</v>
      </c>
      <c r="AB75" s="699">
        <v>3710714.2453088998</v>
      </c>
      <c r="AC75" s="699">
        <v>4172759.6690351022</v>
      </c>
      <c r="AD75" s="699">
        <v>4671551.3507816978</v>
      </c>
      <c r="AE75" s="699">
        <v>5171408.4675088506</v>
      </c>
      <c r="AF75" s="699">
        <v>5708422.9711422138</v>
      </c>
      <c r="AG75" s="699">
        <v>6283684.8578123152</v>
      </c>
      <c r="AH75" s="699">
        <v>6899085.3180581881</v>
      </c>
      <c r="AI75" s="699">
        <v>7556674.0613346873</v>
      </c>
      <c r="AJ75" s="699">
        <v>8258589.8932307139</v>
      </c>
      <c r="AK75" s="699">
        <v>9007059.1904966533</v>
      </c>
      <c r="AL75" s="699">
        <v>9804404.1825430244</v>
      </c>
      <c r="AM75" s="699">
        <v>10652428.752335334</v>
      </c>
      <c r="AN75" s="699">
        <v>11553525.161197064</v>
      </c>
      <c r="AO75" s="699">
        <v>12510274.487956587</v>
      </c>
      <c r="AP75" s="699">
        <v>13525041.320395073</v>
      </c>
      <c r="AQ75" s="699">
        <v>14598973.60746726</v>
      </c>
      <c r="AR75" s="699">
        <v>15733669.31582989</v>
      </c>
      <c r="AS75" s="699">
        <v>16931449.366846822</v>
      </c>
      <c r="AT75" s="699">
        <v>18190597.707312271</v>
      </c>
      <c r="AU75" s="699">
        <v>19509125.651211888</v>
      </c>
      <c r="AV75" s="699">
        <v>20888893.181340232</v>
      </c>
      <c r="AW75" s="699">
        <v>22332170.851590261</v>
      </c>
      <c r="AX75" s="699">
        <v>23841576.942359939</v>
      </c>
      <c r="AY75" s="699">
        <v>25412615.180078462</v>
      </c>
      <c r="AZ75" s="699">
        <v>27047584.974143364</v>
      </c>
      <c r="BA75" s="699">
        <v>28742598.882579945</v>
      </c>
      <c r="BB75" s="699">
        <v>30499010.61180773</v>
      </c>
      <c r="BC75" s="699">
        <v>32319056.052442797</v>
      </c>
      <c r="BD75" s="699">
        <v>34203765.945970684</v>
      </c>
      <c r="BE75" s="699">
        <v>36156627.185119495</v>
      </c>
      <c r="BF75" s="699">
        <v>38177286.439137921</v>
      </c>
      <c r="BG75" s="699">
        <v>40270161.959141992</v>
      </c>
      <c r="BH75" s="699">
        <v>42433827.298035622</v>
      </c>
      <c r="BI75" s="699">
        <v>42993812.357447736</v>
      </c>
      <c r="BJ75" s="699">
        <v>42993812.357447736</v>
      </c>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57"/>
    </row>
    <row r="76" spans="3:121" x14ac:dyDescent="0.2">
      <c r="K76" s="88"/>
      <c r="N76" s="67"/>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57"/>
    </row>
    <row r="77" spans="3:121" x14ac:dyDescent="0.2">
      <c r="C77" s="113" t="s">
        <v>294</v>
      </c>
      <c r="D77" s="112"/>
      <c r="E77" s="112"/>
      <c r="F77" s="112"/>
      <c r="G77" s="112"/>
      <c r="H77" s="112"/>
      <c r="I77" s="112"/>
      <c r="J77" s="112"/>
      <c r="K77" s="617" t="s">
        <v>62</v>
      </c>
      <c r="L77" s="112"/>
      <c r="M77" s="112"/>
      <c r="N77" s="130"/>
      <c r="O77" s="112"/>
      <c r="P77" s="112"/>
      <c r="Q77" s="127"/>
      <c r="R77" s="127"/>
      <c r="S77" s="698">
        <f t="shared" ref="S77:AO77" si="29">S75</f>
        <v>784859.00855961419</v>
      </c>
      <c r="T77" s="698">
        <f t="shared" si="29"/>
        <v>1032672.8599387286</v>
      </c>
      <c r="U77" s="698">
        <f t="shared" si="29"/>
        <v>1297489.1464400901</v>
      </c>
      <c r="V77" s="698">
        <f t="shared" si="29"/>
        <v>1580179.9635855253</v>
      </c>
      <c r="W77" s="698">
        <f t="shared" si="29"/>
        <v>1881655.6490162839</v>
      </c>
      <c r="X77" s="698">
        <f t="shared" si="29"/>
        <v>2202867.583303974</v>
      </c>
      <c r="Y77" s="698">
        <f t="shared" si="29"/>
        <v>2532310.4068273581</v>
      </c>
      <c r="Z77" s="698">
        <f t="shared" si="29"/>
        <v>2892293.9341640524</v>
      </c>
      <c r="AA77" s="698">
        <f t="shared" si="29"/>
        <v>3284506.5445839078</v>
      </c>
      <c r="AB77" s="698">
        <f t="shared" si="29"/>
        <v>3710714.2453088998</v>
      </c>
      <c r="AC77" s="698">
        <f t="shared" si="29"/>
        <v>4172759.6690351022</v>
      </c>
      <c r="AD77" s="698">
        <f t="shared" si="29"/>
        <v>4671551.3507816978</v>
      </c>
      <c r="AE77" s="698">
        <f t="shared" si="29"/>
        <v>5171408.4675088506</v>
      </c>
      <c r="AF77" s="698">
        <f t="shared" si="29"/>
        <v>5708422.9711422138</v>
      </c>
      <c r="AG77" s="698">
        <f t="shared" si="29"/>
        <v>6283684.8578123152</v>
      </c>
      <c r="AH77" s="698">
        <f t="shared" si="29"/>
        <v>6899085.3180581881</v>
      </c>
      <c r="AI77" s="698">
        <f t="shared" si="29"/>
        <v>7556674.0613346873</v>
      </c>
      <c r="AJ77" s="698">
        <f t="shared" si="29"/>
        <v>8258589.8932307139</v>
      </c>
      <c r="AK77" s="698">
        <f t="shared" si="29"/>
        <v>9007059.1904966533</v>
      </c>
      <c r="AL77" s="698">
        <f t="shared" si="29"/>
        <v>9804404.1825430244</v>
      </c>
      <c r="AM77" s="698">
        <f t="shared" si="29"/>
        <v>10652428.752335334</v>
      </c>
      <c r="AN77" s="698">
        <f t="shared" si="29"/>
        <v>11553525.161197064</v>
      </c>
      <c r="AO77" s="698">
        <f t="shared" si="29"/>
        <v>12510274.487956587</v>
      </c>
      <c r="AP77" s="698">
        <f t="shared" ref="AP77:BJ77" si="30">AP75</f>
        <v>13525041.320395073</v>
      </c>
      <c r="AQ77" s="698">
        <f t="shared" si="30"/>
        <v>14598973.60746726</v>
      </c>
      <c r="AR77" s="698">
        <f t="shared" si="30"/>
        <v>15733669.31582989</v>
      </c>
      <c r="AS77" s="698">
        <f t="shared" si="30"/>
        <v>16931449.366846822</v>
      </c>
      <c r="AT77" s="698">
        <f t="shared" si="30"/>
        <v>18190597.707312271</v>
      </c>
      <c r="AU77" s="698">
        <f t="shared" si="30"/>
        <v>19509125.651211888</v>
      </c>
      <c r="AV77" s="698">
        <f t="shared" si="30"/>
        <v>20888893.181340232</v>
      </c>
      <c r="AW77" s="698">
        <f t="shared" si="30"/>
        <v>22332170.851590261</v>
      </c>
      <c r="AX77" s="698">
        <f t="shared" si="30"/>
        <v>23841576.942359939</v>
      </c>
      <c r="AY77" s="698">
        <f t="shared" si="30"/>
        <v>25412615.180078462</v>
      </c>
      <c r="AZ77" s="698">
        <f t="shared" si="30"/>
        <v>27047584.974143364</v>
      </c>
      <c r="BA77" s="698">
        <f t="shared" si="30"/>
        <v>28742598.882579945</v>
      </c>
      <c r="BB77" s="698">
        <f t="shared" si="30"/>
        <v>30499010.61180773</v>
      </c>
      <c r="BC77" s="698">
        <f t="shared" si="30"/>
        <v>32319056.052442797</v>
      </c>
      <c r="BD77" s="698">
        <f t="shared" si="30"/>
        <v>34203765.945970684</v>
      </c>
      <c r="BE77" s="698">
        <f t="shared" si="30"/>
        <v>36156627.185119495</v>
      </c>
      <c r="BF77" s="698">
        <f t="shared" si="30"/>
        <v>38177286.439137921</v>
      </c>
      <c r="BG77" s="698">
        <f t="shared" si="30"/>
        <v>40270161.959141992</v>
      </c>
      <c r="BH77" s="698">
        <f t="shared" si="30"/>
        <v>42433827.298035622</v>
      </c>
      <c r="BI77" s="698">
        <f t="shared" si="30"/>
        <v>42993812.357447736</v>
      </c>
      <c r="BJ77" s="698">
        <f t="shared" si="30"/>
        <v>42993812.357447736</v>
      </c>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7"/>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57"/>
    </row>
    <row r="78" spans="3:121" x14ac:dyDescent="0.2">
      <c r="C78" s="110" t="s">
        <v>295</v>
      </c>
      <c r="D78" s="109"/>
      <c r="E78" s="109"/>
      <c r="F78" s="109"/>
      <c r="G78" s="109"/>
      <c r="H78" s="109"/>
      <c r="I78" s="109"/>
      <c r="J78" s="109"/>
      <c r="K78" s="651" t="s">
        <v>62</v>
      </c>
      <c r="L78" s="109"/>
      <c r="M78" s="109"/>
      <c r="N78" s="129">
        <f>SUM(Q78:BJ78)</f>
        <v>813080214.81444645</v>
      </c>
      <c r="O78" s="109"/>
      <c r="P78" s="109"/>
      <c r="Q78" s="104"/>
      <c r="R78" s="104"/>
      <c r="S78" s="699">
        <v>898489.77894889028</v>
      </c>
      <c r="T78" s="699">
        <v>1182181.7670866319</v>
      </c>
      <c r="U78" s="699">
        <v>1485337.778708816</v>
      </c>
      <c r="V78" s="699">
        <v>1808956.1700859098</v>
      </c>
      <c r="W78" s="699">
        <v>2154079.0762474351</v>
      </c>
      <c r="X78" s="699">
        <v>2521795.6172903231</v>
      </c>
      <c r="Y78" s="699">
        <v>2898934.7039997303</v>
      </c>
      <c r="Z78" s="699">
        <v>3311036.1341605093</v>
      </c>
      <c r="AA78" s="699">
        <v>3760032.7281906032</v>
      </c>
      <c r="AB78" s="699">
        <v>4247946.1733245216</v>
      </c>
      <c r="AC78" s="699">
        <v>4776885.8759979727</v>
      </c>
      <c r="AD78" s="699">
        <v>5347891.9076373531</v>
      </c>
      <c r="AE78" s="699">
        <v>5920117.6264176406</v>
      </c>
      <c r="AF78" s="699">
        <v>6534880.3257047189</v>
      </c>
      <c r="AG78" s="699">
        <v>7193427.8097178079</v>
      </c>
      <c r="AH78" s="699">
        <v>7897925.0728709791</v>
      </c>
      <c r="AI78" s="699">
        <v>8650718.5786371846</v>
      </c>
      <c r="AJ78" s="699">
        <v>9454256.7858349234</v>
      </c>
      <c r="AK78" s="699">
        <v>10311088.402872324</v>
      </c>
      <c r="AL78" s="699">
        <v>11223871.868229382</v>
      </c>
      <c r="AM78" s="699">
        <v>12194672.228480386</v>
      </c>
      <c r="AN78" s="699">
        <v>13226228.093138998</v>
      </c>
      <c r="AO78" s="699">
        <v>14321494.225953437</v>
      </c>
      <c r="AP78" s="699">
        <v>15483177.556358974</v>
      </c>
      <c r="AQ78" s="699">
        <v>16712592.231726462</v>
      </c>
      <c r="AR78" s="699">
        <v>18011567.570051264</v>
      </c>
      <c r="AS78" s="699">
        <v>19382760.512389582</v>
      </c>
      <c r="AT78" s="699">
        <v>20824206.557794478</v>
      </c>
      <c r="AU78" s="699">
        <v>22333629.101120383</v>
      </c>
      <c r="AV78" s="699">
        <v>23913157.41082406</v>
      </c>
      <c r="AW78" s="699">
        <v>25565390.768360049</v>
      </c>
      <c r="AX78" s="699">
        <v>27293326.525036462</v>
      </c>
      <c r="AY78" s="699">
        <v>29091817.443193205</v>
      </c>
      <c r="AZ78" s="699">
        <v>30963495.837448277</v>
      </c>
      <c r="BA78" s="699">
        <v>32903911.447509792</v>
      </c>
      <c r="BB78" s="699">
        <v>34914613.967486337</v>
      </c>
      <c r="BC78" s="699">
        <v>36998162.997055672</v>
      </c>
      <c r="BD78" s="699">
        <v>39155738.506988846</v>
      </c>
      <c r="BE78" s="699">
        <v>41391332.217381224</v>
      </c>
      <c r="BF78" s="699">
        <v>43704539.642758116</v>
      </c>
      <c r="BG78" s="699">
        <v>46100418.702344872</v>
      </c>
      <c r="BH78" s="699">
        <v>48577336.430064693</v>
      </c>
      <c r="BI78" s="699">
        <v>49218395.32950861</v>
      </c>
      <c r="BJ78" s="699">
        <v>49218395.32950861</v>
      </c>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57"/>
    </row>
    <row r="79" spans="3:121" x14ac:dyDescent="0.2">
      <c r="K79" s="88"/>
      <c r="N79" s="67"/>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57"/>
    </row>
    <row r="80" spans="3:121" x14ac:dyDescent="0.2">
      <c r="C80" s="115" t="s">
        <v>296</v>
      </c>
      <c r="D80" s="107"/>
      <c r="E80" s="107"/>
      <c r="F80" s="107"/>
      <c r="G80" s="107"/>
      <c r="H80" s="107"/>
      <c r="I80" s="107"/>
      <c r="J80" s="107"/>
      <c r="K80" s="652" t="s">
        <v>62</v>
      </c>
      <c r="L80" s="107"/>
      <c r="M80" s="107"/>
      <c r="N80" s="131">
        <f>SUM(Q80:BJ80)</f>
        <v>813080214.81444645</v>
      </c>
      <c r="O80" s="107"/>
      <c r="P80" s="107"/>
      <c r="Q80" s="128"/>
      <c r="R80" s="128"/>
      <c r="S80" s="697">
        <f t="shared" ref="S80:AO80" si="31">S78</f>
        <v>898489.77894889028</v>
      </c>
      <c r="T80" s="697">
        <f t="shared" si="31"/>
        <v>1182181.7670866319</v>
      </c>
      <c r="U80" s="697">
        <f t="shared" si="31"/>
        <v>1485337.778708816</v>
      </c>
      <c r="V80" s="697">
        <f t="shared" si="31"/>
        <v>1808956.1700859098</v>
      </c>
      <c r="W80" s="697">
        <f t="shared" si="31"/>
        <v>2154079.0762474351</v>
      </c>
      <c r="X80" s="697">
        <f t="shared" si="31"/>
        <v>2521795.6172903231</v>
      </c>
      <c r="Y80" s="697">
        <f t="shared" si="31"/>
        <v>2898934.7039997303</v>
      </c>
      <c r="Z80" s="697">
        <f t="shared" si="31"/>
        <v>3311036.1341605093</v>
      </c>
      <c r="AA80" s="697">
        <f t="shared" si="31"/>
        <v>3760032.7281906032</v>
      </c>
      <c r="AB80" s="697">
        <f t="shared" si="31"/>
        <v>4247946.1733245216</v>
      </c>
      <c r="AC80" s="697">
        <f t="shared" si="31"/>
        <v>4776885.8759979727</v>
      </c>
      <c r="AD80" s="697">
        <f t="shared" si="31"/>
        <v>5347891.9076373531</v>
      </c>
      <c r="AE80" s="697">
        <f t="shared" si="31"/>
        <v>5920117.6264176406</v>
      </c>
      <c r="AF80" s="697">
        <f t="shared" si="31"/>
        <v>6534880.3257047189</v>
      </c>
      <c r="AG80" s="697">
        <f t="shared" si="31"/>
        <v>7193427.8097178079</v>
      </c>
      <c r="AH80" s="697">
        <f t="shared" si="31"/>
        <v>7897925.0728709791</v>
      </c>
      <c r="AI80" s="697">
        <f t="shared" si="31"/>
        <v>8650718.5786371846</v>
      </c>
      <c r="AJ80" s="697">
        <f t="shared" si="31"/>
        <v>9454256.7858349234</v>
      </c>
      <c r="AK80" s="697">
        <f t="shared" si="31"/>
        <v>10311088.402872324</v>
      </c>
      <c r="AL80" s="697">
        <f t="shared" si="31"/>
        <v>11223871.868229382</v>
      </c>
      <c r="AM80" s="697">
        <f t="shared" si="31"/>
        <v>12194672.228480386</v>
      </c>
      <c r="AN80" s="697">
        <f t="shared" si="31"/>
        <v>13226228.093138998</v>
      </c>
      <c r="AO80" s="697">
        <f t="shared" si="31"/>
        <v>14321494.225953437</v>
      </c>
      <c r="AP80" s="697">
        <f t="shared" ref="AP80:BJ80" si="32">AP78</f>
        <v>15483177.556358974</v>
      </c>
      <c r="AQ80" s="697">
        <f t="shared" si="32"/>
        <v>16712592.231726462</v>
      </c>
      <c r="AR80" s="697">
        <f t="shared" si="32"/>
        <v>18011567.570051264</v>
      </c>
      <c r="AS80" s="697">
        <f t="shared" si="32"/>
        <v>19382760.512389582</v>
      </c>
      <c r="AT80" s="697">
        <f t="shared" si="32"/>
        <v>20824206.557794478</v>
      </c>
      <c r="AU80" s="697">
        <f t="shared" si="32"/>
        <v>22333629.101120383</v>
      </c>
      <c r="AV80" s="697">
        <f t="shared" si="32"/>
        <v>23913157.41082406</v>
      </c>
      <c r="AW80" s="697">
        <f t="shared" si="32"/>
        <v>25565390.768360049</v>
      </c>
      <c r="AX80" s="697">
        <f t="shared" si="32"/>
        <v>27293326.525036462</v>
      </c>
      <c r="AY80" s="697">
        <f t="shared" si="32"/>
        <v>29091817.443193205</v>
      </c>
      <c r="AZ80" s="697">
        <f t="shared" si="32"/>
        <v>30963495.837448277</v>
      </c>
      <c r="BA80" s="697">
        <f t="shared" si="32"/>
        <v>32903911.447509792</v>
      </c>
      <c r="BB80" s="697">
        <f t="shared" si="32"/>
        <v>34914613.967486337</v>
      </c>
      <c r="BC80" s="697">
        <f t="shared" si="32"/>
        <v>36998162.997055672</v>
      </c>
      <c r="BD80" s="697">
        <f t="shared" si="32"/>
        <v>39155738.506988846</v>
      </c>
      <c r="BE80" s="697">
        <f t="shared" si="32"/>
        <v>41391332.217381224</v>
      </c>
      <c r="BF80" s="697">
        <f t="shared" si="32"/>
        <v>43704539.642758116</v>
      </c>
      <c r="BG80" s="697">
        <f t="shared" si="32"/>
        <v>46100418.702344872</v>
      </c>
      <c r="BH80" s="697">
        <f t="shared" si="32"/>
        <v>48577336.430064693</v>
      </c>
      <c r="BI80" s="697">
        <f t="shared" si="32"/>
        <v>49218395.32950861</v>
      </c>
      <c r="BJ80" s="697">
        <f t="shared" si="32"/>
        <v>49218395.32950861</v>
      </c>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128"/>
      <c r="CN80" s="128"/>
      <c r="CO80" s="128"/>
      <c r="CP80" s="128"/>
      <c r="CQ80" s="128"/>
      <c r="CR80" s="128"/>
      <c r="CS80" s="128"/>
      <c r="CT80" s="128"/>
      <c r="CU80" s="128"/>
      <c r="CV80" s="128"/>
      <c r="CW80" s="128"/>
      <c r="CX80" s="128"/>
      <c r="CY80" s="128"/>
      <c r="CZ80" s="128"/>
      <c r="DA80" s="128"/>
      <c r="DB80" s="128"/>
      <c r="DC80" s="128"/>
      <c r="DD80" s="128"/>
      <c r="DE80" s="128"/>
      <c r="DF80" s="128"/>
      <c r="DG80" s="128"/>
      <c r="DH80" s="128"/>
      <c r="DI80" s="128"/>
      <c r="DJ80" s="128"/>
      <c r="DK80" s="128"/>
      <c r="DL80" s="128"/>
      <c r="DM80" s="128"/>
      <c r="DN80" s="128"/>
      <c r="DO80" s="128"/>
      <c r="DP80" s="128"/>
      <c r="DQ80" s="57"/>
    </row>
    <row r="81" spans="3:121" x14ac:dyDescent="0.2">
      <c r="K81" s="88"/>
      <c r="N81" s="83"/>
      <c r="DQ81" s="57"/>
    </row>
    <row r="82" spans="3:121" x14ac:dyDescent="0.2">
      <c r="K82" s="88"/>
      <c r="N82" s="83"/>
      <c r="DQ82" s="57"/>
    </row>
    <row r="83" spans="3:121" x14ac:dyDescent="0.2">
      <c r="C83" s="69" t="s">
        <v>297</v>
      </c>
      <c r="K83" s="88"/>
      <c r="N83" s="83"/>
      <c r="DQ83" s="57"/>
    </row>
    <row r="84" spans="3:121" x14ac:dyDescent="0.2">
      <c r="C84" t="s">
        <v>298</v>
      </c>
      <c r="K84" s="88" t="s">
        <v>20</v>
      </c>
      <c r="N84" s="696">
        <v>0</v>
      </c>
      <c r="DQ84" s="57"/>
    </row>
    <row r="85" spans="3:121" x14ac:dyDescent="0.2">
      <c r="C85" s="109" t="s">
        <v>299</v>
      </c>
      <c r="D85" s="109"/>
      <c r="E85" s="109"/>
      <c r="F85" s="109"/>
      <c r="G85" s="109"/>
      <c r="H85" s="109"/>
      <c r="I85" s="109"/>
      <c r="J85" s="109"/>
      <c r="K85" s="651" t="s">
        <v>62</v>
      </c>
      <c r="L85" s="109"/>
      <c r="M85" s="109"/>
      <c r="N85" s="108"/>
      <c r="O85" s="109"/>
      <c r="P85" s="109"/>
      <c r="Q85" s="106"/>
      <c r="R85" s="106"/>
      <c r="S85" s="695">
        <f t="shared" ref="S85:AO85" si="33">MAX(MIN(S$66-S68,S69-S68),0)</f>
        <v>315651.35768149141</v>
      </c>
      <c r="T85" s="695">
        <f t="shared" si="33"/>
        <v>426543.99267325038</v>
      </c>
      <c r="U85" s="695">
        <f t="shared" si="33"/>
        <v>549521.43505136692</v>
      </c>
      <c r="V85" s="695">
        <f t="shared" si="33"/>
        <v>685900.65748563304</v>
      </c>
      <c r="W85" s="695">
        <f t="shared" si="33"/>
        <v>833890.3062269052</v>
      </c>
      <c r="X85" s="695">
        <f t="shared" si="33"/>
        <v>994478.81629207474</v>
      </c>
      <c r="Y85" s="695">
        <f t="shared" si="33"/>
        <v>1168738.7715274368</v>
      </c>
      <c r="Z85" s="695">
        <f t="shared" si="33"/>
        <v>1357834.068484281</v>
      </c>
      <c r="AA85" s="695">
        <f t="shared" si="33"/>
        <v>1563027.6901795366</v>
      </c>
      <c r="AB85" s="695">
        <f t="shared" si="33"/>
        <v>1781179.3779723966</v>
      </c>
      <c r="AC85" s="695">
        <f t="shared" si="33"/>
        <v>2013107.4393502118</v>
      </c>
      <c r="AD85" s="695">
        <f t="shared" si="33"/>
        <v>2259681.858272641</v>
      </c>
      <c r="AE85" s="695">
        <f t="shared" si="33"/>
        <v>2521827.5585632622</v>
      </c>
      <c r="AF85" s="695">
        <f t="shared" si="33"/>
        <v>2800527.8733857796</v>
      </c>
      <c r="AG85" s="695">
        <f t="shared" si="33"/>
        <v>3106323.2080045193</v>
      </c>
      <c r="AH85" s="695">
        <f t="shared" si="33"/>
        <v>3441847.718388143</v>
      </c>
      <c r="AI85" s="695">
        <f t="shared" si="33"/>
        <v>3809991.6510237702</v>
      </c>
      <c r="AJ85" s="695">
        <f t="shared" si="33"/>
        <v>4213926.2398306103</v>
      </c>
      <c r="AK85" s="695">
        <f t="shared" si="33"/>
        <v>4657131.0235314537</v>
      </c>
      <c r="AL85" s="695">
        <f t="shared" si="33"/>
        <v>5144040.9304409549</v>
      </c>
      <c r="AM85" s="695">
        <f t="shared" si="33"/>
        <v>5678965.7917363271</v>
      </c>
      <c r="AN85" s="695">
        <f t="shared" si="33"/>
        <v>6266640.4378491603</v>
      </c>
      <c r="AO85" s="695">
        <f t="shared" si="33"/>
        <v>6912266.6083126478</v>
      </c>
      <c r="AP85" s="695">
        <f t="shared" ref="AP85:BJ85" si="34">MAX(MIN(AP$66-AP68,AP69-AP68),0)</f>
        <v>7621558.9944049967</v>
      </c>
      <c r="AQ85" s="695">
        <f t="shared" si="34"/>
        <v>8371941.8994106762</v>
      </c>
      <c r="AR85" s="695">
        <f t="shared" si="34"/>
        <v>9165795.7672448792</v>
      </c>
      <c r="AS85" s="695">
        <f t="shared" si="34"/>
        <v>10005638.945002981</v>
      </c>
      <c r="AT85" s="695">
        <f t="shared" si="34"/>
        <v>10894135.671927204</v>
      </c>
      <c r="AU85" s="695">
        <f t="shared" si="34"/>
        <v>11834104.53118778</v>
      </c>
      <c r="AV85" s="695">
        <f t="shared" si="34"/>
        <v>12827889.349434344</v>
      </c>
      <c r="AW85" s="695">
        <f t="shared" si="34"/>
        <v>13878571.247294508</v>
      </c>
      <c r="AX85" s="695">
        <f t="shared" si="34"/>
        <v>14989407.748539131</v>
      </c>
      <c r="AY85" s="695">
        <f t="shared" si="34"/>
        <v>16163842.879676819</v>
      </c>
      <c r="AZ85" s="695">
        <f t="shared" si="34"/>
        <v>17405517.847779665</v>
      </c>
      <c r="BA85" s="695">
        <f t="shared" si="34"/>
        <v>18705010.29173208</v>
      </c>
      <c r="BB85" s="695">
        <f t="shared" si="34"/>
        <v>20045403.83176706</v>
      </c>
      <c r="BC85" s="695">
        <f t="shared" si="34"/>
        <v>21241624.467054542</v>
      </c>
      <c r="BD85" s="695">
        <f t="shared" si="34"/>
        <v>22480345.663697775</v>
      </c>
      <c r="BE85" s="695">
        <f t="shared" si="34"/>
        <v>23763859.173837267</v>
      </c>
      <c r="BF85" s="695">
        <f t="shared" si="34"/>
        <v>25091932.771658011</v>
      </c>
      <c r="BG85" s="695">
        <f t="shared" si="34"/>
        <v>26467470.342436098</v>
      </c>
      <c r="BH85" s="695">
        <f t="shared" si="34"/>
        <v>27889534.357133299</v>
      </c>
      <c r="BI85" s="695">
        <f t="shared" si="34"/>
        <v>28257583.23578532</v>
      </c>
      <c r="BJ85" s="695">
        <f t="shared" si="34"/>
        <v>28257583.23578532</v>
      </c>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57"/>
    </row>
    <row r="86" spans="3:121" x14ac:dyDescent="0.2">
      <c r="C86" t="s">
        <v>300</v>
      </c>
      <c r="K86" s="88" t="s">
        <v>62</v>
      </c>
      <c r="N86" s="78">
        <f>SUM(Q86:DP86)</f>
        <v>0</v>
      </c>
      <c r="Q86" s="114"/>
      <c r="R86" s="114"/>
      <c r="S86" s="197">
        <f>MAX((S85*$N$84-SUM($P86:R$86)),0)*CF!S$13</f>
        <v>0</v>
      </c>
      <c r="T86" s="197">
        <f>MAX((T85*$N$84-SUM($P86:S$86)),0)*CF!T$13</f>
        <v>0</v>
      </c>
      <c r="U86" s="197">
        <f>MAX((U85*$N$84-SUM($P86:T$86)),0)*CF!U$13</f>
        <v>0</v>
      </c>
      <c r="V86" s="197">
        <f>MAX((V85*$N$84-SUM($P86:U$86)),0)*CF!V$13</f>
        <v>0</v>
      </c>
      <c r="W86" s="197">
        <f>MAX((W85*$N$84-SUM($P86:V$86)),0)*CF!W$13</f>
        <v>0</v>
      </c>
      <c r="X86" s="197">
        <f>MAX((X85*$N$84-SUM($P86:W$86)),0)*CF!X$13</f>
        <v>0</v>
      </c>
      <c r="Y86" s="197">
        <f>MAX((Y85*$N$84-SUM($P86:X$86)),0)*CF!Y$13</f>
        <v>0</v>
      </c>
      <c r="Z86" s="197">
        <f>MAX((Z85*$N$84-SUM($P86:Y$86)),0)*CF!Z$13</f>
        <v>0</v>
      </c>
      <c r="AA86" s="197">
        <f>MAX((AA85*$N$84-SUM($P86:Z$86)),0)*CF!AA$13</f>
        <v>0</v>
      </c>
      <c r="AB86" s="197">
        <f>MAX((AB85*$N$84-SUM($P86:AA$86)),0)*CF!AB$13</f>
        <v>0</v>
      </c>
      <c r="AC86" s="197">
        <f>MAX((AC85*$N$84-SUM($P86:AB$86)),0)*CF!AC$13</f>
        <v>0</v>
      </c>
      <c r="AD86" s="197">
        <f>MAX((AD85*$N$84-SUM($P86:AC$86)),0)*CF!AD$13</f>
        <v>0</v>
      </c>
      <c r="AE86" s="197">
        <f>MAX((AE85*$N$84-SUM($P86:AD$86)),0)*CF!AE$13</f>
        <v>0</v>
      </c>
      <c r="AF86" s="197">
        <f>MAX((AF85*$N$84-SUM($P86:AE$86)),0)*CF!AF$13</f>
        <v>0</v>
      </c>
      <c r="AG86" s="197">
        <f>MAX((AG85*$N$84-SUM($P86:AF$86)),0)*CF!AG$13</f>
        <v>0</v>
      </c>
      <c r="AH86" s="197">
        <f>MAX((AH85*$N$84-SUM($P86:AG$86)),0)*CF!AH$13</f>
        <v>0</v>
      </c>
      <c r="AI86" s="197">
        <f>MAX((AI85*$N$84-SUM($P86:AH$86)),0)*CF!AI$13</f>
        <v>0</v>
      </c>
      <c r="AJ86" s="197">
        <f>MAX((AJ85*$N$84-SUM($P86:AI$86)),0)*CF!AJ$13</f>
        <v>0</v>
      </c>
      <c r="AK86" s="197">
        <f>MAX((AK85*$N$84-SUM($P86:AJ$86)),0)*CF!AK$13</f>
        <v>0</v>
      </c>
      <c r="AL86" s="197">
        <f>MAX((AL85*$N$84-SUM($P86:AK$86)),0)*CF!AL$13</f>
        <v>0</v>
      </c>
      <c r="AM86" s="197">
        <f>MAX((AM85*$N$84-SUM($P86:AL$86)),0)*CF!AM$13</f>
        <v>0</v>
      </c>
      <c r="AN86" s="197">
        <f>MAX((AN85*$N$84-SUM($P86:AM$86)),0)*CF!AN$13</f>
        <v>0</v>
      </c>
      <c r="AO86" s="197">
        <f>MAX((AO85*$N$84-SUM($P86:AN$86)),0)*CF!AO$13</f>
        <v>0</v>
      </c>
      <c r="AP86" s="197">
        <f>MAX((AP85*$N$84-SUM($P86:AO$86)),0)*CF!AP$13</f>
        <v>0</v>
      </c>
      <c r="AQ86" s="197">
        <f>MAX((AQ85*$N$84-SUM($P86:AP$86)),0)*CF!AQ$13</f>
        <v>0</v>
      </c>
      <c r="AR86" s="197">
        <f>MAX((AR85*$N$84-SUM($P86:AQ$86)),0)*CF!AR$13</f>
        <v>0</v>
      </c>
      <c r="AS86" s="197">
        <f>MAX((AS85*$N$84-SUM($P86:AR$86)),0)*CF!AS$13</f>
        <v>0</v>
      </c>
      <c r="AT86" s="197">
        <f>MAX((AT85*$N$84-SUM($P86:AS$86)),0)*CF!AT$13</f>
        <v>0</v>
      </c>
      <c r="AU86" s="197">
        <f>MAX((AU85*$N$84-SUM($P86:AT$86)),0)*CF!AU$13</f>
        <v>0</v>
      </c>
      <c r="AV86" s="197">
        <f>MAX((AV85*$N$84-SUM($P86:AU$86)),0)*CF!AV$13</f>
        <v>0</v>
      </c>
      <c r="AW86" s="197">
        <f>MAX((AW85*$N$84-SUM($P86:AV$86)),0)*CF!AW$13</f>
        <v>0</v>
      </c>
      <c r="AX86" s="197">
        <f>MAX((AX85*$N$84-SUM($P86:AW$86)),0)*CF!AX$13</f>
        <v>0</v>
      </c>
      <c r="AY86" s="197">
        <f>MAX((AY85*$N$84-SUM($P86:AX$86)),0)*CF!AY$13</f>
        <v>0</v>
      </c>
      <c r="AZ86" s="197">
        <f>MAX((AZ85*$N$84-SUM($P86:AY$86)),0)*CF!AZ$13</f>
        <v>0</v>
      </c>
      <c r="BA86" s="197">
        <f>MAX((BA85*$N$84-SUM($P86:AZ$86)),0)*CF!BA$13</f>
        <v>0</v>
      </c>
      <c r="BB86" s="197">
        <f>MAX((BB85*$N$84-SUM($P86:BA$86)),0)*CF!BB$13</f>
        <v>0</v>
      </c>
      <c r="BC86" s="197">
        <f>MAX((BC85*$N$84-SUM($P86:BB$86)),0)*CF!BC$13</f>
        <v>0</v>
      </c>
      <c r="BD86" s="197">
        <f>MAX((BD85*$N$84-SUM($P86:BC$86)),0)*CF!BD$13</f>
        <v>0</v>
      </c>
      <c r="BE86" s="197">
        <f>MAX((BE85*$N$84-SUM($P86:BD$86)),0)*CF!BE$13</f>
        <v>0</v>
      </c>
      <c r="BF86" s="197">
        <f>MAX((BF85*$N$84-SUM($P86:BE$86)),0)*CF!BF$13</f>
        <v>0</v>
      </c>
      <c r="BG86" s="197">
        <f>MAX((BG85*$N$84-SUM($P86:BF$86)),0)*CF!BG$13</f>
        <v>0</v>
      </c>
      <c r="BH86" s="197">
        <f>MAX((BH85*$N$84-SUM($P86:BG$86)),0)*CF!BH$13</f>
        <v>0</v>
      </c>
      <c r="BI86" s="197">
        <f>MAX((BI85*$N$84-SUM($P86:BH$86)),0)*CF!BI$13</f>
        <v>0</v>
      </c>
      <c r="BJ86" s="197">
        <f>MAX((BJ85*$N$84-SUM($P86:BI$86)),0)*CF!BJ$13</f>
        <v>0</v>
      </c>
      <c r="BK86" s="114"/>
      <c r="BL86" s="114"/>
      <c r="BM86" s="114"/>
      <c r="BN86" s="114"/>
      <c r="BO86" s="114"/>
      <c r="BP86" s="114"/>
      <c r="BQ86" s="114"/>
      <c r="BR86" s="114"/>
      <c r="BS86" s="114"/>
      <c r="BT86" s="114"/>
      <c r="BU86" s="114"/>
      <c r="BV86" s="114"/>
      <c r="BW86" s="114"/>
      <c r="BX86" s="114"/>
      <c r="BY86" s="114"/>
      <c r="BZ86" s="114"/>
      <c r="CA86" s="114"/>
      <c r="CB86" s="114"/>
      <c r="CC86" s="114"/>
      <c r="CD86" s="114"/>
      <c r="CE86" s="114"/>
      <c r="CF86" s="114"/>
      <c r="CG86" s="114"/>
      <c r="CH86" s="11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4"/>
      <c r="DF86" s="114"/>
      <c r="DG86" s="114"/>
      <c r="DH86" s="114"/>
      <c r="DI86" s="114"/>
      <c r="DJ86" s="114"/>
      <c r="DK86" s="114"/>
      <c r="DL86" s="114"/>
      <c r="DM86" s="114"/>
      <c r="DN86" s="114"/>
      <c r="DO86" s="114"/>
      <c r="DP86" s="114"/>
      <c r="DQ86" s="57"/>
    </row>
    <row r="87" spans="3:121" x14ac:dyDescent="0.2">
      <c r="K87" s="88"/>
      <c r="N87" s="83"/>
      <c r="DQ87" s="57"/>
    </row>
    <row r="88" spans="3:121" x14ac:dyDescent="0.2">
      <c r="C88" s="69" t="s">
        <v>301</v>
      </c>
      <c r="K88" s="88"/>
      <c r="N88" s="83"/>
      <c r="DQ88" s="57"/>
    </row>
    <row r="89" spans="3:121" x14ac:dyDescent="0.2">
      <c r="C89" t="s">
        <v>298</v>
      </c>
      <c r="K89" s="88" t="s">
        <v>20</v>
      </c>
      <c r="N89" s="696">
        <v>0.125</v>
      </c>
      <c r="DQ89" s="57"/>
    </row>
    <row r="90" spans="3:121" x14ac:dyDescent="0.2">
      <c r="C90" s="109" t="s">
        <v>302</v>
      </c>
      <c r="D90" s="109"/>
      <c r="E90" s="109"/>
      <c r="F90" s="109"/>
      <c r="G90" s="109"/>
      <c r="H90" s="109"/>
      <c r="I90" s="109"/>
      <c r="J90" s="109"/>
      <c r="K90" s="651" t="s">
        <v>62</v>
      </c>
      <c r="L90" s="109"/>
      <c r="M90" s="109"/>
      <c r="N90" s="108"/>
      <c r="O90" s="109"/>
      <c r="P90" s="109"/>
      <c r="Q90" s="106"/>
      <c r="R90" s="106"/>
      <c r="S90" s="695">
        <f t="shared" ref="S90:AO90" si="35">MAX(MIN(S$66-S71,S72-S71),0)</f>
        <v>0</v>
      </c>
      <c r="T90" s="695">
        <f t="shared" si="35"/>
        <v>0</v>
      </c>
      <c r="U90" s="695">
        <f t="shared" si="35"/>
        <v>0</v>
      </c>
      <c r="V90" s="695">
        <f t="shared" si="35"/>
        <v>0</v>
      </c>
      <c r="W90" s="695">
        <f t="shared" si="35"/>
        <v>0</v>
      </c>
      <c r="X90" s="695">
        <f t="shared" si="35"/>
        <v>0</v>
      </c>
      <c r="Y90" s="695">
        <f t="shared" si="35"/>
        <v>0</v>
      </c>
      <c r="Z90" s="695">
        <f t="shared" si="35"/>
        <v>0</v>
      </c>
      <c r="AA90" s="695">
        <f t="shared" si="35"/>
        <v>0</v>
      </c>
      <c r="AB90" s="695">
        <f t="shared" si="35"/>
        <v>0</v>
      </c>
      <c r="AC90" s="695">
        <f t="shared" si="35"/>
        <v>0</v>
      </c>
      <c r="AD90" s="695">
        <f t="shared" si="35"/>
        <v>0</v>
      </c>
      <c r="AE90" s="695">
        <f t="shared" si="35"/>
        <v>0</v>
      </c>
      <c r="AF90" s="695">
        <f t="shared" si="35"/>
        <v>0</v>
      </c>
      <c r="AG90" s="695">
        <f t="shared" si="35"/>
        <v>0</v>
      </c>
      <c r="AH90" s="695">
        <f t="shared" si="35"/>
        <v>0</v>
      </c>
      <c r="AI90" s="695">
        <f t="shared" si="35"/>
        <v>0</v>
      </c>
      <c r="AJ90" s="695">
        <f t="shared" si="35"/>
        <v>0</v>
      </c>
      <c r="AK90" s="695">
        <f t="shared" si="35"/>
        <v>0</v>
      </c>
      <c r="AL90" s="695">
        <f t="shared" si="35"/>
        <v>0</v>
      </c>
      <c r="AM90" s="695">
        <f t="shared" si="35"/>
        <v>0</v>
      </c>
      <c r="AN90" s="695">
        <f t="shared" si="35"/>
        <v>0</v>
      </c>
      <c r="AO90" s="695">
        <f t="shared" si="35"/>
        <v>0</v>
      </c>
      <c r="AP90" s="695">
        <f t="shared" ref="AP90:BJ90" si="36">MAX(MIN(AP$66-AP71,AP72-AP71),0)</f>
        <v>0</v>
      </c>
      <c r="AQ90" s="695">
        <f t="shared" si="36"/>
        <v>0</v>
      </c>
      <c r="AR90" s="695">
        <f t="shared" si="36"/>
        <v>0</v>
      </c>
      <c r="AS90" s="695">
        <f t="shared" si="36"/>
        <v>0</v>
      </c>
      <c r="AT90" s="695">
        <f t="shared" si="36"/>
        <v>0</v>
      </c>
      <c r="AU90" s="695">
        <f t="shared" si="36"/>
        <v>0</v>
      </c>
      <c r="AV90" s="695">
        <f t="shared" si="36"/>
        <v>0</v>
      </c>
      <c r="AW90" s="695">
        <f t="shared" si="36"/>
        <v>0</v>
      </c>
      <c r="AX90" s="695">
        <f t="shared" si="36"/>
        <v>0</v>
      </c>
      <c r="AY90" s="695">
        <f t="shared" si="36"/>
        <v>0</v>
      </c>
      <c r="AZ90" s="695">
        <f t="shared" si="36"/>
        <v>0</v>
      </c>
      <c r="BA90" s="695">
        <f t="shared" si="36"/>
        <v>0</v>
      </c>
      <c r="BB90" s="695">
        <f t="shared" si="36"/>
        <v>19608.598422840238</v>
      </c>
      <c r="BC90" s="695">
        <f t="shared" si="36"/>
        <v>246717.37548981234</v>
      </c>
      <c r="BD90" s="695">
        <f t="shared" si="36"/>
        <v>497601.64253395051</v>
      </c>
      <c r="BE90" s="695">
        <f t="shared" si="36"/>
        <v>773055.7320148088</v>
      </c>
      <c r="BF90" s="695">
        <f t="shared" si="36"/>
        <v>1061709.8295682818</v>
      </c>
      <c r="BG90" s="695">
        <f t="shared" si="36"/>
        <v>1362800.0742923021</v>
      </c>
      <c r="BH90" s="695">
        <f t="shared" si="36"/>
        <v>1679483.3079773933</v>
      </c>
      <c r="BI90" s="695">
        <f t="shared" si="36"/>
        <v>3114602.6493704431</v>
      </c>
      <c r="BJ90" s="695">
        <f t="shared" si="36"/>
        <v>3575692.6227162182</v>
      </c>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57"/>
    </row>
    <row r="91" spans="3:121" x14ac:dyDescent="0.2">
      <c r="C91" t="s">
        <v>303</v>
      </c>
      <c r="K91" s="88" t="s">
        <v>62</v>
      </c>
      <c r="N91" s="78">
        <f>SUM(Q91:BJ91)</f>
        <v>446961.57783952728</v>
      </c>
      <c r="Q91" s="114"/>
      <c r="R91" s="114"/>
      <c r="S91" s="197">
        <f>MAX((S90*$N$89-SUM($P$91:R91)),0)*CF!S$13</f>
        <v>0</v>
      </c>
      <c r="T91" s="197">
        <f>MAX((T90*$N$89-SUM($P$91:S91)),0)*CF!T$13</f>
        <v>0</v>
      </c>
      <c r="U91" s="197">
        <f>MAX((U90*$N$89-SUM($P$91:T91)),0)*CF!U$13</f>
        <v>0</v>
      </c>
      <c r="V91" s="197">
        <f>MAX((V90*$N$89-SUM($P$91:U91)),0)*CF!V$13</f>
        <v>0</v>
      </c>
      <c r="W91" s="197">
        <f>MAX((W90*$N$89-SUM($P$91:V91)),0)*CF!W$13</f>
        <v>0</v>
      </c>
      <c r="X91" s="197">
        <f>MAX((X90*$N$89-SUM($P$91:W91)),0)*CF!X$13</f>
        <v>0</v>
      </c>
      <c r="Y91" s="197">
        <f>MAX((Y90*$N$89-SUM($P$91:X91)),0)*CF!Y$13</f>
        <v>0</v>
      </c>
      <c r="Z91" s="197">
        <f>MAX((Z90*$N$89-SUM($P$91:Y91)),0)*CF!Z$13</f>
        <v>0</v>
      </c>
      <c r="AA91" s="197">
        <f>MAX((AA90*$N$89-SUM($P$91:Z91)),0)*CF!AA$13</f>
        <v>0</v>
      </c>
      <c r="AB91" s="197">
        <f>MAX((AB90*$N$89-SUM($P$91:AA91)),0)*CF!AB$13</f>
        <v>0</v>
      </c>
      <c r="AC91" s="197">
        <f>MAX((AC90*$N$89-SUM($P$91:AB91)),0)*CF!AC$13</f>
        <v>0</v>
      </c>
      <c r="AD91" s="197">
        <f>MAX((AD90*$N$89-SUM($P$91:AC91)),0)*CF!AD$13</f>
        <v>0</v>
      </c>
      <c r="AE91" s="197">
        <f>MAX((AE90*$N$89-SUM($P$91:AD91)),0)*CF!AE$13</f>
        <v>0</v>
      </c>
      <c r="AF91" s="197">
        <f>MAX((AF90*$N$89-SUM($P$91:AE91)),0)*CF!AF$13</f>
        <v>0</v>
      </c>
      <c r="AG91" s="197">
        <f>MAX((AG90*$N$89-SUM($P$91:AF91)),0)*CF!AG$13</f>
        <v>0</v>
      </c>
      <c r="AH91" s="197">
        <f>MAX((AH90*$N$89-SUM($P$91:AG91)),0)*CF!AH$13</f>
        <v>0</v>
      </c>
      <c r="AI91" s="197">
        <f>MAX((AI90*$N$89-SUM($P$91:AH91)),0)*CF!AI$13</f>
        <v>0</v>
      </c>
      <c r="AJ91" s="197">
        <f>MAX((AJ90*$N$89-SUM($P$91:AI91)),0)*CF!AJ$13</f>
        <v>0</v>
      </c>
      <c r="AK91" s="197">
        <f>MAX((AK90*$N$89-SUM($P$91:AJ91)),0)*CF!AK$13</f>
        <v>0</v>
      </c>
      <c r="AL91" s="197">
        <f>MAX((AL90*$N$89-SUM($P$91:AK91)),0)*CF!AL$13</f>
        <v>0</v>
      </c>
      <c r="AM91" s="197">
        <f>MAX((AM90*$N$89-SUM($P$91:AL91)),0)*CF!AM$13</f>
        <v>0</v>
      </c>
      <c r="AN91" s="197">
        <f>MAX((AN90*$N$89-SUM($P$91:AM91)),0)*CF!AN$13</f>
        <v>0</v>
      </c>
      <c r="AO91" s="197">
        <f>MAX((AO90*$N$89-SUM($P$91:AN91)),0)*CF!AO$13</f>
        <v>0</v>
      </c>
      <c r="AP91" s="197">
        <f>MAX((AP90*$N$89-SUM($P$91:AO91)),0)*CF!AP$13</f>
        <v>0</v>
      </c>
      <c r="AQ91" s="197">
        <f>MAX((AQ90*$N$89-SUM($P$91:AP91)),0)*CF!AQ$13</f>
        <v>0</v>
      </c>
      <c r="AR91" s="197">
        <f>MAX((AR90*$N$89-SUM($P$91:AQ91)),0)*CF!AR$13</f>
        <v>0</v>
      </c>
      <c r="AS91" s="197">
        <f>MAX((AS90*$N$89-SUM($P$91:AR91)),0)*CF!AS$13</f>
        <v>0</v>
      </c>
      <c r="AT91" s="197">
        <f>MAX((AT90*$N$89-SUM($P$91:AS91)),0)*CF!AT$13</f>
        <v>0</v>
      </c>
      <c r="AU91" s="197">
        <f>MAX((AU90*$N$89-SUM($P$91:AT91)),0)*CF!AU$13</f>
        <v>0</v>
      </c>
      <c r="AV91" s="197">
        <f>MAX((AV90*$N$89-SUM($P$91:AU91)),0)*CF!AV$13</f>
        <v>0</v>
      </c>
      <c r="AW91" s="197">
        <f>MAX((AW90*$N$89-SUM($P$91:AV91)),0)*CF!AW$13</f>
        <v>0</v>
      </c>
      <c r="AX91" s="197">
        <f>MAX((AX90*$N$89-SUM($P$91:AW91)),0)*CF!AX$13</f>
        <v>0</v>
      </c>
      <c r="AY91" s="197">
        <f>MAX((AY90*$N$89-SUM($P$91:AX91)),0)*CF!AY$13</f>
        <v>0</v>
      </c>
      <c r="AZ91" s="197">
        <f>MAX((AZ90*$N$89-SUM($P$91:AY91)),0)*CF!AZ$13</f>
        <v>0</v>
      </c>
      <c r="BA91" s="197">
        <f>MAX((BA90*$N$89-SUM($P$91:AZ91)),0)*CF!BA$13</f>
        <v>0</v>
      </c>
      <c r="BB91" s="197">
        <f>MAX((BB90*$N$89-SUM($P$91:BA91)),0)*CF!BB$13</f>
        <v>2451.0748028550297</v>
      </c>
      <c r="BC91" s="197">
        <f>MAX((BC90*$N$89-SUM($P$91:BB91)),0)*CF!BC$13</f>
        <v>28388.597133371513</v>
      </c>
      <c r="BD91" s="197">
        <f>MAX((BD90*$N$89-SUM($P$91:BC91)),0)*CF!BD$13</f>
        <v>31360.53338051727</v>
      </c>
      <c r="BE91" s="197">
        <f>MAX((BE90*$N$89-SUM($P$91:BD91)),0)*CF!BE$13</f>
        <v>34431.761185107287</v>
      </c>
      <c r="BF91" s="197">
        <f>MAX((BF90*$N$89-SUM($P$91:BE91)),0)*CF!BF$13</f>
        <v>36081.762194184121</v>
      </c>
      <c r="BG91" s="197">
        <f>MAX((BG90*$N$89-SUM($P$91:BF91)),0)*CF!BG$13</f>
        <v>37636.280590502545</v>
      </c>
      <c r="BH91" s="197">
        <f>MAX((BH90*$N$89-SUM($P$91:BG91)),0)*CF!BH$13</f>
        <v>39585.404210636392</v>
      </c>
      <c r="BI91" s="197">
        <f>MAX((BI90*$N$89-SUM($P$91:BH91)),0)*CF!BI$13</f>
        <v>179389.91767413123</v>
      </c>
      <c r="BJ91" s="197">
        <f>MAX((BJ90*$N$89-SUM($P$91:BI91)),0)*CF!BJ$13</f>
        <v>57636.246668221895</v>
      </c>
      <c r="BK91" s="114"/>
      <c r="BL91" s="114"/>
      <c r="BM91" s="114"/>
      <c r="BN91" s="114"/>
      <c r="BO91" s="114"/>
      <c r="BP91" s="114"/>
      <c r="BQ91" s="114"/>
      <c r="BR91" s="114"/>
      <c r="BS91" s="114"/>
      <c r="BT91" s="114"/>
      <c r="BU91" s="114"/>
      <c r="BV91" s="114"/>
      <c r="BW91" s="114"/>
      <c r="BX91" s="114"/>
      <c r="BY91" s="114"/>
      <c r="BZ91" s="114"/>
      <c r="CA91" s="114"/>
      <c r="CB91" s="114"/>
      <c r="CC91" s="114"/>
      <c r="CD91" s="114"/>
      <c r="CE91" s="114"/>
      <c r="CF91" s="114"/>
      <c r="CG91" s="114"/>
      <c r="CH91" s="114"/>
      <c r="CI91" s="114"/>
      <c r="CJ91" s="114"/>
      <c r="CK91" s="114"/>
      <c r="CL91" s="114"/>
      <c r="CM91" s="114"/>
      <c r="CN91" s="114"/>
      <c r="CO91" s="114"/>
      <c r="CP91" s="114"/>
      <c r="CQ91" s="114"/>
      <c r="CR91" s="114"/>
      <c r="CS91" s="114"/>
      <c r="CT91" s="114"/>
      <c r="CU91" s="114"/>
      <c r="CV91" s="114"/>
      <c r="CW91" s="114"/>
      <c r="CX91" s="114"/>
      <c r="CY91" s="114"/>
      <c r="CZ91" s="114"/>
      <c r="DA91" s="114"/>
      <c r="DB91" s="114"/>
      <c r="DC91" s="114"/>
      <c r="DD91" s="114"/>
      <c r="DE91" s="114"/>
      <c r="DF91" s="114"/>
      <c r="DG91" s="114"/>
      <c r="DH91" s="114"/>
      <c r="DI91" s="114"/>
      <c r="DJ91" s="114"/>
      <c r="DK91" s="114"/>
      <c r="DL91" s="114"/>
      <c r="DM91" s="114"/>
      <c r="DN91" s="114"/>
      <c r="DO91" s="114"/>
      <c r="DP91" s="114"/>
      <c r="DQ91" s="57"/>
    </row>
    <row r="92" spans="3:121" x14ac:dyDescent="0.2">
      <c r="K92" s="88"/>
      <c r="N92" s="83"/>
      <c r="DQ92" s="57"/>
    </row>
    <row r="93" spans="3:121" x14ac:dyDescent="0.2">
      <c r="C93" s="69" t="s">
        <v>304</v>
      </c>
      <c r="K93" s="88"/>
      <c r="N93" s="83"/>
      <c r="DQ93" s="57"/>
    </row>
    <row r="94" spans="3:121" x14ac:dyDescent="0.2">
      <c r="C94" t="s">
        <v>298</v>
      </c>
      <c r="K94" s="88" t="s">
        <v>20</v>
      </c>
      <c r="N94" s="696">
        <v>0.25</v>
      </c>
      <c r="DQ94" s="57"/>
    </row>
    <row r="95" spans="3:121" x14ac:dyDescent="0.2">
      <c r="C95" s="109" t="s">
        <v>305</v>
      </c>
      <c r="D95" s="109"/>
      <c r="E95" s="109"/>
      <c r="F95" s="109"/>
      <c r="G95" s="109"/>
      <c r="H95" s="109"/>
      <c r="I95" s="109"/>
      <c r="J95" s="109"/>
      <c r="K95" s="651" t="s">
        <v>62</v>
      </c>
      <c r="L95" s="109"/>
      <c r="M95" s="109"/>
      <c r="N95" s="108"/>
      <c r="O95" s="109"/>
      <c r="P95" s="109"/>
      <c r="Q95" s="106"/>
      <c r="R95" s="106"/>
      <c r="S95" s="695">
        <f t="shared" ref="S95:AO95" si="37">MAX(MIN(S$66-S74,S75-S74),0)</f>
        <v>0</v>
      </c>
      <c r="T95" s="695">
        <f t="shared" si="37"/>
        <v>0</v>
      </c>
      <c r="U95" s="695">
        <f t="shared" si="37"/>
        <v>0</v>
      </c>
      <c r="V95" s="695">
        <f t="shared" si="37"/>
        <v>0</v>
      </c>
      <c r="W95" s="695">
        <f t="shared" si="37"/>
        <v>0</v>
      </c>
      <c r="X95" s="695">
        <f t="shared" si="37"/>
        <v>0</v>
      </c>
      <c r="Y95" s="695">
        <f t="shared" si="37"/>
        <v>0</v>
      </c>
      <c r="Z95" s="695">
        <f t="shared" si="37"/>
        <v>0</v>
      </c>
      <c r="AA95" s="695">
        <f t="shared" si="37"/>
        <v>0</v>
      </c>
      <c r="AB95" s="695">
        <f t="shared" si="37"/>
        <v>0</v>
      </c>
      <c r="AC95" s="695">
        <f t="shared" si="37"/>
        <v>0</v>
      </c>
      <c r="AD95" s="695">
        <f t="shared" si="37"/>
        <v>0</v>
      </c>
      <c r="AE95" s="695">
        <f t="shared" si="37"/>
        <v>0</v>
      </c>
      <c r="AF95" s="695">
        <f t="shared" si="37"/>
        <v>0</v>
      </c>
      <c r="AG95" s="695">
        <f t="shared" si="37"/>
        <v>0</v>
      </c>
      <c r="AH95" s="695">
        <f t="shared" si="37"/>
        <v>0</v>
      </c>
      <c r="AI95" s="695">
        <f t="shared" si="37"/>
        <v>0</v>
      </c>
      <c r="AJ95" s="695">
        <f t="shared" si="37"/>
        <v>0</v>
      </c>
      <c r="AK95" s="695">
        <f t="shared" si="37"/>
        <v>0</v>
      </c>
      <c r="AL95" s="695">
        <f t="shared" si="37"/>
        <v>0</v>
      </c>
      <c r="AM95" s="695">
        <f t="shared" si="37"/>
        <v>0</v>
      </c>
      <c r="AN95" s="695">
        <f t="shared" si="37"/>
        <v>0</v>
      </c>
      <c r="AO95" s="695">
        <f t="shared" si="37"/>
        <v>0</v>
      </c>
      <c r="AP95" s="695">
        <f t="shared" ref="AP95:BJ95" si="38">MAX(MIN(AP$66-AP74,AP75-AP74),0)</f>
        <v>0</v>
      </c>
      <c r="AQ95" s="695">
        <f t="shared" si="38"/>
        <v>0</v>
      </c>
      <c r="AR95" s="695">
        <f t="shared" si="38"/>
        <v>0</v>
      </c>
      <c r="AS95" s="695">
        <f t="shared" si="38"/>
        <v>0</v>
      </c>
      <c r="AT95" s="695">
        <f t="shared" si="38"/>
        <v>0</v>
      </c>
      <c r="AU95" s="695">
        <f t="shared" si="38"/>
        <v>0</v>
      </c>
      <c r="AV95" s="695">
        <f t="shared" si="38"/>
        <v>0</v>
      </c>
      <c r="AW95" s="695">
        <f t="shared" si="38"/>
        <v>0</v>
      </c>
      <c r="AX95" s="695">
        <f t="shared" si="38"/>
        <v>0</v>
      </c>
      <c r="AY95" s="695">
        <f t="shared" si="38"/>
        <v>0</v>
      </c>
      <c r="AZ95" s="695">
        <f t="shared" si="38"/>
        <v>0</v>
      </c>
      <c r="BA95" s="695">
        <f t="shared" si="38"/>
        <v>0</v>
      </c>
      <c r="BB95" s="695">
        <f t="shared" si="38"/>
        <v>0</v>
      </c>
      <c r="BC95" s="695">
        <f t="shared" si="38"/>
        <v>0</v>
      </c>
      <c r="BD95" s="695">
        <f t="shared" si="38"/>
        <v>0</v>
      </c>
      <c r="BE95" s="695">
        <f t="shared" si="38"/>
        <v>0</v>
      </c>
      <c r="BF95" s="695">
        <f t="shared" si="38"/>
        <v>0</v>
      </c>
      <c r="BG95" s="695">
        <f t="shared" si="38"/>
        <v>0</v>
      </c>
      <c r="BH95" s="695">
        <f t="shared" si="38"/>
        <v>0</v>
      </c>
      <c r="BI95" s="695">
        <f t="shared" si="38"/>
        <v>0</v>
      </c>
      <c r="BJ95" s="695">
        <f t="shared" si="38"/>
        <v>0</v>
      </c>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57"/>
    </row>
    <row r="96" spans="3:121" x14ac:dyDescent="0.2">
      <c r="C96" t="s">
        <v>306</v>
      </c>
      <c r="K96" s="88" t="s">
        <v>62</v>
      </c>
      <c r="N96" s="78">
        <f>SUM(Q96:DP96)</f>
        <v>0</v>
      </c>
      <c r="Q96" s="114"/>
      <c r="R96" s="114"/>
      <c r="S96" s="197">
        <f>MAX((S95*$N$94-SUM($P$96:R96)),0)*CF!S$13</f>
        <v>0</v>
      </c>
      <c r="T96" s="197">
        <f>MAX((T95*$N$94-SUM($P$96:S96)),0)*CF!T$13</f>
        <v>0</v>
      </c>
      <c r="U96" s="197">
        <f>MAX((U95*$N$94-SUM($P$96:T96)),0)*CF!U$13</f>
        <v>0</v>
      </c>
      <c r="V96" s="197">
        <f>MAX((V95*$N$94-SUM($P$96:U96)),0)*CF!V$13</f>
        <v>0</v>
      </c>
      <c r="W96" s="197">
        <f>MAX((W95*$N$94-SUM($P$96:V96)),0)*CF!W$13</f>
        <v>0</v>
      </c>
      <c r="X96" s="197">
        <f>MAX((X95*$N$94-SUM($P$96:W96)),0)*CF!X$13</f>
        <v>0</v>
      </c>
      <c r="Y96" s="197">
        <f>MAX((Y95*$N$94-SUM($P$96:X96)),0)*CF!Y$13</f>
        <v>0</v>
      </c>
      <c r="Z96" s="197">
        <f>MAX((Z95*$N$94-SUM($P$96:Y96)),0)*CF!Z$13</f>
        <v>0</v>
      </c>
      <c r="AA96" s="197">
        <f>MAX((AA95*$N$94-SUM($P$96:Z96)),0)*CF!AA$13</f>
        <v>0</v>
      </c>
      <c r="AB96" s="197">
        <f>MAX((AB95*$N$94-SUM($P$96:AA96)),0)*CF!AB$13</f>
        <v>0</v>
      </c>
      <c r="AC96" s="197">
        <f>MAX((AC95*$N$94-SUM($P$96:AB96)),0)*CF!AC$13</f>
        <v>0</v>
      </c>
      <c r="AD96" s="197">
        <f>MAX((AD95*$N$94-SUM($P$96:AC96)),0)*CF!AD$13</f>
        <v>0</v>
      </c>
      <c r="AE96" s="197">
        <f>MAX((AE95*$N$94-SUM($P$96:AD96)),0)*CF!AE$13</f>
        <v>0</v>
      </c>
      <c r="AF96" s="197">
        <f>MAX((AF95*$N$94-SUM($P$96:AE96)),0)*CF!AF$13</f>
        <v>0</v>
      </c>
      <c r="AG96" s="197">
        <f>MAX((AG95*$N$94-SUM($P$96:AF96)),0)*CF!AG$13</f>
        <v>0</v>
      </c>
      <c r="AH96" s="197">
        <f>MAX((AH95*$N$94-SUM($P$96:AG96)),0)*CF!AH$13</f>
        <v>0</v>
      </c>
      <c r="AI96" s="197">
        <f>MAX((AI95*$N$94-SUM($P$96:AH96)),0)*CF!AI$13</f>
        <v>0</v>
      </c>
      <c r="AJ96" s="197">
        <f>MAX((AJ95*$N$94-SUM($P$96:AI96)),0)*CF!AJ$13</f>
        <v>0</v>
      </c>
      <c r="AK96" s="197">
        <f>MAX((AK95*$N$94-SUM($P$96:AJ96)),0)*CF!AK$13</f>
        <v>0</v>
      </c>
      <c r="AL96" s="197">
        <f>MAX((AL95*$N$94-SUM($P$96:AK96)),0)*CF!AL$13</f>
        <v>0</v>
      </c>
      <c r="AM96" s="197">
        <f>MAX((AM95*$N$94-SUM($P$96:AL96)),0)*CF!AM$13</f>
        <v>0</v>
      </c>
      <c r="AN96" s="197">
        <f>MAX((AN95*$N$94-SUM($P$96:AM96)),0)*CF!AN$13</f>
        <v>0</v>
      </c>
      <c r="AO96" s="197">
        <f>MAX((AO95*$N$94-SUM($P$96:AN96)),0)*CF!AO$13</f>
        <v>0</v>
      </c>
      <c r="AP96" s="197">
        <f>MAX((AP95*$N$94-SUM($P$96:AO96)),0)*CF!AP$13</f>
        <v>0</v>
      </c>
      <c r="AQ96" s="197">
        <f>MAX((AQ95*$N$94-SUM($P$96:AP96)),0)*CF!AQ$13</f>
        <v>0</v>
      </c>
      <c r="AR96" s="197">
        <f>MAX((AR95*$N$94-SUM($P$96:AQ96)),0)*CF!AR$13</f>
        <v>0</v>
      </c>
      <c r="AS96" s="197">
        <f>MAX((AS95*$N$94-SUM($P$96:AR96)),0)*CF!AS$13</f>
        <v>0</v>
      </c>
      <c r="AT96" s="197">
        <f>MAX((AT95*$N$94-SUM($P$96:AS96)),0)*CF!AT$13</f>
        <v>0</v>
      </c>
      <c r="AU96" s="197">
        <f>MAX((AU95*$N$94-SUM($P$96:AT96)),0)*CF!AU$13</f>
        <v>0</v>
      </c>
      <c r="AV96" s="197">
        <f>MAX((AV95*$N$94-SUM($P$96:AU96)),0)*CF!AV$13</f>
        <v>0</v>
      </c>
      <c r="AW96" s="197">
        <f>MAX((AW95*$N$94-SUM($P$96:AV96)),0)*CF!AW$13</f>
        <v>0</v>
      </c>
      <c r="AX96" s="197">
        <f>MAX((AX95*$N$94-SUM($P$96:AW96)),0)*CF!AX$13</f>
        <v>0</v>
      </c>
      <c r="AY96" s="197">
        <f>MAX((AY95*$N$94-SUM($P$96:AX96)),0)*CF!AY$13</f>
        <v>0</v>
      </c>
      <c r="AZ96" s="197">
        <f>MAX((AZ95*$N$94-SUM($P$96:AY96)),0)*CF!AZ$13</f>
        <v>0</v>
      </c>
      <c r="BA96" s="197">
        <f>MAX((BA95*$N$94-SUM($P$96:AZ96)),0)*CF!BA$13</f>
        <v>0</v>
      </c>
      <c r="BB96" s="197">
        <f>MAX((BB95*$N$94-SUM($P$96:BA96)),0)*CF!BB$13</f>
        <v>0</v>
      </c>
      <c r="BC96" s="197">
        <f>MAX((BC95*$N$94-SUM($P$96:BB96)),0)*CF!BC$13</f>
        <v>0</v>
      </c>
      <c r="BD96" s="197">
        <f>MAX((BD95*$N$94-SUM($P$96:BC96)),0)*CF!BD$13</f>
        <v>0</v>
      </c>
      <c r="BE96" s="197">
        <f>MAX((BE95*$N$94-SUM($P$96:BD96)),0)*CF!BE$13</f>
        <v>0</v>
      </c>
      <c r="BF96" s="197">
        <f>MAX((BF95*$N$94-SUM($P$96:BE96)),0)*CF!BF$13</f>
        <v>0</v>
      </c>
      <c r="BG96" s="197">
        <f>MAX((BG95*$N$94-SUM($P$96:BF96)),0)*CF!BG$13</f>
        <v>0</v>
      </c>
      <c r="BH96" s="197">
        <f>MAX((BH95*$N$94-SUM($P$96:BG96)),0)*CF!BH$13</f>
        <v>0</v>
      </c>
      <c r="BI96" s="197">
        <f>MAX((BI95*$N$94-SUM($P$96:BH96)),0)*CF!BI$13</f>
        <v>0</v>
      </c>
      <c r="BJ96" s="197">
        <f>MAX((BJ95*$N$94-SUM($P$96:BI96)),0)*CF!BJ$13</f>
        <v>0</v>
      </c>
      <c r="BK96" s="114"/>
      <c r="BL96" s="114"/>
      <c r="BM96" s="114"/>
      <c r="BN96" s="114"/>
      <c r="BO96" s="114"/>
      <c r="BP96" s="114"/>
      <c r="BQ96" s="114"/>
      <c r="BR96" s="114"/>
      <c r="BS96" s="114"/>
      <c r="BT96" s="114"/>
      <c r="BU96" s="114"/>
      <c r="BV96" s="114"/>
      <c r="BW96" s="114"/>
      <c r="BX96" s="114"/>
      <c r="BY96" s="114"/>
      <c r="BZ96" s="114"/>
      <c r="CA96" s="114"/>
      <c r="CB96" s="114"/>
      <c r="CC96" s="114"/>
      <c r="CD96" s="114"/>
      <c r="CE96" s="114"/>
      <c r="CF96" s="114"/>
      <c r="CG96" s="114"/>
      <c r="CH96" s="114"/>
      <c r="CI96" s="114"/>
      <c r="CJ96" s="114"/>
      <c r="CK96" s="114"/>
      <c r="CL96" s="114"/>
      <c r="CM96" s="114"/>
      <c r="CN96" s="114"/>
      <c r="CO96" s="114"/>
      <c r="CP96" s="114"/>
      <c r="CQ96" s="114"/>
      <c r="CR96" s="114"/>
      <c r="CS96" s="114"/>
      <c r="CT96" s="114"/>
      <c r="CU96" s="114"/>
      <c r="CV96" s="114"/>
      <c r="CW96" s="114"/>
      <c r="CX96" s="114"/>
      <c r="CY96" s="114"/>
      <c r="CZ96" s="114"/>
      <c r="DA96" s="114"/>
      <c r="DB96" s="114"/>
      <c r="DC96" s="114"/>
      <c r="DD96" s="114"/>
      <c r="DE96" s="114"/>
      <c r="DF96" s="114"/>
      <c r="DG96" s="114"/>
      <c r="DH96" s="114"/>
      <c r="DI96" s="114"/>
      <c r="DJ96" s="114"/>
      <c r="DK96" s="114"/>
      <c r="DL96" s="114"/>
      <c r="DM96" s="114"/>
      <c r="DN96" s="114"/>
      <c r="DO96" s="114"/>
      <c r="DP96" s="114"/>
      <c r="DQ96" s="57"/>
    </row>
    <row r="97" spans="1:121" x14ac:dyDescent="0.2">
      <c r="K97" s="88"/>
      <c r="N97" s="83"/>
      <c r="DQ97" s="57"/>
    </row>
    <row r="98" spans="1:121" x14ac:dyDescent="0.2">
      <c r="C98" s="69" t="s">
        <v>307</v>
      </c>
      <c r="K98" s="88"/>
      <c r="N98" s="83"/>
      <c r="DQ98" s="57"/>
    </row>
    <row r="99" spans="1:121" x14ac:dyDescent="0.2">
      <c r="C99" t="s">
        <v>298</v>
      </c>
      <c r="K99" s="88" t="s">
        <v>20</v>
      </c>
      <c r="N99" s="696">
        <v>0.5</v>
      </c>
      <c r="DQ99" s="57"/>
    </row>
    <row r="100" spans="1:121" x14ac:dyDescent="0.2">
      <c r="C100" s="109" t="s">
        <v>308</v>
      </c>
      <c r="D100" s="109"/>
      <c r="E100" s="109"/>
      <c r="F100" s="109"/>
      <c r="G100" s="109"/>
      <c r="H100" s="109"/>
      <c r="I100" s="109"/>
      <c r="J100" s="109"/>
      <c r="K100" s="651" t="s">
        <v>62</v>
      </c>
      <c r="L100" s="109"/>
      <c r="M100" s="109"/>
      <c r="N100" s="108"/>
      <c r="O100" s="109"/>
      <c r="P100" s="109"/>
      <c r="Q100" s="106"/>
      <c r="R100" s="106"/>
      <c r="S100" s="695">
        <f t="shared" ref="S100:AO100" si="39">MAX(MIN(S$66-S77,S78-S77),0)</f>
        <v>0</v>
      </c>
      <c r="T100" s="695">
        <f t="shared" si="39"/>
        <v>0</v>
      </c>
      <c r="U100" s="695">
        <f t="shared" si="39"/>
        <v>0</v>
      </c>
      <c r="V100" s="695">
        <f t="shared" si="39"/>
        <v>0</v>
      </c>
      <c r="W100" s="695">
        <f t="shared" si="39"/>
        <v>0</v>
      </c>
      <c r="X100" s="695">
        <f t="shared" si="39"/>
        <v>0</v>
      </c>
      <c r="Y100" s="695">
        <f t="shared" si="39"/>
        <v>0</v>
      </c>
      <c r="Z100" s="695">
        <f t="shared" si="39"/>
        <v>0</v>
      </c>
      <c r="AA100" s="695">
        <f t="shared" si="39"/>
        <v>0</v>
      </c>
      <c r="AB100" s="695">
        <f t="shared" si="39"/>
        <v>0</v>
      </c>
      <c r="AC100" s="695">
        <f t="shared" si="39"/>
        <v>0</v>
      </c>
      <c r="AD100" s="695">
        <f t="shared" si="39"/>
        <v>0</v>
      </c>
      <c r="AE100" s="695">
        <f t="shared" si="39"/>
        <v>0</v>
      </c>
      <c r="AF100" s="695">
        <f t="shared" si="39"/>
        <v>0</v>
      </c>
      <c r="AG100" s="695">
        <f t="shared" si="39"/>
        <v>0</v>
      </c>
      <c r="AH100" s="695">
        <f t="shared" si="39"/>
        <v>0</v>
      </c>
      <c r="AI100" s="695">
        <f t="shared" si="39"/>
        <v>0</v>
      </c>
      <c r="AJ100" s="695">
        <f t="shared" si="39"/>
        <v>0</v>
      </c>
      <c r="AK100" s="695">
        <f t="shared" si="39"/>
        <v>0</v>
      </c>
      <c r="AL100" s="695">
        <f t="shared" si="39"/>
        <v>0</v>
      </c>
      <c r="AM100" s="695">
        <f t="shared" si="39"/>
        <v>0</v>
      </c>
      <c r="AN100" s="695">
        <f t="shared" si="39"/>
        <v>0</v>
      </c>
      <c r="AO100" s="695">
        <f t="shared" si="39"/>
        <v>0</v>
      </c>
      <c r="AP100" s="695">
        <f t="shared" ref="AP100:BJ100" si="40">MAX(MIN(AP$66-AP77,AP78-AP77),0)</f>
        <v>0</v>
      </c>
      <c r="AQ100" s="695">
        <f t="shared" si="40"/>
        <v>0</v>
      </c>
      <c r="AR100" s="695">
        <f t="shared" si="40"/>
        <v>0</v>
      </c>
      <c r="AS100" s="695">
        <f t="shared" si="40"/>
        <v>0</v>
      </c>
      <c r="AT100" s="695">
        <f t="shared" si="40"/>
        <v>0</v>
      </c>
      <c r="AU100" s="695">
        <f t="shared" si="40"/>
        <v>0</v>
      </c>
      <c r="AV100" s="695">
        <f t="shared" si="40"/>
        <v>0</v>
      </c>
      <c r="AW100" s="695">
        <f t="shared" si="40"/>
        <v>0</v>
      </c>
      <c r="AX100" s="695">
        <f t="shared" si="40"/>
        <v>0</v>
      </c>
      <c r="AY100" s="695">
        <f t="shared" si="40"/>
        <v>0</v>
      </c>
      <c r="AZ100" s="695">
        <f t="shared" si="40"/>
        <v>0</v>
      </c>
      <c r="BA100" s="695">
        <f t="shared" si="40"/>
        <v>0</v>
      </c>
      <c r="BB100" s="695">
        <f t="shared" si="40"/>
        <v>0</v>
      </c>
      <c r="BC100" s="695">
        <f t="shared" si="40"/>
        <v>0</v>
      </c>
      <c r="BD100" s="695">
        <f t="shared" si="40"/>
        <v>0</v>
      </c>
      <c r="BE100" s="695">
        <f t="shared" si="40"/>
        <v>0</v>
      </c>
      <c r="BF100" s="695">
        <f t="shared" si="40"/>
        <v>0</v>
      </c>
      <c r="BG100" s="695">
        <f t="shared" si="40"/>
        <v>0</v>
      </c>
      <c r="BH100" s="695">
        <f t="shared" si="40"/>
        <v>0</v>
      </c>
      <c r="BI100" s="695">
        <f t="shared" si="40"/>
        <v>0</v>
      </c>
      <c r="BJ100" s="695">
        <f t="shared" si="40"/>
        <v>0</v>
      </c>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57"/>
    </row>
    <row r="101" spans="1:121" x14ac:dyDescent="0.2">
      <c r="C101" t="s">
        <v>309</v>
      </c>
      <c r="K101" s="88" t="s">
        <v>62</v>
      </c>
      <c r="N101" s="78">
        <f>SUM(Q101:DP101)</f>
        <v>0</v>
      </c>
      <c r="Q101" s="114"/>
      <c r="R101" s="114"/>
      <c r="S101" s="197">
        <f>MAX((S100*$N$99-SUM($P$101:R101)),0)*CF!S$13</f>
        <v>0</v>
      </c>
      <c r="T101" s="197">
        <f>MAX((T100*$N$99-SUM($P$101:S101)),0)*CF!T$13</f>
        <v>0</v>
      </c>
      <c r="U101" s="197">
        <f>MAX((U100*$N$99-SUM($P$101:T101)),0)*CF!U$13</f>
        <v>0</v>
      </c>
      <c r="V101" s="197">
        <f>MAX((V100*$N$99-SUM($P$101:U101)),0)*CF!V$13</f>
        <v>0</v>
      </c>
      <c r="W101" s="197">
        <f>MAX((W100*$N$99-SUM($P$101:V101)),0)*CF!W$13</f>
        <v>0</v>
      </c>
      <c r="X101" s="197">
        <f>MAX((X100*$N$99-SUM($P$101:W101)),0)*CF!X$13</f>
        <v>0</v>
      </c>
      <c r="Y101" s="197">
        <f>MAX((Y100*$N$99-SUM($P$101:X101)),0)*CF!Y$13</f>
        <v>0</v>
      </c>
      <c r="Z101" s="197">
        <f>MAX((Z100*$N$99-SUM($P$101:Y101)),0)*CF!Z$13</f>
        <v>0</v>
      </c>
      <c r="AA101" s="197">
        <f>MAX((AA100*$N$99-SUM($P$101:Z101)),0)*CF!AA$13</f>
        <v>0</v>
      </c>
      <c r="AB101" s="197">
        <f>MAX((AB100*$N$99-SUM($P$101:AA101)),0)*CF!AB$13</f>
        <v>0</v>
      </c>
      <c r="AC101" s="197">
        <f>MAX((AC100*$N$99-SUM($P$101:AB101)),0)*CF!AC$13</f>
        <v>0</v>
      </c>
      <c r="AD101" s="197">
        <f>MAX((AD100*$N$99-SUM($P$101:AC101)),0)*CF!AD$13</f>
        <v>0</v>
      </c>
      <c r="AE101" s="197">
        <f>MAX((AE100*$N$99-SUM($P$101:AD101)),0)*CF!AE$13</f>
        <v>0</v>
      </c>
      <c r="AF101" s="197">
        <f>MAX((AF100*$N$99-SUM($P$101:AE101)),0)*CF!AF$13</f>
        <v>0</v>
      </c>
      <c r="AG101" s="197">
        <f>MAX((AG100*$N$99-SUM($P$101:AF101)),0)*CF!AG$13</f>
        <v>0</v>
      </c>
      <c r="AH101" s="197">
        <f>MAX((AH100*$N$99-SUM($P$101:AG101)),0)*CF!AH$13</f>
        <v>0</v>
      </c>
      <c r="AI101" s="197">
        <f>MAX((AI100*$N$99-SUM($P$101:AH101)),0)*CF!AI$13</f>
        <v>0</v>
      </c>
      <c r="AJ101" s="197">
        <f>MAX((AJ100*$N$99-SUM($P$101:AI101)),0)*CF!AJ$13</f>
        <v>0</v>
      </c>
      <c r="AK101" s="197">
        <f>MAX((AK100*$N$99-SUM($P$101:AJ101)),0)*CF!AK$13</f>
        <v>0</v>
      </c>
      <c r="AL101" s="197">
        <f>MAX((AL100*$N$99-SUM($P$101:AK101)),0)*CF!AL$13</f>
        <v>0</v>
      </c>
      <c r="AM101" s="197">
        <f>MAX((AM100*$N$99-SUM($P$101:AL101)),0)*CF!AM$13</f>
        <v>0</v>
      </c>
      <c r="AN101" s="197">
        <f>MAX((AN100*$N$99-SUM($P$101:AM101)),0)*CF!AN$13</f>
        <v>0</v>
      </c>
      <c r="AO101" s="197">
        <f>MAX((AO100*$N$99-SUM($P$101:AN101)),0)*CF!AO$13</f>
        <v>0</v>
      </c>
      <c r="AP101" s="197">
        <f>MAX((AP100*$N$99-SUM($P$101:AO101)),0)*CF!AP$13</f>
        <v>0</v>
      </c>
      <c r="AQ101" s="197">
        <f>MAX((AQ100*$N$99-SUM($P$101:AP101)),0)*CF!AQ$13</f>
        <v>0</v>
      </c>
      <c r="AR101" s="197">
        <f>MAX((AR100*$N$99-SUM($P$101:AQ101)),0)*CF!AR$13</f>
        <v>0</v>
      </c>
      <c r="AS101" s="197">
        <f>MAX((AS100*$N$99-SUM($P$101:AR101)),0)*CF!AS$13</f>
        <v>0</v>
      </c>
      <c r="AT101" s="197">
        <f>MAX((AT100*$N$99-SUM($P$101:AS101)),0)*CF!AT$13</f>
        <v>0</v>
      </c>
      <c r="AU101" s="197">
        <f>MAX((AU100*$N$99-SUM($P$101:AT101)),0)*CF!AU$13</f>
        <v>0</v>
      </c>
      <c r="AV101" s="197">
        <f>MAX((AV100*$N$99-SUM($P$101:AU101)),0)*CF!AV$13</f>
        <v>0</v>
      </c>
      <c r="AW101" s="197">
        <f>MAX((AW100*$N$99-SUM($P$101:AV101)),0)*CF!AW$13</f>
        <v>0</v>
      </c>
      <c r="AX101" s="197">
        <f>MAX((AX100*$N$99-SUM($P$101:AW101)),0)*CF!AX$13</f>
        <v>0</v>
      </c>
      <c r="AY101" s="197">
        <f>MAX((AY100*$N$99-SUM($P$101:AX101)),0)*CF!AY$13</f>
        <v>0</v>
      </c>
      <c r="AZ101" s="197">
        <f>MAX((AZ100*$N$99-SUM($P$101:AY101)),0)*CF!AZ$13</f>
        <v>0</v>
      </c>
      <c r="BA101" s="197">
        <f>MAX((BA100*$N$99-SUM($P$101:AZ101)),0)*CF!BA$13</f>
        <v>0</v>
      </c>
      <c r="BB101" s="197">
        <f>MAX((BB100*$N$99-SUM($P$101:BA101)),0)*CF!BB$13</f>
        <v>0</v>
      </c>
      <c r="BC101" s="197">
        <f>MAX((BC100*$N$99-SUM($P$101:BB101)),0)*CF!BC$13</f>
        <v>0</v>
      </c>
      <c r="BD101" s="197">
        <f>MAX((BD100*$N$99-SUM($P$101:BC101)),0)*CF!BD$13</f>
        <v>0</v>
      </c>
      <c r="BE101" s="197">
        <f>MAX((BE100*$N$99-SUM($P$101:BD101)),0)*CF!BE$13</f>
        <v>0</v>
      </c>
      <c r="BF101" s="197">
        <f>MAX((BF100*$N$99-SUM($P$101:BE101)),0)*CF!BF$13</f>
        <v>0</v>
      </c>
      <c r="BG101" s="197">
        <f>MAX((BG100*$N$99-SUM($P$101:BF101)),0)*CF!BG$13</f>
        <v>0</v>
      </c>
      <c r="BH101" s="197">
        <f>MAX((BH100*$N$99-SUM($P$101:BG101)),0)*CF!BH$13</f>
        <v>0</v>
      </c>
      <c r="BI101" s="197">
        <f>MAX((BI100*$N$99-SUM($P$101:BH101)),0)*CF!BI$13</f>
        <v>0</v>
      </c>
      <c r="BJ101" s="197">
        <f>MAX((BJ100*$N$99-SUM($P$101:BI101)),0)*CF!BJ$13</f>
        <v>0</v>
      </c>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4"/>
      <c r="CF101" s="114"/>
      <c r="CG101" s="114"/>
      <c r="CH101" s="114"/>
      <c r="CI101" s="114"/>
      <c r="CJ101" s="114"/>
      <c r="CK101" s="114"/>
      <c r="CL101" s="114"/>
      <c r="CM101" s="114"/>
      <c r="CN101" s="114"/>
      <c r="CO101" s="114"/>
      <c r="CP101" s="114"/>
      <c r="CQ101" s="114"/>
      <c r="CR101" s="114"/>
      <c r="CS101" s="114"/>
      <c r="CT101" s="114"/>
      <c r="CU101" s="114"/>
      <c r="CV101" s="114"/>
      <c r="CW101" s="114"/>
      <c r="CX101" s="114"/>
      <c r="CY101" s="114"/>
      <c r="CZ101" s="114"/>
      <c r="DA101" s="114"/>
      <c r="DB101" s="114"/>
      <c r="DC101" s="114"/>
      <c r="DD101" s="114"/>
      <c r="DE101" s="114"/>
      <c r="DF101" s="114"/>
      <c r="DG101" s="114"/>
      <c r="DH101" s="114"/>
      <c r="DI101" s="114"/>
      <c r="DJ101" s="114"/>
      <c r="DK101" s="114"/>
      <c r="DL101" s="114"/>
      <c r="DM101" s="114"/>
      <c r="DN101" s="114"/>
      <c r="DO101" s="114"/>
      <c r="DP101" s="114"/>
      <c r="DQ101" s="57"/>
    </row>
    <row r="102" spans="1:121" x14ac:dyDescent="0.2">
      <c r="K102" s="88"/>
      <c r="N102" s="83"/>
      <c r="DQ102" s="57"/>
    </row>
    <row r="103" spans="1:121" x14ac:dyDescent="0.2">
      <c r="C103" s="69" t="s">
        <v>310</v>
      </c>
      <c r="K103" s="88"/>
      <c r="N103" s="83"/>
      <c r="DQ103" s="57"/>
    </row>
    <row r="104" spans="1:121" x14ac:dyDescent="0.2">
      <c r="C104" t="s">
        <v>298</v>
      </c>
      <c r="K104" s="88" t="s">
        <v>20</v>
      </c>
      <c r="N104" s="696">
        <v>0.75</v>
      </c>
      <c r="DQ104" s="57"/>
    </row>
    <row r="105" spans="1:121" x14ac:dyDescent="0.2">
      <c r="C105" s="109" t="s">
        <v>308</v>
      </c>
      <c r="D105" s="109"/>
      <c r="E105" s="109"/>
      <c r="F105" s="109"/>
      <c r="G105" s="109"/>
      <c r="H105" s="109"/>
      <c r="I105" s="109"/>
      <c r="J105" s="109"/>
      <c r="K105" s="651" t="s">
        <v>62</v>
      </c>
      <c r="L105" s="109"/>
      <c r="M105" s="109"/>
      <c r="N105" s="108"/>
      <c r="O105" s="109"/>
      <c r="P105" s="109"/>
      <c r="Q105" s="106"/>
      <c r="R105" s="106"/>
      <c r="S105" s="695">
        <f>(MAX(S$66-S$80,0))*CF!S$13</f>
        <v>0</v>
      </c>
      <c r="T105" s="695">
        <f>(MAX(T$66-T$80,0))*CF!T$13</f>
        <v>0</v>
      </c>
      <c r="U105" s="695">
        <f>(MAX(U$66-U$80,0))*CF!U$13</f>
        <v>0</v>
      </c>
      <c r="V105" s="695">
        <f>(MAX(V$66-V$80,0))*CF!V$13</f>
        <v>0</v>
      </c>
      <c r="W105" s="695">
        <f>(MAX(W$66-W$80,0))*CF!W$13</f>
        <v>0</v>
      </c>
      <c r="X105" s="695">
        <f>(MAX(X$66-X$80,0))*CF!X$13</f>
        <v>0</v>
      </c>
      <c r="Y105" s="695">
        <f>(MAX(Y$66-Y$80,0))*CF!Y$13</f>
        <v>0</v>
      </c>
      <c r="Z105" s="695">
        <f>(MAX(Z$66-Z$80,0))*CF!Z$13</f>
        <v>0</v>
      </c>
      <c r="AA105" s="695">
        <f>(MAX(AA$66-AA$80,0))*CF!AA$13</f>
        <v>0</v>
      </c>
      <c r="AB105" s="695">
        <f>(MAX(AB$66-AB$80,0))*CF!AB$13</f>
        <v>0</v>
      </c>
      <c r="AC105" s="695">
        <f>(MAX(AC$66-AC$80,0))*CF!AC$13</f>
        <v>0</v>
      </c>
      <c r="AD105" s="695">
        <f>(MAX(AD$66-AD$80,0))*CF!AD$13</f>
        <v>0</v>
      </c>
      <c r="AE105" s="695">
        <f>(MAX(AE$66-AE$80,0))*CF!AE$13</f>
        <v>0</v>
      </c>
      <c r="AF105" s="695">
        <f>(MAX(AF$66-AF$80,0))*CF!AF$13</f>
        <v>0</v>
      </c>
      <c r="AG105" s="695">
        <f>(MAX(AG$66-AG$80,0))*CF!AG$13</f>
        <v>0</v>
      </c>
      <c r="AH105" s="695">
        <f>(MAX(AH$66-AH$80,0))*CF!AH$13</f>
        <v>0</v>
      </c>
      <c r="AI105" s="695">
        <f>(MAX(AI$66-AI$80,0))*CF!AI$13</f>
        <v>0</v>
      </c>
      <c r="AJ105" s="695">
        <f>(MAX(AJ$66-AJ$80,0))*CF!AJ$13</f>
        <v>0</v>
      </c>
      <c r="AK105" s="695">
        <f>(MAX(AK$66-AK$80,0))*CF!AK$13</f>
        <v>0</v>
      </c>
      <c r="AL105" s="695">
        <f>(MAX(AL$66-AL$80,0))*CF!AL$13</f>
        <v>0</v>
      </c>
      <c r="AM105" s="695">
        <f>(MAX(AM$66-AM$80,0))*CF!AM$13</f>
        <v>0</v>
      </c>
      <c r="AN105" s="695">
        <f>(MAX(AN$66-AN$80,0))*CF!AN$13</f>
        <v>0</v>
      </c>
      <c r="AO105" s="695">
        <f>(MAX(AO$66-AO$80,0))*CF!AO$13</f>
        <v>0</v>
      </c>
      <c r="AP105" s="695">
        <f>(MAX(AP$66-AP$80,0))*CF!AP$13</f>
        <v>0</v>
      </c>
      <c r="AQ105" s="695">
        <f>(MAX(AQ$66-AQ$80,0))*CF!AQ$13</f>
        <v>0</v>
      </c>
      <c r="AR105" s="695">
        <f>(MAX(AR$66-AR$80,0))*CF!AR$13</f>
        <v>0</v>
      </c>
      <c r="AS105" s="695">
        <f>(MAX(AS$66-AS$80,0))*CF!AS$13</f>
        <v>0</v>
      </c>
      <c r="AT105" s="695">
        <f>(MAX(AT$66-AT$80,0))*CF!AT$13</f>
        <v>0</v>
      </c>
      <c r="AU105" s="695">
        <f>(MAX(AU$66-AU$80,0))*CF!AU$13</f>
        <v>0</v>
      </c>
      <c r="AV105" s="695">
        <f>(MAX(AV$66-AV$80,0))*CF!AV$13</f>
        <v>0</v>
      </c>
      <c r="AW105" s="695">
        <f>(MAX(AW$66-AW$80,0))*CF!AW$13</f>
        <v>0</v>
      </c>
      <c r="AX105" s="695">
        <f>(MAX(AX$66-AX$80,0))*CF!AX$13</f>
        <v>0</v>
      </c>
      <c r="AY105" s="695">
        <f>(MAX(AY$66-AY$80,0))*CF!AY$13</f>
        <v>0</v>
      </c>
      <c r="AZ105" s="695">
        <f>(MAX(AZ$66-AZ$80,0))*CF!AZ$13</f>
        <v>0</v>
      </c>
      <c r="BA105" s="695">
        <f>(MAX(BA$66-BA$80,0))*CF!BA$13</f>
        <v>0</v>
      </c>
      <c r="BB105" s="695">
        <f>(MAX(BB$66-BB$80,0))*CF!BB$13</f>
        <v>0</v>
      </c>
      <c r="BC105" s="695">
        <f>(MAX(BC$66-BC$80,0))*CF!BC$13</f>
        <v>0</v>
      </c>
      <c r="BD105" s="695">
        <f>(MAX(BD$66-BD$80,0))*CF!BD$13</f>
        <v>0</v>
      </c>
      <c r="BE105" s="695">
        <f>(MAX(BE$66-BE$80,0))*CF!BE$13</f>
        <v>0</v>
      </c>
      <c r="BF105" s="695">
        <f>(MAX(BF$66-BF$80,0))*CF!BF$13</f>
        <v>0</v>
      </c>
      <c r="BG105" s="695">
        <f>(MAX(BG$66-BG$80,0))*CF!BG$13</f>
        <v>0</v>
      </c>
      <c r="BH105" s="695">
        <f>(MAX(BH$66-BH$80,0))*CF!BH$13</f>
        <v>0</v>
      </c>
      <c r="BI105" s="695">
        <f>(MAX(BI$66-BI$80,0))*CF!BI$13</f>
        <v>0</v>
      </c>
      <c r="BJ105" s="695">
        <f>(MAX(BJ$66-BJ$80,0))*CF!BJ$13</f>
        <v>0</v>
      </c>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57"/>
    </row>
    <row r="106" spans="1:121" x14ac:dyDescent="0.2">
      <c r="C106" s="54" t="s">
        <v>309</v>
      </c>
      <c r="D106" s="54"/>
      <c r="E106" s="54"/>
      <c r="F106" s="54"/>
      <c r="G106" s="54"/>
      <c r="H106" s="54"/>
      <c r="I106" s="54"/>
      <c r="J106" s="54"/>
      <c r="K106" s="160" t="s">
        <v>62</v>
      </c>
      <c r="N106" s="78">
        <f>SUM(Q106:DP106)</f>
        <v>0</v>
      </c>
      <c r="O106" s="54"/>
      <c r="P106" s="54"/>
      <c r="Q106" s="114"/>
      <c r="R106" s="114"/>
      <c r="S106" s="197">
        <f>MAX((S105*$N$104-SUM($P$106:R106)),0)*CF!S$13</f>
        <v>0</v>
      </c>
      <c r="T106" s="197">
        <f>MAX((T105*$N$104-SUM($P$106:S106)),0)*CF!T$13</f>
        <v>0</v>
      </c>
      <c r="U106" s="197">
        <f>MAX((U105*$N$104-SUM($P$106:T106)),0)*CF!U$13</f>
        <v>0</v>
      </c>
      <c r="V106" s="197">
        <f>MAX((V105*$N$104-SUM($P$106:U106)),0)*CF!V$13</f>
        <v>0</v>
      </c>
      <c r="W106" s="197">
        <f>MAX((W105*$N$104-SUM($P$106:V106)),0)*CF!W$13</f>
        <v>0</v>
      </c>
      <c r="X106" s="197">
        <f>MAX((X105*$N$104-SUM($P$106:W106)),0)*CF!X$13</f>
        <v>0</v>
      </c>
      <c r="Y106" s="197">
        <f>MAX((Y105*$N$104-SUM($P$106:X106)),0)*CF!Y$13</f>
        <v>0</v>
      </c>
      <c r="Z106" s="197">
        <f>MAX((Z105*$N$104-SUM($P$106:Y106)),0)*CF!Z$13</f>
        <v>0</v>
      </c>
      <c r="AA106" s="197">
        <f>MAX((AA105*$N$104-SUM($P$106:Z106)),0)*CF!AA$13</f>
        <v>0</v>
      </c>
      <c r="AB106" s="197">
        <f>MAX((AB105*$N$104-SUM($P$106:AA106)),0)*CF!AB$13</f>
        <v>0</v>
      </c>
      <c r="AC106" s="197">
        <f>MAX((AC105*$N$104-SUM($P$106:AB106)),0)*CF!AC$13</f>
        <v>0</v>
      </c>
      <c r="AD106" s="197">
        <f>MAX((AD105*$N$104-SUM($P$106:AC106)),0)*CF!AD$13</f>
        <v>0</v>
      </c>
      <c r="AE106" s="197">
        <f>MAX((AE105*$N$104-SUM($P$106:AD106)),0)*CF!AE$13</f>
        <v>0</v>
      </c>
      <c r="AF106" s="197">
        <f>MAX((AF105*$N$104-SUM($P$106:AE106)),0)*CF!AF$13</f>
        <v>0</v>
      </c>
      <c r="AG106" s="197">
        <f>MAX((AG105*$N$104-SUM($P$106:AF106)),0)*CF!AG$13</f>
        <v>0</v>
      </c>
      <c r="AH106" s="197">
        <f>MAX((AH105*$N$104-SUM($P$106:AG106)),0)*CF!AH$13</f>
        <v>0</v>
      </c>
      <c r="AI106" s="197">
        <f>MAX((AI105*$N$104-SUM($P$106:AH106)),0)*CF!AI$13</f>
        <v>0</v>
      </c>
      <c r="AJ106" s="197">
        <f>MAX((AJ105*$N$104-SUM($P$106:AI106)),0)*CF!AJ$13</f>
        <v>0</v>
      </c>
      <c r="AK106" s="197">
        <f>MAX((AK105*$N$104-SUM($P$106:AJ106)),0)*CF!AK$13</f>
        <v>0</v>
      </c>
      <c r="AL106" s="197">
        <f>MAX((AL105*$N$104-SUM($P$106:AK106)),0)*CF!AL$13</f>
        <v>0</v>
      </c>
      <c r="AM106" s="197">
        <f>MAX((AM105*$N$104-SUM($P$106:AL106)),0)*CF!AM$13</f>
        <v>0</v>
      </c>
      <c r="AN106" s="197">
        <f>MAX((AN105*$N$104-SUM($P$106:AM106)),0)*CF!AN$13</f>
        <v>0</v>
      </c>
      <c r="AO106" s="197">
        <f>MAX((AO105*$N$104-SUM($P$106:AN106)),0)*CF!AO$13</f>
        <v>0</v>
      </c>
      <c r="AP106" s="197">
        <f>MAX((AP105*$N$104-SUM($P$106:AO106)),0)*CF!AP$13</f>
        <v>0</v>
      </c>
      <c r="AQ106" s="197">
        <f>MAX((AQ105*$N$104-SUM($P$106:AP106)),0)*CF!AQ$13</f>
        <v>0</v>
      </c>
      <c r="AR106" s="197">
        <f>MAX((AR105*$N$104-SUM($P$106:AQ106)),0)*CF!AR$13</f>
        <v>0</v>
      </c>
      <c r="AS106" s="197">
        <f>MAX((AS105*$N$104-SUM($P$106:AR106)),0)*CF!AS$13</f>
        <v>0</v>
      </c>
      <c r="AT106" s="197">
        <f>MAX((AT105*$N$104-SUM($P$106:AS106)),0)*CF!AT$13</f>
        <v>0</v>
      </c>
      <c r="AU106" s="197">
        <f>MAX((AU105*$N$104-SUM($P$106:AT106)),0)*CF!AU$13</f>
        <v>0</v>
      </c>
      <c r="AV106" s="197">
        <f>MAX((AV105*$N$104-SUM($P$106:AU106)),0)*CF!AV$13</f>
        <v>0</v>
      </c>
      <c r="AW106" s="197">
        <f>MAX((AW105*$N$104-SUM($P$106:AV106)),0)*CF!AW$13</f>
        <v>0</v>
      </c>
      <c r="AX106" s="197">
        <f>MAX((AX105*$N$104-SUM($P$106:AW106)),0)*CF!AX$13</f>
        <v>0</v>
      </c>
      <c r="AY106" s="197">
        <f>MAX((AY105*$N$104-SUM($P$106:AX106)),0)*CF!AY$13</f>
        <v>0</v>
      </c>
      <c r="AZ106" s="197">
        <f>MAX((AZ105*$N$104-SUM($P$106:AY106)),0)*CF!AZ$13</f>
        <v>0</v>
      </c>
      <c r="BA106" s="197">
        <f>MAX((BA105*$N$104-SUM($P$106:AZ106)),0)*CF!BA$13</f>
        <v>0</v>
      </c>
      <c r="BB106" s="197">
        <f>MAX((BB105*$N$104-SUM($P$106:BA106)),0)*CF!BB$13</f>
        <v>0</v>
      </c>
      <c r="BC106" s="197">
        <f>MAX((BC105*$N$104-SUM($P$106:BB106)),0)*CF!BC$13</f>
        <v>0</v>
      </c>
      <c r="BD106" s="197">
        <f>MAX((BD105*$N$104-SUM($P$106:BC106)),0)*CF!BD$13</f>
        <v>0</v>
      </c>
      <c r="BE106" s="197">
        <f>MAX((BE105*$N$104-SUM($P$106:BD106)),0)*CF!BE$13</f>
        <v>0</v>
      </c>
      <c r="BF106" s="197">
        <f>MAX((BF105*$N$104-SUM($P$106:BE106)),0)*CF!BF$13</f>
        <v>0</v>
      </c>
      <c r="BG106" s="197">
        <f>MAX((BG105*$N$104-SUM($P$106:BF106)),0)*CF!BG$13</f>
        <v>0</v>
      </c>
      <c r="BH106" s="197">
        <f>MAX((BH105*$N$104-SUM($P$106:BG106)),0)*CF!BH$13</f>
        <v>0</v>
      </c>
      <c r="BI106" s="197">
        <f>MAX((BI105*$N$104-SUM($P$106:BH106)),0)*CF!BI$13</f>
        <v>0</v>
      </c>
      <c r="BJ106" s="197">
        <f>MAX((BJ105*$N$104-SUM($P$106:BI106)),0)*CF!BJ$13</f>
        <v>0</v>
      </c>
      <c r="BK106" s="114"/>
      <c r="BL106" s="114"/>
      <c r="BM106" s="114"/>
      <c r="BN106" s="114"/>
      <c r="BO106" s="114"/>
      <c r="BP106" s="114"/>
      <c r="BQ106" s="114"/>
      <c r="BR106" s="114"/>
      <c r="BS106" s="114"/>
      <c r="BT106" s="114"/>
      <c r="BU106" s="114"/>
      <c r="BV106" s="114"/>
      <c r="BW106" s="114"/>
      <c r="BX106" s="114"/>
      <c r="BY106" s="114"/>
      <c r="BZ106" s="114"/>
      <c r="CA106" s="114"/>
      <c r="CB106" s="114"/>
      <c r="CC106" s="114"/>
      <c r="CD106" s="114"/>
      <c r="CE106" s="114"/>
      <c r="CF106" s="114"/>
      <c r="CG106" s="114"/>
      <c r="CH106" s="114"/>
      <c r="CI106" s="114"/>
      <c r="CJ106" s="114"/>
      <c r="CK106" s="114"/>
      <c r="CL106" s="114"/>
      <c r="CM106" s="114"/>
      <c r="CN106" s="114"/>
      <c r="CO106" s="114"/>
      <c r="CP106" s="114"/>
      <c r="CQ106" s="114"/>
      <c r="CR106" s="114"/>
      <c r="CS106" s="114"/>
      <c r="CT106" s="114"/>
      <c r="CU106" s="114"/>
      <c r="CV106" s="114"/>
      <c r="CW106" s="114"/>
      <c r="CX106" s="114"/>
      <c r="CY106" s="114"/>
      <c r="CZ106" s="114"/>
      <c r="DA106" s="114"/>
      <c r="DB106" s="114"/>
      <c r="DC106" s="114"/>
      <c r="DD106" s="114"/>
      <c r="DE106" s="114"/>
      <c r="DF106" s="114"/>
      <c r="DG106" s="114"/>
      <c r="DH106" s="114"/>
      <c r="DI106" s="114"/>
      <c r="DJ106" s="114"/>
      <c r="DK106" s="114"/>
      <c r="DL106" s="114"/>
      <c r="DM106" s="114"/>
      <c r="DN106" s="114"/>
      <c r="DO106" s="114"/>
      <c r="DP106" s="114"/>
      <c r="DQ106" s="57"/>
    </row>
    <row r="107" spans="1:121" x14ac:dyDescent="0.2">
      <c r="C107" s="54"/>
      <c r="D107" s="54"/>
      <c r="E107" s="54"/>
      <c r="F107" s="54"/>
      <c r="G107" s="54"/>
      <c r="H107" s="54"/>
      <c r="I107" s="54"/>
      <c r="J107" s="54"/>
      <c r="N107" s="78"/>
      <c r="O107" s="54"/>
      <c r="P107" s="54"/>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50"/>
      <c r="DK107" s="50"/>
      <c r="DL107" s="50"/>
      <c r="DM107" s="50"/>
      <c r="DN107" s="50"/>
      <c r="DO107" s="50"/>
      <c r="DP107" s="50"/>
      <c r="DQ107" s="57"/>
    </row>
    <row r="108" spans="1:121" x14ac:dyDescent="0.2">
      <c r="C108" s="54"/>
      <c r="D108" s="54"/>
      <c r="E108" s="54"/>
      <c r="F108" s="54"/>
      <c r="G108" s="54"/>
      <c r="H108" s="54"/>
      <c r="I108" s="54"/>
      <c r="J108" s="54"/>
      <c r="N108" s="78"/>
      <c r="O108" s="54"/>
      <c r="P108" s="54"/>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50"/>
      <c r="DK108" s="50"/>
      <c r="DL108" s="50"/>
      <c r="DM108" s="50"/>
      <c r="DN108" s="50"/>
      <c r="DO108" s="50"/>
      <c r="DP108" s="50"/>
      <c r="DQ108" s="57"/>
    </row>
    <row r="109" spans="1:121" x14ac:dyDescent="0.2">
      <c r="C109" s="54" t="s">
        <v>274</v>
      </c>
      <c r="D109" s="54"/>
      <c r="E109" s="54"/>
      <c r="F109" s="54"/>
      <c r="G109" s="54"/>
      <c r="H109" s="54"/>
      <c r="I109" s="54"/>
      <c r="J109" s="54"/>
      <c r="K109" s="653" t="s">
        <v>62</v>
      </c>
      <c r="N109" s="78">
        <f>SUM(Q109:BJ109)</f>
        <v>446961.57783952728</v>
      </c>
      <c r="O109" s="54"/>
      <c r="P109" s="40"/>
      <c r="Q109" s="49"/>
      <c r="R109" s="49"/>
      <c r="S109" s="49">
        <f t="shared" ref="S109:AO109" si="41">S106+S101+S96+S91+S86</f>
        <v>0</v>
      </c>
      <c r="T109" s="49">
        <f t="shared" si="41"/>
        <v>0</v>
      </c>
      <c r="U109" s="49">
        <f t="shared" si="41"/>
        <v>0</v>
      </c>
      <c r="V109" s="49">
        <f t="shared" si="41"/>
        <v>0</v>
      </c>
      <c r="W109" s="49">
        <f t="shared" si="41"/>
        <v>0</v>
      </c>
      <c r="X109" s="49">
        <f t="shared" si="41"/>
        <v>0</v>
      </c>
      <c r="Y109" s="49">
        <f t="shared" si="41"/>
        <v>0</v>
      </c>
      <c r="Z109" s="49">
        <f t="shared" si="41"/>
        <v>0</v>
      </c>
      <c r="AA109" s="49">
        <f t="shared" si="41"/>
        <v>0</v>
      </c>
      <c r="AB109" s="49">
        <f t="shared" si="41"/>
        <v>0</v>
      </c>
      <c r="AC109" s="49">
        <f t="shared" si="41"/>
        <v>0</v>
      </c>
      <c r="AD109" s="49">
        <f t="shared" si="41"/>
        <v>0</v>
      </c>
      <c r="AE109" s="49">
        <f t="shared" si="41"/>
        <v>0</v>
      </c>
      <c r="AF109" s="49">
        <f t="shared" si="41"/>
        <v>0</v>
      </c>
      <c r="AG109" s="49">
        <f t="shared" si="41"/>
        <v>0</v>
      </c>
      <c r="AH109" s="49">
        <f t="shared" si="41"/>
        <v>0</v>
      </c>
      <c r="AI109" s="49">
        <f t="shared" si="41"/>
        <v>0</v>
      </c>
      <c r="AJ109" s="49">
        <f t="shared" si="41"/>
        <v>0</v>
      </c>
      <c r="AK109" s="49">
        <f t="shared" si="41"/>
        <v>0</v>
      </c>
      <c r="AL109" s="49">
        <f t="shared" si="41"/>
        <v>0</v>
      </c>
      <c r="AM109" s="49">
        <f t="shared" si="41"/>
        <v>0</v>
      </c>
      <c r="AN109" s="49">
        <f t="shared" si="41"/>
        <v>0</v>
      </c>
      <c r="AO109" s="49">
        <f t="shared" si="41"/>
        <v>0</v>
      </c>
      <c r="AP109" s="49">
        <f t="shared" ref="AP109:BJ109" si="42">AP106+AP101+AP96+AP91+AP86</f>
        <v>0</v>
      </c>
      <c r="AQ109" s="49">
        <f t="shared" si="42"/>
        <v>0</v>
      </c>
      <c r="AR109" s="49">
        <f t="shared" si="42"/>
        <v>0</v>
      </c>
      <c r="AS109" s="49">
        <f t="shared" si="42"/>
        <v>0</v>
      </c>
      <c r="AT109" s="49">
        <f t="shared" si="42"/>
        <v>0</v>
      </c>
      <c r="AU109" s="49">
        <f t="shared" si="42"/>
        <v>0</v>
      </c>
      <c r="AV109" s="49">
        <f t="shared" si="42"/>
        <v>0</v>
      </c>
      <c r="AW109" s="49">
        <f t="shared" si="42"/>
        <v>0</v>
      </c>
      <c r="AX109" s="49">
        <f t="shared" si="42"/>
        <v>0</v>
      </c>
      <c r="AY109" s="49">
        <f t="shared" si="42"/>
        <v>0</v>
      </c>
      <c r="AZ109" s="49">
        <f t="shared" si="42"/>
        <v>0</v>
      </c>
      <c r="BA109" s="49">
        <f t="shared" si="42"/>
        <v>0</v>
      </c>
      <c r="BB109" s="49">
        <f t="shared" si="42"/>
        <v>2451.0748028550297</v>
      </c>
      <c r="BC109" s="49">
        <f t="shared" si="42"/>
        <v>28388.597133371513</v>
      </c>
      <c r="BD109" s="49">
        <f t="shared" si="42"/>
        <v>31360.53338051727</v>
      </c>
      <c r="BE109" s="49">
        <f t="shared" si="42"/>
        <v>34431.761185107287</v>
      </c>
      <c r="BF109" s="49">
        <f t="shared" si="42"/>
        <v>36081.762194184121</v>
      </c>
      <c r="BG109" s="49">
        <f t="shared" si="42"/>
        <v>37636.280590502545</v>
      </c>
      <c r="BH109" s="49">
        <f t="shared" si="42"/>
        <v>39585.404210636392</v>
      </c>
      <c r="BI109" s="49">
        <f t="shared" si="42"/>
        <v>179389.91767413123</v>
      </c>
      <c r="BJ109" s="49">
        <f t="shared" si="42"/>
        <v>57636.246668221895</v>
      </c>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57"/>
    </row>
    <row r="110" spans="1:121" x14ac:dyDescent="0.2">
      <c r="A110" s="57"/>
      <c r="B110" s="57"/>
      <c r="C110" s="61" t="s">
        <v>275</v>
      </c>
      <c r="D110" s="61"/>
      <c r="E110" s="61"/>
      <c r="F110" s="61"/>
      <c r="G110" s="61"/>
      <c r="H110" s="61"/>
      <c r="I110" s="61"/>
      <c r="J110" s="61"/>
      <c r="K110" s="654" t="s">
        <v>62</v>
      </c>
      <c r="L110" s="61"/>
      <c r="M110" s="61"/>
      <c r="N110" s="694">
        <f>SUM(Q110:BJ110)</f>
        <v>-446961.57783952728</v>
      </c>
      <c r="O110" s="62"/>
      <c r="P110" s="68"/>
      <c r="Q110" s="50"/>
      <c r="R110" s="50"/>
      <c r="S110" s="50">
        <f t="shared" ref="S110:BJ110" si="43">-S109</f>
        <v>0</v>
      </c>
      <c r="T110" s="50">
        <f t="shared" si="43"/>
        <v>0</v>
      </c>
      <c r="U110" s="50">
        <f t="shared" si="43"/>
        <v>0</v>
      </c>
      <c r="V110" s="50">
        <f t="shared" si="43"/>
        <v>0</v>
      </c>
      <c r="W110" s="50">
        <f t="shared" si="43"/>
        <v>0</v>
      </c>
      <c r="X110" s="50">
        <f t="shared" si="43"/>
        <v>0</v>
      </c>
      <c r="Y110" s="50">
        <f t="shared" si="43"/>
        <v>0</v>
      </c>
      <c r="Z110" s="50">
        <f t="shared" si="43"/>
        <v>0</v>
      </c>
      <c r="AA110" s="50">
        <f t="shared" si="43"/>
        <v>0</v>
      </c>
      <c r="AB110" s="50">
        <f t="shared" si="43"/>
        <v>0</v>
      </c>
      <c r="AC110" s="50">
        <f t="shared" si="43"/>
        <v>0</v>
      </c>
      <c r="AD110" s="50">
        <f t="shared" si="43"/>
        <v>0</v>
      </c>
      <c r="AE110" s="50">
        <f t="shared" si="43"/>
        <v>0</v>
      </c>
      <c r="AF110" s="50">
        <f t="shared" si="43"/>
        <v>0</v>
      </c>
      <c r="AG110" s="50">
        <f t="shared" si="43"/>
        <v>0</v>
      </c>
      <c r="AH110" s="50">
        <f t="shared" si="43"/>
        <v>0</v>
      </c>
      <c r="AI110" s="50">
        <f t="shared" si="43"/>
        <v>0</v>
      </c>
      <c r="AJ110" s="50">
        <f t="shared" si="43"/>
        <v>0</v>
      </c>
      <c r="AK110" s="50">
        <f t="shared" si="43"/>
        <v>0</v>
      </c>
      <c r="AL110" s="50">
        <f t="shared" si="43"/>
        <v>0</v>
      </c>
      <c r="AM110" s="50">
        <f t="shared" si="43"/>
        <v>0</v>
      </c>
      <c r="AN110" s="50">
        <f t="shared" si="43"/>
        <v>0</v>
      </c>
      <c r="AO110" s="50">
        <f t="shared" si="43"/>
        <v>0</v>
      </c>
      <c r="AP110" s="50">
        <f t="shared" si="43"/>
        <v>0</v>
      </c>
      <c r="AQ110" s="50">
        <f t="shared" si="43"/>
        <v>0</v>
      </c>
      <c r="AR110" s="50">
        <f t="shared" si="43"/>
        <v>0</v>
      </c>
      <c r="AS110" s="50">
        <f t="shared" si="43"/>
        <v>0</v>
      </c>
      <c r="AT110" s="50">
        <f t="shared" si="43"/>
        <v>0</v>
      </c>
      <c r="AU110" s="50">
        <f t="shared" si="43"/>
        <v>0</v>
      </c>
      <c r="AV110" s="50">
        <f t="shared" si="43"/>
        <v>0</v>
      </c>
      <c r="AW110" s="50">
        <f t="shared" si="43"/>
        <v>0</v>
      </c>
      <c r="AX110" s="50">
        <f t="shared" si="43"/>
        <v>0</v>
      </c>
      <c r="AY110" s="50">
        <f t="shared" si="43"/>
        <v>0</v>
      </c>
      <c r="AZ110" s="50">
        <f t="shared" si="43"/>
        <v>0</v>
      </c>
      <c r="BA110" s="50">
        <f t="shared" si="43"/>
        <v>0</v>
      </c>
      <c r="BB110" s="50">
        <f t="shared" si="43"/>
        <v>-2451.0748028550297</v>
      </c>
      <c r="BC110" s="50">
        <f t="shared" si="43"/>
        <v>-28388.597133371513</v>
      </c>
      <c r="BD110" s="50">
        <f t="shared" si="43"/>
        <v>-31360.53338051727</v>
      </c>
      <c r="BE110" s="50">
        <f t="shared" si="43"/>
        <v>-34431.761185107287</v>
      </c>
      <c r="BF110" s="50">
        <f t="shared" si="43"/>
        <v>-36081.762194184121</v>
      </c>
      <c r="BG110" s="50">
        <f t="shared" si="43"/>
        <v>-37636.280590502545</v>
      </c>
      <c r="BH110" s="50">
        <f t="shared" si="43"/>
        <v>-39585.404210636392</v>
      </c>
      <c r="BI110" s="50">
        <f t="shared" si="43"/>
        <v>-179389.91767413123</v>
      </c>
      <c r="BJ110" s="50">
        <f t="shared" si="43"/>
        <v>-57636.246668221895</v>
      </c>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7"/>
    </row>
    <row r="111" spans="1:121" x14ac:dyDescent="0.2">
      <c r="C111" s="54"/>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DQ111" s="57"/>
    </row>
    <row r="112" spans="1:121" hidden="1" x14ac:dyDescent="0.2">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DQ112" s="57"/>
    </row>
    <row r="113" spans="17:121" hidden="1" x14ac:dyDescent="0.2">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DQ113" s="57"/>
    </row>
    <row r="114" spans="17:121" x14ac:dyDescent="0.2"/>
    <row r="115" spans="17:121" x14ac:dyDescent="0.2"/>
    <row r="116" spans="17:121" x14ac:dyDescent="0.2"/>
    <row r="117" spans="17:121" x14ac:dyDescent="0.2"/>
    <row r="118" spans="17:121" x14ac:dyDescent="0.2"/>
    <row r="119" spans="17:121" x14ac:dyDescent="0.2"/>
    <row r="120" spans="17:121" x14ac:dyDescent="0.2"/>
    <row r="121" spans="17:121" x14ac:dyDescent="0.2"/>
    <row r="122" spans="17:121" x14ac:dyDescent="0.2"/>
    <row r="123" spans="17:121" x14ac:dyDescent="0.2"/>
    <row r="124" spans="17:121" x14ac:dyDescent="0.2"/>
    <row r="125" spans="17:121" x14ac:dyDescent="0.2"/>
    <row r="126" spans="17:121" x14ac:dyDescent="0.2"/>
    <row r="127" spans="17:121" x14ac:dyDescent="0.2"/>
    <row r="128" spans="17:121" x14ac:dyDescent="0.2"/>
    <row r="129" x14ac:dyDescent="0.2"/>
    <row r="130" x14ac:dyDescent="0.2"/>
    <row r="131" x14ac:dyDescent="0.2"/>
  </sheetData>
  <sheetProtection algorithmName="SHA-512" hashValue="a/frsHb6BiOGOjxtHRa2baXSRM5a2zy0gP9yfg8DW1AqyHNBrxsw4Hvt/x3J5ghAgL189O9E2bcuyUxDHLk4QQ==" saltValue="4HH0+8KTDPoaKFEvUKevEw==" spinCount="100000" sheet="1" objects="1" scenarios="1"/>
  <customSheetViews>
    <customSheetView guid="{A171ABFC-BD20-4BE9-8F97-F532286F0C2D}" scale="70" showGridLines="0" hiddenColumns="1">
      <pane xSplit="15" ySplit="10" topLeftCell="Q11" activePane="bottomRight" state="frozen"/>
      <selection pane="bottomRight" activeCell="A39" sqref="A39:XFD39"/>
      <pageMargins left="0.7" right="0.7" top="0.75" bottom="0.75" header="0.3" footer="0.3"/>
      <pageSetup orientation="portrait" r:id="rId1"/>
    </customSheetView>
    <customSheetView guid="{5F88CBE0-3291-4A41-996B-A8A1DC273A84}" scale="70" showGridLines="0" hiddenColumns="1">
      <pane xSplit="15" ySplit="10" topLeftCell="Q62" activePane="bottomRight" state="frozen"/>
      <selection pane="bottomRight" activeCell="W79" sqref="W79"/>
      <pageMargins left="0.7" right="0.7" top="0.75" bottom="0.75" header="0.3" footer="0.3"/>
      <pageSetup orientation="portrait" r:id="rId2"/>
    </customSheetView>
  </customSheetViews>
  <conditionalFormatting sqref="F4">
    <cfRule type="cellIs" dxfId="44" priority="13" stopIfTrue="1" operator="equal">
      <formula>0</formula>
    </cfRule>
    <cfRule type="cellIs" dxfId="43" priority="14" stopIfTrue="1" operator="equal">
      <formula>1</formula>
    </cfRule>
  </conditionalFormatting>
  <pageMargins left="0.70866141732283472" right="0.70866141732283472" top="0.74803149606299213" bottom="0.74803149606299213" header="0.31496062992125984" footer="0.31496062992125984"/>
  <pageSetup paperSize="9" scale="35" orientation="landscape" r:id="rId3"/>
  <colBreaks count="1" manualBreakCount="1">
    <brk id="32" max="99" man="1"/>
  </col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U406"/>
  <sheetViews>
    <sheetView showGridLines="0" view="pageBreakPreview" zoomScale="70" zoomScaleNormal="70" zoomScaleSheetLayoutView="70" workbookViewId="0">
      <pane xSplit="15" ySplit="13" topLeftCell="P14" activePane="bottomRight" state="frozen"/>
      <selection pane="topRight" activeCell="P1" sqref="P1"/>
      <selection pane="bottomLeft" activeCell="A15" sqref="A15"/>
      <selection pane="bottomRight" activeCell="B2" sqref="B2"/>
    </sheetView>
  </sheetViews>
  <sheetFormatPr baseColWidth="10" defaultColWidth="0" defaultRowHeight="12.75" zeroHeight="1" x14ac:dyDescent="0.2"/>
  <cols>
    <col min="1" max="2" width="1.85546875" style="210" customWidth="1"/>
    <col min="3" max="8" width="9.140625" style="210" customWidth="1"/>
    <col min="9" max="10" width="2.7109375" style="210" customWidth="1"/>
    <col min="11" max="11" width="10.28515625" style="632" bestFit="1" customWidth="1"/>
    <col min="12" max="13" width="11.28515625" style="210" customWidth="1"/>
    <col min="14" max="14" width="15.140625" style="210" customWidth="1"/>
    <col min="15" max="16" width="3.85546875" style="210" customWidth="1"/>
    <col min="17" max="17" width="11.7109375" style="210" customWidth="1"/>
    <col min="18" max="18" width="12.7109375" style="210" bestFit="1" customWidth="1"/>
    <col min="19" max="19" width="11.7109375" style="210" customWidth="1"/>
    <col min="20" max="20" width="12.7109375" style="210" bestFit="1" customWidth="1"/>
    <col min="21" max="46" width="11.7109375" style="210" customWidth="1"/>
    <col min="47" max="47" width="13.140625" style="210" bestFit="1" customWidth="1"/>
    <col min="48" max="55" width="11.7109375" style="210" customWidth="1"/>
    <col min="56" max="56" width="12.85546875" style="210" bestFit="1" customWidth="1"/>
    <col min="57" max="62" width="11.7109375" style="210" customWidth="1"/>
    <col min="63" max="74" width="11.7109375" style="210" hidden="1" customWidth="1"/>
    <col min="75" max="16384" width="0" style="210" hidden="1"/>
  </cols>
  <sheetData>
    <row r="1" spans="1:73" x14ac:dyDescent="0.2">
      <c r="A1" s="299"/>
      <c r="B1" s="299"/>
      <c r="C1" s="299"/>
      <c r="D1" s="299"/>
      <c r="E1" s="299"/>
      <c r="F1" s="299"/>
      <c r="G1" s="299"/>
      <c r="H1" s="299"/>
      <c r="I1" s="299"/>
      <c r="J1" s="299"/>
      <c r="K1" s="410"/>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row>
    <row r="2" spans="1:73" x14ac:dyDescent="0.2">
      <c r="A2" s="299"/>
      <c r="B2" s="299"/>
      <c r="C2" s="299" t="s">
        <v>2</v>
      </c>
      <c r="D2" s="299"/>
      <c r="E2" s="299"/>
      <c r="F2" s="299" t="str">
        <f>+Inputs!$G$2</f>
        <v>NTE Express</v>
      </c>
      <c r="G2" s="299"/>
      <c r="H2" s="299"/>
      <c r="I2" s="299"/>
      <c r="J2" s="299"/>
      <c r="K2" s="410"/>
      <c r="L2" s="299"/>
      <c r="M2" s="299"/>
      <c r="N2" s="410"/>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row>
    <row r="3" spans="1:73" ht="13.5" thickBot="1" x14ac:dyDescent="0.25">
      <c r="A3" s="299"/>
      <c r="B3" s="299"/>
      <c r="C3" s="299" t="s">
        <v>3</v>
      </c>
      <c r="D3" s="299"/>
      <c r="E3" s="299"/>
      <c r="F3" s="299" t="s">
        <v>431</v>
      </c>
      <c r="G3" s="299"/>
      <c r="H3" s="299"/>
      <c r="I3" s="299"/>
      <c r="J3" s="299"/>
      <c r="K3" s="410"/>
      <c r="L3" s="299"/>
      <c r="M3" s="299"/>
      <c r="N3" s="411"/>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row>
    <row r="4" spans="1:73" ht="13.5" thickBot="1" x14ac:dyDescent="0.25">
      <c r="A4" s="299"/>
      <c r="B4" s="299"/>
      <c r="C4" s="299" t="s">
        <v>4</v>
      </c>
      <c r="D4" s="299"/>
      <c r="E4" s="299"/>
      <c r="F4" s="305">
        <f ca="1">+Inputs!G4</f>
        <v>0</v>
      </c>
      <c r="G4" s="299"/>
      <c r="H4" s="299"/>
      <c r="I4" s="299"/>
      <c r="J4" s="299"/>
      <c r="K4" s="410"/>
      <c r="L4" s="299"/>
      <c r="M4" s="299"/>
      <c r="N4" s="299"/>
      <c r="O4" s="299"/>
      <c r="P4" s="299"/>
      <c r="Q4" s="299"/>
      <c r="R4" s="299"/>
      <c r="S4" s="299"/>
      <c r="T4" s="299"/>
      <c r="U4" s="299"/>
      <c r="V4" s="299"/>
      <c r="W4" s="299"/>
      <c r="X4" s="299"/>
      <c r="Y4" s="299"/>
      <c r="Z4" s="299"/>
      <c r="AA4" s="299"/>
      <c r="AB4" s="299"/>
      <c r="AC4" s="417"/>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row>
    <row r="5" spans="1:73" x14ac:dyDescent="0.2">
      <c r="A5" s="299"/>
      <c r="B5" s="299"/>
      <c r="C5" s="299"/>
      <c r="D5" s="299"/>
      <c r="E5" s="299"/>
      <c r="F5" s="412"/>
      <c r="G5" s="299"/>
      <c r="H5" s="299"/>
      <c r="I5" s="299"/>
      <c r="J5" s="299"/>
      <c r="K5" s="410"/>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row>
    <row r="6" spans="1:73" x14ac:dyDescent="0.2">
      <c r="A6" s="299"/>
      <c r="B6" s="299"/>
      <c r="C6" s="299"/>
      <c r="D6" s="299"/>
      <c r="E6" s="299"/>
      <c r="F6" s="299"/>
      <c r="G6" s="299"/>
      <c r="H6" s="299"/>
      <c r="I6" s="299"/>
      <c r="J6" s="299"/>
      <c r="K6" s="410"/>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row>
    <row r="7" spans="1:73" x14ac:dyDescent="0.2">
      <c r="A7" s="299"/>
      <c r="B7" s="299"/>
      <c r="C7" s="299" t="s">
        <v>19</v>
      </c>
      <c r="D7" s="299"/>
      <c r="E7" s="299"/>
      <c r="F7" s="299"/>
      <c r="G7" s="299"/>
      <c r="H7" s="299"/>
      <c r="I7" s="299"/>
      <c r="J7" s="299"/>
      <c r="K7" s="410"/>
      <c r="L7" s="299"/>
      <c r="M7" s="299"/>
      <c r="N7" s="299"/>
      <c r="O7" s="299"/>
      <c r="P7" s="299"/>
      <c r="Q7" s="299">
        <f>+Oper!Q7</f>
        <v>2016</v>
      </c>
      <c r="R7" s="299">
        <f>+Oper!R7</f>
        <v>2017</v>
      </c>
      <c r="S7" s="299">
        <f>+Oper!S7</f>
        <v>2018</v>
      </c>
      <c r="T7" s="299">
        <f>+Oper!T7</f>
        <v>2019</v>
      </c>
      <c r="U7" s="299">
        <f>+Oper!U7</f>
        <v>2020</v>
      </c>
      <c r="V7" s="299">
        <f>+Oper!V7</f>
        <v>2021</v>
      </c>
      <c r="W7" s="299">
        <f>+Oper!W7</f>
        <v>2022</v>
      </c>
      <c r="X7" s="299">
        <f>+Oper!X7</f>
        <v>2023</v>
      </c>
      <c r="Y7" s="299">
        <f>+Oper!Y7</f>
        <v>2024</v>
      </c>
      <c r="Z7" s="299">
        <f>+Oper!Z7</f>
        <v>2025</v>
      </c>
      <c r="AA7" s="299">
        <f>+Oper!AA7</f>
        <v>2026</v>
      </c>
      <c r="AB7" s="299">
        <f>+Oper!AB7</f>
        <v>2027</v>
      </c>
      <c r="AC7" s="299">
        <f>+Oper!AC7</f>
        <v>2028</v>
      </c>
      <c r="AD7" s="299">
        <f>+Oper!AD7</f>
        <v>2029</v>
      </c>
      <c r="AE7" s="299">
        <f>+Oper!AE7</f>
        <v>2030</v>
      </c>
      <c r="AF7" s="299">
        <f>+Oper!AF7</f>
        <v>2031</v>
      </c>
      <c r="AG7" s="299">
        <f>+Oper!AG7</f>
        <v>2032</v>
      </c>
      <c r="AH7" s="299">
        <f>+Oper!AH7</f>
        <v>2033</v>
      </c>
      <c r="AI7" s="299">
        <f>+Oper!AI7</f>
        <v>2034</v>
      </c>
      <c r="AJ7" s="299">
        <f>+Oper!AJ7</f>
        <v>2035</v>
      </c>
      <c r="AK7" s="299">
        <f>+Oper!AK7</f>
        <v>2036</v>
      </c>
      <c r="AL7" s="299">
        <f>+Oper!AL7</f>
        <v>2037</v>
      </c>
      <c r="AM7" s="299">
        <f>+Oper!AM7</f>
        <v>2038</v>
      </c>
      <c r="AN7" s="299">
        <f>+Oper!AN7</f>
        <v>2039</v>
      </c>
      <c r="AO7" s="299">
        <f>+Oper!AO7</f>
        <v>2040</v>
      </c>
      <c r="AP7" s="299">
        <f>+Oper!AP7</f>
        <v>2041</v>
      </c>
      <c r="AQ7" s="299">
        <f>+Oper!AQ7</f>
        <v>2042</v>
      </c>
      <c r="AR7" s="299">
        <f>+Oper!AR7</f>
        <v>2043</v>
      </c>
      <c r="AS7" s="299">
        <f>+Oper!AS7</f>
        <v>2044</v>
      </c>
      <c r="AT7" s="299">
        <f>+Oper!AT7</f>
        <v>2045</v>
      </c>
      <c r="AU7" s="299">
        <f>+Oper!AU7</f>
        <v>2046</v>
      </c>
      <c r="AV7" s="299">
        <f>+Oper!AV7</f>
        <v>2047</v>
      </c>
      <c r="AW7" s="299">
        <f>+Oper!AW7</f>
        <v>2048</v>
      </c>
      <c r="AX7" s="299">
        <f>+Oper!AX7</f>
        <v>2049</v>
      </c>
      <c r="AY7" s="299">
        <f>+Oper!AY7</f>
        <v>2050</v>
      </c>
      <c r="AZ7" s="299">
        <f>+Oper!AZ7</f>
        <v>2051</v>
      </c>
      <c r="BA7" s="299">
        <f>+Oper!BA7</f>
        <v>2052</v>
      </c>
      <c r="BB7" s="299">
        <f>+Oper!BB7</f>
        <v>2053</v>
      </c>
      <c r="BC7" s="299">
        <f>+Oper!BC7</f>
        <v>2054</v>
      </c>
      <c r="BD7" s="299">
        <f>+Oper!BD7</f>
        <v>2055</v>
      </c>
      <c r="BE7" s="299">
        <f>+Oper!BE7</f>
        <v>2056</v>
      </c>
      <c r="BF7" s="299">
        <f>+Oper!BF7</f>
        <v>2057</v>
      </c>
      <c r="BG7" s="299">
        <f>+Oper!BG7</f>
        <v>2058</v>
      </c>
      <c r="BH7" s="299">
        <f>+Oper!BH7</f>
        <v>2059</v>
      </c>
      <c r="BI7" s="299">
        <f>+Oper!BI7</f>
        <v>2060</v>
      </c>
      <c r="BJ7" s="299">
        <f>+Oper!BJ7</f>
        <v>2061</v>
      </c>
      <c r="BK7" s="299"/>
      <c r="BL7" s="299"/>
      <c r="BM7" s="299"/>
      <c r="BN7" s="299"/>
      <c r="BO7" s="299"/>
      <c r="BP7" s="299"/>
      <c r="BQ7" s="299"/>
      <c r="BR7" s="299"/>
      <c r="BS7" s="299"/>
      <c r="BT7" s="299"/>
      <c r="BU7" s="299"/>
    </row>
    <row r="8" spans="1:73" x14ac:dyDescent="0.2">
      <c r="A8" s="299"/>
      <c r="B8" s="299"/>
      <c r="C8" s="299" t="s">
        <v>45</v>
      </c>
      <c r="D8" s="299"/>
      <c r="E8" s="299"/>
      <c r="F8" s="299"/>
      <c r="G8" s="299"/>
      <c r="H8" s="299"/>
      <c r="I8" s="299"/>
      <c r="J8" s="299"/>
      <c r="K8" s="410"/>
      <c r="L8" s="299"/>
      <c r="M8" s="299"/>
      <c r="N8" s="299"/>
      <c r="O8" s="299"/>
      <c r="P8" s="299"/>
      <c r="Q8" s="413">
        <f>+Oper!Q8</f>
        <v>42370</v>
      </c>
      <c r="R8" s="413">
        <f>+Oper!R8</f>
        <v>42736</v>
      </c>
      <c r="S8" s="413">
        <f>+Oper!S8</f>
        <v>43101</v>
      </c>
      <c r="T8" s="413">
        <f>+Oper!T8</f>
        <v>43466</v>
      </c>
      <c r="U8" s="413">
        <f>+Oper!U8</f>
        <v>43831</v>
      </c>
      <c r="V8" s="413">
        <f>+Oper!V8</f>
        <v>44197</v>
      </c>
      <c r="W8" s="413">
        <f>+Oper!W8</f>
        <v>44562</v>
      </c>
      <c r="X8" s="413">
        <f>+Oper!X8</f>
        <v>44927</v>
      </c>
      <c r="Y8" s="413">
        <f>+Oper!Y8</f>
        <v>45292</v>
      </c>
      <c r="Z8" s="413">
        <f>+Oper!Z8</f>
        <v>45658</v>
      </c>
      <c r="AA8" s="413">
        <f>+Oper!AA8</f>
        <v>46023</v>
      </c>
      <c r="AB8" s="413">
        <f>+Oper!AB8</f>
        <v>46388</v>
      </c>
      <c r="AC8" s="413">
        <f>+Oper!AC8</f>
        <v>46753</v>
      </c>
      <c r="AD8" s="413">
        <f>+Oper!AD8</f>
        <v>47119</v>
      </c>
      <c r="AE8" s="413">
        <f>+Oper!AE8</f>
        <v>47484</v>
      </c>
      <c r="AF8" s="413">
        <f>+Oper!AF8</f>
        <v>47849</v>
      </c>
      <c r="AG8" s="413">
        <f>+Oper!AG8</f>
        <v>48214</v>
      </c>
      <c r="AH8" s="413">
        <f>+Oper!AH8</f>
        <v>48580</v>
      </c>
      <c r="AI8" s="413">
        <f>+Oper!AI8</f>
        <v>48945</v>
      </c>
      <c r="AJ8" s="413">
        <f>+Oper!AJ8</f>
        <v>49310</v>
      </c>
      <c r="AK8" s="413">
        <f>+Oper!AK8</f>
        <v>49675</v>
      </c>
      <c r="AL8" s="413">
        <f>+Oper!AL8</f>
        <v>50041</v>
      </c>
      <c r="AM8" s="413">
        <f>+Oper!AM8</f>
        <v>50406</v>
      </c>
      <c r="AN8" s="413">
        <f>+Oper!AN8</f>
        <v>50771</v>
      </c>
      <c r="AO8" s="413">
        <f>+Oper!AO8</f>
        <v>51136</v>
      </c>
      <c r="AP8" s="413">
        <f>+Oper!AP8</f>
        <v>51502</v>
      </c>
      <c r="AQ8" s="413">
        <f>+Oper!AQ8</f>
        <v>51867</v>
      </c>
      <c r="AR8" s="413">
        <f>+Oper!AR8</f>
        <v>52232</v>
      </c>
      <c r="AS8" s="413">
        <f>+Oper!AS8</f>
        <v>52597</v>
      </c>
      <c r="AT8" s="413">
        <f>+Oper!AT8</f>
        <v>52963</v>
      </c>
      <c r="AU8" s="413">
        <f>+Oper!AU8</f>
        <v>53328</v>
      </c>
      <c r="AV8" s="413">
        <f>+Oper!AV8</f>
        <v>53693</v>
      </c>
      <c r="AW8" s="413">
        <f>+Oper!AW8</f>
        <v>54058</v>
      </c>
      <c r="AX8" s="413">
        <f>+Oper!AX8</f>
        <v>54424</v>
      </c>
      <c r="AY8" s="413">
        <f>+Oper!AY8</f>
        <v>54789</v>
      </c>
      <c r="AZ8" s="413">
        <f>+Oper!AZ8</f>
        <v>55154</v>
      </c>
      <c r="BA8" s="413">
        <f>+Oper!BA8</f>
        <v>55519</v>
      </c>
      <c r="BB8" s="413">
        <f>+Oper!BB8</f>
        <v>55885</v>
      </c>
      <c r="BC8" s="413">
        <f>+Oper!BC8</f>
        <v>56250</v>
      </c>
      <c r="BD8" s="413">
        <f>+Oper!BD8</f>
        <v>56615</v>
      </c>
      <c r="BE8" s="413">
        <f>+Oper!BE8</f>
        <v>56980</v>
      </c>
      <c r="BF8" s="413">
        <f>+Oper!BF8</f>
        <v>57346</v>
      </c>
      <c r="BG8" s="413">
        <f>+Oper!BG8</f>
        <v>57711</v>
      </c>
      <c r="BH8" s="413">
        <f>+Oper!BH8</f>
        <v>58076</v>
      </c>
      <c r="BI8" s="413">
        <f>+Oper!BI8</f>
        <v>58441</v>
      </c>
      <c r="BJ8" s="413">
        <f>+Oper!BJ8</f>
        <v>58807</v>
      </c>
      <c r="BK8" s="413"/>
      <c r="BL8" s="413"/>
      <c r="BM8" s="413"/>
      <c r="BN8" s="413"/>
      <c r="BO8" s="413"/>
      <c r="BP8" s="413"/>
      <c r="BQ8" s="413"/>
      <c r="BR8" s="413"/>
      <c r="BS8" s="413"/>
      <c r="BT8" s="413"/>
      <c r="BU8" s="413"/>
    </row>
    <row r="9" spans="1:73" x14ac:dyDescent="0.2">
      <c r="A9" s="299"/>
      <c r="B9" s="299"/>
      <c r="C9" s="299" t="s">
        <v>46</v>
      </c>
      <c r="D9" s="299"/>
      <c r="E9" s="299"/>
      <c r="F9" s="299"/>
      <c r="G9" s="299"/>
      <c r="H9" s="299"/>
      <c r="I9" s="299"/>
      <c r="J9" s="299"/>
      <c r="K9" s="410"/>
      <c r="L9" s="299"/>
      <c r="M9" s="299"/>
      <c r="N9" s="299"/>
      <c r="O9" s="299"/>
      <c r="P9" s="299"/>
      <c r="Q9" s="413">
        <f>+Oper!Q9</f>
        <v>42735</v>
      </c>
      <c r="R9" s="413">
        <f>+Oper!R9</f>
        <v>43100</v>
      </c>
      <c r="S9" s="413">
        <f>+Oper!S9</f>
        <v>43465</v>
      </c>
      <c r="T9" s="413">
        <f>+Oper!T9</f>
        <v>43830</v>
      </c>
      <c r="U9" s="413">
        <f>+Oper!U9</f>
        <v>44196</v>
      </c>
      <c r="V9" s="413">
        <f>+Oper!V9</f>
        <v>44561</v>
      </c>
      <c r="W9" s="413">
        <f>+Oper!W9</f>
        <v>44926</v>
      </c>
      <c r="X9" s="413">
        <f>+Oper!X9</f>
        <v>45291</v>
      </c>
      <c r="Y9" s="413">
        <f>+Oper!Y9</f>
        <v>45657</v>
      </c>
      <c r="Z9" s="413">
        <f>+Oper!Z9</f>
        <v>46022</v>
      </c>
      <c r="AA9" s="413">
        <f>+Oper!AA9</f>
        <v>46387</v>
      </c>
      <c r="AB9" s="413">
        <f>+Oper!AB9</f>
        <v>46752</v>
      </c>
      <c r="AC9" s="413">
        <f>+Oper!AC9</f>
        <v>47118</v>
      </c>
      <c r="AD9" s="413">
        <f>+Oper!AD9</f>
        <v>47483</v>
      </c>
      <c r="AE9" s="413">
        <f>+Oper!AE9</f>
        <v>47848</v>
      </c>
      <c r="AF9" s="413">
        <f>+Oper!AF9</f>
        <v>48213</v>
      </c>
      <c r="AG9" s="413">
        <f>+Oper!AG9</f>
        <v>48579</v>
      </c>
      <c r="AH9" s="413">
        <f>+Oper!AH9</f>
        <v>48944</v>
      </c>
      <c r="AI9" s="413">
        <f>+Oper!AI9</f>
        <v>49309</v>
      </c>
      <c r="AJ9" s="413">
        <f>+Oper!AJ9</f>
        <v>49674</v>
      </c>
      <c r="AK9" s="413">
        <f>+Oper!AK9</f>
        <v>50040</v>
      </c>
      <c r="AL9" s="413">
        <f>+Oper!AL9</f>
        <v>50405</v>
      </c>
      <c r="AM9" s="413">
        <f>+Oper!AM9</f>
        <v>50770</v>
      </c>
      <c r="AN9" s="413">
        <f>+Oper!AN9</f>
        <v>51135</v>
      </c>
      <c r="AO9" s="413">
        <f>+Oper!AO9</f>
        <v>51501</v>
      </c>
      <c r="AP9" s="413">
        <f>+Oper!AP9</f>
        <v>51866</v>
      </c>
      <c r="AQ9" s="413">
        <f>+Oper!AQ9</f>
        <v>52231</v>
      </c>
      <c r="AR9" s="413">
        <f>+Oper!AR9</f>
        <v>52596</v>
      </c>
      <c r="AS9" s="413">
        <f>+Oper!AS9</f>
        <v>52962</v>
      </c>
      <c r="AT9" s="413">
        <f>+Oper!AT9</f>
        <v>53327</v>
      </c>
      <c r="AU9" s="413">
        <f>+Oper!AU9</f>
        <v>53692</v>
      </c>
      <c r="AV9" s="413">
        <f>+Oper!AV9</f>
        <v>54057</v>
      </c>
      <c r="AW9" s="413">
        <f>+Oper!AW9</f>
        <v>54423</v>
      </c>
      <c r="AX9" s="413">
        <f>+Oper!AX9</f>
        <v>54788</v>
      </c>
      <c r="AY9" s="413">
        <f>+Oper!AY9</f>
        <v>55153</v>
      </c>
      <c r="AZ9" s="413">
        <f>+Oper!AZ9</f>
        <v>55518</v>
      </c>
      <c r="BA9" s="413">
        <f>+Oper!BA9</f>
        <v>55884</v>
      </c>
      <c r="BB9" s="413">
        <f>+Oper!BB9</f>
        <v>56249</v>
      </c>
      <c r="BC9" s="413">
        <f>+Oper!BC9</f>
        <v>56614</v>
      </c>
      <c r="BD9" s="413">
        <f>+Oper!BD9</f>
        <v>56979</v>
      </c>
      <c r="BE9" s="413">
        <f>+Oper!BE9</f>
        <v>57345</v>
      </c>
      <c r="BF9" s="413">
        <f>+Oper!BF9</f>
        <v>57710</v>
      </c>
      <c r="BG9" s="413">
        <f>+Oper!BG9</f>
        <v>58075</v>
      </c>
      <c r="BH9" s="413">
        <f>+Oper!BH9</f>
        <v>58440</v>
      </c>
      <c r="BI9" s="413">
        <f>+Oper!BI9</f>
        <v>58806</v>
      </c>
      <c r="BJ9" s="413">
        <f>+Oper!BJ9</f>
        <v>59171</v>
      </c>
      <c r="BK9" s="413"/>
      <c r="BL9" s="413"/>
      <c r="BM9" s="413"/>
      <c r="BN9" s="413"/>
      <c r="BO9" s="413"/>
      <c r="BP9" s="413"/>
      <c r="BQ9" s="413"/>
      <c r="BR9" s="413"/>
      <c r="BS9" s="413"/>
      <c r="BT9" s="413"/>
      <c r="BU9" s="413"/>
    </row>
    <row r="10" spans="1:73" x14ac:dyDescent="0.2">
      <c r="A10" s="299"/>
      <c r="B10" s="299"/>
      <c r="C10" s="299"/>
      <c r="D10" s="299"/>
      <c r="E10" s="299"/>
      <c r="F10" s="299"/>
      <c r="G10" s="299"/>
      <c r="H10" s="299"/>
      <c r="I10" s="299"/>
      <c r="J10" s="299"/>
      <c r="K10" s="410" t="s">
        <v>47</v>
      </c>
      <c r="L10" s="300" t="s">
        <v>48</v>
      </c>
      <c r="M10" s="300"/>
      <c r="N10" s="300" t="s">
        <v>49</v>
      </c>
      <c r="O10" s="299"/>
      <c r="P10" s="299"/>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3"/>
      <c r="BD10" s="413"/>
      <c r="BE10" s="413"/>
      <c r="BF10" s="413"/>
      <c r="BG10" s="413"/>
      <c r="BH10" s="413"/>
      <c r="BI10" s="413"/>
      <c r="BJ10" s="413"/>
      <c r="BK10" s="413"/>
      <c r="BL10" s="413"/>
      <c r="BM10" s="413"/>
      <c r="BN10" s="413"/>
      <c r="BO10" s="413"/>
      <c r="BP10" s="413"/>
      <c r="BQ10" s="413"/>
      <c r="BR10" s="413"/>
      <c r="BS10" s="413"/>
      <c r="BT10" s="413"/>
      <c r="BU10" s="413"/>
    </row>
    <row r="11" spans="1:73" x14ac:dyDescent="0.2">
      <c r="A11" s="299"/>
      <c r="B11" s="299"/>
      <c r="C11" s="299"/>
      <c r="D11" s="299"/>
      <c r="E11" s="299"/>
      <c r="F11" s="299"/>
      <c r="G11" s="299"/>
      <c r="H11" s="299"/>
      <c r="I11" s="299"/>
      <c r="J11" s="299"/>
      <c r="K11" s="410"/>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row>
    <row r="12" spans="1:73" x14ac:dyDescent="0.2">
      <c r="A12" s="299"/>
      <c r="B12" s="299"/>
      <c r="C12" s="299" t="s">
        <v>145</v>
      </c>
      <c r="D12" s="299"/>
      <c r="E12" s="299"/>
      <c r="F12" s="299"/>
      <c r="G12" s="299"/>
      <c r="H12" s="299"/>
      <c r="I12" s="299"/>
      <c r="J12" s="299"/>
      <c r="K12" s="410" t="s">
        <v>50</v>
      </c>
      <c r="L12" s="413"/>
      <c r="M12" s="413"/>
      <c r="N12" s="299"/>
      <c r="O12" s="299"/>
      <c r="P12" s="299"/>
      <c r="Q12" s="414">
        <f>+CF!Q13</f>
        <v>1</v>
      </c>
      <c r="R12" s="414">
        <f>+CF!R13</f>
        <v>1</v>
      </c>
      <c r="S12" s="414">
        <f>+CF!S13</f>
        <v>1</v>
      </c>
      <c r="T12" s="414">
        <f>+CF!T13</f>
        <v>1</v>
      </c>
      <c r="U12" s="414">
        <f>+CF!U13</f>
        <v>1</v>
      </c>
      <c r="V12" s="414">
        <f>+CF!V13</f>
        <v>1</v>
      </c>
      <c r="W12" s="414">
        <f>+CF!W13</f>
        <v>1</v>
      </c>
      <c r="X12" s="414">
        <f>+CF!X13</f>
        <v>1</v>
      </c>
      <c r="Y12" s="414">
        <f>+CF!Y13</f>
        <v>1</v>
      </c>
      <c r="Z12" s="414">
        <f>+CF!Z13</f>
        <v>1</v>
      </c>
      <c r="AA12" s="414">
        <f>+CF!AA13</f>
        <v>1</v>
      </c>
      <c r="AB12" s="414">
        <f>+CF!AB13</f>
        <v>1</v>
      </c>
      <c r="AC12" s="414">
        <f>+CF!AC13</f>
        <v>1</v>
      </c>
      <c r="AD12" s="414">
        <f>+CF!AD13</f>
        <v>1</v>
      </c>
      <c r="AE12" s="414">
        <f>+CF!AE13</f>
        <v>1</v>
      </c>
      <c r="AF12" s="414">
        <f>+CF!AF13</f>
        <v>1</v>
      </c>
      <c r="AG12" s="414">
        <f>+CF!AG13</f>
        <v>1</v>
      </c>
      <c r="AH12" s="414">
        <f>+CF!AH13</f>
        <v>1</v>
      </c>
      <c r="AI12" s="414">
        <f>+CF!AI13</f>
        <v>1</v>
      </c>
      <c r="AJ12" s="414">
        <f>+CF!AJ13</f>
        <v>1</v>
      </c>
      <c r="AK12" s="414">
        <f>+CF!AK13</f>
        <v>1</v>
      </c>
      <c r="AL12" s="414">
        <f>+CF!AL13</f>
        <v>1</v>
      </c>
      <c r="AM12" s="414">
        <f>+CF!AM13</f>
        <v>1</v>
      </c>
      <c r="AN12" s="414">
        <f>+CF!AN13</f>
        <v>1</v>
      </c>
      <c r="AO12" s="414">
        <f>+CF!AO13</f>
        <v>1</v>
      </c>
      <c r="AP12" s="414">
        <f>+CF!AP13</f>
        <v>1</v>
      </c>
      <c r="AQ12" s="414">
        <f>+CF!AQ13</f>
        <v>1</v>
      </c>
      <c r="AR12" s="414">
        <f>+CF!AR13</f>
        <v>1</v>
      </c>
      <c r="AS12" s="414">
        <f>+CF!AS13</f>
        <v>1</v>
      </c>
      <c r="AT12" s="414">
        <f>+CF!AT13</f>
        <v>1</v>
      </c>
      <c r="AU12" s="414">
        <f>+CF!AU13</f>
        <v>1</v>
      </c>
      <c r="AV12" s="414">
        <f>+CF!AV13</f>
        <v>1</v>
      </c>
      <c r="AW12" s="414">
        <f>+CF!AW13</f>
        <v>1</v>
      </c>
      <c r="AX12" s="414">
        <f>+CF!AX13</f>
        <v>1</v>
      </c>
      <c r="AY12" s="414">
        <f>+CF!AY13</f>
        <v>1</v>
      </c>
      <c r="AZ12" s="414">
        <f>+CF!AZ13</f>
        <v>1</v>
      </c>
      <c r="BA12" s="414">
        <f>+CF!BA13</f>
        <v>1</v>
      </c>
      <c r="BB12" s="414">
        <f>+CF!BB13</f>
        <v>1</v>
      </c>
      <c r="BC12" s="414">
        <f>+CF!BC13</f>
        <v>1</v>
      </c>
      <c r="BD12" s="414">
        <f>+CF!BD13</f>
        <v>1</v>
      </c>
      <c r="BE12" s="414">
        <f>+CF!BE13</f>
        <v>1</v>
      </c>
      <c r="BF12" s="414">
        <f>+CF!BF13</f>
        <v>1</v>
      </c>
      <c r="BG12" s="414">
        <f>+CF!BG13</f>
        <v>1</v>
      </c>
      <c r="BH12" s="414">
        <f>+CF!BH13</f>
        <v>1</v>
      </c>
      <c r="BI12" s="414">
        <f>+CF!BI13</f>
        <v>1</v>
      </c>
      <c r="BJ12" s="414">
        <f>+CF!BJ13</f>
        <v>1</v>
      </c>
      <c r="BK12" s="414"/>
      <c r="BL12" s="414"/>
      <c r="BM12" s="414"/>
      <c r="BN12" s="414"/>
      <c r="BO12" s="414"/>
      <c r="BP12" s="414"/>
      <c r="BQ12" s="414"/>
      <c r="BR12" s="414"/>
      <c r="BS12" s="414"/>
      <c r="BT12" s="414"/>
      <c r="BU12" s="414"/>
    </row>
    <row r="13" spans="1:73" x14ac:dyDescent="0.2">
      <c r="A13" s="299"/>
      <c r="B13" s="299"/>
      <c r="C13" s="299" t="s">
        <v>51</v>
      </c>
      <c r="D13" s="299"/>
      <c r="E13" s="299"/>
      <c r="F13" s="299"/>
      <c r="G13" s="299"/>
      <c r="H13" s="299"/>
      <c r="I13" s="299"/>
      <c r="J13" s="299"/>
      <c r="K13" s="410" t="s">
        <v>50</v>
      </c>
      <c r="L13" s="413"/>
      <c r="M13" s="413"/>
      <c r="N13" s="299"/>
      <c r="O13" s="299"/>
      <c r="P13" s="299"/>
      <c r="Q13" s="414">
        <f>+CF!Q12</f>
        <v>1</v>
      </c>
      <c r="R13" s="414">
        <f>+CF!R12</f>
        <v>1</v>
      </c>
      <c r="S13" s="414">
        <f>+CF!S12</f>
        <v>1</v>
      </c>
      <c r="T13" s="414">
        <f>+CF!T12</f>
        <v>1</v>
      </c>
      <c r="U13" s="414">
        <f>+CF!U12</f>
        <v>1</v>
      </c>
      <c r="V13" s="414">
        <f>+CF!V12</f>
        <v>1</v>
      </c>
      <c r="W13" s="414">
        <f>+CF!W12</f>
        <v>1</v>
      </c>
      <c r="X13" s="414">
        <f>+CF!X12</f>
        <v>1</v>
      </c>
      <c r="Y13" s="414">
        <f>+CF!Y12</f>
        <v>1</v>
      </c>
      <c r="Z13" s="414">
        <f>+CF!Z12</f>
        <v>1</v>
      </c>
      <c r="AA13" s="414">
        <f>+CF!AA12</f>
        <v>1</v>
      </c>
      <c r="AB13" s="414">
        <f>+CF!AB12</f>
        <v>1</v>
      </c>
      <c r="AC13" s="414">
        <f>+CF!AC12</f>
        <v>1</v>
      </c>
      <c r="AD13" s="414">
        <f>+CF!AD12</f>
        <v>1</v>
      </c>
      <c r="AE13" s="414">
        <f>+CF!AE12</f>
        <v>1</v>
      </c>
      <c r="AF13" s="414">
        <f>+CF!AF12</f>
        <v>1</v>
      </c>
      <c r="AG13" s="414">
        <f>+CF!AG12</f>
        <v>1</v>
      </c>
      <c r="AH13" s="414">
        <f>+CF!AH12</f>
        <v>1</v>
      </c>
      <c r="AI13" s="414">
        <f>+CF!AI12</f>
        <v>1</v>
      </c>
      <c r="AJ13" s="414">
        <f>+CF!AJ12</f>
        <v>1</v>
      </c>
      <c r="AK13" s="414">
        <f>+CF!AK12</f>
        <v>1</v>
      </c>
      <c r="AL13" s="414">
        <f>+CF!AL12</f>
        <v>1</v>
      </c>
      <c r="AM13" s="414">
        <f>+CF!AM12</f>
        <v>1</v>
      </c>
      <c r="AN13" s="414">
        <f>+CF!AN12</f>
        <v>1</v>
      </c>
      <c r="AO13" s="414">
        <f>+CF!AO12</f>
        <v>1</v>
      </c>
      <c r="AP13" s="414">
        <f>+CF!AP12</f>
        <v>1</v>
      </c>
      <c r="AQ13" s="414">
        <f>+CF!AQ12</f>
        <v>1</v>
      </c>
      <c r="AR13" s="414">
        <f>+CF!AR12</f>
        <v>1</v>
      </c>
      <c r="AS13" s="414">
        <f>+CF!AS12</f>
        <v>1</v>
      </c>
      <c r="AT13" s="414">
        <f>+CF!AT12</f>
        <v>1</v>
      </c>
      <c r="AU13" s="414">
        <f>+CF!AU12</f>
        <v>1</v>
      </c>
      <c r="AV13" s="414">
        <f>+CF!AV12</f>
        <v>1</v>
      </c>
      <c r="AW13" s="414">
        <f>+CF!AW12</f>
        <v>1</v>
      </c>
      <c r="AX13" s="414">
        <f>+CF!AX12</f>
        <v>1</v>
      </c>
      <c r="AY13" s="414">
        <f>+CF!AY12</f>
        <v>1</v>
      </c>
      <c r="AZ13" s="414">
        <f>+CF!AZ12</f>
        <v>1</v>
      </c>
      <c r="BA13" s="414">
        <f>+CF!BA12</f>
        <v>1</v>
      </c>
      <c r="BB13" s="414">
        <f>+CF!BB12</f>
        <v>1</v>
      </c>
      <c r="BC13" s="414">
        <f>+CF!BC12</f>
        <v>1</v>
      </c>
      <c r="BD13" s="414">
        <f>+CF!BD12</f>
        <v>1</v>
      </c>
      <c r="BE13" s="414">
        <f>+CF!BE12</f>
        <v>1</v>
      </c>
      <c r="BF13" s="414">
        <f>+CF!BF12</f>
        <v>1</v>
      </c>
      <c r="BG13" s="414">
        <f>+CF!BG12</f>
        <v>1</v>
      </c>
      <c r="BH13" s="414">
        <f>+CF!BH12</f>
        <v>1</v>
      </c>
      <c r="BI13" s="414">
        <f>+CF!BI12</f>
        <v>1</v>
      </c>
      <c r="BJ13" s="414">
        <f>+CF!BJ12</f>
        <v>1</v>
      </c>
      <c r="BK13" s="414"/>
      <c r="BL13" s="414"/>
      <c r="BM13" s="414"/>
      <c r="BN13" s="414"/>
      <c r="BO13" s="414"/>
      <c r="BP13" s="414"/>
      <c r="BQ13" s="414"/>
      <c r="BR13" s="414"/>
      <c r="BS13" s="414"/>
      <c r="BT13" s="414"/>
      <c r="BU13" s="414"/>
    </row>
    <row r="14" spans="1:73" x14ac:dyDescent="0.2">
      <c r="A14" s="299"/>
      <c r="B14" s="299"/>
      <c r="C14" s="415" t="s">
        <v>146</v>
      </c>
      <c r="D14" s="299"/>
      <c r="E14" s="299"/>
      <c r="F14" s="299"/>
      <c r="G14" s="299"/>
      <c r="H14" s="299"/>
      <c r="I14" s="299"/>
      <c r="J14" s="299"/>
      <c r="K14" s="410" t="s">
        <v>56</v>
      </c>
      <c r="L14" s="299"/>
      <c r="M14" s="299"/>
      <c r="N14" s="299"/>
      <c r="O14" s="299"/>
      <c r="P14" s="299"/>
      <c r="Q14" s="416">
        <v>46</v>
      </c>
      <c r="R14" s="417">
        <f t="shared" ref="R14:AW14" si="0">+(Q14 - 1) * R13</f>
        <v>45</v>
      </c>
      <c r="S14" s="417">
        <f t="shared" si="0"/>
        <v>44</v>
      </c>
      <c r="T14" s="417">
        <f t="shared" si="0"/>
        <v>43</v>
      </c>
      <c r="U14" s="417">
        <f t="shared" si="0"/>
        <v>42</v>
      </c>
      <c r="V14" s="417">
        <f t="shared" si="0"/>
        <v>41</v>
      </c>
      <c r="W14" s="417">
        <f t="shared" si="0"/>
        <v>40</v>
      </c>
      <c r="X14" s="417">
        <f t="shared" si="0"/>
        <v>39</v>
      </c>
      <c r="Y14" s="417">
        <f t="shared" si="0"/>
        <v>38</v>
      </c>
      <c r="Z14" s="417">
        <f t="shared" si="0"/>
        <v>37</v>
      </c>
      <c r="AA14" s="417">
        <f t="shared" si="0"/>
        <v>36</v>
      </c>
      <c r="AB14" s="417">
        <f t="shared" si="0"/>
        <v>35</v>
      </c>
      <c r="AC14" s="417">
        <f t="shared" si="0"/>
        <v>34</v>
      </c>
      <c r="AD14" s="417">
        <f t="shared" si="0"/>
        <v>33</v>
      </c>
      <c r="AE14" s="417">
        <f t="shared" si="0"/>
        <v>32</v>
      </c>
      <c r="AF14" s="417">
        <f t="shared" si="0"/>
        <v>31</v>
      </c>
      <c r="AG14" s="417">
        <f t="shared" si="0"/>
        <v>30</v>
      </c>
      <c r="AH14" s="417">
        <f t="shared" si="0"/>
        <v>29</v>
      </c>
      <c r="AI14" s="417">
        <f t="shared" si="0"/>
        <v>28</v>
      </c>
      <c r="AJ14" s="417">
        <f t="shared" si="0"/>
        <v>27</v>
      </c>
      <c r="AK14" s="417">
        <f t="shared" si="0"/>
        <v>26</v>
      </c>
      <c r="AL14" s="417">
        <f t="shared" si="0"/>
        <v>25</v>
      </c>
      <c r="AM14" s="417">
        <f t="shared" si="0"/>
        <v>24</v>
      </c>
      <c r="AN14" s="417">
        <f t="shared" si="0"/>
        <v>23</v>
      </c>
      <c r="AO14" s="417">
        <f t="shared" si="0"/>
        <v>22</v>
      </c>
      <c r="AP14" s="417">
        <f t="shared" si="0"/>
        <v>21</v>
      </c>
      <c r="AQ14" s="417">
        <f t="shared" si="0"/>
        <v>20</v>
      </c>
      <c r="AR14" s="417">
        <f t="shared" si="0"/>
        <v>19</v>
      </c>
      <c r="AS14" s="417">
        <f t="shared" si="0"/>
        <v>18</v>
      </c>
      <c r="AT14" s="417">
        <f t="shared" si="0"/>
        <v>17</v>
      </c>
      <c r="AU14" s="417">
        <f t="shared" si="0"/>
        <v>16</v>
      </c>
      <c r="AV14" s="417">
        <f t="shared" si="0"/>
        <v>15</v>
      </c>
      <c r="AW14" s="417">
        <f t="shared" si="0"/>
        <v>14</v>
      </c>
      <c r="AX14" s="417">
        <f t="shared" ref="AX14:BJ14" si="1">+(AW14 - 1) * AX13</f>
        <v>13</v>
      </c>
      <c r="AY14" s="417">
        <f t="shared" si="1"/>
        <v>12</v>
      </c>
      <c r="AZ14" s="417">
        <f t="shared" si="1"/>
        <v>11</v>
      </c>
      <c r="BA14" s="417">
        <f t="shared" si="1"/>
        <v>10</v>
      </c>
      <c r="BB14" s="417">
        <f t="shared" si="1"/>
        <v>9</v>
      </c>
      <c r="BC14" s="417">
        <f t="shared" si="1"/>
        <v>8</v>
      </c>
      <c r="BD14" s="417">
        <f t="shared" si="1"/>
        <v>7</v>
      </c>
      <c r="BE14" s="417">
        <f t="shared" si="1"/>
        <v>6</v>
      </c>
      <c r="BF14" s="417">
        <f t="shared" si="1"/>
        <v>5</v>
      </c>
      <c r="BG14" s="417">
        <f t="shared" si="1"/>
        <v>4</v>
      </c>
      <c r="BH14" s="417">
        <f t="shared" si="1"/>
        <v>3</v>
      </c>
      <c r="BI14" s="417">
        <f t="shared" si="1"/>
        <v>2</v>
      </c>
      <c r="BJ14" s="417">
        <f t="shared" si="1"/>
        <v>1</v>
      </c>
      <c r="BK14" s="417"/>
      <c r="BL14" s="417"/>
      <c r="BM14" s="417"/>
      <c r="BN14" s="417"/>
      <c r="BO14" s="417"/>
      <c r="BP14" s="417"/>
      <c r="BQ14" s="417"/>
      <c r="BR14" s="417"/>
      <c r="BS14" s="417"/>
      <c r="BT14" s="417"/>
      <c r="BU14" s="417"/>
    </row>
    <row r="15" spans="1:73" x14ac:dyDescent="0.2">
      <c r="A15" s="299"/>
      <c r="B15" s="299"/>
      <c r="C15" s="308" t="s">
        <v>55</v>
      </c>
      <c r="D15" s="308"/>
      <c r="E15" s="308"/>
      <c r="F15" s="308"/>
      <c r="G15" s="308"/>
      <c r="H15" s="308"/>
      <c r="I15" s="308"/>
      <c r="J15" s="308"/>
      <c r="K15" s="627" t="s">
        <v>56</v>
      </c>
      <c r="L15" s="308"/>
      <c r="M15" s="413"/>
      <c r="N15" s="299"/>
      <c r="O15" s="299"/>
      <c r="P15" s="299"/>
      <c r="Q15" s="414">
        <f>+CF!Q15</f>
        <v>366</v>
      </c>
      <c r="R15" s="414">
        <f>+CF!R15</f>
        <v>365</v>
      </c>
      <c r="S15" s="414">
        <f>+CF!S15</f>
        <v>365</v>
      </c>
      <c r="T15" s="414">
        <f>+CF!T15</f>
        <v>365</v>
      </c>
      <c r="U15" s="414">
        <f>+CF!U15</f>
        <v>366</v>
      </c>
      <c r="V15" s="414">
        <f>+CF!V15</f>
        <v>365</v>
      </c>
      <c r="W15" s="414">
        <f>+CF!W15</f>
        <v>365</v>
      </c>
      <c r="X15" s="414">
        <f>+CF!X15</f>
        <v>365</v>
      </c>
      <c r="Y15" s="414">
        <f>+CF!Y15</f>
        <v>366</v>
      </c>
      <c r="Z15" s="414">
        <f>+CF!Z15</f>
        <v>365</v>
      </c>
      <c r="AA15" s="414">
        <f>+CF!AA15</f>
        <v>365</v>
      </c>
      <c r="AB15" s="414">
        <f>+CF!AB15</f>
        <v>365</v>
      </c>
      <c r="AC15" s="414">
        <f>+CF!AC15</f>
        <v>366</v>
      </c>
      <c r="AD15" s="414">
        <f>+CF!AD15</f>
        <v>365</v>
      </c>
      <c r="AE15" s="414">
        <f>+CF!AE15</f>
        <v>365</v>
      </c>
      <c r="AF15" s="414">
        <f>+CF!AF15</f>
        <v>365</v>
      </c>
      <c r="AG15" s="414">
        <f>+CF!AG15</f>
        <v>366</v>
      </c>
      <c r="AH15" s="414">
        <f>+CF!AH15</f>
        <v>365</v>
      </c>
      <c r="AI15" s="414">
        <f>+CF!AI15</f>
        <v>365</v>
      </c>
      <c r="AJ15" s="414">
        <f>+CF!AJ15</f>
        <v>365</v>
      </c>
      <c r="AK15" s="414">
        <f>+CF!AK15</f>
        <v>366</v>
      </c>
      <c r="AL15" s="414">
        <f>+CF!AL15</f>
        <v>365</v>
      </c>
      <c r="AM15" s="414">
        <f>+CF!AM15</f>
        <v>365</v>
      </c>
      <c r="AN15" s="414">
        <f>+CF!AN15</f>
        <v>365</v>
      </c>
      <c r="AO15" s="414">
        <f>+CF!AO15</f>
        <v>366</v>
      </c>
      <c r="AP15" s="414">
        <f>+CF!AP15</f>
        <v>365</v>
      </c>
      <c r="AQ15" s="414">
        <f>+CF!AQ15</f>
        <v>365</v>
      </c>
      <c r="AR15" s="414">
        <f>+CF!AR15</f>
        <v>365</v>
      </c>
      <c r="AS15" s="414">
        <f>+CF!AS15</f>
        <v>366</v>
      </c>
      <c r="AT15" s="414">
        <f>+CF!AT15</f>
        <v>365</v>
      </c>
      <c r="AU15" s="414">
        <f>+CF!AU15</f>
        <v>365</v>
      </c>
      <c r="AV15" s="414">
        <f>+CF!AV15</f>
        <v>365</v>
      </c>
      <c r="AW15" s="414">
        <f>+CF!AW15</f>
        <v>366</v>
      </c>
      <c r="AX15" s="414">
        <f>+CF!AX15</f>
        <v>365</v>
      </c>
      <c r="AY15" s="414">
        <f>+CF!AY15</f>
        <v>365</v>
      </c>
      <c r="AZ15" s="414">
        <f>+CF!AZ15</f>
        <v>365</v>
      </c>
      <c r="BA15" s="414">
        <f>+CF!BA15</f>
        <v>366</v>
      </c>
      <c r="BB15" s="414">
        <f>+CF!BB15</f>
        <v>365</v>
      </c>
      <c r="BC15" s="414">
        <f>+CF!BC15</f>
        <v>365</v>
      </c>
      <c r="BD15" s="414">
        <f>+CF!BD15</f>
        <v>365</v>
      </c>
      <c r="BE15" s="414">
        <f>+CF!BE15</f>
        <v>366</v>
      </c>
      <c r="BF15" s="414">
        <f>+CF!BF15</f>
        <v>365</v>
      </c>
      <c r="BG15" s="414">
        <f>+CF!BG15</f>
        <v>365</v>
      </c>
      <c r="BH15" s="414">
        <f>+CF!BH15</f>
        <v>365</v>
      </c>
      <c r="BI15" s="414">
        <f>+CF!BI15</f>
        <v>366</v>
      </c>
      <c r="BJ15" s="414">
        <f>+CF!BJ15</f>
        <v>365</v>
      </c>
      <c r="BK15" s="414"/>
      <c r="BL15" s="414"/>
      <c r="BM15" s="414"/>
      <c r="BN15" s="414"/>
      <c r="BO15" s="414"/>
      <c r="BP15" s="414"/>
      <c r="BQ15" s="414"/>
      <c r="BR15" s="414"/>
      <c r="BS15" s="414"/>
      <c r="BT15" s="414"/>
      <c r="BU15" s="414"/>
    </row>
    <row r="16" spans="1:73" x14ac:dyDescent="0.2">
      <c r="A16" s="299"/>
      <c r="B16" s="299"/>
      <c r="C16" s="299"/>
      <c r="D16" s="299"/>
      <c r="E16" s="299"/>
      <c r="F16" s="299"/>
      <c r="G16" s="299"/>
      <c r="H16" s="299"/>
      <c r="I16" s="299"/>
      <c r="J16" s="299"/>
      <c r="K16" s="410"/>
      <c r="L16" s="299"/>
      <c r="M16" s="299"/>
      <c r="N16" s="299"/>
      <c r="O16" s="299"/>
      <c r="P16" s="299"/>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7"/>
      <c r="BR16" s="417"/>
      <c r="BS16" s="417"/>
      <c r="BT16" s="417"/>
      <c r="BU16" s="417"/>
    </row>
    <row r="17" spans="1:73" ht="15.75" x14ac:dyDescent="0.25">
      <c r="A17" s="418"/>
      <c r="B17" s="418" t="s">
        <v>147</v>
      </c>
      <c r="C17" s="418"/>
      <c r="D17" s="418"/>
      <c r="E17" s="418"/>
      <c r="F17" s="418"/>
      <c r="G17" s="418"/>
      <c r="H17" s="418"/>
      <c r="I17" s="418"/>
      <c r="J17" s="418"/>
      <c r="K17" s="628"/>
      <c r="L17" s="418"/>
      <c r="M17" s="418"/>
      <c r="N17" s="418"/>
      <c r="O17" s="419"/>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1"/>
      <c r="BK17" s="420"/>
      <c r="BL17" s="420"/>
      <c r="BM17" s="420"/>
      <c r="BN17" s="420"/>
      <c r="BO17" s="420"/>
      <c r="BP17" s="420"/>
      <c r="BQ17" s="420"/>
      <c r="BR17" s="420"/>
      <c r="BS17" s="420"/>
      <c r="BT17" s="420"/>
      <c r="BU17" s="420"/>
    </row>
    <row r="18" spans="1:73" ht="20.25" x14ac:dyDescent="0.3">
      <c r="A18" s="422"/>
      <c r="B18" s="422"/>
      <c r="C18" s="422"/>
      <c r="D18" s="422"/>
      <c r="E18" s="422"/>
      <c r="F18" s="422"/>
      <c r="G18" s="422"/>
      <c r="H18" s="422"/>
      <c r="I18" s="422"/>
      <c r="J18" s="422"/>
      <c r="K18" s="629"/>
      <c r="L18" s="422"/>
      <c r="M18" s="422"/>
      <c r="N18" s="422"/>
      <c r="O18" s="422"/>
      <c r="P18" s="422"/>
      <c r="Q18" s="422"/>
      <c r="R18" s="422"/>
      <c r="S18" s="422"/>
      <c r="T18" s="422"/>
      <c r="U18" s="422"/>
      <c r="V18" s="422"/>
      <c r="W18" s="422"/>
      <c r="X18" s="422"/>
      <c r="Y18" s="422"/>
      <c r="Z18" s="422"/>
      <c r="AA18" s="422"/>
      <c r="AB18" s="422"/>
      <c r="AC18" s="422"/>
      <c r="AD18" s="589"/>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422"/>
      <c r="BE18" s="422"/>
      <c r="BF18" s="422"/>
      <c r="BG18" s="422"/>
      <c r="BH18" s="422"/>
      <c r="BI18" s="422"/>
      <c r="BJ18" s="422"/>
      <c r="BK18" s="422"/>
      <c r="BL18" s="422"/>
      <c r="BM18" s="422"/>
      <c r="BN18" s="422"/>
      <c r="BO18" s="422"/>
      <c r="BP18" s="422"/>
      <c r="BQ18" s="422"/>
      <c r="BR18" s="422"/>
      <c r="BS18" s="422"/>
      <c r="BT18" s="422"/>
      <c r="BU18" s="422"/>
    </row>
    <row r="19" spans="1:73" x14ac:dyDescent="0.2">
      <c r="A19" s="299"/>
      <c r="B19" s="423" t="s">
        <v>277</v>
      </c>
      <c r="C19" s="299"/>
      <c r="D19" s="299"/>
      <c r="E19" s="424"/>
      <c r="F19" s="299"/>
      <c r="G19" s="299"/>
      <c r="H19" s="299"/>
      <c r="I19" s="299"/>
      <c r="J19" s="299"/>
      <c r="K19" s="410"/>
      <c r="L19" s="299"/>
      <c r="M19" s="417"/>
      <c r="N19" s="299"/>
      <c r="O19" s="299"/>
      <c r="P19" s="299"/>
      <c r="Q19" s="299"/>
      <c r="R19" s="299"/>
      <c r="S19" s="299"/>
      <c r="T19" s="299"/>
      <c r="U19" s="425"/>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row>
    <row r="20" spans="1:73" x14ac:dyDescent="0.2">
      <c r="A20" s="299"/>
      <c r="B20" s="299"/>
      <c r="C20" s="299" t="s">
        <v>148</v>
      </c>
      <c r="D20" s="299"/>
      <c r="E20" s="299"/>
      <c r="F20" s="299"/>
      <c r="G20" s="299"/>
      <c r="H20" s="299"/>
      <c r="I20" s="299"/>
      <c r="J20" s="299"/>
      <c r="K20" s="410" t="s">
        <v>62</v>
      </c>
      <c r="L20" s="299"/>
      <c r="M20" s="299"/>
      <c r="N20" s="417"/>
      <c r="O20" s="299"/>
      <c r="P20" s="299"/>
      <c r="Q20" s="417"/>
      <c r="R20" s="417">
        <f t="shared" ref="R20" si="2">+Q25</f>
        <v>0</v>
      </c>
      <c r="S20" s="417">
        <f t="shared" ref="S20" si="3">+R25</f>
        <v>400000</v>
      </c>
      <c r="T20" s="417">
        <f t="shared" ref="T20" si="4">+S25</f>
        <v>400000</v>
      </c>
      <c r="U20" s="417">
        <f t="shared" ref="U20" si="5">+T25</f>
        <v>0</v>
      </c>
      <c r="V20" s="417">
        <f t="shared" ref="V20" si="6">+U25</f>
        <v>0</v>
      </c>
      <c r="W20" s="417">
        <f t="shared" ref="W20" si="7">+V25</f>
        <v>0</v>
      </c>
      <c r="X20" s="417">
        <f t="shared" ref="X20" si="8">+W25</f>
        <v>0</v>
      </c>
      <c r="Y20" s="417">
        <f t="shared" ref="Y20" si="9">+X25</f>
        <v>0</v>
      </c>
      <c r="Z20" s="417">
        <f t="shared" ref="Z20" si="10">+Y25</f>
        <v>0</v>
      </c>
      <c r="AA20" s="417">
        <f t="shared" ref="AA20" si="11">+Z25</f>
        <v>0</v>
      </c>
      <c r="AB20" s="417">
        <f t="shared" ref="AB20" si="12">+AA25</f>
        <v>0</v>
      </c>
      <c r="AC20" s="417">
        <f t="shared" ref="AC20" si="13">+AB25</f>
        <v>0</v>
      </c>
      <c r="AD20" s="417">
        <f t="shared" ref="AD20" si="14">+AC25</f>
        <v>0</v>
      </c>
      <c r="AE20" s="417">
        <f t="shared" ref="AE20" si="15">+AD25</f>
        <v>0</v>
      </c>
      <c r="AF20" s="417">
        <f t="shared" ref="AF20" si="16">+AE25</f>
        <v>0</v>
      </c>
      <c r="AG20" s="417">
        <f t="shared" ref="AG20" si="17">+AF25</f>
        <v>0</v>
      </c>
      <c r="AH20" s="417">
        <f t="shared" ref="AH20" si="18">+AG25</f>
        <v>0</v>
      </c>
      <c r="AI20" s="417">
        <f t="shared" ref="AI20" si="19">+AH25</f>
        <v>0</v>
      </c>
      <c r="AJ20" s="417">
        <f t="shared" ref="AJ20" si="20">+AI25</f>
        <v>0</v>
      </c>
      <c r="AK20" s="417">
        <f t="shared" ref="AK20" si="21">+AJ25</f>
        <v>0</v>
      </c>
      <c r="AL20" s="417">
        <f t="shared" ref="AL20" si="22">+AK25</f>
        <v>0</v>
      </c>
      <c r="AM20" s="417">
        <f t="shared" ref="AM20" si="23">+AL25</f>
        <v>0</v>
      </c>
      <c r="AN20" s="417">
        <f t="shared" ref="AN20" si="24">+AM25</f>
        <v>0</v>
      </c>
      <c r="AO20" s="417">
        <f t="shared" ref="AO20" si="25">+AN25</f>
        <v>0</v>
      </c>
      <c r="AP20" s="417">
        <f t="shared" ref="AP20" si="26">+AO25</f>
        <v>0</v>
      </c>
      <c r="AQ20" s="417">
        <f t="shared" ref="AQ20" si="27">+AP25</f>
        <v>0</v>
      </c>
      <c r="AR20" s="417">
        <f t="shared" ref="AR20" si="28">+AQ25</f>
        <v>0</v>
      </c>
      <c r="AS20" s="417">
        <f t="shared" ref="AS20" si="29">+AR25</f>
        <v>0</v>
      </c>
      <c r="AT20" s="417">
        <f t="shared" ref="AT20" si="30">+AS25</f>
        <v>0</v>
      </c>
      <c r="AU20" s="417">
        <f t="shared" ref="AU20" si="31">+AT25</f>
        <v>0</v>
      </c>
      <c r="AV20" s="417">
        <f t="shared" ref="AV20" si="32">+AU25</f>
        <v>0</v>
      </c>
      <c r="AW20" s="417">
        <f t="shared" ref="AW20" si="33">+AV25</f>
        <v>0</v>
      </c>
      <c r="AX20" s="417">
        <f t="shared" ref="AX20" si="34">+AW25</f>
        <v>0</v>
      </c>
      <c r="AY20" s="417">
        <f t="shared" ref="AY20" si="35">+AX25</f>
        <v>0</v>
      </c>
      <c r="AZ20" s="417">
        <f t="shared" ref="AZ20" si="36">+AY25</f>
        <v>0</v>
      </c>
      <c r="BA20" s="417">
        <f t="shared" ref="BA20" si="37">+AZ25</f>
        <v>0</v>
      </c>
      <c r="BB20" s="417">
        <f t="shared" ref="BB20" si="38">+BA25</f>
        <v>0</v>
      </c>
      <c r="BC20" s="417">
        <f t="shared" ref="BC20" si="39">+BB25</f>
        <v>0</v>
      </c>
      <c r="BD20" s="417">
        <f t="shared" ref="BD20" si="40">+BC25</f>
        <v>0</v>
      </c>
      <c r="BE20" s="417">
        <f t="shared" ref="BE20" si="41">+BD25</f>
        <v>0</v>
      </c>
      <c r="BF20" s="417">
        <f t="shared" ref="BF20" si="42">+BE25</f>
        <v>0</v>
      </c>
      <c r="BG20" s="417">
        <f t="shared" ref="BG20" si="43">+BF25</f>
        <v>0</v>
      </c>
      <c r="BH20" s="417">
        <f t="shared" ref="BH20" si="44">+BG25</f>
        <v>0</v>
      </c>
      <c r="BI20" s="417">
        <f t="shared" ref="BI20" si="45">+BH25</f>
        <v>0</v>
      </c>
      <c r="BJ20" s="417">
        <f t="shared" ref="BJ20" si="46">+BI25</f>
        <v>0</v>
      </c>
      <c r="BK20" s="417"/>
      <c r="BL20" s="417"/>
      <c r="BM20" s="417"/>
      <c r="BN20" s="417"/>
      <c r="BO20" s="417"/>
      <c r="BP20" s="417"/>
      <c r="BQ20" s="417"/>
      <c r="BR20" s="417"/>
      <c r="BS20" s="417"/>
      <c r="BT20" s="417"/>
      <c r="BU20" s="417"/>
    </row>
    <row r="21" spans="1:73" x14ac:dyDescent="0.2">
      <c r="A21" s="299"/>
      <c r="B21" s="299"/>
      <c r="C21" s="299" t="s">
        <v>149</v>
      </c>
      <c r="D21" s="299"/>
      <c r="E21" s="299"/>
      <c r="F21" s="299"/>
      <c r="G21" s="299"/>
      <c r="H21" s="299"/>
      <c r="I21" s="299"/>
      <c r="J21" s="299"/>
      <c r="K21" s="410" t="s">
        <v>62</v>
      </c>
      <c r="L21" s="299"/>
      <c r="M21" s="417"/>
      <c r="N21" s="417">
        <f>+R25</f>
        <v>400000</v>
      </c>
      <c r="O21" s="299"/>
      <c r="P21" s="299"/>
      <c r="Q21" s="417"/>
      <c r="R21" s="417">
        <f t="shared" ref="R21:V21" si="47">+R89</f>
        <v>0</v>
      </c>
      <c r="S21" s="417">
        <f t="shared" si="47"/>
        <v>0</v>
      </c>
      <c r="T21" s="417">
        <f t="shared" si="47"/>
        <v>0</v>
      </c>
      <c r="U21" s="417">
        <f t="shared" si="47"/>
        <v>0</v>
      </c>
      <c r="V21" s="417">
        <f t="shared" si="47"/>
        <v>0</v>
      </c>
      <c r="W21" s="417">
        <f t="shared" ref="W21:BJ21" si="48">+W89</f>
        <v>0</v>
      </c>
      <c r="X21" s="417">
        <f t="shared" si="48"/>
        <v>0</v>
      </c>
      <c r="Y21" s="417">
        <f t="shared" si="48"/>
        <v>0</v>
      </c>
      <c r="Z21" s="417">
        <f t="shared" si="48"/>
        <v>0</v>
      </c>
      <c r="AA21" s="417">
        <f t="shared" si="48"/>
        <v>0</v>
      </c>
      <c r="AB21" s="417">
        <f t="shared" si="48"/>
        <v>0</v>
      </c>
      <c r="AC21" s="417">
        <f t="shared" si="48"/>
        <v>0</v>
      </c>
      <c r="AD21" s="417">
        <f t="shared" si="48"/>
        <v>0</v>
      </c>
      <c r="AE21" s="417">
        <f t="shared" si="48"/>
        <v>0</v>
      </c>
      <c r="AF21" s="417">
        <f t="shared" si="48"/>
        <v>0</v>
      </c>
      <c r="AG21" s="417">
        <f t="shared" si="48"/>
        <v>0</v>
      </c>
      <c r="AH21" s="417">
        <f t="shared" si="48"/>
        <v>0</v>
      </c>
      <c r="AI21" s="417">
        <f t="shared" si="48"/>
        <v>0</v>
      </c>
      <c r="AJ21" s="417">
        <f t="shared" si="48"/>
        <v>0</v>
      </c>
      <c r="AK21" s="417">
        <f t="shared" si="48"/>
        <v>0</v>
      </c>
      <c r="AL21" s="417">
        <f t="shared" si="48"/>
        <v>0</v>
      </c>
      <c r="AM21" s="417">
        <f t="shared" si="48"/>
        <v>0</v>
      </c>
      <c r="AN21" s="417">
        <f t="shared" si="48"/>
        <v>0</v>
      </c>
      <c r="AO21" s="417">
        <f t="shared" si="48"/>
        <v>0</v>
      </c>
      <c r="AP21" s="417">
        <f t="shared" si="48"/>
        <v>0</v>
      </c>
      <c r="AQ21" s="417">
        <f t="shared" si="48"/>
        <v>0</v>
      </c>
      <c r="AR21" s="417">
        <f t="shared" si="48"/>
        <v>0</v>
      </c>
      <c r="AS21" s="417">
        <f t="shared" si="48"/>
        <v>0</v>
      </c>
      <c r="AT21" s="417">
        <f t="shared" si="48"/>
        <v>0</v>
      </c>
      <c r="AU21" s="417">
        <f t="shared" si="48"/>
        <v>0</v>
      </c>
      <c r="AV21" s="417">
        <f t="shared" si="48"/>
        <v>0</v>
      </c>
      <c r="AW21" s="417">
        <f t="shared" si="48"/>
        <v>0</v>
      </c>
      <c r="AX21" s="417">
        <f t="shared" si="48"/>
        <v>0</v>
      </c>
      <c r="AY21" s="417">
        <f t="shared" si="48"/>
        <v>0</v>
      </c>
      <c r="AZ21" s="417">
        <f t="shared" si="48"/>
        <v>0</v>
      </c>
      <c r="BA21" s="417">
        <f t="shared" si="48"/>
        <v>0</v>
      </c>
      <c r="BB21" s="417">
        <f t="shared" si="48"/>
        <v>0</v>
      </c>
      <c r="BC21" s="417">
        <f t="shared" si="48"/>
        <v>0</v>
      </c>
      <c r="BD21" s="417">
        <f t="shared" si="48"/>
        <v>0</v>
      </c>
      <c r="BE21" s="417">
        <f t="shared" si="48"/>
        <v>0</v>
      </c>
      <c r="BF21" s="417">
        <f t="shared" si="48"/>
        <v>0</v>
      </c>
      <c r="BG21" s="417">
        <f t="shared" si="48"/>
        <v>0</v>
      </c>
      <c r="BH21" s="417">
        <f t="shared" si="48"/>
        <v>0</v>
      </c>
      <c r="BI21" s="417">
        <f t="shared" si="48"/>
        <v>0</v>
      </c>
      <c r="BJ21" s="417">
        <f t="shared" si="48"/>
        <v>0</v>
      </c>
      <c r="BK21" s="417"/>
      <c r="BL21" s="417"/>
      <c r="BM21" s="417"/>
      <c r="BN21" s="417"/>
      <c r="BO21" s="417"/>
      <c r="BP21" s="417"/>
      <c r="BQ21" s="417"/>
      <c r="BR21" s="417"/>
      <c r="BS21" s="417"/>
      <c r="BT21" s="417"/>
      <c r="BU21" s="417"/>
    </row>
    <row r="22" spans="1:73" x14ac:dyDescent="0.2">
      <c r="A22" s="299"/>
      <c r="B22" s="299"/>
      <c r="C22" s="299" t="s">
        <v>150</v>
      </c>
      <c r="D22" s="299"/>
      <c r="E22" s="299"/>
      <c r="F22" s="299"/>
      <c r="G22" s="299"/>
      <c r="H22" s="299"/>
      <c r="I22" s="299"/>
      <c r="J22" s="299"/>
      <c r="K22" s="410" t="s">
        <v>62</v>
      </c>
      <c r="L22" s="299"/>
      <c r="M22" s="299"/>
      <c r="N22" s="417">
        <f>SUM(Q22:BJ22)</f>
        <v>83621.34375</v>
      </c>
      <c r="O22" s="299"/>
      <c r="P22" s="299"/>
      <c r="Q22" s="417"/>
      <c r="R22" s="417">
        <f>+R90</f>
        <v>27873.78125</v>
      </c>
      <c r="S22" s="417">
        <f t="shared" ref="S22:BJ24" si="49">+S90</f>
        <v>27873.78125</v>
      </c>
      <c r="T22" s="417">
        <f t="shared" si="49"/>
        <v>27873.78125</v>
      </c>
      <c r="U22" s="417">
        <f t="shared" si="49"/>
        <v>0</v>
      </c>
      <c r="V22" s="417">
        <f t="shared" si="49"/>
        <v>0</v>
      </c>
      <c r="W22" s="417">
        <f t="shared" si="49"/>
        <v>0</v>
      </c>
      <c r="X22" s="417">
        <f t="shared" si="49"/>
        <v>0</v>
      </c>
      <c r="Y22" s="417">
        <f t="shared" si="49"/>
        <v>0</v>
      </c>
      <c r="Z22" s="417">
        <f t="shared" si="49"/>
        <v>0</v>
      </c>
      <c r="AA22" s="417">
        <f t="shared" si="49"/>
        <v>0</v>
      </c>
      <c r="AB22" s="417">
        <f t="shared" si="49"/>
        <v>0</v>
      </c>
      <c r="AC22" s="417">
        <f t="shared" si="49"/>
        <v>0</v>
      </c>
      <c r="AD22" s="417">
        <f t="shared" si="49"/>
        <v>0</v>
      </c>
      <c r="AE22" s="417">
        <f t="shared" si="49"/>
        <v>0</v>
      </c>
      <c r="AF22" s="417">
        <f t="shared" si="49"/>
        <v>0</v>
      </c>
      <c r="AG22" s="417">
        <f t="shared" si="49"/>
        <v>0</v>
      </c>
      <c r="AH22" s="417">
        <f t="shared" si="49"/>
        <v>0</v>
      </c>
      <c r="AI22" s="417">
        <f t="shared" si="49"/>
        <v>0</v>
      </c>
      <c r="AJ22" s="417">
        <f t="shared" si="49"/>
        <v>0</v>
      </c>
      <c r="AK22" s="417">
        <f t="shared" si="49"/>
        <v>0</v>
      </c>
      <c r="AL22" s="417">
        <f t="shared" si="49"/>
        <v>0</v>
      </c>
      <c r="AM22" s="417">
        <f t="shared" si="49"/>
        <v>0</v>
      </c>
      <c r="AN22" s="417">
        <f t="shared" si="49"/>
        <v>0</v>
      </c>
      <c r="AO22" s="417">
        <f t="shared" si="49"/>
        <v>0</v>
      </c>
      <c r="AP22" s="417">
        <f t="shared" si="49"/>
        <v>0</v>
      </c>
      <c r="AQ22" s="417">
        <f t="shared" si="49"/>
        <v>0</v>
      </c>
      <c r="AR22" s="417">
        <f t="shared" si="49"/>
        <v>0</v>
      </c>
      <c r="AS22" s="417">
        <f t="shared" si="49"/>
        <v>0</v>
      </c>
      <c r="AT22" s="417">
        <f t="shared" si="49"/>
        <v>0</v>
      </c>
      <c r="AU22" s="417">
        <f t="shared" si="49"/>
        <v>0</v>
      </c>
      <c r="AV22" s="417">
        <f t="shared" si="49"/>
        <v>0</v>
      </c>
      <c r="AW22" s="417">
        <f t="shared" si="49"/>
        <v>0</v>
      </c>
      <c r="AX22" s="417">
        <f t="shared" si="49"/>
        <v>0</v>
      </c>
      <c r="AY22" s="417">
        <f t="shared" si="49"/>
        <v>0</v>
      </c>
      <c r="AZ22" s="417">
        <f t="shared" si="49"/>
        <v>0</v>
      </c>
      <c r="BA22" s="417">
        <f t="shared" si="49"/>
        <v>0</v>
      </c>
      <c r="BB22" s="417">
        <f t="shared" si="49"/>
        <v>0</v>
      </c>
      <c r="BC22" s="417">
        <f t="shared" si="49"/>
        <v>0</v>
      </c>
      <c r="BD22" s="417">
        <f t="shared" si="49"/>
        <v>0</v>
      </c>
      <c r="BE22" s="417">
        <f t="shared" si="49"/>
        <v>0</v>
      </c>
      <c r="BF22" s="417">
        <f t="shared" si="49"/>
        <v>0</v>
      </c>
      <c r="BG22" s="417">
        <f t="shared" si="49"/>
        <v>0</v>
      </c>
      <c r="BH22" s="417">
        <f t="shared" si="49"/>
        <v>0</v>
      </c>
      <c r="BI22" s="417">
        <f t="shared" si="49"/>
        <v>0</v>
      </c>
      <c r="BJ22" s="417">
        <f t="shared" si="49"/>
        <v>0</v>
      </c>
      <c r="BK22" s="417"/>
      <c r="BL22" s="417"/>
      <c r="BM22" s="417"/>
      <c r="BN22" s="417"/>
      <c r="BO22" s="417"/>
      <c r="BP22" s="417"/>
      <c r="BQ22" s="417"/>
      <c r="BR22" s="417"/>
      <c r="BS22" s="417"/>
      <c r="BT22" s="417"/>
      <c r="BU22" s="417"/>
    </row>
    <row r="23" spans="1:73" ht="12" customHeight="1" x14ac:dyDescent="0.2">
      <c r="A23" s="299"/>
      <c r="B23" s="299"/>
      <c r="C23" s="299" t="s">
        <v>120</v>
      </c>
      <c r="D23" s="299"/>
      <c r="E23" s="299"/>
      <c r="F23" s="299"/>
      <c r="G23" s="299"/>
      <c r="H23" s="299"/>
      <c r="I23" s="299"/>
      <c r="J23" s="299"/>
      <c r="K23" s="410" t="s">
        <v>62</v>
      </c>
      <c r="L23" s="299"/>
      <c r="M23" s="299"/>
      <c r="N23" s="417">
        <f>SUM(Q23:BJ23)</f>
        <v>-83621.34375</v>
      </c>
      <c r="O23" s="299"/>
      <c r="P23" s="299"/>
      <c r="Q23" s="417"/>
      <c r="R23" s="417">
        <f t="shared" ref="R23:AG24" si="50">+R91</f>
        <v>-27873.78125</v>
      </c>
      <c r="S23" s="417">
        <f t="shared" si="50"/>
        <v>-27873.78125</v>
      </c>
      <c r="T23" s="417">
        <f t="shared" si="50"/>
        <v>-27873.78125</v>
      </c>
      <c r="U23" s="417">
        <f t="shared" si="50"/>
        <v>0</v>
      </c>
      <c r="V23" s="417">
        <f t="shared" si="50"/>
        <v>0</v>
      </c>
      <c r="W23" s="417">
        <f t="shared" si="50"/>
        <v>0</v>
      </c>
      <c r="X23" s="417">
        <f t="shared" si="50"/>
        <v>0</v>
      </c>
      <c r="Y23" s="417">
        <f t="shared" si="50"/>
        <v>0</v>
      </c>
      <c r="Z23" s="417">
        <f t="shared" si="50"/>
        <v>0</v>
      </c>
      <c r="AA23" s="417">
        <f t="shared" si="50"/>
        <v>0</v>
      </c>
      <c r="AB23" s="417">
        <f t="shared" si="50"/>
        <v>0</v>
      </c>
      <c r="AC23" s="417">
        <f t="shared" si="50"/>
        <v>0</v>
      </c>
      <c r="AD23" s="417">
        <f t="shared" si="50"/>
        <v>0</v>
      </c>
      <c r="AE23" s="417">
        <f t="shared" si="50"/>
        <v>0</v>
      </c>
      <c r="AF23" s="417">
        <f t="shared" si="50"/>
        <v>0</v>
      </c>
      <c r="AG23" s="417">
        <f t="shared" si="50"/>
        <v>0</v>
      </c>
      <c r="AH23" s="417">
        <f t="shared" si="49"/>
        <v>0</v>
      </c>
      <c r="AI23" s="417">
        <f t="shared" si="49"/>
        <v>0</v>
      </c>
      <c r="AJ23" s="417">
        <f t="shared" si="49"/>
        <v>0</v>
      </c>
      <c r="AK23" s="417">
        <f t="shared" si="49"/>
        <v>0</v>
      </c>
      <c r="AL23" s="417">
        <f t="shared" si="49"/>
        <v>0</v>
      </c>
      <c r="AM23" s="417">
        <f t="shared" si="49"/>
        <v>0</v>
      </c>
      <c r="AN23" s="417">
        <f t="shared" si="49"/>
        <v>0</v>
      </c>
      <c r="AO23" s="417">
        <f t="shared" si="49"/>
        <v>0</v>
      </c>
      <c r="AP23" s="417">
        <f t="shared" si="49"/>
        <v>0</v>
      </c>
      <c r="AQ23" s="417">
        <f t="shared" si="49"/>
        <v>0</v>
      </c>
      <c r="AR23" s="417">
        <f t="shared" si="49"/>
        <v>0</v>
      </c>
      <c r="AS23" s="417">
        <f t="shared" si="49"/>
        <v>0</v>
      </c>
      <c r="AT23" s="417">
        <f t="shared" si="49"/>
        <v>0</v>
      </c>
      <c r="AU23" s="417">
        <f t="shared" si="49"/>
        <v>0</v>
      </c>
      <c r="AV23" s="417">
        <f t="shared" si="49"/>
        <v>0</v>
      </c>
      <c r="AW23" s="417">
        <f t="shared" si="49"/>
        <v>0</v>
      </c>
      <c r="AX23" s="417">
        <f t="shared" si="49"/>
        <v>0</v>
      </c>
      <c r="AY23" s="417">
        <f t="shared" si="49"/>
        <v>0</v>
      </c>
      <c r="AZ23" s="417">
        <f t="shared" si="49"/>
        <v>0</v>
      </c>
      <c r="BA23" s="417">
        <f t="shared" si="49"/>
        <v>0</v>
      </c>
      <c r="BB23" s="417">
        <f t="shared" si="49"/>
        <v>0</v>
      </c>
      <c r="BC23" s="417">
        <f t="shared" si="49"/>
        <v>0</v>
      </c>
      <c r="BD23" s="417">
        <f t="shared" si="49"/>
        <v>0</v>
      </c>
      <c r="BE23" s="417">
        <f t="shared" si="49"/>
        <v>0</v>
      </c>
      <c r="BF23" s="417">
        <f t="shared" si="49"/>
        <v>0</v>
      </c>
      <c r="BG23" s="417">
        <f t="shared" si="49"/>
        <v>0</v>
      </c>
      <c r="BH23" s="417">
        <f t="shared" si="49"/>
        <v>0</v>
      </c>
      <c r="BI23" s="417">
        <f t="shared" si="49"/>
        <v>0</v>
      </c>
      <c r="BJ23" s="417">
        <f t="shared" si="49"/>
        <v>0</v>
      </c>
      <c r="BK23" s="417"/>
      <c r="BL23" s="417"/>
      <c r="BM23" s="417"/>
      <c r="BN23" s="417"/>
      <c r="BO23" s="417"/>
      <c r="BP23" s="417"/>
      <c r="BQ23" s="417"/>
      <c r="BR23" s="417"/>
      <c r="BS23" s="417"/>
      <c r="BT23" s="417"/>
      <c r="BU23" s="417"/>
    </row>
    <row r="24" spans="1:73" x14ac:dyDescent="0.2">
      <c r="A24" s="299"/>
      <c r="B24" s="299"/>
      <c r="C24" s="426" t="s">
        <v>152</v>
      </c>
      <c r="D24" s="426"/>
      <c r="E24" s="426"/>
      <c r="F24" s="426"/>
      <c r="G24" s="426"/>
      <c r="H24" s="426"/>
      <c r="I24" s="426"/>
      <c r="J24" s="426"/>
      <c r="K24" s="630" t="s">
        <v>62</v>
      </c>
      <c r="L24" s="426"/>
      <c r="M24" s="426"/>
      <c r="N24" s="427">
        <f>SUM(Q24:BJ24)</f>
        <v>-400000</v>
      </c>
      <c r="O24" s="426"/>
      <c r="P24" s="426"/>
      <c r="Q24" s="427"/>
      <c r="R24" s="427">
        <f t="shared" si="50"/>
        <v>0</v>
      </c>
      <c r="S24" s="427">
        <f t="shared" si="49"/>
        <v>0</v>
      </c>
      <c r="T24" s="427">
        <f t="shared" si="49"/>
        <v>-400000</v>
      </c>
      <c r="U24" s="427">
        <f t="shared" si="49"/>
        <v>0</v>
      </c>
      <c r="V24" s="427">
        <f t="shared" si="49"/>
        <v>0</v>
      </c>
      <c r="W24" s="427">
        <f t="shared" si="49"/>
        <v>0</v>
      </c>
      <c r="X24" s="427">
        <f t="shared" si="49"/>
        <v>0</v>
      </c>
      <c r="Y24" s="427">
        <f t="shared" si="49"/>
        <v>0</v>
      </c>
      <c r="Z24" s="427">
        <f t="shared" si="49"/>
        <v>0</v>
      </c>
      <c r="AA24" s="427">
        <f t="shared" si="49"/>
        <v>0</v>
      </c>
      <c r="AB24" s="427">
        <f t="shared" si="49"/>
        <v>0</v>
      </c>
      <c r="AC24" s="427">
        <f t="shared" si="49"/>
        <v>0</v>
      </c>
      <c r="AD24" s="427">
        <f t="shared" si="49"/>
        <v>0</v>
      </c>
      <c r="AE24" s="427">
        <f t="shared" si="49"/>
        <v>0</v>
      </c>
      <c r="AF24" s="427">
        <f t="shared" si="49"/>
        <v>0</v>
      </c>
      <c r="AG24" s="427">
        <f t="shared" si="49"/>
        <v>0</v>
      </c>
      <c r="AH24" s="427">
        <f t="shared" si="49"/>
        <v>0</v>
      </c>
      <c r="AI24" s="427">
        <f t="shared" si="49"/>
        <v>0</v>
      </c>
      <c r="AJ24" s="427">
        <f t="shared" si="49"/>
        <v>0</v>
      </c>
      <c r="AK24" s="427">
        <f t="shared" si="49"/>
        <v>0</v>
      </c>
      <c r="AL24" s="427">
        <f t="shared" si="49"/>
        <v>0</v>
      </c>
      <c r="AM24" s="427">
        <f t="shared" si="49"/>
        <v>0</v>
      </c>
      <c r="AN24" s="427">
        <f t="shared" si="49"/>
        <v>0</v>
      </c>
      <c r="AO24" s="427">
        <f t="shared" si="49"/>
        <v>0</v>
      </c>
      <c r="AP24" s="427">
        <f t="shared" si="49"/>
        <v>0</v>
      </c>
      <c r="AQ24" s="427">
        <f t="shared" si="49"/>
        <v>0</v>
      </c>
      <c r="AR24" s="427">
        <f t="shared" si="49"/>
        <v>0</v>
      </c>
      <c r="AS24" s="427">
        <f t="shared" si="49"/>
        <v>0</v>
      </c>
      <c r="AT24" s="427">
        <f t="shared" si="49"/>
        <v>0</v>
      </c>
      <c r="AU24" s="427">
        <f t="shared" si="49"/>
        <v>0</v>
      </c>
      <c r="AV24" s="427">
        <f t="shared" si="49"/>
        <v>0</v>
      </c>
      <c r="AW24" s="427">
        <f t="shared" si="49"/>
        <v>0</v>
      </c>
      <c r="AX24" s="427">
        <f t="shared" si="49"/>
        <v>0</v>
      </c>
      <c r="AY24" s="427">
        <f t="shared" si="49"/>
        <v>0</v>
      </c>
      <c r="AZ24" s="427">
        <f t="shared" si="49"/>
        <v>0</v>
      </c>
      <c r="BA24" s="427">
        <f t="shared" si="49"/>
        <v>0</v>
      </c>
      <c r="BB24" s="427">
        <f t="shared" si="49"/>
        <v>0</v>
      </c>
      <c r="BC24" s="427">
        <f t="shared" si="49"/>
        <v>0</v>
      </c>
      <c r="BD24" s="427">
        <f t="shared" si="49"/>
        <v>0</v>
      </c>
      <c r="BE24" s="427">
        <f t="shared" si="49"/>
        <v>0</v>
      </c>
      <c r="BF24" s="427">
        <f t="shared" si="49"/>
        <v>0</v>
      </c>
      <c r="BG24" s="427">
        <f t="shared" si="49"/>
        <v>0</v>
      </c>
      <c r="BH24" s="427">
        <f t="shared" si="49"/>
        <v>0</v>
      </c>
      <c r="BI24" s="427">
        <f t="shared" si="49"/>
        <v>0</v>
      </c>
      <c r="BJ24" s="427">
        <f t="shared" si="49"/>
        <v>0</v>
      </c>
      <c r="BK24" s="427"/>
      <c r="BL24" s="427"/>
      <c r="BM24" s="427"/>
      <c r="BN24" s="427"/>
      <c r="BO24" s="427"/>
      <c r="BP24" s="427"/>
      <c r="BQ24" s="427"/>
      <c r="BR24" s="427"/>
      <c r="BS24" s="427"/>
      <c r="BT24" s="427"/>
      <c r="BU24" s="427"/>
    </row>
    <row r="25" spans="1:73" ht="13.5" thickBot="1" x14ac:dyDescent="0.25">
      <c r="A25" s="299"/>
      <c r="B25" s="299"/>
      <c r="C25" s="299" t="s">
        <v>153</v>
      </c>
      <c r="D25" s="299"/>
      <c r="E25" s="299"/>
      <c r="F25" s="299"/>
      <c r="G25" s="299"/>
      <c r="H25" s="299"/>
      <c r="I25" s="299"/>
      <c r="J25" s="299"/>
      <c r="K25" s="410" t="s">
        <v>62</v>
      </c>
      <c r="L25" s="299"/>
      <c r="M25" s="299"/>
      <c r="N25" s="417"/>
      <c r="O25" s="299"/>
      <c r="P25" s="299"/>
      <c r="Q25" s="416"/>
      <c r="R25" s="417">
        <f>+Inputs!$L$216</f>
        <v>400000</v>
      </c>
      <c r="S25" s="417">
        <f t="shared" ref="S25:T25" si="51">SUM(S20:S24)</f>
        <v>400000</v>
      </c>
      <c r="T25" s="417">
        <f t="shared" si="51"/>
        <v>0</v>
      </c>
      <c r="U25" s="417">
        <f t="shared" ref="U25" si="52">SUM(U20:U24)</f>
        <v>0</v>
      </c>
      <c r="V25" s="417">
        <f t="shared" ref="V25:BJ25" si="53">SUM(V20:V24)</f>
        <v>0</v>
      </c>
      <c r="W25" s="417">
        <f t="shared" si="53"/>
        <v>0</v>
      </c>
      <c r="X25" s="417">
        <f t="shared" si="53"/>
        <v>0</v>
      </c>
      <c r="Y25" s="417">
        <f t="shared" si="53"/>
        <v>0</v>
      </c>
      <c r="Z25" s="417">
        <f t="shared" si="53"/>
        <v>0</v>
      </c>
      <c r="AA25" s="417">
        <f t="shared" si="53"/>
        <v>0</v>
      </c>
      <c r="AB25" s="417">
        <f t="shared" si="53"/>
        <v>0</v>
      </c>
      <c r="AC25" s="417">
        <f t="shared" si="53"/>
        <v>0</v>
      </c>
      <c r="AD25" s="417">
        <f t="shared" si="53"/>
        <v>0</v>
      </c>
      <c r="AE25" s="417">
        <f t="shared" si="53"/>
        <v>0</v>
      </c>
      <c r="AF25" s="417">
        <f t="shared" si="53"/>
        <v>0</v>
      </c>
      <c r="AG25" s="417">
        <f t="shared" si="53"/>
        <v>0</v>
      </c>
      <c r="AH25" s="417">
        <f t="shared" si="53"/>
        <v>0</v>
      </c>
      <c r="AI25" s="417">
        <f t="shared" si="53"/>
        <v>0</v>
      </c>
      <c r="AJ25" s="417">
        <f t="shared" si="53"/>
        <v>0</v>
      </c>
      <c r="AK25" s="417">
        <f t="shared" si="53"/>
        <v>0</v>
      </c>
      <c r="AL25" s="417">
        <f t="shared" si="53"/>
        <v>0</v>
      </c>
      <c r="AM25" s="417">
        <f t="shared" si="53"/>
        <v>0</v>
      </c>
      <c r="AN25" s="417">
        <f t="shared" si="53"/>
        <v>0</v>
      </c>
      <c r="AO25" s="417">
        <f t="shared" si="53"/>
        <v>0</v>
      </c>
      <c r="AP25" s="417">
        <f t="shared" si="53"/>
        <v>0</v>
      </c>
      <c r="AQ25" s="417">
        <f t="shared" si="53"/>
        <v>0</v>
      </c>
      <c r="AR25" s="417">
        <f t="shared" si="53"/>
        <v>0</v>
      </c>
      <c r="AS25" s="417">
        <f t="shared" si="53"/>
        <v>0</v>
      </c>
      <c r="AT25" s="417">
        <f t="shared" si="53"/>
        <v>0</v>
      </c>
      <c r="AU25" s="417">
        <f t="shared" si="53"/>
        <v>0</v>
      </c>
      <c r="AV25" s="417">
        <f t="shared" si="53"/>
        <v>0</v>
      </c>
      <c r="AW25" s="417">
        <f t="shared" si="53"/>
        <v>0</v>
      </c>
      <c r="AX25" s="417">
        <f t="shared" si="53"/>
        <v>0</v>
      </c>
      <c r="AY25" s="417">
        <f t="shared" si="53"/>
        <v>0</v>
      </c>
      <c r="AZ25" s="417">
        <f t="shared" si="53"/>
        <v>0</v>
      </c>
      <c r="BA25" s="417">
        <f t="shared" si="53"/>
        <v>0</v>
      </c>
      <c r="BB25" s="417">
        <f t="shared" si="53"/>
        <v>0</v>
      </c>
      <c r="BC25" s="417">
        <f t="shared" si="53"/>
        <v>0</v>
      </c>
      <c r="BD25" s="417">
        <f t="shared" si="53"/>
        <v>0</v>
      </c>
      <c r="BE25" s="417">
        <f t="shared" si="53"/>
        <v>0</v>
      </c>
      <c r="BF25" s="417">
        <f t="shared" si="53"/>
        <v>0</v>
      </c>
      <c r="BG25" s="417">
        <f t="shared" si="53"/>
        <v>0</v>
      </c>
      <c r="BH25" s="417">
        <f t="shared" si="53"/>
        <v>0</v>
      </c>
      <c r="BI25" s="417">
        <f t="shared" si="53"/>
        <v>0</v>
      </c>
      <c r="BJ25" s="417">
        <f t="shared" si="53"/>
        <v>0</v>
      </c>
      <c r="BK25" s="417"/>
      <c r="BL25" s="417"/>
      <c r="BM25" s="417"/>
      <c r="BN25" s="417"/>
      <c r="BO25" s="417"/>
      <c r="BP25" s="417"/>
      <c r="BQ25" s="417"/>
      <c r="BR25" s="417"/>
      <c r="BS25" s="417"/>
      <c r="BT25" s="417"/>
      <c r="BU25" s="417"/>
    </row>
    <row r="26" spans="1:73" ht="13.5" thickBot="1" x14ac:dyDescent="0.25">
      <c r="A26" s="299"/>
      <c r="B26" s="299"/>
      <c r="C26" s="299"/>
      <c r="D26" s="299"/>
      <c r="E26" s="299"/>
      <c r="F26" s="299"/>
      <c r="G26" s="299"/>
      <c r="H26" s="299"/>
      <c r="I26" s="299"/>
      <c r="J26" s="299"/>
      <c r="K26" s="410"/>
      <c r="L26" s="299"/>
      <c r="M26" s="299"/>
      <c r="N26" s="428">
        <f>IF(ROUND(SUM(N21:N24),1)&lt;&gt;0,1,0)</f>
        <v>0</v>
      </c>
      <c r="O26" s="299"/>
      <c r="P26" s="299"/>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c r="BN26" s="417"/>
      <c r="BO26" s="417"/>
      <c r="BP26" s="417"/>
      <c r="BQ26" s="417"/>
      <c r="BR26" s="417"/>
      <c r="BS26" s="417"/>
      <c r="BT26" s="417"/>
      <c r="BU26" s="417"/>
    </row>
    <row r="27" spans="1:73" x14ac:dyDescent="0.2">
      <c r="A27" s="299"/>
      <c r="B27" s="423" t="s">
        <v>343</v>
      </c>
      <c r="C27" s="299"/>
      <c r="D27" s="299"/>
      <c r="E27" s="424"/>
      <c r="F27" s="299"/>
      <c r="G27" s="299"/>
      <c r="H27" s="299"/>
      <c r="I27" s="299"/>
      <c r="J27" s="299"/>
      <c r="K27" s="410"/>
      <c r="L27" s="299"/>
      <c r="M27" s="417"/>
      <c r="N27" s="299"/>
      <c r="O27" s="299"/>
      <c r="P27" s="299"/>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row>
    <row r="28" spans="1:73" x14ac:dyDescent="0.2">
      <c r="A28" s="299"/>
      <c r="B28" s="299"/>
      <c r="C28" s="299" t="s">
        <v>148</v>
      </c>
      <c r="D28" s="299"/>
      <c r="E28" s="299"/>
      <c r="F28" s="299"/>
      <c r="G28" s="299"/>
      <c r="H28" s="299"/>
      <c r="I28" s="299"/>
      <c r="J28" s="299"/>
      <c r="K28" s="410" t="s">
        <v>62</v>
      </c>
      <c r="L28" s="299"/>
      <c r="M28" s="299"/>
      <c r="N28" s="417"/>
      <c r="O28" s="299"/>
      <c r="P28" s="299"/>
      <c r="Q28" s="417"/>
      <c r="R28" s="417">
        <f t="shared" ref="R28" si="54">+Q33</f>
        <v>0</v>
      </c>
      <c r="S28" s="417">
        <f t="shared" ref="S28" si="55">+R33</f>
        <v>0</v>
      </c>
      <c r="T28" s="417">
        <f t="shared" ref="T28" si="56">+S33</f>
        <v>0</v>
      </c>
      <c r="U28" s="417">
        <f t="shared" ref="U28" si="57">+T33</f>
        <v>0</v>
      </c>
      <c r="V28" s="417">
        <f t="shared" ref="V28" si="58">+U33</f>
        <v>3321.3370258702384</v>
      </c>
      <c r="W28" s="417">
        <f t="shared" ref="W28" si="59">+V33</f>
        <v>8176.8670862673162</v>
      </c>
      <c r="X28" s="417">
        <f t="shared" ref="X28" si="60">+W33</f>
        <v>13411.590445796232</v>
      </c>
      <c r="Y28" s="417">
        <f t="shared" ref="Y28" si="61">+X33</f>
        <v>19055.120258184375</v>
      </c>
      <c r="Z28" s="417">
        <f t="shared" ref="Z28" si="62">+Y33</f>
        <v>25139.38232054099</v>
      </c>
      <c r="AA28" s="417">
        <f t="shared" ref="AA28" si="63">+Z33</f>
        <v>31698.795679565519</v>
      </c>
      <c r="AB28" s="417">
        <f t="shared" ref="AB28" si="64">+AA33</f>
        <v>38770.467342223026</v>
      </c>
      <c r="AC28" s="417">
        <f t="shared" ref="AC28" si="65">+AB33</f>
        <v>45883.14349077033</v>
      </c>
      <c r="AD28" s="417">
        <f t="shared" ref="AD28" si="66">+AC33</f>
        <v>53037.061886226787</v>
      </c>
      <c r="AE28" s="417">
        <f t="shared" ref="AE28" si="67">+AD33</f>
        <v>0</v>
      </c>
      <c r="AF28" s="417">
        <f t="shared" ref="AF28" si="68">+AE33</f>
        <v>7237.1216948748361</v>
      </c>
      <c r="AG28" s="417">
        <f t="shared" ref="AG28" si="69">+AF33</f>
        <v>14516.207223561025</v>
      </c>
      <c r="AH28" s="417">
        <f t="shared" ref="AH28" si="70">+AG33</f>
        <v>22341.291289486951</v>
      </c>
      <c r="AI28" s="417">
        <f t="shared" ref="AI28" si="71">+AH33</f>
        <v>30753.32881775868</v>
      </c>
      <c r="AJ28" s="417">
        <f t="shared" ref="AJ28" si="72">+AI33</f>
        <v>39796.346730522622</v>
      </c>
      <c r="AK28" s="417">
        <f t="shared" ref="AK28" si="73">+AJ33</f>
        <v>49517.674375071387</v>
      </c>
      <c r="AL28" s="417">
        <f t="shared" ref="AL28" si="74">+AK33</f>
        <v>59968.191236182349</v>
      </c>
      <c r="AM28" s="417">
        <f t="shared" ref="AM28" si="75">+AL33</f>
        <v>71371.128141124791</v>
      </c>
      <c r="AN28" s="417">
        <f t="shared" ref="AN28" si="76">+AM33</f>
        <v>83813.285001515294</v>
      </c>
      <c r="AO28" s="417">
        <f t="shared" ref="AO28" si="77">+AN33</f>
        <v>0</v>
      </c>
      <c r="AP28" s="417">
        <f t="shared" ref="AP28" si="78">+AO33</f>
        <v>14813.35989367567</v>
      </c>
      <c r="AQ28" s="417">
        <f t="shared" ref="AQ28" si="79">+AP33</f>
        <v>30976.752619863924</v>
      </c>
      <c r="AR28" s="417">
        <f t="shared" ref="AR28" si="80">+AQ33</f>
        <v>45740.78124599508</v>
      </c>
      <c r="AS28" s="417">
        <f t="shared" ref="AS28" si="81">+AR33</f>
        <v>59226.597309849691</v>
      </c>
      <c r="AT28" s="417">
        <f t="shared" ref="AT28" si="82">+AS33</f>
        <v>71544.863517098071</v>
      </c>
      <c r="AU28" s="417">
        <f t="shared" ref="AU28" si="83">+AT33</f>
        <v>82796.66182386408</v>
      </c>
      <c r="AV28" s="417">
        <f t="shared" ref="AV28" si="84">+AU33</f>
        <v>93074.322901008694</v>
      </c>
      <c r="AW28" s="417">
        <f t="shared" ref="AW28" si="85">+AV33</f>
        <v>101241.29866986125</v>
      </c>
      <c r="AX28" s="417">
        <f t="shared" ref="AX28" si="86">+AW33</f>
        <v>101241.29866986125</v>
      </c>
      <c r="AY28" s="417">
        <f t="shared" ref="AY28" si="87">+AX33</f>
        <v>0</v>
      </c>
      <c r="AZ28" s="417">
        <f t="shared" ref="AZ28" si="88">+AY33</f>
        <v>0</v>
      </c>
      <c r="BA28" s="417">
        <f t="shared" ref="BA28" si="89">+AZ33</f>
        <v>0</v>
      </c>
      <c r="BB28" s="417">
        <f t="shared" ref="BB28" si="90">+BA33</f>
        <v>0</v>
      </c>
      <c r="BC28" s="417">
        <f t="shared" ref="BC28" si="91">+BB33</f>
        <v>0</v>
      </c>
      <c r="BD28" s="417">
        <f t="shared" ref="BD28" si="92">+BC33</f>
        <v>0</v>
      </c>
      <c r="BE28" s="417">
        <f t="shared" ref="BE28" si="93">+BD33</f>
        <v>0</v>
      </c>
      <c r="BF28" s="417">
        <f t="shared" ref="BF28" si="94">+BE33</f>
        <v>0</v>
      </c>
      <c r="BG28" s="417">
        <f t="shared" ref="BG28" si="95">+BF33</f>
        <v>0</v>
      </c>
      <c r="BH28" s="417">
        <f t="shared" ref="BH28" si="96">+BG33</f>
        <v>0</v>
      </c>
      <c r="BI28" s="417">
        <f t="shared" ref="BI28" si="97">+BH33</f>
        <v>0</v>
      </c>
      <c r="BJ28" s="417">
        <f t="shared" ref="BJ28" si="98">+BI33</f>
        <v>0</v>
      </c>
      <c r="BK28" s="417"/>
      <c r="BL28" s="417"/>
      <c r="BM28" s="417"/>
      <c r="BN28" s="417"/>
      <c r="BO28" s="417"/>
      <c r="BP28" s="417"/>
      <c r="BQ28" s="417"/>
      <c r="BR28" s="417"/>
      <c r="BS28" s="417"/>
      <c r="BT28" s="417"/>
      <c r="BU28" s="417"/>
    </row>
    <row r="29" spans="1:73" x14ac:dyDescent="0.2">
      <c r="A29" s="299"/>
      <c r="B29" s="299"/>
      <c r="C29" s="299" t="s">
        <v>149</v>
      </c>
      <c r="D29" s="299"/>
      <c r="E29" s="299"/>
      <c r="F29" s="299"/>
      <c r="G29" s="299"/>
      <c r="H29" s="299"/>
      <c r="I29" s="299"/>
      <c r="J29" s="299"/>
      <c r="K29" s="410" t="s">
        <v>62</v>
      </c>
      <c r="L29" s="299"/>
      <c r="M29" s="417"/>
      <c r="N29" s="417">
        <f>SUM(Q29:BJ29)</f>
        <v>258863.13267827081</v>
      </c>
      <c r="O29" s="299"/>
      <c r="P29" s="299"/>
      <c r="Q29" s="417"/>
      <c r="R29" s="417">
        <f t="shared" ref="R29:V29" si="99">+R214</f>
        <v>0</v>
      </c>
      <c r="S29" s="417">
        <f t="shared" si="99"/>
        <v>0</v>
      </c>
      <c r="T29" s="417">
        <f t="shared" si="99"/>
        <v>0</v>
      </c>
      <c r="U29" s="417">
        <f t="shared" si="99"/>
        <v>3321.3370258702384</v>
      </c>
      <c r="V29" s="417">
        <f t="shared" si="99"/>
        <v>4855.5300603970763</v>
      </c>
      <c r="W29" s="417">
        <f>+W214</f>
        <v>5234.7233595289154</v>
      </c>
      <c r="X29" s="417">
        <f t="shared" ref="X29:BJ29" si="100">+X214</f>
        <v>5643.5298123881421</v>
      </c>
      <c r="Y29" s="417">
        <f t="shared" si="100"/>
        <v>6084.2620623566136</v>
      </c>
      <c r="Z29" s="417">
        <f t="shared" si="100"/>
        <v>6559.4133590245247</v>
      </c>
      <c r="AA29" s="417">
        <f t="shared" si="100"/>
        <v>7071.6716626575071</v>
      </c>
      <c r="AB29" s="417">
        <f t="shared" si="100"/>
        <v>7112.6761485473016</v>
      </c>
      <c r="AC29" s="417">
        <f t="shared" si="100"/>
        <v>7153.9183954564542</v>
      </c>
      <c r="AD29" s="417">
        <f t="shared" si="100"/>
        <v>7195.3997820219884</v>
      </c>
      <c r="AE29" s="417">
        <f t="shared" si="100"/>
        <v>7237.1216948748361</v>
      </c>
      <c r="AF29" s="417">
        <f t="shared" si="100"/>
        <v>7279.0855286861879</v>
      </c>
      <c r="AG29" s="417">
        <f t="shared" si="100"/>
        <v>7825.0840659259275</v>
      </c>
      <c r="AH29" s="417">
        <f t="shared" si="100"/>
        <v>8412.0375282717268</v>
      </c>
      <c r="AI29" s="417">
        <f t="shared" si="100"/>
        <v>9043.0179127639458</v>
      </c>
      <c r="AJ29" s="417">
        <f t="shared" si="100"/>
        <v>9721.3276445487663</v>
      </c>
      <c r="AK29" s="417">
        <f t="shared" si="100"/>
        <v>10450.516861110962</v>
      </c>
      <c r="AL29" s="417">
        <f t="shared" si="100"/>
        <v>11402.936904942444</v>
      </c>
      <c r="AM29" s="417">
        <f t="shared" si="100"/>
        <v>12442.156860390503</v>
      </c>
      <c r="AN29" s="417">
        <f t="shared" si="100"/>
        <v>13576.087338645486</v>
      </c>
      <c r="AO29" s="417">
        <f t="shared" si="100"/>
        <v>14813.35989367567</v>
      </c>
      <c r="AP29" s="417">
        <f t="shared" si="100"/>
        <v>16163.392726188255</v>
      </c>
      <c r="AQ29" s="417">
        <f t="shared" si="100"/>
        <v>14764.028626131159</v>
      </c>
      <c r="AR29" s="417">
        <f t="shared" si="100"/>
        <v>13485.816063854612</v>
      </c>
      <c r="AS29" s="417">
        <f t="shared" si="100"/>
        <v>12318.266207248376</v>
      </c>
      <c r="AT29" s="417">
        <f t="shared" si="100"/>
        <v>11251.798306766013</v>
      </c>
      <c r="AU29" s="417">
        <f t="shared" si="100"/>
        <v>10277.661077144619</v>
      </c>
      <c r="AV29" s="417">
        <f t="shared" si="100"/>
        <v>8166.9757688525569</v>
      </c>
      <c r="AW29" s="417">
        <f t="shared" si="100"/>
        <v>0</v>
      </c>
      <c r="AX29" s="417">
        <f t="shared" si="100"/>
        <v>0</v>
      </c>
      <c r="AY29" s="417">
        <f t="shared" si="100"/>
        <v>0</v>
      </c>
      <c r="AZ29" s="417">
        <f t="shared" si="100"/>
        <v>0</v>
      </c>
      <c r="BA29" s="417">
        <f t="shared" si="100"/>
        <v>0</v>
      </c>
      <c r="BB29" s="417">
        <f t="shared" si="100"/>
        <v>0</v>
      </c>
      <c r="BC29" s="417">
        <f t="shared" si="100"/>
        <v>0</v>
      </c>
      <c r="BD29" s="417">
        <f t="shared" si="100"/>
        <v>0</v>
      </c>
      <c r="BE29" s="417">
        <f t="shared" si="100"/>
        <v>0</v>
      </c>
      <c r="BF29" s="417">
        <f t="shared" si="100"/>
        <v>0</v>
      </c>
      <c r="BG29" s="417">
        <f t="shared" si="100"/>
        <v>0</v>
      </c>
      <c r="BH29" s="417">
        <f t="shared" si="100"/>
        <v>0</v>
      </c>
      <c r="BI29" s="417">
        <f t="shared" si="100"/>
        <v>0</v>
      </c>
      <c r="BJ29" s="417">
        <f t="shared" si="100"/>
        <v>0</v>
      </c>
      <c r="BK29" s="417"/>
      <c r="BL29" s="417"/>
      <c r="BM29" s="417"/>
      <c r="BN29" s="417"/>
      <c r="BO29" s="417"/>
      <c r="BP29" s="417"/>
      <c r="BQ29" s="417"/>
      <c r="BR29" s="417"/>
      <c r="BS29" s="417"/>
      <c r="BT29" s="417"/>
      <c r="BU29" s="417"/>
    </row>
    <row r="30" spans="1:73" x14ac:dyDescent="0.2">
      <c r="A30" s="299"/>
      <c r="B30" s="299"/>
      <c r="C30" s="299" t="s">
        <v>150</v>
      </c>
      <c r="D30" s="299"/>
      <c r="E30" s="299"/>
      <c r="F30" s="299"/>
      <c r="G30" s="299"/>
      <c r="H30" s="299"/>
      <c r="I30" s="299"/>
      <c r="J30" s="299"/>
      <c r="K30" s="410" t="s">
        <v>62</v>
      </c>
      <c r="L30" s="299"/>
      <c r="M30" s="299"/>
      <c r="N30" s="417">
        <f>SUM(Q30:BJ30)</f>
        <v>68347.07448021452</v>
      </c>
      <c r="O30" s="299"/>
      <c r="P30" s="299"/>
      <c r="Q30" s="417"/>
      <c r="R30" s="417">
        <f t="shared" ref="R30:T30" si="101">-R210</f>
        <v>0</v>
      </c>
      <c r="S30" s="417">
        <f t="shared" si="101"/>
        <v>0</v>
      </c>
      <c r="T30" s="417">
        <f t="shared" si="101"/>
        <v>0</v>
      </c>
      <c r="U30" s="417">
        <f>-U210</f>
        <v>44.319090938955995</v>
      </c>
      <c r="V30" s="417">
        <f t="shared" ref="V30:BJ30" si="102">-V210</f>
        <v>241.40595681618939</v>
      </c>
      <c r="W30" s="417">
        <f t="shared" si="102"/>
        <v>504.90781148566839</v>
      </c>
      <c r="X30" s="417">
        <f t="shared" si="102"/>
        <v>788.98788034733946</v>
      </c>
      <c r="Y30" s="417">
        <f t="shared" si="102"/>
        <v>1098.2539156751623</v>
      </c>
      <c r="Z30" s="417">
        <f t="shared" si="102"/>
        <v>1425.4363981678987</v>
      </c>
      <c r="AA30" s="417">
        <f t="shared" si="102"/>
        <v>1781.4052757460909</v>
      </c>
      <c r="AB30" s="417">
        <f t="shared" si="102"/>
        <v>2158.3701239430084</v>
      </c>
      <c r="AC30" s="417">
        <f t="shared" si="102"/>
        <v>2544.4728824092385</v>
      </c>
      <c r="AD30" s="417">
        <f t="shared" si="102"/>
        <v>2918.8698902099159</v>
      </c>
      <c r="AE30" s="417">
        <f t="shared" si="102"/>
        <v>96.306489220860442</v>
      </c>
      <c r="AF30" s="417">
        <f t="shared" si="102"/>
        <v>482.09087108028137</v>
      </c>
      <c r="AG30" s="417">
        <f t="shared" si="102"/>
        <v>879.21852606226878</v>
      </c>
      <c r="AH30" s="417">
        <f t="shared" si="102"/>
        <v>1301.1497544963067</v>
      </c>
      <c r="AI30" s="417">
        <f t="shared" si="102"/>
        <v>1757.3121421073208</v>
      </c>
      <c r="AJ30" s="417">
        <f t="shared" si="102"/>
        <v>2247.6909151966834</v>
      </c>
      <c r="AK30" s="417">
        <f t="shared" si="102"/>
        <v>2782.4549541348842</v>
      </c>
      <c r="AL30" s="417">
        <f t="shared" si="102"/>
        <v>3343.7990532599556</v>
      </c>
      <c r="AM30" s="417">
        <f t="shared" si="102"/>
        <v>3964.5970853155886</v>
      </c>
      <c r="AN30" s="417">
        <f t="shared" si="102"/>
        <v>4641.972270133987</v>
      </c>
      <c r="AO30" s="417">
        <f t="shared" si="102"/>
        <v>197.66577108123471</v>
      </c>
      <c r="AP30" s="417">
        <f t="shared" si="102"/>
        <v>1003.5937840040435</v>
      </c>
      <c r="AQ30" s="417">
        <f t="shared" si="102"/>
        <v>1845.3359630977832</v>
      </c>
      <c r="AR30" s="417">
        <f t="shared" si="102"/>
        <v>2614.2033561313451</v>
      </c>
      <c r="AS30" s="417">
        <f t="shared" si="102"/>
        <v>3325.591496116198</v>
      </c>
      <c r="AT30" s="417">
        <f t="shared" si="102"/>
        <v>3958.004426138174</v>
      </c>
      <c r="AU30" s="417">
        <f t="shared" si="102"/>
        <v>4543.9651452708094</v>
      </c>
      <c r="AV30" s="417">
        <f t="shared" si="102"/>
        <v>5062.9489746756617</v>
      </c>
      <c r="AW30" s="417">
        <f t="shared" si="102"/>
        <v>5403.7543165038442</v>
      </c>
      <c r="AX30" s="417">
        <f t="shared" si="102"/>
        <v>5388.9899604478233</v>
      </c>
      <c r="AY30" s="417">
        <f t="shared" si="102"/>
        <v>0</v>
      </c>
      <c r="AZ30" s="417">
        <f t="shared" si="102"/>
        <v>0</v>
      </c>
      <c r="BA30" s="417">
        <f t="shared" si="102"/>
        <v>0</v>
      </c>
      <c r="BB30" s="417">
        <f t="shared" si="102"/>
        <v>0</v>
      </c>
      <c r="BC30" s="417">
        <f t="shared" si="102"/>
        <v>0</v>
      </c>
      <c r="BD30" s="417">
        <f t="shared" si="102"/>
        <v>0</v>
      </c>
      <c r="BE30" s="417">
        <f t="shared" si="102"/>
        <v>0</v>
      </c>
      <c r="BF30" s="417">
        <f t="shared" si="102"/>
        <v>0</v>
      </c>
      <c r="BG30" s="417">
        <f t="shared" si="102"/>
        <v>0</v>
      </c>
      <c r="BH30" s="417">
        <f t="shared" si="102"/>
        <v>0</v>
      </c>
      <c r="BI30" s="417">
        <f t="shared" si="102"/>
        <v>0</v>
      </c>
      <c r="BJ30" s="417">
        <f t="shared" si="102"/>
        <v>0</v>
      </c>
      <c r="BK30" s="417"/>
      <c r="BL30" s="417"/>
      <c r="BM30" s="417"/>
      <c r="BN30" s="417"/>
      <c r="BO30" s="417"/>
      <c r="BP30" s="417"/>
      <c r="BQ30" s="417"/>
      <c r="BR30" s="417"/>
      <c r="BS30" s="417"/>
      <c r="BT30" s="417"/>
      <c r="BU30" s="417"/>
    </row>
    <row r="31" spans="1:73" x14ac:dyDescent="0.2">
      <c r="A31" s="299"/>
      <c r="B31" s="299"/>
      <c r="C31" s="299" t="s">
        <v>120</v>
      </c>
      <c r="D31" s="299"/>
      <c r="E31" s="299"/>
      <c r="F31" s="299"/>
      <c r="G31" s="299"/>
      <c r="H31" s="299"/>
      <c r="I31" s="299"/>
      <c r="J31" s="299"/>
      <c r="K31" s="410" t="s">
        <v>62</v>
      </c>
      <c r="L31" s="299"/>
      <c r="M31" s="299"/>
      <c r="N31" s="417">
        <f>SUM(Q31:BJ31)</f>
        <v>-68347.07448021452</v>
      </c>
      <c r="O31" s="299"/>
      <c r="P31" s="299"/>
      <c r="Q31" s="417"/>
      <c r="R31" s="417">
        <f t="shared" ref="R31:T31" si="103">R210</f>
        <v>0</v>
      </c>
      <c r="S31" s="417">
        <f t="shared" si="103"/>
        <v>0</v>
      </c>
      <c r="T31" s="417">
        <f t="shared" si="103"/>
        <v>0</v>
      </c>
      <c r="U31" s="417">
        <f>U210</f>
        <v>-44.319090938955995</v>
      </c>
      <c r="V31" s="417">
        <f t="shared" ref="V31:BJ31" si="104">V210</f>
        <v>-241.40595681618939</v>
      </c>
      <c r="W31" s="417">
        <f t="shared" si="104"/>
        <v>-504.90781148566839</v>
      </c>
      <c r="X31" s="417">
        <f t="shared" si="104"/>
        <v>-788.98788034733946</v>
      </c>
      <c r="Y31" s="417">
        <f t="shared" si="104"/>
        <v>-1098.2539156751623</v>
      </c>
      <c r="Z31" s="417">
        <f t="shared" si="104"/>
        <v>-1425.4363981678987</v>
      </c>
      <c r="AA31" s="417">
        <f t="shared" si="104"/>
        <v>-1781.4052757460909</v>
      </c>
      <c r="AB31" s="417">
        <f t="shared" si="104"/>
        <v>-2158.3701239430084</v>
      </c>
      <c r="AC31" s="417">
        <f t="shared" si="104"/>
        <v>-2544.4728824092385</v>
      </c>
      <c r="AD31" s="417">
        <f t="shared" si="104"/>
        <v>-2918.8698902099159</v>
      </c>
      <c r="AE31" s="417">
        <f t="shared" si="104"/>
        <v>-96.306489220860442</v>
      </c>
      <c r="AF31" s="417">
        <f t="shared" si="104"/>
        <v>-482.09087108028137</v>
      </c>
      <c r="AG31" s="417">
        <f t="shared" si="104"/>
        <v>-879.21852606226878</v>
      </c>
      <c r="AH31" s="417">
        <f t="shared" si="104"/>
        <v>-1301.1497544963067</v>
      </c>
      <c r="AI31" s="417">
        <f t="shared" si="104"/>
        <v>-1757.3121421073208</v>
      </c>
      <c r="AJ31" s="417">
        <f t="shared" si="104"/>
        <v>-2247.6909151966834</v>
      </c>
      <c r="AK31" s="417">
        <f t="shared" si="104"/>
        <v>-2782.4549541348842</v>
      </c>
      <c r="AL31" s="417">
        <f t="shared" si="104"/>
        <v>-3343.7990532599556</v>
      </c>
      <c r="AM31" s="417">
        <f t="shared" si="104"/>
        <v>-3964.5970853155886</v>
      </c>
      <c r="AN31" s="417">
        <f t="shared" si="104"/>
        <v>-4641.972270133987</v>
      </c>
      <c r="AO31" s="417">
        <f t="shared" si="104"/>
        <v>-197.66577108123471</v>
      </c>
      <c r="AP31" s="417">
        <f t="shared" si="104"/>
        <v>-1003.5937840040435</v>
      </c>
      <c r="AQ31" s="417">
        <f t="shared" si="104"/>
        <v>-1845.3359630977832</v>
      </c>
      <c r="AR31" s="417">
        <f t="shared" si="104"/>
        <v>-2614.2033561313451</v>
      </c>
      <c r="AS31" s="417">
        <f t="shared" si="104"/>
        <v>-3325.591496116198</v>
      </c>
      <c r="AT31" s="417">
        <f t="shared" si="104"/>
        <v>-3958.004426138174</v>
      </c>
      <c r="AU31" s="417">
        <f t="shared" si="104"/>
        <v>-4543.9651452708094</v>
      </c>
      <c r="AV31" s="417">
        <f t="shared" si="104"/>
        <v>-5062.9489746756617</v>
      </c>
      <c r="AW31" s="417">
        <f t="shared" si="104"/>
        <v>-5403.7543165038442</v>
      </c>
      <c r="AX31" s="417">
        <f t="shared" si="104"/>
        <v>-5388.9899604478233</v>
      </c>
      <c r="AY31" s="417">
        <f t="shared" si="104"/>
        <v>0</v>
      </c>
      <c r="AZ31" s="417">
        <f t="shared" si="104"/>
        <v>0</v>
      </c>
      <c r="BA31" s="417">
        <f t="shared" si="104"/>
        <v>0</v>
      </c>
      <c r="BB31" s="417">
        <f t="shared" si="104"/>
        <v>0</v>
      </c>
      <c r="BC31" s="417">
        <f t="shared" si="104"/>
        <v>0</v>
      </c>
      <c r="BD31" s="417">
        <f t="shared" si="104"/>
        <v>0</v>
      </c>
      <c r="BE31" s="417">
        <f t="shared" si="104"/>
        <v>0</v>
      </c>
      <c r="BF31" s="417">
        <f t="shared" si="104"/>
        <v>0</v>
      </c>
      <c r="BG31" s="417">
        <f t="shared" si="104"/>
        <v>0</v>
      </c>
      <c r="BH31" s="417">
        <f t="shared" si="104"/>
        <v>0</v>
      </c>
      <c r="BI31" s="417">
        <f t="shared" si="104"/>
        <v>0</v>
      </c>
      <c r="BJ31" s="417">
        <f t="shared" si="104"/>
        <v>0</v>
      </c>
      <c r="BK31" s="417"/>
      <c r="BL31" s="417"/>
      <c r="BM31" s="417"/>
      <c r="BN31" s="417"/>
      <c r="BO31" s="417"/>
      <c r="BP31" s="417"/>
      <c r="BQ31" s="417"/>
      <c r="BR31" s="417"/>
      <c r="BS31" s="417"/>
      <c r="BT31" s="417"/>
      <c r="BU31" s="417"/>
    </row>
    <row r="32" spans="1:73" x14ac:dyDescent="0.2">
      <c r="A32" s="299"/>
      <c r="B32" s="299"/>
      <c r="C32" s="426" t="s">
        <v>152</v>
      </c>
      <c r="D32" s="426"/>
      <c r="E32" s="426"/>
      <c r="F32" s="426"/>
      <c r="G32" s="426"/>
      <c r="H32" s="426"/>
      <c r="I32" s="426"/>
      <c r="J32" s="426"/>
      <c r="K32" s="630" t="s">
        <v>62</v>
      </c>
      <c r="L32" s="426"/>
      <c r="M32" s="426"/>
      <c r="N32" s="427">
        <f>SUM(Q32:BJ32)</f>
        <v>-258863.13267827081</v>
      </c>
      <c r="O32" s="426"/>
      <c r="P32" s="426"/>
      <c r="Q32" s="427"/>
      <c r="R32" s="427">
        <f t="shared" ref="R32:T32" si="105">+R215</f>
        <v>0</v>
      </c>
      <c r="S32" s="427">
        <f t="shared" si="105"/>
        <v>0</v>
      </c>
      <c r="T32" s="427">
        <f t="shared" si="105"/>
        <v>0</v>
      </c>
      <c r="U32" s="427">
        <f>+U215</f>
        <v>0</v>
      </c>
      <c r="V32" s="427">
        <f t="shared" ref="V32:BJ32" si="106">+V215</f>
        <v>0</v>
      </c>
      <c r="W32" s="427">
        <f t="shared" si="106"/>
        <v>0</v>
      </c>
      <c r="X32" s="427">
        <f t="shared" si="106"/>
        <v>0</v>
      </c>
      <c r="Y32" s="427">
        <f t="shared" si="106"/>
        <v>0</v>
      </c>
      <c r="Z32" s="427">
        <f t="shared" si="106"/>
        <v>0</v>
      </c>
      <c r="AA32" s="427">
        <f t="shared" si="106"/>
        <v>0</v>
      </c>
      <c r="AB32" s="427">
        <f t="shared" si="106"/>
        <v>0</v>
      </c>
      <c r="AC32" s="427">
        <f t="shared" si="106"/>
        <v>0</v>
      </c>
      <c r="AD32" s="427">
        <f t="shared" si="106"/>
        <v>-60232.461668248776</v>
      </c>
      <c r="AE32" s="427">
        <f t="shared" si="106"/>
        <v>0</v>
      </c>
      <c r="AF32" s="427">
        <f t="shared" si="106"/>
        <v>0</v>
      </c>
      <c r="AG32" s="427">
        <f t="shared" si="106"/>
        <v>0</v>
      </c>
      <c r="AH32" s="427">
        <f t="shared" si="106"/>
        <v>0</v>
      </c>
      <c r="AI32" s="427">
        <f t="shared" si="106"/>
        <v>0</v>
      </c>
      <c r="AJ32" s="427">
        <f t="shared" si="106"/>
        <v>0</v>
      </c>
      <c r="AK32" s="427">
        <f t="shared" si="106"/>
        <v>0</v>
      </c>
      <c r="AL32" s="427">
        <f t="shared" si="106"/>
        <v>0</v>
      </c>
      <c r="AM32" s="427">
        <f t="shared" si="106"/>
        <v>0</v>
      </c>
      <c r="AN32" s="427">
        <f t="shared" si="106"/>
        <v>-97389.372340160786</v>
      </c>
      <c r="AO32" s="427">
        <f t="shared" si="106"/>
        <v>0</v>
      </c>
      <c r="AP32" s="427">
        <f t="shared" si="106"/>
        <v>0</v>
      </c>
      <c r="AQ32" s="427">
        <f t="shared" si="106"/>
        <v>0</v>
      </c>
      <c r="AR32" s="427">
        <f t="shared" si="106"/>
        <v>0</v>
      </c>
      <c r="AS32" s="427">
        <f t="shared" si="106"/>
        <v>0</v>
      </c>
      <c r="AT32" s="427">
        <f t="shared" si="106"/>
        <v>0</v>
      </c>
      <c r="AU32" s="427">
        <f t="shared" si="106"/>
        <v>0</v>
      </c>
      <c r="AV32" s="427">
        <f t="shared" si="106"/>
        <v>0</v>
      </c>
      <c r="AW32" s="427">
        <f t="shared" si="106"/>
        <v>0</v>
      </c>
      <c r="AX32" s="427">
        <f t="shared" si="106"/>
        <v>-101241.29866986125</v>
      </c>
      <c r="AY32" s="427">
        <f t="shared" si="106"/>
        <v>0</v>
      </c>
      <c r="AZ32" s="427">
        <f t="shared" si="106"/>
        <v>0</v>
      </c>
      <c r="BA32" s="427">
        <f t="shared" si="106"/>
        <v>0</v>
      </c>
      <c r="BB32" s="427">
        <f t="shared" si="106"/>
        <v>0</v>
      </c>
      <c r="BC32" s="427">
        <f t="shared" si="106"/>
        <v>0</v>
      </c>
      <c r="BD32" s="427">
        <f t="shared" si="106"/>
        <v>0</v>
      </c>
      <c r="BE32" s="427">
        <f t="shared" si="106"/>
        <v>0</v>
      </c>
      <c r="BF32" s="427">
        <f t="shared" si="106"/>
        <v>0</v>
      </c>
      <c r="BG32" s="427">
        <f t="shared" si="106"/>
        <v>0</v>
      </c>
      <c r="BH32" s="427">
        <f t="shared" si="106"/>
        <v>0</v>
      </c>
      <c r="BI32" s="427">
        <f t="shared" si="106"/>
        <v>0</v>
      </c>
      <c r="BJ32" s="427">
        <f t="shared" si="106"/>
        <v>0</v>
      </c>
      <c r="BK32" s="427"/>
      <c r="BL32" s="427"/>
      <c r="BM32" s="427"/>
      <c r="BN32" s="427"/>
      <c r="BO32" s="427"/>
      <c r="BP32" s="427"/>
      <c r="BQ32" s="427"/>
      <c r="BR32" s="427"/>
      <c r="BS32" s="427"/>
      <c r="BT32" s="427"/>
      <c r="BU32" s="427"/>
    </row>
    <row r="33" spans="1:73" ht="13.5" thickBot="1" x14ac:dyDescent="0.25">
      <c r="A33" s="299"/>
      <c r="B33" s="299"/>
      <c r="C33" s="299" t="s">
        <v>153</v>
      </c>
      <c r="D33" s="299"/>
      <c r="E33" s="299"/>
      <c r="F33" s="299"/>
      <c r="G33" s="299"/>
      <c r="H33" s="299"/>
      <c r="I33" s="299"/>
      <c r="J33" s="299"/>
      <c r="K33" s="410" t="s">
        <v>62</v>
      </c>
      <c r="L33" s="299"/>
      <c r="M33" s="299"/>
      <c r="N33" s="417"/>
      <c r="O33" s="299"/>
      <c r="P33" s="299"/>
      <c r="Q33" s="417"/>
      <c r="R33" s="417">
        <f t="shared" ref="R33:BJ33" si="107">SUM(R28:R32)</f>
        <v>0</v>
      </c>
      <c r="S33" s="417">
        <f t="shared" si="107"/>
        <v>0</v>
      </c>
      <c r="T33" s="417">
        <f t="shared" si="107"/>
        <v>0</v>
      </c>
      <c r="U33" s="417">
        <f t="shared" si="107"/>
        <v>3321.3370258702384</v>
      </c>
      <c r="V33" s="417">
        <f t="shared" si="107"/>
        <v>8176.8670862673162</v>
      </c>
      <c r="W33" s="417">
        <f t="shared" si="107"/>
        <v>13411.590445796232</v>
      </c>
      <c r="X33" s="417">
        <f t="shared" si="107"/>
        <v>19055.120258184375</v>
      </c>
      <c r="Y33" s="417">
        <f t="shared" si="107"/>
        <v>25139.38232054099</v>
      </c>
      <c r="Z33" s="417">
        <f t="shared" si="107"/>
        <v>31698.795679565519</v>
      </c>
      <c r="AA33" s="417">
        <f t="shared" si="107"/>
        <v>38770.467342223026</v>
      </c>
      <c r="AB33" s="417">
        <f t="shared" si="107"/>
        <v>45883.14349077033</v>
      </c>
      <c r="AC33" s="417">
        <f t="shared" si="107"/>
        <v>53037.061886226787</v>
      </c>
      <c r="AD33" s="417">
        <f t="shared" si="107"/>
        <v>0</v>
      </c>
      <c r="AE33" s="417">
        <f t="shared" si="107"/>
        <v>7237.1216948748361</v>
      </c>
      <c r="AF33" s="417">
        <f t="shared" si="107"/>
        <v>14516.207223561025</v>
      </c>
      <c r="AG33" s="417">
        <f t="shared" si="107"/>
        <v>22341.291289486951</v>
      </c>
      <c r="AH33" s="417">
        <f t="shared" si="107"/>
        <v>30753.32881775868</v>
      </c>
      <c r="AI33" s="417">
        <f t="shared" si="107"/>
        <v>39796.346730522622</v>
      </c>
      <c r="AJ33" s="417">
        <f t="shared" si="107"/>
        <v>49517.674375071387</v>
      </c>
      <c r="AK33" s="417">
        <f t="shared" si="107"/>
        <v>59968.191236182349</v>
      </c>
      <c r="AL33" s="417">
        <f t="shared" si="107"/>
        <v>71371.128141124791</v>
      </c>
      <c r="AM33" s="417">
        <f t="shared" si="107"/>
        <v>83813.285001515294</v>
      </c>
      <c r="AN33" s="417">
        <f t="shared" si="107"/>
        <v>0</v>
      </c>
      <c r="AO33" s="417">
        <f t="shared" si="107"/>
        <v>14813.35989367567</v>
      </c>
      <c r="AP33" s="417">
        <f t="shared" si="107"/>
        <v>30976.752619863924</v>
      </c>
      <c r="AQ33" s="417">
        <f t="shared" si="107"/>
        <v>45740.78124599508</v>
      </c>
      <c r="AR33" s="417">
        <f t="shared" si="107"/>
        <v>59226.597309849691</v>
      </c>
      <c r="AS33" s="417">
        <f t="shared" si="107"/>
        <v>71544.863517098071</v>
      </c>
      <c r="AT33" s="417">
        <f t="shared" si="107"/>
        <v>82796.66182386408</v>
      </c>
      <c r="AU33" s="417">
        <f t="shared" si="107"/>
        <v>93074.322901008694</v>
      </c>
      <c r="AV33" s="417">
        <f t="shared" si="107"/>
        <v>101241.29866986125</v>
      </c>
      <c r="AW33" s="417">
        <f t="shared" si="107"/>
        <v>101241.29866986125</v>
      </c>
      <c r="AX33" s="417">
        <f t="shared" si="107"/>
        <v>0</v>
      </c>
      <c r="AY33" s="417">
        <f t="shared" si="107"/>
        <v>0</v>
      </c>
      <c r="AZ33" s="417">
        <f t="shared" si="107"/>
        <v>0</v>
      </c>
      <c r="BA33" s="417">
        <f t="shared" si="107"/>
        <v>0</v>
      </c>
      <c r="BB33" s="417">
        <f t="shared" si="107"/>
        <v>0</v>
      </c>
      <c r="BC33" s="417">
        <f t="shared" si="107"/>
        <v>0</v>
      </c>
      <c r="BD33" s="417">
        <f t="shared" si="107"/>
        <v>0</v>
      </c>
      <c r="BE33" s="417">
        <f t="shared" si="107"/>
        <v>0</v>
      </c>
      <c r="BF33" s="417">
        <f t="shared" si="107"/>
        <v>0</v>
      </c>
      <c r="BG33" s="417">
        <f t="shared" si="107"/>
        <v>0</v>
      </c>
      <c r="BH33" s="417">
        <f t="shared" si="107"/>
        <v>0</v>
      </c>
      <c r="BI33" s="417">
        <f t="shared" si="107"/>
        <v>0</v>
      </c>
      <c r="BJ33" s="417">
        <f t="shared" si="107"/>
        <v>0</v>
      </c>
      <c r="BK33" s="417"/>
      <c r="BL33" s="417"/>
      <c r="BM33" s="417"/>
      <c r="BN33" s="417"/>
      <c r="BO33" s="417"/>
      <c r="BP33" s="417"/>
      <c r="BQ33" s="417"/>
      <c r="BR33" s="417"/>
      <c r="BS33" s="417"/>
      <c r="BT33" s="417"/>
      <c r="BU33" s="417"/>
    </row>
    <row r="34" spans="1:73" ht="13.5" thickBot="1" x14ac:dyDescent="0.25">
      <c r="A34" s="299"/>
      <c r="B34" s="299"/>
      <c r="C34" s="299"/>
      <c r="D34" s="299"/>
      <c r="E34" s="299"/>
      <c r="F34" s="299"/>
      <c r="G34" s="299"/>
      <c r="H34" s="299"/>
      <c r="I34" s="299"/>
      <c r="J34" s="299"/>
      <c r="K34" s="410"/>
      <c r="L34" s="299"/>
      <c r="M34" s="299"/>
      <c r="N34" s="428">
        <f>IF(ROUND(SUM(N29:N32),0)&lt;&gt;0,1,0)</f>
        <v>0</v>
      </c>
      <c r="O34" s="299"/>
      <c r="P34" s="299"/>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c r="BL34" s="417"/>
      <c r="BM34" s="417"/>
      <c r="BN34" s="417"/>
      <c r="BO34" s="417"/>
      <c r="BP34" s="417"/>
      <c r="BQ34" s="417"/>
      <c r="BR34" s="417"/>
      <c r="BS34" s="417"/>
      <c r="BT34" s="417"/>
      <c r="BU34" s="417"/>
    </row>
    <row r="35" spans="1:73" x14ac:dyDescent="0.2">
      <c r="A35" s="299"/>
      <c r="B35" s="423" t="s">
        <v>7</v>
      </c>
      <c r="C35" s="299"/>
      <c r="D35" s="299"/>
      <c r="E35" s="299"/>
      <c r="F35" s="299"/>
      <c r="G35" s="299"/>
      <c r="H35" s="299"/>
      <c r="I35" s="299"/>
      <c r="J35" s="299"/>
      <c r="K35" s="410"/>
      <c r="L35" s="299"/>
      <c r="M35" s="417"/>
      <c r="N35" s="299"/>
      <c r="O35" s="299"/>
      <c r="P35" s="299"/>
      <c r="Q35" s="299"/>
      <c r="R35" s="299"/>
      <c r="S35" s="299"/>
      <c r="T35" s="299"/>
      <c r="U35" s="425"/>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row>
    <row r="36" spans="1:73" x14ac:dyDescent="0.2">
      <c r="A36" s="299"/>
      <c r="B36" s="299"/>
      <c r="C36" s="299" t="s">
        <v>148</v>
      </c>
      <c r="D36" s="299"/>
      <c r="E36" s="299"/>
      <c r="F36" s="299"/>
      <c r="G36" s="299"/>
      <c r="H36" s="299"/>
      <c r="I36" s="299"/>
      <c r="J36" s="299"/>
      <c r="K36" s="410" t="s">
        <v>62</v>
      </c>
      <c r="L36" s="299"/>
      <c r="M36" s="299"/>
      <c r="N36" s="417"/>
      <c r="O36" s="299"/>
      <c r="P36" s="299"/>
      <c r="Q36" s="417"/>
      <c r="R36" s="417">
        <f t="shared" ref="R36:AO36" si="108">+Q46</f>
        <v>0</v>
      </c>
      <c r="S36" s="417">
        <f t="shared" si="108"/>
        <v>793974.41311090544</v>
      </c>
      <c r="T36" s="417">
        <f t="shared" si="108"/>
        <v>830267.58695475885</v>
      </c>
      <c r="U36" s="417">
        <f t="shared" si="108"/>
        <v>848464.76406234282</v>
      </c>
      <c r="V36" s="417">
        <f t="shared" si="108"/>
        <v>848464.76406234282</v>
      </c>
      <c r="W36" s="417">
        <f t="shared" si="108"/>
        <v>848464.76406234282</v>
      </c>
      <c r="X36" s="417">
        <f t="shared" si="108"/>
        <v>848464.76406234282</v>
      </c>
      <c r="Y36" s="417">
        <f t="shared" si="108"/>
        <v>848464.76406234282</v>
      </c>
      <c r="Z36" s="417">
        <f t="shared" si="108"/>
        <v>846174.92142661207</v>
      </c>
      <c r="AA36" s="417">
        <f t="shared" si="108"/>
        <v>833112.42706605897</v>
      </c>
      <c r="AB36" s="417">
        <f t="shared" si="108"/>
        <v>819895.44188792864</v>
      </c>
      <c r="AC36" s="417">
        <f t="shared" si="108"/>
        <v>810499.99060885771</v>
      </c>
      <c r="AD36" s="417">
        <f t="shared" si="108"/>
        <v>804978.96341491467</v>
      </c>
      <c r="AE36" s="417">
        <f t="shared" si="108"/>
        <v>803370.33929621731</v>
      </c>
      <c r="AF36" s="417">
        <f t="shared" si="108"/>
        <v>803370.33929621731</v>
      </c>
      <c r="AG36" s="417">
        <f t="shared" si="108"/>
        <v>788649.92373204324</v>
      </c>
      <c r="AH36" s="417">
        <f t="shared" si="108"/>
        <v>765903.75540991721</v>
      </c>
      <c r="AI36" s="417">
        <f t="shared" si="108"/>
        <v>732996.40503215208</v>
      </c>
      <c r="AJ36" s="417">
        <f t="shared" si="108"/>
        <v>677953.1198487964</v>
      </c>
      <c r="AK36" s="417">
        <f t="shared" si="108"/>
        <v>598595.63973717066</v>
      </c>
      <c r="AL36" s="417">
        <f t="shared" si="108"/>
        <v>502477.08961138234</v>
      </c>
      <c r="AM36" s="417">
        <f t="shared" si="108"/>
        <v>386236.3066062046</v>
      </c>
      <c r="AN36" s="417">
        <f t="shared" si="108"/>
        <v>206679.78529836106</v>
      </c>
      <c r="AO36" s="417">
        <f t="shared" si="108"/>
        <v>4.3655745685100555E-10</v>
      </c>
      <c r="AP36" s="417">
        <f t="shared" ref="AP36:BJ36" si="109">+AO46</f>
        <v>4.3655745685100555E-10</v>
      </c>
      <c r="AQ36" s="417">
        <f t="shared" si="109"/>
        <v>4.3655745685100555E-10</v>
      </c>
      <c r="AR36" s="417">
        <f t="shared" si="109"/>
        <v>4.3655745685100555E-10</v>
      </c>
      <c r="AS36" s="417">
        <f t="shared" si="109"/>
        <v>4.3655745685100555E-10</v>
      </c>
      <c r="AT36" s="417">
        <f t="shared" si="109"/>
        <v>4.3655745685100555E-10</v>
      </c>
      <c r="AU36" s="417">
        <f t="shared" si="109"/>
        <v>4.3655745685100555E-10</v>
      </c>
      <c r="AV36" s="417">
        <f t="shared" si="109"/>
        <v>4.3655745685100555E-10</v>
      </c>
      <c r="AW36" s="417">
        <f t="shared" si="109"/>
        <v>4.3655745685100555E-10</v>
      </c>
      <c r="AX36" s="417">
        <f t="shared" si="109"/>
        <v>4.3655745685100555E-10</v>
      </c>
      <c r="AY36" s="417">
        <f t="shared" si="109"/>
        <v>4.3655745685100555E-10</v>
      </c>
      <c r="AZ36" s="417">
        <f t="shared" si="109"/>
        <v>4.3655745685100555E-10</v>
      </c>
      <c r="BA36" s="417">
        <f t="shared" si="109"/>
        <v>4.3655745685100555E-10</v>
      </c>
      <c r="BB36" s="417">
        <f t="shared" si="109"/>
        <v>4.3655745685100555E-10</v>
      </c>
      <c r="BC36" s="417">
        <f t="shared" si="109"/>
        <v>4.3655745685100555E-10</v>
      </c>
      <c r="BD36" s="417">
        <f t="shared" si="109"/>
        <v>4.3655745685100555E-10</v>
      </c>
      <c r="BE36" s="417">
        <f t="shared" si="109"/>
        <v>4.3655745685100555E-10</v>
      </c>
      <c r="BF36" s="417">
        <f t="shared" si="109"/>
        <v>4.3655745685100555E-10</v>
      </c>
      <c r="BG36" s="417">
        <f t="shared" si="109"/>
        <v>4.3655745685100555E-10</v>
      </c>
      <c r="BH36" s="417">
        <f t="shared" si="109"/>
        <v>4.3655745685100555E-10</v>
      </c>
      <c r="BI36" s="417">
        <f t="shared" si="109"/>
        <v>4.3655745685100555E-10</v>
      </c>
      <c r="BJ36" s="417">
        <f t="shared" si="109"/>
        <v>4.3655745685100555E-10</v>
      </c>
      <c r="BK36" s="417"/>
      <c r="BL36" s="417"/>
      <c r="BM36" s="417"/>
      <c r="BN36" s="417"/>
      <c r="BO36" s="417"/>
      <c r="BP36" s="417"/>
      <c r="BQ36" s="417"/>
      <c r="BR36" s="417"/>
      <c r="BS36" s="417"/>
      <c r="BT36" s="417"/>
      <c r="BU36" s="417"/>
    </row>
    <row r="37" spans="1:73" x14ac:dyDescent="0.2">
      <c r="A37" s="299"/>
      <c r="B37" s="299"/>
      <c r="C37" s="299" t="s">
        <v>149</v>
      </c>
      <c r="D37" s="299"/>
      <c r="E37" s="299"/>
      <c r="F37" s="299"/>
      <c r="G37" s="299"/>
      <c r="H37" s="299"/>
      <c r="I37" s="299"/>
      <c r="J37" s="299"/>
      <c r="K37" s="410" t="s">
        <v>62</v>
      </c>
      <c r="L37" s="299"/>
      <c r="M37" s="417"/>
      <c r="N37" s="417">
        <f>SUM(Q37:BJ37)</f>
        <v>759267.73413800006</v>
      </c>
      <c r="O37" s="299"/>
      <c r="P37" s="299"/>
      <c r="Q37" s="417"/>
      <c r="R37" s="417">
        <f t="shared" ref="R37:AO37" si="110">+R128</f>
        <v>759267.73413800006</v>
      </c>
      <c r="S37" s="417">
        <f t="shared" si="110"/>
        <v>0</v>
      </c>
      <c r="T37" s="417">
        <f t="shared" si="110"/>
        <v>0</v>
      </c>
      <c r="U37" s="417">
        <f t="shared" si="110"/>
        <v>0</v>
      </c>
      <c r="V37" s="417">
        <f t="shared" si="110"/>
        <v>0</v>
      </c>
      <c r="W37" s="417">
        <f t="shared" si="110"/>
        <v>0</v>
      </c>
      <c r="X37" s="417">
        <f t="shared" si="110"/>
        <v>0</v>
      </c>
      <c r="Y37" s="417">
        <f t="shared" si="110"/>
        <v>0</v>
      </c>
      <c r="Z37" s="417">
        <f t="shared" si="110"/>
        <v>0</v>
      </c>
      <c r="AA37" s="417">
        <f t="shared" si="110"/>
        <v>0</v>
      </c>
      <c r="AB37" s="417">
        <f t="shared" si="110"/>
        <v>0</v>
      </c>
      <c r="AC37" s="417">
        <f t="shared" si="110"/>
        <v>0</v>
      </c>
      <c r="AD37" s="417">
        <f t="shared" si="110"/>
        <v>0</v>
      </c>
      <c r="AE37" s="417">
        <f t="shared" si="110"/>
        <v>0</v>
      </c>
      <c r="AF37" s="417">
        <f t="shared" si="110"/>
        <v>0</v>
      </c>
      <c r="AG37" s="417">
        <f t="shared" si="110"/>
        <v>0</v>
      </c>
      <c r="AH37" s="417">
        <f t="shared" si="110"/>
        <v>0</v>
      </c>
      <c r="AI37" s="417">
        <f t="shared" si="110"/>
        <v>0</v>
      </c>
      <c r="AJ37" s="417">
        <f t="shared" si="110"/>
        <v>0</v>
      </c>
      <c r="AK37" s="417">
        <f t="shared" si="110"/>
        <v>0</v>
      </c>
      <c r="AL37" s="417">
        <f t="shared" si="110"/>
        <v>0</v>
      </c>
      <c r="AM37" s="417">
        <f t="shared" si="110"/>
        <v>0</v>
      </c>
      <c r="AN37" s="417">
        <f t="shared" si="110"/>
        <v>0</v>
      </c>
      <c r="AO37" s="417">
        <f t="shared" si="110"/>
        <v>0</v>
      </c>
      <c r="AP37" s="417">
        <f t="shared" ref="AP37:BJ37" si="111">+AP128</f>
        <v>0</v>
      </c>
      <c r="AQ37" s="417">
        <f t="shared" si="111"/>
        <v>0</v>
      </c>
      <c r="AR37" s="417">
        <f t="shared" si="111"/>
        <v>0</v>
      </c>
      <c r="AS37" s="417">
        <f t="shared" si="111"/>
        <v>0</v>
      </c>
      <c r="AT37" s="417">
        <f t="shared" si="111"/>
        <v>0</v>
      </c>
      <c r="AU37" s="417">
        <f t="shared" si="111"/>
        <v>0</v>
      </c>
      <c r="AV37" s="417">
        <f t="shared" si="111"/>
        <v>0</v>
      </c>
      <c r="AW37" s="417">
        <f t="shared" si="111"/>
        <v>0</v>
      </c>
      <c r="AX37" s="417">
        <f t="shared" si="111"/>
        <v>0</v>
      </c>
      <c r="AY37" s="417">
        <f t="shared" si="111"/>
        <v>0</v>
      </c>
      <c r="AZ37" s="417">
        <f t="shared" si="111"/>
        <v>0</v>
      </c>
      <c r="BA37" s="417">
        <f t="shared" si="111"/>
        <v>0</v>
      </c>
      <c r="BB37" s="417">
        <f t="shared" si="111"/>
        <v>0</v>
      </c>
      <c r="BC37" s="417">
        <f t="shared" si="111"/>
        <v>0</v>
      </c>
      <c r="BD37" s="417">
        <f t="shared" si="111"/>
        <v>0</v>
      </c>
      <c r="BE37" s="417">
        <f t="shared" si="111"/>
        <v>0</v>
      </c>
      <c r="BF37" s="417">
        <f t="shared" si="111"/>
        <v>0</v>
      </c>
      <c r="BG37" s="417">
        <f t="shared" si="111"/>
        <v>0</v>
      </c>
      <c r="BH37" s="417">
        <f t="shared" si="111"/>
        <v>0</v>
      </c>
      <c r="BI37" s="417">
        <f t="shared" si="111"/>
        <v>0</v>
      </c>
      <c r="BJ37" s="417">
        <f t="shared" si="111"/>
        <v>0</v>
      </c>
      <c r="BK37" s="417"/>
      <c r="BL37" s="417"/>
      <c r="BM37" s="417"/>
      <c r="BN37" s="417"/>
      <c r="BO37" s="417"/>
      <c r="BP37" s="417"/>
      <c r="BQ37" s="417"/>
      <c r="BR37" s="417"/>
      <c r="BS37" s="417"/>
      <c r="BT37" s="417"/>
      <c r="BU37" s="417"/>
    </row>
    <row r="38" spans="1:73" x14ac:dyDescent="0.2">
      <c r="A38" s="299"/>
      <c r="B38" s="299"/>
      <c r="C38" s="299" t="s">
        <v>150</v>
      </c>
      <c r="D38" s="299"/>
      <c r="E38" s="299"/>
      <c r="F38" s="299"/>
      <c r="G38" s="299"/>
      <c r="H38" s="299"/>
      <c r="I38" s="299"/>
      <c r="J38" s="299"/>
      <c r="K38" s="410" t="s">
        <v>62</v>
      </c>
      <c r="L38" s="299"/>
      <c r="M38" s="299"/>
      <c r="N38" s="417">
        <f>SUM(Q38:BJ38)</f>
        <v>764759.59440849768</v>
      </c>
      <c r="O38" s="299"/>
      <c r="P38" s="299"/>
      <c r="Q38" s="417"/>
      <c r="R38" s="417">
        <f>+R130</f>
        <v>34706.678972905356</v>
      </c>
      <c r="S38" s="417">
        <f t="shared" ref="S38:BJ38" si="112">+S130</f>
        <v>36293.173843853452</v>
      </c>
      <c r="T38" s="417">
        <f t="shared" si="112"/>
        <v>37528.094930355095</v>
      </c>
      <c r="U38" s="417">
        <f t="shared" si="112"/>
        <v>38350.607335617889</v>
      </c>
      <c r="V38" s="417">
        <f t="shared" si="112"/>
        <v>38350.607335617889</v>
      </c>
      <c r="W38" s="417">
        <f t="shared" si="112"/>
        <v>38350.607335617889</v>
      </c>
      <c r="X38" s="417">
        <f t="shared" si="112"/>
        <v>38350.607335617889</v>
      </c>
      <c r="Y38" s="417">
        <f t="shared" si="112"/>
        <v>38337.669724726009</v>
      </c>
      <c r="Z38" s="417">
        <f t="shared" si="112"/>
        <v>38173.303355345735</v>
      </c>
      <c r="AA38" s="417">
        <f t="shared" si="112"/>
        <v>37582.005737129424</v>
      </c>
      <c r="AB38" s="417">
        <f t="shared" si="112"/>
        <v>37006.189673607616</v>
      </c>
      <c r="AC38" s="417">
        <f t="shared" si="112"/>
        <v>36603.405771874575</v>
      </c>
      <c r="AD38" s="417">
        <f t="shared" si="112"/>
        <v>36375.960420083495</v>
      </c>
      <c r="AE38" s="417">
        <f t="shared" si="112"/>
        <v>36312.339336189019</v>
      </c>
      <c r="AF38" s="417">
        <f t="shared" si="112"/>
        <v>36229.168988251433</v>
      </c>
      <c r="AG38" s="417">
        <f t="shared" si="112"/>
        <v>35518.460701668344</v>
      </c>
      <c r="AH38" s="417">
        <f t="shared" si="112"/>
        <v>34432.923214893875</v>
      </c>
      <c r="AI38" s="417">
        <f t="shared" si="112"/>
        <v>32820.442946167299</v>
      </c>
      <c r="AJ38" s="417">
        <f t="shared" si="112"/>
        <v>30195.111254534899</v>
      </c>
      <c r="AK38" s="417">
        <f t="shared" si="112"/>
        <v>26513.453107909398</v>
      </c>
      <c r="AL38" s="417">
        <f t="shared" si="112"/>
        <v>22055.204026455205</v>
      </c>
      <c r="AM38" s="417">
        <f t="shared" si="112"/>
        <v>16443.386713211112</v>
      </c>
      <c r="AN38" s="417">
        <f t="shared" si="112"/>
        <v>8230.1923468647765</v>
      </c>
      <c r="AO38" s="417">
        <f t="shared" si="112"/>
        <v>0</v>
      </c>
      <c r="AP38" s="417">
        <f t="shared" si="112"/>
        <v>0</v>
      </c>
      <c r="AQ38" s="417">
        <f t="shared" si="112"/>
        <v>0</v>
      </c>
      <c r="AR38" s="417">
        <f t="shared" si="112"/>
        <v>0</v>
      </c>
      <c r="AS38" s="417">
        <f t="shared" si="112"/>
        <v>0</v>
      </c>
      <c r="AT38" s="417">
        <f t="shared" si="112"/>
        <v>0</v>
      </c>
      <c r="AU38" s="417">
        <f t="shared" si="112"/>
        <v>0</v>
      </c>
      <c r="AV38" s="417">
        <f t="shared" si="112"/>
        <v>0</v>
      </c>
      <c r="AW38" s="417">
        <f t="shared" si="112"/>
        <v>0</v>
      </c>
      <c r="AX38" s="417">
        <f t="shared" si="112"/>
        <v>0</v>
      </c>
      <c r="AY38" s="417">
        <f t="shared" si="112"/>
        <v>0</v>
      </c>
      <c r="AZ38" s="417">
        <f t="shared" si="112"/>
        <v>0</v>
      </c>
      <c r="BA38" s="417">
        <f t="shared" si="112"/>
        <v>0</v>
      </c>
      <c r="BB38" s="417">
        <f t="shared" si="112"/>
        <v>0</v>
      </c>
      <c r="BC38" s="417">
        <f t="shared" si="112"/>
        <v>0</v>
      </c>
      <c r="BD38" s="417">
        <f t="shared" si="112"/>
        <v>0</v>
      </c>
      <c r="BE38" s="417">
        <f t="shared" si="112"/>
        <v>0</v>
      </c>
      <c r="BF38" s="417">
        <f t="shared" si="112"/>
        <v>0</v>
      </c>
      <c r="BG38" s="417">
        <f t="shared" si="112"/>
        <v>0</v>
      </c>
      <c r="BH38" s="417">
        <f t="shared" si="112"/>
        <v>0</v>
      </c>
      <c r="BI38" s="417">
        <f t="shared" si="112"/>
        <v>0</v>
      </c>
      <c r="BJ38" s="417">
        <f t="shared" si="112"/>
        <v>0</v>
      </c>
      <c r="BK38" s="417"/>
      <c r="BL38" s="417"/>
      <c r="BM38" s="417"/>
      <c r="BN38" s="417"/>
      <c r="BO38" s="417"/>
      <c r="BP38" s="417"/>
      <c r="BQ38" s="417"/>
      <c r="BR38" s="417"/>
      <c r="BS38" s="417"/>
      <c r="BT38" s="417"/>
      <c r="BU38" s="417"/>
    </row>
    <row r="39" spans="1:73" x14ac:dyDescent="0.2">
      <c r="A39" s="299"/>
      <c r="B39" s="299"/>
      <c r="C39" s="299" t="s">
        <v>154</v>
      </c>
      <c r="D39" s="299"/>
      <c r="E39" s="299"/>
      <c r="F39" s="299"/>
      <c r="G39" s="299"/>
      <c r="H39" s="299"/>
      <c r="I39" s="299"/>
      <c r="J39" s="299"/>
      <c r="K39" s="410" t="s">
        <v>62</v>
      </c>
      <c r="L39" s="299"/>
      <c r="M39" s="299"/>
      <c r="N39" s="417">
        <f>SUM(Q39:BJ39)</f>
        <v>-192316.9843468648</v>
      </c>
      <c r="O39" s="299"/>
      <c r="P39" s="299"/>
      <c r="Q39" s="417"/>
      <c r="R39" s="417">
        <f t="shared" ref="R39:S39" si="113">+R131</f>
        <v>0</v>
      </c>
      <c r="S39" s="417">
        <f t="shared" si="113"/>
        <v>0</v>
      </c>
      <c r="T39" s="417">
        <f>+T131</f>
        <v>-1999.7439999999999</v>
      </c>
      <c r="U39" s="417">
        <f t="shared" ref="U39:BJ39" si="114">+U131</f>
        <v>-5484.7839999999997</v>
      </c>
      <c r="V39" s="417">
        <f t="shared" si="114"/>
        <v>-8469.7929999999997</v>
      </c>
      <c r="W39" s="417">
        <f t="shared" si="114"/>
        <v>-9950.030999999999</v>
      </c>
      <c r="X39" s="417">
        <f t="shared" si="114"/>
        <v>-9949.83</v>
      </c>
      <c r="Y39" s="417">
        <f t="shared" si="114"/>
        <v>-9950.030999999999</v>
      </c>
      <c r="Z39" s="417">
        <f t="shared" si="114"/>
        <v>-9950.030999999999</v>
      </c>
      <c r="AA39" s="417">
        <f t="shared" si="114"/>
        <v>-9950.030999999999</v>
      </c>
      <c r="AB39" s="417">
        <f t="shared" si="114"/>
        <v>-9950.0299999999988</v>
      </c>
      <c r="AC39" s="417">
        <f t="shared" si="114"/>
        <v>-9950.030999999999</v>
      </c>
      <c r="AD39" s="417">
        <f t="shared" si="114"/>
        <v>-9950.030999999999</v>
      </c>
      <c r="AE39" s="417">
        <f t="shared" si="114"/>
        <v>-9950.030999999999</v>
      </c>
      <c r="AF39" s="417">
        <f t="shared" si="114"/>
        <v>-9950.0299999999988</v>
      </c>
      <c r="AG39" s="417">
        <f t="shared" si="114"/>
        <v>-9950.030999999999</v>
      </c>
      <c r="AH39" s="417">
        <f t="shared" si="114"/>
        <v>-9950.030999999999</v>
      </c>
      <c r="AI39" s="417">
        <f t="shared" si="114"/>
        <v>-9950.030999999999</v>
      </c>
      <c r="AJ39" s="417">
        <f t="shared" si="114"/>
        <v>-9865.1260000000002</v>
      </c>
      <c r="AK39" s="417">
        <f t="shared" si="114"/>
        <v>-9752.0479999999989</v>
      </c>
      <c r="AL39" s="417">
        <f t="shared" si="114"/>
        <v>-9639.0489999999991</v>
      </c>
      <c r="AM39" s="417">
        <f t="shared" si="114"/>
        <v>-9526.0479999999989</v>
      </c>
      <c r="AN39" s="417">
        <f t="shared" si="114"/>
        <v>-8230.1923468647765</v>
      </c>
      <c r="AO39" s="417">
        <f t="shared" si="114"/>
        <v>0</v>
      </c>
      <c r="AP39" s="417">
        <f t="shared" si="114"/>
        <v>0</v>
      </c>
      <c r="AQ39" s="417">
        <f t="shared" si="114"/>
        <v>0</v>
      </c>
      <c r="AR39" s="417">
        <f t="shared" si="114"/>
        <v>0</v>
      </c>
      <c r="AS39" s="417">
        <f t="shared" si="114"/>
        <v>0</v>
      </c>
      <c r="AT39" s="417">
        <f t="shared" si="114"/>
        <v>0</v>
      </c>
      <c r="AU39" s="417">
        <f t="shared" si="114"/>
        <v>0</v>
      </c>
      <c r="AV39" s="417">
        <f t="shared" si="114"/>
        <v>0</v>
      </c>
      <c r="AW39" s="417">
        <f t="shared" si="114"/>
        <v>0</v>
      </c>
      <c r="AX39" s="417">
        <f t="shared" si="114"/>
        <v>0</v>
      </c>
      <c r="AY39" s="417">
        <f t="shared" si="114"/>
        <v>0</v>
      </c>
      <c r="AZ39" s="417">
        <f t="shared" si="114"/>
        <v>0</v>
      </c>
      <c r="BA39" s="417">
        <f t="shared" si="114"/>
        <v>0</v>
      </c>
      <c r="BB39" s="417">
        <f t="shared" si="114"/>
        <v>0</v>
      </c>
      <c r="BC39" s="417">
        <f t="shared" si="114"/>
        <v>0</v>
      </c>
      <c r="BD39" s="417">
        <f t="shared" si="114"/>
        <v>0</v>
      </c>
      <c r="BE39" s="417">
        <f t="shared" si="114"/>
        <v>0</v>
      </c>
      <c r="BF39" s="417">
        <f t="shared" si="114"/>
        <v>0</v>
      </c>
      <c r="BG39" s="417">
        <f t="shared" si="114"/>
        <v>0</v>
      </c>
      <c r="BH39" s="417">
        <f t="shared" si="114"/>
        <v>0</v>
      </c>
      <c r="BI39" s="417">
        <f t="shared" si="114"/>
        <v>0</v>
      </c>
      <c r="BJ39" s="417">
        <f t="shared" si="114"/>
        <v>0</v>
      </c>
      <c r="BK39" s="417"/>
      <c r="BL39" s="417"/>
      <c r="BM39" s="417"/>
      <c r="BN39" s="417"/>
      <c r="BO39" s="417"/>
      <c r="BP39" s="417"/>
      <c r="BQ39" s="417"/>
      <c r="BR39" s="417"/>
      <c r="BS39" s="417"/>
      <c r="BT39" s="417"/>
      <c r="BU39" s="417"/>
    </row>
    <row r="40" spans="1:73" x14ac:dyDescent="0.2">
      <c r="A40" s="299"/>
      <c r="B40" s="299"/>
      <c r="C40" s="299" t="s">
        <v>382</v>
      </c>
      <c r="D40" s="299"/>
      <c r="E40" s="299"/>
      <c r="F40" s="299"/>
      <c r="G40" s="299"/>
      <c r="H40" s="299"/>
      <c r="I40" s="299"/>
      <c r="J40" s="299"/>
      <c r="K40" s="410"/>
      <c r="L40" s="299"/>
      <c r="M40" s="299"/>
      <c r="N40" s="417">
        <f>SUM(Q40:BJ40)</f>
        <v>-483245.58013729029</v>
      </c>
      <c r="O40" s="299"/>
      <c r="P40" s="299"/>
      <c r="Q40" s="417"/>
      <c r="R40" s="417">
        <f t="shared" ref="R40:T40" si="115">+R132</f>
        <v>0</v>
      </c>
      <c r="S40" s="417">
        <f t="shared" si="115"/>
        <v>0</v>
      </c>
      <c r="T40" s="417">
        <f t="shared" si="115"/>
        <v>-17331.173822771201</v>
      </c>
      <c r="U40" s="417">
        <f t="shared" ref="U40:V40" si="116">+U132</f>
        <v>-32865.82333561789</v>
      </c>
      <c r="V40" s="417">
        <f t="shared" si="116"/>
        <v>-29880.814335617892</v>
      </c>
      <c r="W40" s="417">
        <f>+W132</f>
        <v>-28400.57633561789</v>
      </c>
      <c r="X40" s="417">
        <f t="shared" ref="X40:BJ40" si="117">+X132</f>
        <v>-28400.777335617888</v>
      </c>
      <c r="Y40" s="417">
        <f t="shared" si="117"/>
        <v>-28387.63872472601</v>
      </c>
      <c r="Z40" s="417">
        <f t="shared" si="117"/>
        <v>-28223.272355345736</v>
      </c>
      <c r="AA40" s="417">
        <f t="shared" si="117"/>
        <v>-27631.974737129425</v>
      </c>
      <c r="AB40" s="417">
        <f t="shared" si="117"/>
        <v>-27056.159673607617</v>
      </c>
      <c r="AC40" s="417">
        <f t="shared" si="117"/>
        <v>-26653.374771874576</v>
      </c>
      <c r="AD40" s="417">
        <f t="shared" si="117"/>
        <v>-26425.929420083496</v>
      </c>
      <c r="AE40" s="417">
        <f t="shared" si="117"/>
        <v>-26362.30833618902</v>
      </c>
      <c r="AF40" s="417">
        <f t="shared" si="117"/>
        <v>-26279.138988251434</v>
      </c>
      <c r="AG40" s="417">
        <f t="shared" si="117"/>
        <v>-25568.429701668345</v>
      </c>
      <c r="AH40" s="417">
        <f t="shared" si="117"/>
        <v>-24482.892214893876</v>
      </c>
      <c r="AI40" s="417">
        <f t="shared" si="117"/>
        <v>-22870.4119461673</v>
      </c>
      <c r="AJ40" s="417">
        <f t="shared" si="117"/>
        <v>-20329.985254534899</v>
      </c>
      <c r="AK40" s="417">
        <f t="shared" si="117"/>
        <v>-16761.405107909399</v>
      </c>
      <c r="AL40" s="417">
        <f t="shared" si="117"/>
        <v>-12416.155026455206</v>
      </c>
      <c r="AM40" s="417">
        <f t="shared" si="117"/>
        <v>-6917.3387132111129</v>
      </c>
      <c r="AN40" s="417">
        <f t="shared" si="117"/>
        <v>0</v>
      </c>
      <c r="AO40" s="417">
        <f t="shared" si="117"/>
        <v>0</v>
      </c>
      <c r="AP40" s="417">
        <f t="shared" si="117"/>
        <v>0</v>
      </c>
      <c r="AQ40" s="417">
        <f t="shared" si="117"/>
        <v>0</v>
      </c>
      <c r="AR40" s="417">
        <f t="shared" si="117"/>
        <v>0</v>
      </c>
      <c r="AS40" s="417">
        <f t="shared" si="117"/>
        <v>0</v>
      </c>
      <c r="AT40" s="417">
        <f t="shared" si="117"/>
        <v>0</v>
      </c>
      <c r="AU40" s="417">
        <f t="shared" si="117"/>
        <v>0</v>
      </c>
      <c r="AV40" s="417">
        <f t="shared" si="117"/>
        <v>0</v>
      </c>
      <c r="AW40" s="417">
        <f t="shared" si="117"/>
        <v>0</v>
      </c>
      <c r="AX40" s="417">
        <f t="shared" si="117"/>
        <v>0</v>
      </c>
      <c r="AY40" s="417">
        <f t="shared" si="117"/>
        <v>0</v>
      </c>
      <c r="AZ40" s="417">
        <f t="shared" si="117"/>
        <v>0</v>
      </c>
      <c r="BA40" s="417">
        <f t="shared" si="117"/>
        <v>0</v>
      </c>
      <c r="BB40" s="417">
        <f t="shared" si="117"/>
        <v>0</v>
      </c>
      <c r="BC40" s="417">
        <f t="shared" si="117"/>
        <v>0</v>
      </c>
      <c r="BD40" s="417">
        <f t="shared" si="117"/>
        <v>0</v>
      </c>
      <c r="BE40" s="417">
        <f t="shared" si="117"/>
        <v>0</v>
      </c>
      <c r="BF40" s="417">
        <f t="shared" si="117"/>
        <v>0</v>
      </c>
      <c r="BG40" s="417">
        <f t="shared" si="117"/>
        <v>0</v>
      </c>
      <c r="BH40" s="417">
        <f t="shared" si="117"/>
        <v>0</v>
      </c>
      <c r="BI40" s="417">
        <f t="shared" si="117"/>
        <v>0</v>
      </c>
      <c r="BJ40" s="417">
        <f t="shared" si="117"/>
        <v>0</v>
      </c>
      <c r="BK40" s="417"/>
      <c r="BL40" s="417"/>
      <c r="BM40" s="417"/>
      <c r="BN40" s="417"/>
      <c r="BO40" s="417"/>
      <c r="BP40" s="417"/>
      <c r="BQ40" s="417"/>
      <c r="BR40" s="417"/>
      <c r="BS40" s="417"/>
      <c r="BT40" s="417"/>
      <c r="BU40" s="417"/>
    </row>
    <row r="41" spans="1:73" x14ac:dyDescent="0.2">
      <c r="A41" s="299"/>
      <c r="B41" s="299"/>
      <c r="C41" s="299" t="s">
        <v>155</v>
      </c>
      <c r="D41" s="299"/>
      <c r="E41" s="299"/>
      <c r="F41" s="299"/>
      <c r="G41" s="299"/>
      <c r="H41" s="299"/>
      <c r="I41" s="299"/>
      <c r="J41" s="299"/>
      <c r="K41" s="410" t="s">
        <v>62</v>
      </c>
      <c r="L41" s="299"/>
      <c r="M41" s="299"/>
      <c r="N41" s="417">
        <f t="shared" ref="N41:N45" si="118">SUM(Q41:BJ41)</f>
        <v>-329276.02465819661</v>
      </c>
      <c r="O41" s="299"/>
      <c r="P41" s="299"/>
      <c r="Q41" s="417"/>
      <c r="R41" s="417">
        <f t="shared" ref="R41:AO41" si="119">+R139</f>
        <v>0</v>
      </c>
      <c r="S41" s="417">
        <f t="shared" si="119"/>
        <v>0</v>
      </c>
      <c r="T41" s="417">
        <f t="shared" si="119"/>
        <v>0</v>
      </c>
      <c r="U41" s="417">
        <f t="shared" si="119"/>
        <v>0</v>
      </c>
      <c r="V41" s="417">
        <f t="shared" si="119"/>
        <v>0</v>
      </c>
      <c r="W41" s="417">
        <f t="shared" si="119"/>
        <v>0</v>
      </c>
      <c r="X41" s="417">
        <f t="shared" si="119"/>
        <v>0</v>
      </c>
      <c r="Y41" s="417">
        <f t="shared" si="119"/>
        <v>-1144.9213178654027</v>
      </c>
      <c r="Z41" s="417">
        <f t="shared" si="119"/>
        <v>-6531.2471802765504</v>
      </c>
      <c r="AA41" s="417">
        <f t="shared" si="119"/>
        <v>-6608.4925890652376</v>
      </c>
      <c r="AB41" s="417">
        <f t="shared" si="119"/>
        <v>-4697.7256395354489</v>
      </c>
      <c r="AC41" s="417">
        <f t="shared" si="119"/>
        <v>-2760.5135969714611</v>
      </c>
      <c r="AD41" s="417">
        <f t="shared" si="119"/>
        <v>-804.31205934862373</v>
      </c>
      <c r="AE41" s="417">
        <f t="shared" si="119"/>
        <v>0</v>
      </c>
      <c r="AF41" s="417">
        <f t="shared" si="119"/>
        <v>-7360.2077820870327</v>
      </c>
      <c r="AG41" s="417">
        <f t="shared" si="119"/>
        <v>-11373.084161063045</v>
      </c>
      <c r="AH41" s="417">
        <f t="shared" si="119"/>
        <v>-16453.675188882597</v>
      </c>
      <c r="AI41" s="417">
        <f t="shared" si="119"/>
        <v>-22521.64259167781</v>
      </c>
      <c r="AJ41" s="417">
        <f t="shared" si="119"/>
        <v>-29678.740055812872</v>
      </c>
      <c r="AK41" s="417">
        <f t="shared" si="119"/>
        <v>-38059.275062894245</v>
      </c>
      <c r="AL41" s="417">
        <f t="shared" si="119"/>
        <v>-48120.391502588871</v>
      </c>
      <c r="AM41" s="417">
        <f t="shared" si="119"/>
        <v>-59778.260653921781</v>
      </c>
      <c r="AN41" s="417">
        <f t="shared" si="119"/>
        <v>-73383.535276205657</v>
      </c>
      <c r="AO41" s="417">
        <f t="shared" si="119"/>
        <v>0</v>
      </c>
      <c r="AP41" s="417">
        <f t="shared" ref="AP41:BJ41" si="120">+AP139</f>
        <v>0</v>
      </c>
      <c r="AQ41" s="417">
        <f t="shared" si="120"/>
        <v>0</v>
      </c>
      <c r="AR41" s="417">
        <f t="shared" si="120"/>
        <v>0</v>
      </c>
      <c r="AS41" s="417">
        <f t="shared" si="120"/>
        <v>0</v>
      </c>
      <c r="AT41" s="417">
        <f t="shared" si="120"/>
        <v>0</v>
      </c>
      <c r="AU41" s="417">
        <f t="shared" si="120"/>
        <v>0</v>
      </c>
      <c r="AV41" s="417">
        <f t="shared" si="120"/>
        <v>0</v>
      </c>
      <c r="AW41" s="417">
        <f t="shared" si="120"/>
        <v>0</v>
      </c>
      <c r="AX41" s="417">
        <f t="shared" si="120"/>
        <v>0</v>
      </c>
      <c r="AY41" s="417">
        <f t="shared" si="120"/>
        <v>0</v>
      </c>
      <c r="AZ41" s="417">
        <f t="shared" si="120"/>
        <v>0</v>
      </c>
      <c r="BA41" s="417">
        <f t="shared" si="120"/>
        <v>0</v>
      </c>
      <c r="BB41" s="417">
        <f t="shared" si="120"/>
        <v>0</v>
      </c>
      <c r="BC41" s="417">
        <f t="shared" si="120"/>
        <v>0</v>
      </c>
      <c r="BD41" s="417">
        <f t="shared" si="120"/>
        <v>0</v>
      </c>
      <c r="BE41" s="417">
        <f t="shared" si="120"/>
        <v>0</v>
      </c>
      <c r="BF41" s="417">
        <f t="shared" si="120"/>
        <v>0</v>
      </c>
      <c r="BG41" s="417">
        <f t="shared" si="120"/>
        <v>0</v>
      </c>
      <c r="BH41" s="417">
        <f t="shared" si="120"/>
        <v>0</v>
      </c>
      <c r="BI41" s="417">
        <f t="shared" si="120"/>
        <v>0</v>
      </c>
      <c r="BJ41" s="417">
        <f t="shared" si="120"/>
        <v>0</v>
      </c>
      <c r="BK41" s="417"/>
      <c r="BL41" s="417"/>
      <c r="BM41" s="417"/>
      <c r="BN41" s="417"/>
      <c r="BO41" s="417"/>
      <c r="BP41" s="417"/>
      <c r="BQ41" s="417"/>
      <c r="BR41" s="417"/>
      <c r="BS41" s="417"/>
      <c r="BT41" s="417"/>
      <c r="BU41" s="417"/>
    </row>
    <row r="42" spans="1:73" x14ac:dyDescent="0.2">
      <c r="A42" s="299"/>
      <c r="B42" s="299"/>
      <c r="C42" s="299" t="s">
        <v>156</v>
      </c>
      <c r="D42" s="299"/>
      <c r="E42" s="299"/>
      <c r="F42" s="299"/>
      <c r="G42" s="299"/>
      <c r="H42" s="299"/>
      <c r="I42" s="299"/>
      <c r="J42" s="299"/>
      <c r="K42" s="410" t="s">
        <v>62</v>
      </c>
      <c r="L42" s="299"/>
      <c r="M42" s="299"/>
      <c r="N42" s="417">
        <f t="shared" si="118"/>
        <v>-14916.703318010212</v>
      </c>
      <c r="O42" s="299"/>
      <c r="P42" s="299"/>
      <c r="Q42" s="417"/>
      <c r="R42" s="417">
        <f t="shared" ref="R42:AO42" si="121">+R134</f>
        <v>0</v>
      </c>
      <c r="S42" s="417">
        <f t="shared" si="121"/>
        <v>0</v>
      </c>
      <c r="T42" s="417">
        <f t="shared" si="121"/>
        <v>0</v>
      </c>
      <c r="U42" s="417">
        <f t="shared" si="121"/>
        <v>0</v>
      </c>
      <c r="V42" s="417">
        <f t="shared" si="121"/>
        <v>0</v>
      </c>
      <c r="W42" s="417">
        <f t="shared" si="121"/>
        <v>0</v>
      </c>
      <c r="X42" s="417">
        <f t="shared" si="121"/>
        <v>0</v>
      </c>
      <c r="Y42" s="417">
        <f t="shared" si="121"/>
        <v>0</v>
      </c>
      <c r="Z42" s="417">
        <f t="shared" si="121"/>
        <v>0</v>
      </c>
      <c r="AA42" s="417">
        <f t="shared" si="121"/>
        <v>0</v>
      </c>
      <c r="AB42" s="417">
        <f t="shared" si="121"/>
        <v>0</v>
      </c>
      <c r="AC42" s="417">
        <f t="shared" si="121"/>
        <v>0</v>
      </c>
      <c r="AD42" s="417">
        <f t="shared" si="121"/>
        <v>0</v>
      </c>
      <c r="AE42" s="417">
        <f t="shared" si="121"/>
        <v>0</v>
      </c>
      <c r="AF42" s="417">
        <f t="shared" si="121"/>
        <v>0</v>
      </c>
      <c r="AG42" s="417">
        <f t="shared" si="121"/>
        <v>0</v>
      </c>
      <c r="AH42" s="417">
        <f t="shared" si="121"/>
        <v>0</v>
      </c>
      <c r="AI42" s="417">
        <f t="shared" si="121"/>
        <v>0</v>
      </c>
      <c r="AJ42" s="417">
        <f t="shared" si="121"/>
        <v>0</v>
      </c>
      <c r="AK42" s="417">
        <f t="shared" si="121"/>
        <v>0</v>
      </c>
      <c r="AL42" s="417">
        <f t="shared" si="121"/>
        <v>0</v>
      </c>
      <c r="AM42" s="417">
        <f t="shared" si="121"/>
        <v>0</v>
      </c>
      <c r="AN42" s="417">
        <f t="shared" si="121"/>
        <v>-14916.703318010212</v>
      </c>
      <c r="AO42" s="417">
        <f t="shared" si="121"/>
        <v>0</v>
      </c>
      <c r="AP42" s="417">
        <f t="shared" ref="AP42:BJ42" si="122">+AP134</f>
        <v>0</v>
      </c>
      <c r="AQ42" s="417">
        <f t="shared" si="122"/>
        <v>0</v>
      </c>
      <c r="AR42" s="417">
        <f t="shared" si="122"/>
        <v>0</v>
      </c>
      <c r="AS42" s="417">
        <f t="shared" si="122"/>
        <v>0</v>
      </c>
      <c r="AT42" s="417">
        <f t="shared" si="122"/>
        <v>0</v>
      </c>
      <c r="AU42" s="417">
        <f t="shared" si="122"/>
        <v>0</v>
      </c>
      <c r="AV42" s="417">
        <f t="shared" si="122"/>
        <v>0</v>
      </c>
      <c r="AW42" s="417">
        <f t="shared" si="122"/>
        <v>0</v>
      </c>
      <c r="AX42" s="417">
        <f t="shared" si="122"/>
        <v>0</v>
      </c>
      <c r="AY42" s="417">
        <f t="shared" si="122"/>
        <v>0</v>
      </c>
      <c r="AZ42" s="417">
        <f t="shared" si="122"/>
        <v>0</v>
      </c>
      <c r="BA42" s="417">
        <f t="shared" si="122"/>
        <v>0</v>
      </c>
      <c r="BB42" s="417">
        <f t="shared" si="122"/>
        <v>0</v>
      </c>
      <c r="BC42" s="417">
        <f t="shared" si="122"/>
        <v>0</v>
      </c>
      <c r="BD42" s="417">
        <f t="shared" si="122"/>
        <v>0</v>
      </c>
      <c r="BE42" s="417">
        <f t="shared" si="122"/>
        <v>0</v>
      </c>
      <c r="BF42" s="417">
        <f t="shared" si="122"/>
        <v>0</v>
      </c>
      <c r="BG42" s="417">
        <f t="shared" si="122"/>
        <v>0</v>
      </c>
      <c r="BH42" s="417">
        <f t="shared" si="122"/>
        <v>0</v>
      </c>
      <c r="BI42" s="417">
        <f t="shared" si="122"/>
        <v>0</v>
      </c>
      <c r="BJ42" s="417">
        <f t="shared" si="122"/>
        <v>0</v>
      </c>
      <c r="BK42" s="417"/>
      <c r="BL42" s="417"/>
      <c r="BM42" s="417"/>
      <c r="BN42" s="417"/>
      <c r="BO42" s="417"/>
      <c r="BP42" s="417"/>
      <c r="BQ42" s="417"/>
      <c r="BR42" s="417"/>
      <c r="BS42" s="417"/>
      <c r="BT42" s="417"/>
      <c r="BU42" s="417"/>
    </row>
    <row r="43" spans="1:73" x14ac:dyDescent="0.2">
      <c r="A43" s="299"/>
      <c r="B43" s="299"/>
      <c r="C43" s="299" t="s">
        <v>157</v>
      </c>
      <c r="D43" s="299"/>
      <c r="E43" s="299"/>
      <c r="F43" s="299"/>
      <c r="G43" s="299"/>
      <c r="H43" s="299"/>
      <c r="I43" s="299"/>
      <c r="J43" s="299"/>
      <c r="K43" s="410" t="s">
        <v>62</v>
      </c>
      <c r="L43" s="299"/>
      <c r="M43" s="299"/>
      <c r="N43" s="417">
        <f t="shared" si="118"/>
        <v>-90000</v>
      </c>
      <c r="O43" s="299"/>
      <c r="P43" s="299"/>
      <c r="Q43" s="417"/>
      <c r="R43" s="417">
        <f t="shared" ref="R43:AO43" si="123">+R135</f>
        <v>0</v>
      </c>
      <c r="S43" s="417">
        <f t="shared" si="123"/>
        <v>0</v>
      </c>
      <c r="T43" s="417">
        <f t="shared" si="123"/>
        <v>0</v>
      </c>
      <c r="U43" s="417">
        <f t="shared" si="123"/>
        <v>0</v>
      </c>
      <c r="V43" s="417">
        <f t="shared" si="123"/>
        <v>0</v>
      </c>
      <c r="W43" s="417">
        <f t="shared" si="123"/>
        <v>0</v>
      </c>
      <c r="X43" s="417">
        <f t="shared" si="123"/>
        <v>0</v>
      </c>
      <c r="Y43" s="417">
        <f t="shared" si="123"/>
        <v>0</v>
      </c>
      <c r="Z43" s="417">
        <f t="shared" si="123"/>
        <v>0</v>
      </c>
      <c r="AA43" s="417">
        <f t="shared" si="123"/>
        <v>0</v>
      </c>
      <c r="AB43" s="417">
        <f t="shared" si="123"/>
        <v>0</v>
      </c>
      <c r="AC43" s="417">
        <f t="shared" si="123"/>
        <v>0</v>
      </c>
      <c r="AD43" s="417">
        <f t="shared" si="123"/>
        <v>0</v>
      </c>
      <c r="AE43" s="417">
        <f t="shared" si="123"/>
        <v>0</v>
      </c>
      <c r="AF43" s="417">
        <f t="shared" si="123"/>
        <v>0</v>
      </c>
      <c r="AG43" s="417">
        <f t="shared" si="123"/>
        <v>0</v>
      </c>
      <c r="AH43" s="417">
        <f t="shared" si="123"/>
        <v>0</v>
      </c>
      <c r="AI43" s="417">
        <f t="shared" si="123"/>
        <v>-5000</v>
      </c>
      <c r="AJ43" s="417">
        <f t="shared" si="123"/>
        <v>-10000</v>
      </c>
      <c r="AK43" s="417">
        <f t="shared" si="123"/>
        <v>-10000</v>
      </c>
      <c r="AL43" s="417">
        <f t="shared" si="123"/>
        <v>-10000</v>
      </c>
      <c r="AM43" s="417">
        <f t="shared" si="123"/>
        <v>-30000</v>
      </c>
      <c r="AN43" s="417">
        <f t="shared" si="123"/>
        <v>-25000</v>
      </c>
      <c r="AO43" s="417">
        <f t="shared" si="123"/>
        <v>0</v>
      </c>
      <c r="AP43" s="417">
        <f t="shared" ref="AP43:BJ43" si="124">+AP135</f>
        <v>0</v>
      </c>
      <c r="AQ43" s="417">
        <f t="shared" si="124"/>
        <v>0</v>
      </c>
      <c r="AR43" s="417">
        <f t="shared" si="124"/>
        <v>0</v>
      </c>
      <c r="AS43" s="417">
        <f t="shared" si="124"/>
        <v>0</v>
      </c>
      <c r="AT43" s="417">
        <f t="shared" si="124"/>
        <v>0</v>
      </c>
      <c r="AU43" s="417">
        <f t="shared" si="124"/>
        <v>0</v>
      </c>
      <c r="AV43" s="417">
        <f t="shared" si="124"/>
        <v>0</v>
      </c>
      <c r="AW43" s="417">
        <f t="shared" si="124"/>
        <v>0</v>
      </c>
      <c r="AX43" s="417">
        <f t="shared" si="124"/>
        <v>0</v>
      </c>
      <c r="AY43" s="417">
        <f t="shared" si="124"/>
        <v>0</v>
      </c>
      <c r="AZ43" s="417">
        <f t="shared" si="124"/>
        <v>0</v>
      </c>
      <c r="BA43" s="417">
        <f t="shared" si="124"/>
        <v>0</v>
      </c>
      <c r="BB43" s="417">
        <f t="shared" si="124"/>
        <v>0</v>
      </c>
      <c r="BC43" s="417">
        <f t="shared" si="124"/>
        <v>0</v>
      </c>
      <c r="BD43" s="417">
        <f t="shared" si="124"/>
        <v>0</v>
      </c>
      <c r="BE43" s="417">
        <f t="shared" si="124"/>
        <v>0</v>
      </c>
      <c r="BF43" s="417">
        <f t="shared" si="124"/>
        <v>0</v>
      </c>
      <c r="BG43" s="417">
        <f t="shared" si="124"/>
        <v>0</v>
      </c>
      <c r="BH43" s="417">
        <f t="shared" si="124"/>
        <v>0</v>
      </c>
      <c r="BI43" s="417">
        <f t="shared" si="124"/>
        <v>0</v>
      </c>
      <c r="BJ43" s="417">
        <f t="shared" si="124"/>
        <v>0</v>
      </c>
      <c r="BK43" s="417"/>
      <c r="BL43" s="417"/>
      <c r="BM43" s="417"/>
      <c r="BN43" s="417"/>
      <c r="BO43" s="417"/>
      <c r="BP43" s="417"/>
      <c r="BQ43" s="417"/>
      <c r="BR43" s="417"/>
      <c r="BS43" s="417"/>
      <c r="BT43" s="417"/>
      <c r="BU43" s="417"/>
    </row>
    <row r="44" spans="1:73" x14ac:dyDescent="0.2">
      <c r="A44" s="299"/>
      <c r="B44" s="299"/>
      <c r="C44" s="299" t="s">
        <v>158</v>
      </c>
      <c r="D44" s="299"/>
      <c r="E44" s="299"/>
      <c r="F44" s="299"/>
      <c r="G44" s="299"/>
      <c r="H44" s="299"/>
      <c r="I44" s="299"/>
      <c r="J44" s="299"/>
      <c r="K44" s="410" t="s">
        <v>62</v>
      </c>
      <c r="L44" s="299"/>
      <c r="M44" s="299"/>
      <c r="N44" s="417">
        <f t="shared" si="118"/>
        <v>-104916.70331801022</v>
      </c>
      <c r="O44" s="299"/>
      <c r="P44" s="299"/>
      <c r="Q44" s="417"/>
      <c r="R44" s="417">
        <f t="shared" ref="R44:AO44" si="125">+R137</f>
        <v>0</v>
      </c>
      <c r="S44" s="417">
        <f t="shared" si="125"/>
        <v>0</v>
      </c>
      <c r="T44" s="417">
        <f t="shared" si="125"/>
        <v>0</v>
      </c>
      <c r="U44" s="417">
        <f t="shared" si="125"/>
        <v>0</v>
      </c>
      <c r="V44" s="417">
        <f t="shared" si="125"/>
        <v>0</v>
      </c>
      <c r="W44" s="417">
        <f t="shared" si="125"/>
        <v>0</v>
      </c>
      <c r="X44" s="417">
        <f t="shared" si="125"/>
        <v>0</v>
      </c>
      <c r="Y44" s="417">
        <f t="shared" si="125"/>
        <v>0</v>
      </c>
      <c r="Z44" s="417">
        <f t="shared" si="125"/>
        <v>0</v>
      </c>
      <c r="AA44" s="417">
        <f t="shared" si="125"/>
        <v>0</v>
      </c>
      <c r="AB44" s="417">
        <f t="shared" si="125"/>
        <v>0</v>
      </c>
      <c r="AC44" s="417">
        <f t="shared" si="125"/>
        <v>0</v>
      </c>
      <c r="AD44" s="417">
        <f t="shared" si="125"/>
        <v>0</v>
      </c>
      <c r="AE44" s="417">
        <f t="shared" si="125"/>
        <v>0</v>
      </c>
      <c r="AF44" s="417">
        <f t="shared" si="125"/>
        <v>0</v>
      </c>
      <c r="AG44" s="417">
        <f t="shared" si="125"/>
        <v>0</v>
      </c>
      <c r="AH44" s="417">
        <f t="shared" si="125"/>
        <v>0</v>
      </c>
      <c r="AI44" s="417">
        <f t="shared" si="125"/>
        <v>-5000</v>
      </c>
      <c r="AJ44" s="417">
        <f t="shared" si="125"/>
        <v>-10000</v>
      </c>
      <c r="AK44" s="417">
        <f t="shared" si="125"/>
        <v>-10000</v>
      </c>
      <c r="AL44" s="417">
        <f t="shared" si="125"/>
        <v>-10000</v>
      </c>
      <c r="AM44" s="417">
        <f t="shared" si="125"/>
        <v>-30000</v>
      </c>
      <c r="AN44" s="417">
        <f t="shared" si="125"/>
        <v>-39916.703318010215</v>
      </c>
      <c r="AO44" s="417">
        <f t="shared" si="125"/>
        <v>0</v>
      </c>
      <c r="AP44" s="417">
        <f t="shared" ref="AP44:BJ44" si="126">+AP137</f>
        <v>0</v>
      </c>
      <c r="AQ44" s="417">
        <f t="shared" si="126"/>
        <v>0</v>
      </c>
      <c r="AR44" s="417">
        <f t="shared" si="126"/>
        <v>0</v>
      </c>
      <c r="AS44" s="417">
        <f t="shared" si="126"/>
        <v>0</v>
      </c>
      <c r="AT44" s="417">
        <f t="shared" si="126"/>
        <v>0</v>
      </c>
      <c r="AU44" s="417">
        <f t="shared" si="126"/>
        <v>0</v>
      </c>
      <c r="AV44" s="417">
        <f t="shared" si="126"/>
        <v>0</v>
      </c>
      <c r="AW44" s="417">
        <f t="shared" si="126"/>
        <v>0</v>
      </c>
      <c r="AX44" s="417">
        <f t="shared" si="126"/>
        <v>0</v>
      </c>
      <c r="AY44" s="417">
        <f t="shared" si="126"/>
        <v>0</v>
      </c>
      <c r="AZ44" s="417">
        <f t="shared" si="126"/>
        <v>0</v>
      </c>
      <c r="BA44" s="417">
        <f t="shared" si="126"/>
        <v>0</v>
      </c>
      <c r="BB44" s="417">
        <f t="shared" si="126"/>
        <v>0</v>
      </c>
      <c r="BC44" s="417">
        <f t="shared" si="126"/>
        <v>0</v>
      </c>
      <c r="BD44" s="417">
        <f t="shared" si="126"/>
        <v>0</v>
      </c>
      <c r="BE44" s="417">
        <f t="shared" si="126"/>
        <v>0</v>
      </c>
      <c r="BF44" s="417">
        <f t="shared" si="126"/>
        <v>0</v>
      </c>
      <c r="BG44" s="417">
        <f t="shared" si="126"/>
        <v>0</v>
      </c>
      <c r="BH44" s="417">
        <f t="shared" si="126"/>
        <v>0</v>
      </c>
      <c r="BI44" s="417">
        <f t="shared" si="126"/>
        <v>0</v>
      </c>
      <c r="BJ44" s="417">
        <f t="shared" si="126"/>
        <v>0</v>
      </c>
      <c r="BK44" s="417"/>
      <c r="BL44" s="417"/>
      <c r="BM44" s="417"/>
      <c r="BN44" s="417"/>
      <c r="BO44" s="417"/>
      <c r="BP44" s="417"/>
      <c r="BQ44" s="417"/>
      <c r="BR44" s="417"/>
      <c r="BS44" s="417"/>
      <c r="BT44" s="417"/>
      <c r="BU44" s="417"/>
    </row>
    <row r="45" spans="1:73" x14ac:dyDescent="0.2">
      <c r="A45" s="299"/>
      <c r="B45" s="299"/>
      <c r="C45" s="426" t="s">
        <v>159</v>
      </c>
      <c r="D45" s="426"/>
      <c r="E45" s="426"/>
      <c r="F45" s="426"/>
      <c r="G45" s="426"/>
      <c r="H45" s="426"/>
      <c r="I45" s="426"/>
      <c r="J45" s="426"/>
      <c r="K45" s="630" t="s">
        <v>62</v>
      </c>
      <c r="L45" s="426"/>
      <c r="M45" s="426"/>
      <c r="N45" s="427">
        <f t="shared" si="118"/>
        <v>-309355.33276812552</v>
      </c>
      <c r="O45" s="426"/>
      <c r="P45" s="426"/>
      <c r="Q45" s="427"/>
      <c r="R45" s="427">
        <f t="shared" ref="R45:AO45" si="127">+R140</f>
        <v>0</v>
      </c>
      <c r="S45" s="427">
        <f t="shared" si="127"/>
        <v>0</v>
      </c>
      <c r="T45" s="427">
        <f t="shared" si="127"/>
        <v>0</v>
      </c>
      <c r="U45" s="427">
        <f t="shared" si="127"/>
        <v>0</v>
      </c>
      <c r="V45" s="427">
        <f t="shared" si="127"/>
        <v>0</v>
      </c>
      <c r="W45" s="427">
        <f t="shared" si="127"/>
        <v>0</v>
      </c>
      <c r="X45" s="427">
        <f t="shared" si="127"/>
        <v>0</v>
      </c>
      <c r="Y45" s="427">
        <f t="shared" si="127"/>
        <v>-1144.9213178654027</v>
      </c>
      <c r="Z45" s="427">
        <f t="shared" si="127"/>
        <v>-6531.2471802765504</v>
      </c>
      <c r="AA45" s="427">
        <f t="shared" si="127"/>
        <v>-6608.4925890652376</v>
      </c>
      <c r="AB45" s="427">
        <f t="shared" si="127"/>
        <v>-4697.7256395354489</v>
      </c>
      <c r="AC45" s="427">
        <f t="shared" si="127"/>
        <v>-2760.5135969714611</v>
      </c>
      <c r="AD45" s="427">
        <f t="shared" si="127"/>
        <v>-804.31205934862373</v>
      </c>
      <c r="AE45" s="427">
        <f t="shared" si="127"/>
        <v>0</v>
      </c>
      <c r="AF45" s="427">
        <f t="shared" si="127"/>
        <v>-7360.2077820870327</v>
      </c>
      <c r="AG45" s="427">
        <f t="shared" si="127"/>
        <v>-11373.084161063045</v>
      </c>
      <c r="AH45" s="427">
        <f t="shared" si="127"/>
        <v>-16453.675188882597</v>
      </c>
      <c r="AI45" s="427">
        <f t="shared" si="127"/>
        <v>-22521.64259167781</v>
      </c>
      <c r="AJ45" s="427">
        <f t="shared" si="127"/>
        <v>-29678.740055812872</v>
      </c>
      <c r="AK45" s="427">
        <f t="shared" si="127"/>
        <v>-38059.275062894245</v>
      </c>
      <c r="AL45" s="427">
        <f t="shared" si="127"/>
        <v>-48120.391502588871</v>
      </c>
      <c r="AM45" s="427">
        <f t="shared" si="127"/>
        <v>-59778.260653921781</v>
      </c>
      <c r="AN45" s="427">
        <f t="shared" si="127"/>
        <v>-53462.84338613454</v>
      </c>
      <c r="AO45" s="427">
        <f t="shared" si="127"/>
        <v>0</v>
      </c>
      <c r="AP45" s="427">
        <f t="shared" ref="AP45:BJ45" si="128">+AP140</f>
        <v>0</v>
      </c>
      <c r="AQ45" s="427">
        <f t="shared" si="128"/>
        <v>0</v>
      </c>
      <c r="AR45" s="427">
        <f t="shared" si="128"/>
        <v>0</v>
      </c>
      <c r="AS45" s="427">
        <f t="shared" si="128"/>
        <v>0</v>
      </c>
      <c r="AT45" s="427">
        <f t="shared" si="128"/>
        <v>0</v>
      </c>
      <c r="AU45" s="427">
        <f t="shared" si="128"/>
        <v>0</v>
      </c>
      <c r="AV45" s="427">
        <f t="shared" si="128"/>
        <v>0</v>
      </c>
      <c r="AW45" s="427">
        <f t="shared" si="128"/>
        <v>0</v>
      </c>
      <c r="AX45" s="427">
        <f t="shared" si="128"/>
        <v>0</v>
      </c>
      <c r="AY45" s="427">
        <f t="shared" si="128"/>
        <v>0</v>
      </c>
      <c r="AZ45" s="427">
        <f t="shared" si="128"/>
        <v>0</v>
      </c>
      <c r="BA45" s="427">
        <f t="shared" si="128"/>
        <v>0</v>
      </c>
      <c r="BB45" s="427">
        <f t="shared" si="128"/>
        <v>0</v>
      </c>
      <c r="BC45" s="427">
        <f t="shared" si="128"/>
        <v>0</v>
      </c>
      <c r="BD45" s="427">
        <f t="shared" si="128"/>
        <v>0</v>
      </c>
      <c r="BE45" s="427">
        <f t="shared" si="128"/>
        <v>0</v>
      </c>
      <c r="BF45" s="427">
        <f t="shared" si="128"/>
        <v>0</v>
      </c>
      <c r="BG45" s="427">
        <f t="shared" si="128"/>
        <v>0</v>
      </c>
      <c r="BH45" s="427">
        <f t="shared" si="128"/>
        <v>0</v>
      </c>
      <c r="BI45" s="427">
        <f t="shared" si="128"/>
        <v>0</v>
      </c>
      <c r="BJ45" s="427">
        <f t="shared" si="128"/>
        <v>0</v>
      </c>
      <c r="BK45" s="427"/>
      <c r="BL45" s="427"/>
      <c r="BM45" s="427"/>
      <c r="BN45" s="427"/>
      <c r="BO45" s="427"/>
      <c r="BP45" s="427"/>
      <c r="BQ45" s="427"/>
      <c r="BR45" s="427"/>
      <c r="BS45" s="427"/>
      <c r="BT45" s="427"/>
      <c r="BU45" s="427"/>
    </row>
    <row r="46" spans="1:73" ht="13.5" thickBot="1" x14ac:dyDescent="0.25">
      <c r="A46" s="299"/>
      <c r="B46" s="299"/>
      <c r="C46" s="299" t="s">
        <v>153</v>
      </c>
      <c r="D46" s="299"/>
      <c r="E46" s="299"/>
      <c r="F46" s="299"/>
      <c r="G46" s="299"/>
      <c r="H46" s="299"/>
      <c r="I46" s="299"/>
      <c r="J46" s="299"/>
      <c r="K46" s="410" t="s">
        <v>62</v>
      </c>
      <c r="L46" s="299"/>
      <c r="M46" s="299"/>
      <c r="N46" s="417"/>
      <c r="O46" s="299"/>
      <c r="P46" s="299"/>
      <c r="Q46" s="417"/>
      <c r="R46" s="417">
        <f t="shared" ref="R46:AO46" si="129">SUM(R36:R45)</f>
        <v>793974.41311090544</v>
      </c>
      <c r="S46" s="417">
        <f t="shared" si="129"/>
        <v>830267.58695475885</v>
      </c>
      <c r="T46" s="417">
        <f t="shared" si="129"/>
        <v>848464.76406234282</v>
      </c>
      <c r="U46" s="417">
        <f t="shared" si="129"/>
        <v>848464.76406234282</v>
      </c>
      <c r="V46" s="417">
        <f t="shared" si="129"/>
        <v>848464.76406234282</v>
      </c>
      <c r="W46" s="417">
        <f t="shared" si="129"/>
        <v>848464.76406234282</v>
      </c>
      <c r="X46" s="417">
        <f t="shared" si="129"/>
        <v>848464.76406234282</v>
      </c>
      <c r="Y46" s="417">
        <f t="shared" si="129"/>
        <v>846174.92142661207</v>
      </c>
      <c r="Z46" s="417">
        <f t="shared" si="129"/>
        <v>833112.42706605897</v>
      </c>
      <c r="AA46" s="417">
        <f t="shared" si="129"/>
        <v>819895.44188792864</v>
      </c>
      <c r="AB46" s="417">
        <f t="shared" si="129"/>
        <v>810499.99060885771</v>
      </c>
      <c r="AC46" s="417">
        <f t="shared" si="129"/>
        <v>804978.96341491467</v>
      </c>
      <c r="AD46" s="417">
        <f t="shared" si="129"/>
        <v>803370.33929621731</v>
      </c>
      <c r="AE46" s="417">
        <f t="shared" si="129"/>
        <v>803370.33929621731</v>
      </c>
      <c r="AF46" s="417">
        <f t="shared" si="129"/>
        <v>788649.92373204324</v>
      </c>
      <c r="AG46" s="417">
        <f t="shared" si="129"/>
        <v>765903.75540991721</v>
      </c>
      <c r="AH46" s="417">
        <f t="shared" si="129"/>
        <v>732996.40503215208</v>
      </c>
      <c r="AI46" s="417">
        <f t="shared" si="129"/>
        <v>677953.1198487964</v>
      </c>
      <c r="AJ46" s="417">
        <f t="shared" si="129"/>
        <v>598595.63973717066</v>
      </c>
      <c r="AK46" s="417">
        <f t="shared" si="129"/>
        <v>502477.08961138234</v>
      </c>
      <c r="AL46" s="417">
        <f t="shared" si="129"/>
        <v>386236.3066062046</v>
      </c>
      <c r="AM46" s="417">
        <f t="shared" si="129"/>
        <v>206679.78529836106</v>
      </c>
      <c r="AN46" s="417">
        <f t="shared" si="129"/>
        <v>4.3655745685100555E-10</v>
      </c>
      <c r="AO46" s="417">
        <f t="shared" si="129"/>
        <v>4.3655745685100555E-10</v>
      </c>
      <c r="AP46" s="417">
        <f t="shared" ref="AP46:BJ46" si="130">SUM(AP36:AP45)</f>
        <v>4.3655745685100555E-10</v>
      </c>
      <c r="AQ46" s="417">
        <f t="shared" si="130"/>
        <v>4.3655745685100555E-10</v>
      </c>
      <c r="AR46" s="417">
        <f t="shared" si="130"/>
        <v>4.3655745685100555E-10</v>
      </c>
      <c r="AS46" s="417">
        <f t="shared" si="130"/>
        <v>4.3655745685100555E-10</v>
      </c>
      <c r="AT46" s="417">
        <f t="shared" si="130"/>
        <v>4.3655745685100555E-10</v>
      </c>
      <c r="AU46" s="417">
        <f t="shared" si="130"/>
        <v>4.3655745685100555E-10</v>
      </c>
      <c r="AV46" s="417">
        <f t="shared" si="130"/>
        <v>4.3655745685100555E-10</v>
      </c>
      <c r="AW46" s="417">
        <f t="shared" si="130"/>
        <v>4.3655745685100555E-10</v>
      </c>
      <c r="AX46" s="417">
        <f t="shared" si="130"/>
        <v>4.3655745685100555E-10</v>
      </c>
      <c r="AY46" s="417">
        <f t="shared" si="130"/>
        <v>4.3655745685100555E-10</v>
      </c>
      <c r="AZ46" s="417">
        <f t="shared" si="130"/>
        <v>4.3655745685100555E-10</v>
      </c>
      <c r="BA46" s="417">
        <f t="shared" si="130"/>
        <v>4.3655745685100555E-10</v>
      </c>
      <c r="BB46" s="417">
        <f t="shared" si="130"/>
        <v>4.3655745685100555E-10</v>
      </c>
      <c r="BC46" s="417">
        <f t="shared" si="130"/>
        <v>4.3655745685100555E-10</v>
      </c>
      <c r="BD46" s="417">
        <f t="shared" si="130"/>
        <v>4.3655745685100555E-10</v>
      </c>
      <c r="BE46" s="417">
        <f t="shared" si="130"/>
        <v>4.3655745685100555E-10</v>
      </c>
      <c r="BF46" s="417">
        <f t="shared" si="130"/>
        <v>4.3655745685100555E-10</v>
      </c>
      <c r="BG46" s="417">
        <f t="shared" si="130"/>
        <v>4.3655745685100555E-10</v>
      </c>
      <c r="BH46" s="417">
        <f t="shared" si="130"/>
        <v>4.3655745685100555E-10</v>
      </c>
      <c r="BI46" s="417">
        <f t="shared" si="130"/>
        <v>4.3655745685100555E-10</v>
      </c>
      <c r="BJ46" s="417">
        <f t="shared" si="130"/>
        <v>4.3655745685100555E-10</v>
      </c>
      <c r="BK46" s="417"/>
      <c r="BL46" s="417"/>
      <c r="BM46" s="417"/>
      <c r="BN46" s="417"/>
      <c r="BO46" s="417"/>
      <c r="BP46" s="417"/>
      <c r="BQ46" s="417"/>
      <c r="BR46" s="417"/>
      <c r="BS46" s="417"/>
      <c r="BT46" s="417"/>
      <c r="BU46" s="417"/>
    </row>
    <row r="47" spans="1:73" ht="13.5" thickBot="1" x14ac:dyDescent="0.25">
      <c r="A47" s="299"/>
      <c r="B47" s="299"/>
      <c r="C47" s="299"/>
      <c r="D47" s="299"/>
      <c r="E47" s="299"/>
      <c r="F47" s="299"/>
      <c r="G47" s="299"/>
      <c r="H47" s="299"/>
      <c r="I47" s="299"/>
      <c r="J47" s="299"/>
      <c r="K47" s="410"/>
      <c r="L47" s="299"/>
      <c r="M47" s="299"/>
      <c r="N47" s="428">
        <f>IF(ROUND(SUM(N37:N45),0)&lt;&gt;0,1,0)</f>
        <v>0</v>
      </c>
      <c r="O47" s="299"/>
      <c r="P47" s="299"/>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7"/>
      <c r="BR47" s="417"/>
      <c r="BS47" s="417"/>
      <c r="BT47" s="417"/>
      <c r="BU47" s="417"/>
    </row>
    <row r="48" spans="1:73" x14ac:dyDescent="0.2">
      <c r="A48" s="299"/>
      <c r="B48" s="423" t="s">
        <v>160</v>
      </c>
      <c r="C48" s="299"/>
      <c r="D48" s="299"/>
      <c r="E48" s="424"/>
      <c r="F48" s="299"/>
      <c r="G48" s="299"/>
      <c r="H48" s="299"/>
      <c r="I48" s="299"/>
      <c r="J48" s="299"/>
      <c r="K48" s="410"/>
      <c r="L48" s="299"/>
      <c r="M48" s="417"/>
      <c r="N48" s="299"/>
      <c r="O48" s="299"/>
      <c r="P48" s="299"/>
      <c r="Q48" s="299"/>
      <c r="R48" s="299"/>
      <c r="S48" s="299"/>
      <c r="T48" s="299"/>
      <c r="U48" s="425"/>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row>
    <row r="49" spans="1:73" x14ac:dyDescent="0.2">
      <c r="A49" s="299"/>
      <c r="B49" s="299"/>
      <c r="C49" s="299" t="s">
        <v>148</v>
      </c>
      <c r="D49" s="299"/>
      <c r="E49" s="299"/>
      <c r="F49" s="299"/>
      <c r="G49" s="299"/>
      <c r="H49" s="299"/>
      <c r="I49" s="299"/>
      <c r="J49" s="299"/>
      <c r="K49" s="410" t="s">
        <v>62</v>
      </c>
      <c r="L49" s="299"/>
      <c r="M49" s="299"/>
      <c r="N49" s="417"/>
      <c r="O49" s="299"/>
      <c r="P49" s="299"/>
      <c r="Q49" s="417"/>
      <c r="R49" s="417">
        <f t="shared" ref="R49:AO49" si="131">+Q57</f>
        <v>0</v>
      </c>
      <c r="S49" s="417">
        <f t="shared" si="131"/>
        <v>0</v>
      </c>
      <c r="T49" s="417">
        <f t="shared" si="131"/>
        <v>0</v>
      </c>
      <c r="U49" s="417">
        <f t="shared" si="131"/>
        <v>400000</v>
      </c>
      <c r="V49" s="417">
        <f t="shared" si="131"/>
        <v>400000</v>
      </c>
      <c r="W49" s="417">
        <f t="shared" si="131"/>
        <v>400000</v>
      </c>
      <c r="X49" s="417">
        <f t="shared" si="131"/>
        <v>400000</v>
      </c>
      <c r="Y49" s="417">
        <f t="shared" si="131"/>
        <v>400000</v>
      </c>
      <c r="Z49" s="417">
        <f t="shared" si="131"/>
        <v>402289.84263573081</v>
      </c>
      <c r="AA49" s="417">
        <f t="shared" si="131"/>
        <v>415352.33699628391</v>
      </c>
      <c r="AB49" s="417">
        <f t="shared" si="131"/>
        <v>428569.32217441441</v>
      </c>
      <c r="AC49" s="417">
        <f t="shared" si="131"/>
        <v>437964.77345348534</v>
      </c>
      <c r="AD49" s="417">
        <f t="shared" si="131"/>
        <v>443485.80064742826</v>
      </c>
      <c r="AE49" s="417">
        <f t="shared" si="131"/>
        <v>505326.8864343742</v>
      </c>
      <c r="AF49" s="417">
        <f t="shared" si="131"/>
        <v>505326.88643437426</v>
      </c>
      <c r="AG49" s="417">
        <f t="shared" si="131"/>
        <v>520047.30199854833</v>
      </c>
      <c r="AH49" s="417">
        <f t="shared" si="131"/>
        <v>542793.47032067436</v>
      </c>
      <c r="AI49" s="417">
        <f t="shared" si="131"/>
        <v>575700.82069843961</v>
      </c>
      <c r="AJ49" s="417">
        <f t="shared" si="131"/>
        <v>630744.10588179529</v>
      </c>
      <c r="AK49" s="417">
        <f t="shared" si="131"/>
        <v>710101.58599342103</v>
      </c>
      <c r="AL49" s="417">
        <f t="shared" si="131"/>
        <v>806220.13611920946</v>
      </c>
      <c r="AM49" s="417">
        <f t="shared" si="131"/>
        <v>922460.9191243872</v>
      </c>
      <c r="AN49" s="417">
        <f t="shared" si="131"/>
        <v>1102017.4404322307</v>
      </c>
      <c r="AO49" s="417">
        <f t="shared" si="131"/>
        <v>1406086.5980707521</v>
      </c>
      <c r="AP49" s="417">
        <f t="shared" ref="AP49:BJ49" si="132">+AO57</f>
        <v>1406086.5980707521</v>
      </c>
      <c r="AQ49" s="417">
        <f t="shared" si="132"/>
        <v>1406086.5980707521</v>
      </c>
      <c r="AR49" s="417">
        <f t="shared" si="132"/>
        <v>1406086.5980707521</v>
      </c>
      <c r="AS49" s="417">
        <f t="shared" si="132"/>
        <v>1406086.5980707521</v>
      </c>
      <c r="AT49" s="417">
        <f t="shared" si="132"/>
        <v>1406086.5980707521</v>
      </c>
      <c r="AU49" s="417">
        <f t="shared" si="132"/>
        <v>1406086.5980707521</v>
      </c>
      <c r="AV49" s="417">
        <f t="shared" si="132"/>
        <v>1295594.1768520905</v>
      </c>
      <c r="AW49" s="417">
        <f t="shared" si="132"/>
        <v>1179300.9035194491</v>
      </c>
      <c r="AX49" s="417">
        <f t="shared" si="132"/>
        <v>1056902.233336844</v>
      </c>
      <c r="AY49" s="417">
        <f t="shared" si="132"/>
        <v>1029318.9316395134</v>
      </c>
      <c r="AZ49" s="417">
        <f t="shared" si="132"/>
        <v>878940.14966923581</v>
      </c>
      <c r="BA49" s="417">
        <f t="shared" si="132"/>
        <v>720666.4816455188</v>
      </c>
      <c r="BB49" s="417">
        <f t="shared" si="132"/>
        <v>554083.44605055649</v>
      </c>
      <c r="BC49" s="417">
        <f t="shared" si="132"/>
        <v>378754.80108685879</v>
      </c>
      <c r="BD49" s="417">
        <f t="shared" si="132"/>
        <v>194221.40226256705</v>
      </c>
      <c r="BE49" s="417">
        <f t="shared" si="132"/>
        <v>0</v>
      </c>
      <c r="BF49" s="417">
        <f t="shared" si="132"/>
        <v>0</v>
      </c>
      <c r="BG49" s="417">
        <f t="shared" si="132"/>
        <v>0</v>
      </c>
      <c r="BH49" s="417">
        <f t="shared" si="132"/>
        <v>0</v>
      </c>
      <c r="BI49" s="417">
        <f t="shared" si="132"/>
        <v>0</v>
      </c>
      <c r="BJ49" s="417">
        <f t="shared" si="132"/>
        <v>0</v>
      </c>
      <c r="BK49" s="417"/>
      <c r="BL49" s="417"/>
      <c r="BM49" s="417"/>
      <c r="BN49" s="417"/>
      <c r="BO49" s="417"/>
      <c r="BP49" s="417"/>
      <c r="BQ49" s="417"/>
      <c r="BR49" s="417"/>
      <c r="BS49" s="417"/>
      <c r="BT49" s="417"/>
      <c r="BU49" s="417"/>
    </row>
    <row r="50" spans="1:73" s="429" customFormat="1" x14ac:dyDescent="0.2">
      <c r="A50" s="299"/>
      <c r="B50" s="299"/>
      <c r="C50" s="355" t="s">
        <v>349</v>
      </c>
      <c r="D50" s="355"/>
      <c r="E50" s="355"/>
      <c r="F50" s="355"/>
      <c r="G50" s="355"/>
      <c r="H50" s="355"/>
      <c r="I50" s="355"/>
      <c r="J50" s="355"/>
      <c r="K50" s="631" t="s">
        <v>62</v>
      </c>
      <c r="L50" s="355"/>
      <c r="M50" s="382"/>
      <c r="N50" s="382">
        <f t="shared" ref="N50:N56" si="133">SUM(Q50:BJ50)</f>
        <v>258863.13267827081</v>
      </c>
      <c r="O50" s="355"/>
      <c r="P50" s="355"/>
      <c r="Q50" s="382"/>
      <c r="R50" s="382">
        <f t="shared" ref="R50:AO50" si="134">+R184</f>
        <v>0</v>
      </c>
      <c r="S50" s="382">
        <f t="shared" si="134"/>
        <v>0</v>
      </c>
      <c r="T50" s="382">
        <f t="shared" si="134"/>
        <v>0</v>
      </c>
      <c r="U50" s="382">
        <f t="shared" si="134"/>
        <v>0</v>
      </c>
      <c r="V50" s="382">
        <f t="shared" si="134"/>
        <v>0</v>
      </c>
      <c r="W50" s="382">
        <f t="shared" si="134"/>
        <v>0</v>
      </c>
      <c r="X50" s="382">
        <f t="shared" si="134"/>
        <v>0</v>
      </c>
      <c r="Y50" s="382">
        <f t="shared" si="134"/>
        <v>0</v>
      </c>
      <c r="Z50" s="382">
        <f t="shared" si="134"/>
        <v>0</v>
      </c>
      <c r="AA50" s="382">
        <f t="shared" si="134"/>
        <v>0</v>
      </c>
      <c r="AB50" s="382">
        <f t="shared" si="134"/>
        <v>0</v>
      </c>
      <c r="AC50" s="382">
        <f t="shared" si="134"/>
        <v>0</v>
      </c>
      <c r="AD50" s="382">
        <f t="shared" si="134"/>
        <v>60232.461668248776</v>
      </c>
      <c r="AE50" s="382">
        <f t="shared" si="134"/>
        <v>0</v>
      </c>
      <c r="AF50" s="382">
        <f t="shared" si="134"/>
        <v>0</v>
      </c>
      <c r="AG50" s="382">
        <f t="shared" si="134"/>
        <v>0</v>
      </c>
      <c r="AH50" s="382">
        <f t="shared" si="134"/>
        <v>0</v>
      </c>
      <c r="AI50" s="382">
        <f t="shared" si="134"/>
        <v>0</v>
      </c>
      <c r="AJ50" s="382">
        <f t="shared" si="134"/>
        <v>0</v>
      </c>
      <c r="AK50" s="382">
        <f t="shared" si="134"/>
        <v>0</v>
      </c>
      <c r="AL50" s="382">
        <f t="shared" si="134"/>
        <v>0</v>
      </c>
      <c r="AM50" s="382">
        <f t="shared" si="134"/>
        <v>0</v>
      </c>
      <c r="AN50" s="382">
        <f t="shared" si="134"/>
        <v>97389.372340160786</v>
      </c>
      <c r="AO50" s="382">
        <f t="shared" si="134"/>
        <v>0</v>
      </c>
      <c r="AP50" s="382">
        <f t="shared" ref="AP50:BJ50" si="135">+AP184</f>
        <v>0</v>
      </c>
      <c r="AQ50" s="382">
        <f t="shared" si="135"/>
        <v>0</v>
      </c>
      <c r="AR50" s="382">
        <f t="shared" si="135"/>
        <v>0</v>
      </c>
      <c r="AS50" s="382">
        <f t="shared" si="135"/>
        <v>0</v>
      </c>
      <c r="AT50" s="382">
        <f t="shared" si="135"/>
        <v>0</v>
      </c>
      <c r="AU50" s="382">
        <f t="shared" si="135"/>
        <v>0</v>
      </c>
      <c r="AV50" s="382">
        <f t="shared" si="135"/>
        <v>0</v>
      </c>
      <c r="AW50" s="382">
        <f t="shared" si="135"/>
        <v>0</v>
      </c>
      <c r="AX50" s="382">
        <f t="shared" si="135"/>
        <v>101241.29866986125</v>
      </c>
      <c r="AY50" s="382">
        <f t="shared" si="135"/>
        <v>0</v>
      </c>
      <c r="AZ50" s="382">
        <f t="shared" si="135"/>
        <v>0</v>
      </c>
      <c r="BA50" s="382">
        <f t="shared" si="135"/>
        <v>0</v>
      </c>
      <c r="BB50" s="382">
        <f t="shared" si="135"/>
        <v>0</v>
      </c>
      <c r="BC50" s="382">
        <f t="shared" si="135"/>
        <v>0</v>
      </c>
      <c r="BD50" s="382">
        <f t="shared" si="135"/>
        <v>0</v>
      </c>
      <c r="BE50" s="382">
        <f t="shared" si="135"/>
        <v>0</v>
      </c>
      <c r="BF50" s="382">
        <f t="shared" si="135"/>
        <v>0</v>
      </c>
      <c r="BG50" s="382">
        <f t="shared" si="135"/>
        <v>0</v>
      </c>
      <c r="BH50" s="382">
        <f t="shared" si="135"/>
        <v>0</v>
      </c>
      <c r="BI50" s="382">
        <f t="shared" si="135"/>
        <v>0</v>
      </c>
      <c r="BJ50" s="382">
        <f t="shared" si="135"/>
        <v>0</v>
      </c>
      <c r="BK50" s="382"/>
      <c r="BL50" s="382"/>
      <c r="BM50" s="382"/>
      <c r="BN50" s="382"/>
      <c r="BO50" s="382"/>
      <c r="BP50" s="382"/>
      <c r="BQ50" s="382"/>
      <c r="BR50" s="382"/>
      <c r="BS50" s="382"/>
      <c r="BT50" s="382"/>
      <c r="BU50" s="382"/>
    </row>
    <row r="51" spans="1:73" x14ac:dyDescent="0.2">
      <c r="A51" s="299"/>
      <c r="B51" s="299"/>
      <c r="C51" s="299" t="s">
        <v>341</v>
      </c>
      <c r="D51" s="299"/>
      <c r="E51" s="299"/>
      <c r="F51" s="299"/>
      <c r="G51" s="299"/>
      <c r="H51" s="299"/>
      <c r="I51" s="299"/>
      <c r="J51" s="299"/>
      <c r="K51" s="410" t="s">
        <v>62</v>
      </c>
      <c r="L51" s="299"/>
      <c r="M51" s="417"/>
      <c r="N51" s="417">
        <f t="shared" si="133"/>
        <v>400000</v>
      </c>
      <c r="O51" s="299"/>
      <c r="P51" s="299"/>
      <c r="Q51" s="417"/>
      <c r="R51" s="417">
        <f t="shared" ref="R51:AO51" si="136">+R183</f>
        <v>0</v>
      </c>
      <c r="S51" s="417">
        <f t="shared" si="136"/>
        <v>0</v>
      </c>
      <c r="T51" s="417">
        <f t="shared" si="136"/>
        <v>400000</v>
      </c>
      <c r="U51" s="417">
        <f t="shared" si="136"/>
        <v>0</v>
      </c>
      <c r="V51" s="417">
        <f t="shared" si="136"/>
        <v>0</v>
      </c>
      <c r="W51" s="417">
        <f t="shared" si="136"/>
        <v>0</v>
      </c>
      <c r="X51" s="417">
        <f t="shared" si="136"/>
        <v>0</v>
      </c>
      <c r="Y51" s="417">
        <f t="shared" si="136"/>
        <v>0</v>
      </c>
      <c r="Z51" s="417">
        <f t="shared" si="136"/>
        <v>0</v>
      </c>
      <c r="AA51" s="417">
        <f t="shared" si="136"/>
        <v>0</v>
      </c>
      <c r="AB51" s="417">
        <f t="shared" si="136"/>
        <v>0</v>
      </c>
      <c r="AC51" s="417">
        <f t="shared" si="136"/>
        <v>0</v>
      </c>
      <c r="AD51" s="417">
        <f t="shared" si="136"/>
        <v>0</v>
      </c>
      <c r="AE51" s="417">
        <f t="shared" si="136"/>
        <v>0</v>
      </c>
      <c r="AF51" s="417">
        <f t="shared" si="136"/>
        <v>0</v>
      </c>
      <c r="AG51" s="417">
        <f t="shared" si="136"/>
        <v>0</v>
      </c>
      <c r="AH51" s="417">
        <f t="shared" si="136"/>
        <v>0</v>
      </c>
      <c r="AI51" s="417">
        <f t="shared" si="136"/>
        <v>0</v>
      </c>
      <c r="AJ51" s="417">
        <f t="shared" si="136"/>
        <v>0</v>
      </c>
      <c r="AK51" s="417">
        <f t="shared" si="136"/>
        <v>0</v>
      </c>
      <c r="AL51" s="417">
        <f t="shared" si="136"/>
        <v>0</v>
      </c>
      <c r="AM51" s="417">
        <f t="shared" si="136"/>
        <v>0</v>
      </c>
      <c r="AN51" s="417">
        <f t="shared" si="136"/>
        <v>0</v>
      </c>
      <c r="AO51" s="417">
        <f t="shared" si="136"/>
        <v>0</v>
      </c>
      <c r="AP51" s="417">
        <f t="shared" ref="AP51:BJ51" si="137">+AP183</f>
        <v>0</v>
      </c>
      <c r="AQ51" s="417">
        <f t="shared" si="137"/>
        <v>0</v>
      </c>
      <c r="AR51" s="417">
        <f t="shared" si="137"/>
        <v>0</v>
      </c>
      <c r="AS51" s="417">
        <f t="shared" si="137"/>
        <v>0</v>
      </c>
      <c r="AT51" s="417">
        <f t="shared" si="137"/>
        <v>0</v>
      </c>
      <c r="AU51" s="417">
        <f t="shared" si="137"/>
        <v>0</v>
      </c>
      <c r="AV51" s="417">
        <f t="shared" si="137"/>
        <v>0</v>
      </c>
      <c r="AW51" s="417">
        <f t="shared" si="137"/>
        <v>0</v>
      </c>
      <c r="AX51" s="417">
        <f t="shared" si="137"/>
        <v>0</v>
      </c>
      <c r="AY51" s="417">
        <f t="shared" si="137"/>
        <v>0</v>
      </c>
      <c r="AZ51" s="417">
        <f t="shared" si="137"/>
        <v>0</v>
      </c>
      <c r="BA51" s="417">
        <f t="shared" si="137"/>
        <v>0</v>
      </c>
      <c r="BB51" s="417">
        <f t="shared" si="137"/>
        <v>0</v>
      </c>
      <c r="BC51" s="417">
        <f t="shared" si="137"/>
        <v>0</v>
      </c>
      <c r="BD51" s="417">
        <f t="shared" si="137"/>
        <v>0</v>
      </c>
      <c r="BE51" s="417">
        <f t="shared" si="137"/>
        <v>0</v>
      </c>
      <c r="BF51" s="417">
        <f t="shared" si="137"/>
        <v>0</v>
      </c>
      <c r="BG51" s="417">
        <f t="shared" si="137"/>
        <v>0</v>
      </c>
      <c r="BH51" s="417">
        <f t="shared" si="137"/>
        <v>0</v>
      </c>
      <c r="BI51" s="417">
        <f t="shared" si="137"/>
        <v>0</v>
      </c>
      <c r="BJ51" s="417">
        <f t="shared" si="137"/>
        <v>0</v>
      </c>
      <c r="BK51" s="417"/>
      <c r="BL51" s="417"/>
      <c r="BM51" s="417"/>
      <c r="BN51" s="417"/>
      <c r="BO51" s="417"/>
      <c r="BP51" s="417"/>
      <c r="BQ51" s="417"/>
      <c r="BR51" s="417"/>
      <c r="BS51" s="417"/>
      <c r="BT51" s="417"/>
      <c r="BU51" s="417"/>
    </row>
    <row r="52" spans="1:73" x14ac:dyDescent="0.2">
      <c r="A52" s="299"/>
      <c r="B52" s="299"/>
      <c r="C52" s="299" t="s">
        <v>161</v>
      </c>
      <c r="D52" s="299"/>
      <c r="E52" s="299"/>
      <c r="F52" s="299"/>
      <c r="G52" s="299"/>
      <c r="H52" s="299"/>
      <c r="I52" s="299"/>
      <c r="J52" s="299"/>
      <c r="K52" s="410" t="s">
        <v>62</v>
      </c>
      <c r="L52" s="299"/>
      <c r="M52" s="417"/>
      <c r="N52" s="417">
        <f t="shared" si="133"/>
        <v>209833.40663602043</v>
      </c>
      <c r="O52" s="299"/>
      <c r="P52" s="299"/>
      <c r="Q52" s="417"/>
      <c r="R52" s="417">
        <f t="shared" ref="R52:AO52" si="138">+R185</f>
        <v>0</v>
      </c>
      <c r="S52" s="417">
        <f t="shared" si="138"/>
        <v>0</v>
      </c>
      <c r="T52" s="417">
        <f t="shared" si="138"/>
        <v>0</v>
      </c>
      <c r="U52" s="417">
        <f t="shared" si="138"/>
        <v>0</v>
      </c>
      <c r="V52" s="417">
        <f t="shared" si="138"/>
        <v>0</v>
      </c>
      <c r="W52" s="417">
        <f t="shared" si="138"/>
        <v>0</v>
      </c>
      <c r="X52" s="417">
        <f t="shared" si="138"/>
        <v>0</v>
      </c>
      <c r="Y52" s="417">
        <f t="shared" si="138"/>
        <v>0</v>
      </c>
      <c r="Z52" s="417">
        <f t="shared" si="138"/>
        <v>0</v>
      </c>
      <c r="AA52" s="417">
        <f t="shared" si="138"/>
        <v>0</v>
      </c>
      <c r="AB52" s="417">
        <f t="shared" si="138"/>
        <v>0</v>
      </c>
      <c r="AC52" s="417">
        <f t="shared" si="138"/>
        <v>0</v>
      </c>
      <c r="AD52" s="417">
        <f t="shared" si="138"/>
        <v>0</v>
      </c>
      <c r="AE52" s="417">
        <f t="shared" si="138"/>
        <v>0</v>
      </c>
      <c r="AF52" s="417">
        <f t="shared" si="138"/>
        <v>0</v>
      </c>
      <c r="AG52" s="417">
        <f t="shared" si="138"/>
        <v>0</v>
      </c>
      <c r="AH52" s="417">
        <f t="shared" si="138"/>
        <v>0</v>
      </c>
      <c r="AI52" s="417">
        <f t="shared" si="138"/>
        <v>10000</v>
      </c>
      <c r="AJ52" s="417">
        <f t="shared" si="138"/>
        <v>20000</v>
      </c>
      <c r="AK52" s="417">
        <f t="shared" si="138"/>
        <v>20000</v>
      </c>
      <c r="AL52" s="417">
        <f t="shared" si="138"/>
        <v>20000</v>
      </c>
      <c r="AM52" s="417">
        <f t="shared" si="138"/>
        <v>60000</v>
      </c>
      <c r="AN52" s="417">
        <f t="shared" si="138"/>
        <v>79833.406636020431</v>
      </c>
      <c r="AO52" s="417">
        <f t="shared" si="138"/>
        <v>0</v>
      </c>
      <c r="AP52" s="417">
        <f t="shared" ref="AP52:BJ52" si="139">+AP185</f>
        <v>0</v>
      </c>
      <c r="AQ52" s="417">
        <f t="shared" si="139"/>
        <v>0</v>
      </c>
      <c r="AR52" s="417">
        <f t="shared" si="139"/>
        <v>0</v>
      </c>
      <c r="AS52" s="417">
        <f t="shared" si="139"/>
        <v>0</v>
      </c>
      <c r="AT52" s="417">
        <f t="shared" si="139"/>
        <v>0</v>
      </c>
      <c r="AU52" s="417">
        <f t="shared" si="139"/>
        <v>0</v>
      </c>
      <c r="AV52" s="417">
        <f t="shared" si="139"/>
        <v>0</v>
      </c>
      <c r="AW52" s="417">
        <f t="shared" si="139"/>
        <v>0</v>
      </c>
      <c r="AX52" s="417">
        <f t="shared" si="139"/>
        <v>0</v>
      </c>
      <c r="AY52" s="417">
        <f t="shared" si="139"/>
        <v>0</v>
      </c>
      <c r="AZ52" s="417">
        <f t="shared" si="139"/>
        <v>0</v>
      </c>
      <c r="BA52" s="417">
        <f t="shared" si="139"/>
        <v>0</v>
      </c>
      <c r="BB52" s="417">
        <f t="shared" si="139"/>
        <v>0</v>
      </c>
      <c r="BC52" s="417">
        <f t="shared" si="139"/>
        <v>0</v>
      </c>
      <c r="BD52" s="417">
        <f t="shared" si="139"/>
        <v>0</v>
      </c>
      <c r="BE52" s="417">
        <f t="shared" si="139"/>
        <v>0</v>
      </c>
      <c r="BF52" s="417">
        <f t="shared" si="139"/>
        <v>0</v>
      </c>
      <c r="BG52" s="417">
        <f t="shared" si="139"/>
        <v>0</v>
      </c>
      <c r="BH52" s="417">
        <f t="shared" si="139"/>
        <v>0</v>
      </c>
      <c r="BI52" s="417">
        <f t="shared" si="139"/>
        <v>0</v>
      </c>
      <c r="BJ52" s="417">
        <f t="shared" si="139"/>
        <v>0</v>
      </c>
      <c r="BK52" s="417"/>
      <c r="BL52" s="417"/>
      <c r="BM52" s="417"/>
      <c r="BN52" s="417"/>
      <c r="BO52" s="417"/>
      <c r="BP52" s="417"/>
      <c r="BQ52" s="417"/>
      <c r="BR52" s="417"/>
      <c r="BS52" s="417"/>
      <c r="BT52" s="417"/>
      <c r="BU52" s="417"/>
    </row>
    <row r="53" spans="1:73" x14ac:dyDescent="0.2">
      <c r="A53" s="299"/>
      <c r="B53" s="299"/>
      <c r="C53" s="299" t="s">
        <v>162</v>
      </c>
      <c r="D53" s="299"/>
      <c r="E53" s="299"/>
      <c r="F53" s="299"/>
      <c r="G53" s="299"/>
      <c r="H53" s="299"/>
      <c r="I53" s="299"/>
      <c r="J53" s="299"/>
      <c r="K53" s="410" t="s">
        <v>62</v>
      </c>
      <c r="L53" s="299"/>
      <c r="M53" s="417"/>
      <c r="N53" s="417">
        <f t="shared" si="133"/>
        <v>638631.35742632218</v>
      </c>
      <c r="O53" s="299"/>
      <c r="P53" s="299"/>
      <c r="Q53" s="417"/>
      <c r="R53" s="417">
        <f t="shared" ref="R53:AO53" si="140">+R186</f>
        <v>0</v>
      </c>
      <c r="S53" s="417">
        <f t="shared" si="140"/>
        <v>0</v>
      </c>
      <c r="T53" s="417">
        <f t="shared" si="140"/>
        <v>0</v>
      </c>
      <c r="U53" s="417">
        <f t="shared" si="140"/>
        <v>0</v>
      </c>
      <c r="V53" s="417">
        <f t="shared" si="140"/>
        <v>0</v>
      </c>
      <c r="W53" s="417">
        <f t="shared" si="140"/>
        <v>0</v>
      </c>
      <c r="X53" s="417">
        <f t="shared" si="140"/>
        <v>0</v>
      </c>
      <c r="Y53" s="417">
        <f t="shared" si="140"/>
        <v>2289.8426357308053</v>
      </c>
      <c r="Z53" s="417">
        <f t="shared" si="140"/>
        <v>13062.494360553101</v>
      </c>
      <c r="AA53" s="417">
        <f t="shared" si="140"/>
        <v>13216.985178130475</v>
      </c>
      <c r="AB53" s="417">
        <f t="shared" si="140"/>
        <v>9395.4512790708977</v>
      </c>
      <c r="AC53" s="417">
        <f t="shared" si="140"/>
        <v>5521.0271939429222</v>
      </c>
      <c r="AD53" s="417">
        <f t="shared" si="140"/>
        <v>1608.6241186972475</v>
      </c>
      <c r="AE53" s="417">
        <f t="shared" si="140"/>
        <v>0</v>
      </c>
      <c r="AF53" s="417">
        <f t="shared" si="140"/>
        <v>14720.415564174065</v>
      </c>
      <c r="AG53" s="417">
        <f t="shared" si="140"/>
        <v>22746.16832212609</v>
      </c>
      <c r="AH53" s="417">
        <f t="shared" si="140"/>
        <v>32907.350377765193</v>
      </c>
      <c r="AI53" s="417">
        <f t="shared" si="140"/>
        <v>45043.28518335562</v>
      </c>
      <c r="AJ53" s="417">
        <f t="shared" si="140"/>
        <v>59357.480111625744</v>
      </c>
      <c r="AK53" s="417">
        <f t="shared" si="140"/>
        <v>76118.55012578849</v>
      </c>
      <c r="AL53" s="417">
        <f t="shared" si="140"/>
        <v>96240.783005177742</v>
      </c>
      <c r="AM53" s="417">
        <f t="shared" si="140"/>
        <v>119556.52130784356</v>
      </c>
      <c r="AN53" s="417">
        <f t="shared" si="140"/>
        <v>126846.3786623402</v>
      </c>
      <c r="AO53" s="417">
        <f t="shared" si="140"/>
        <v>0</v>
      </c>
      <c r="AP53" s="417">
        <f t="shared" ref="AP53:BJ53" si="141">+AP186</f>
        <v>0</v>
      </c>
      <c r="AQ53" s="417">
        <f t="shared" si="141"/>
        <v>0</v>
      </c>
      <c r="AR53" s="417">
        <f t="shared" si="141"/>
        <v>0</v>
      </c>
      <c r="AS53" s="417">
        <f t="shared" si="141"/>
        <v>0</v>
      </c>
      <c r="AT53" s="417">
        <f t="shared" si="141"/>
        <v>0</v>
      </c>
      <c r="AU53" s="417">
        <f t="shared" si="141"/>
        <v>0</v>
      </c>
      <c r="AV53" s="417">
        <f t="shared" si="141"/>
        <v>0</v>
      </c>
      <c r="AW53" s="417">
        <f t="shared" si="141"/>
        <v>0</v>
      </c>
      <c r="AX53" s="417">
        <f t="shared" si="141"/>
        <v>0</v>
      </c>
      <c r="AY53" s="417">
        <f t="shared" si="141"/>
        <v>0</v>
      </c>
      <c r="AZ53" s="417">
        <f t="shared" si="141"/>
        <v>0</v>
      </c>
      <c r="BA53" s="417">
        <f t="shared" si="141"/>
        <v>0</v>
      </c>
      <c r="BB53" s="417">
        <f t="shared" si="141"/>
        <v>0</v>
      </c>
      <c r="BC53" s="417">
        <f t="shared" si="141"/>
        <v>0</v>
      </c>
      <c r="BD53" s="417">
        <f t="shared" si="141"/>
        <v>0</v>
      </c>
      <c r="BE53" s="417">
        <f t="shared" si="141"/>
        <v>0</v>
      </c>
      <c r="BF53" s="417">
        <f t="shared" si="141"/>
        <v>0</v>
      </c>
      <c r="BG53" s="417">
        <f t="shared" si="141"/>
        <v>0</v>
      </c>
      <c r="BH53" s="417">
        <f t="shared" si="141"/>
        <v>0</v>
      </c>
      <c r="BI53" s="417">
        <f t="shared" si="141"/>
        <v>0</v>
      </c>
      <c r="BJ53" s="417">
        <f t="shared" si="141"/>
        <v>0</v>
      </c>
      <c r="BK53" s="417"/>
      <c r="BL53" s="417"/>
      <c r="BM53" s="417"/>
      <c r="BN53" s="417"/>
      <c r="BO53" s="417"/>
      <c r="BP53" s="417"/>
      <c r="BQ53" s="417"/>
      <c r="BR53" s="417"/>
      <c r="BS53" s="417"/>
      <c r="BT53" s="417"/>
      <c r="BU53" s="417"/>
    </row>
    <row r="54" spans="1:73" x14ac:dyDescent="0.2">
      <c r="A54" s="299"/>
      <c r="B54" s="299"/>
      <c r="C54" s="299" t="s">
        <v>150</v>
      </c>
      <c r="D54" s="299"/>
      <c r="E54" s="299"/>
      <c r="F54" s="299"/>
      <c r="G54" s="299"/>
      <c r="H54" s="299"/>
      <c r="I54" s="299"/>
      <c r="J54" s="299"/>
      <c r="K54" s="410" t="s">
        <v>62</v>
      </c>
      <c r="L54" s="299"/>
      <c r="M54" s="299"/>
      <c r="N54" s="417">
        <f t="shared" si="133"/>
        <v>1486884.1300324327</v>
      </c>
      <c r="O54" s="299"/>
      <c r="P54" s="299"/>
      <c r="Q54" s="417"/>
      <c r="R54" s="417">
        <f t="shared" ref="R54:AO54" si="142">+R187</f>
        <v>0</v>
      </c>
      <c r="S54" s="417">
        <f t="shared" si="142"/>
        <v>0</v>
      </c>
      <c r="T54" s="417">
        <f t="shared" si="142"/>
        <v>0</v>
      </c>
      <c r="U54" s="417">
        <f t="shared" si="142"/>
        <v>21350</v>
      </c>
      <c r="V54" s="417">
        <f t="shared" si="142"/>
        <v>21291.666666666664</v>
      </c>
      <c r="W54" s="417">
        <f t="shared" si="142"/>
        <v>21291.666666666664</v>
      </c>
      <c r="X54" s="417">
        <f t="shared" si="142"/>
        <v>21291.666666666664</v>
      </c>
      <c r="Y54" s="417">
        <f t="shared" si="142"/>
        <v>21380.555087670531</v>
      </c>
      <c r="Z54" s="417">
        <f t="shared" si="142"/>
        <v>21587.379504314489</v>
      </c>
      <c r="AA54" s="417">
        <f t="shared" si="142"/>
        <v>22284.741048084084</v>
      </c>
      <c r="AB54" s="417">
        <f t="shared" si="142"/>
        <v>22937.415888752817</v>
      </c>
      <c r="AC54" s="417">
        <f t="shared" si="142"/>
        <v>23450.040989698955</v>
      </c>
      <c r="AD54" s="417">
        <f t="shared" si="142"/>
        <v>23627.786027291608</v>
      </c>
      <c r="AE54" s="417">
        <f t="shared" si="142"/>
        <v>26898.129059163042</v>
      </c>
      <c r="AF54" s="417">
        <f t="shared" si="142"/>
        <v>27094.017922530049</v>
      </c>
      <c r="AG54" s="417">
        <f t="shared" si="142"/>
        <v>28061.043927720882</v>
      </c>
      <c r="AH54" s="417">
        <f t="shared" si="142"/>
        <v>29330.351806731673</v>
      </c>
      <c r="AI54" s="417">
        <f t="shared" si="142"/>
        <v>31376.551985320446</v>
      </c>
      <c r="AJ54" s="417">
        <f t="shared" si="142"/>
        <v>34630.016269776825</v>
      </c>
      <c r="AK54" s="417">
        <f t="shared" si="142"/>
        <v>39184.254055639831</v>
      </c>
      <c r="AL54" s="417">
        <f t="shared" si="142"/>
        <v>44461.275998523699</v>
      </c>
      <c r="AM54" s="417">
        <f t="shared" si="142"/>
        <v>51491.237007254043</v>
      </c>
      <c r="AN54" s="417">
        <f t="shared" si="142"/>
        <v>61409.818190909937</v>
      </c>
      <c r="AO54" s="417">
        <f t="shared" si="142"/>
        <v>75049.872172026386</v>
      </c>
      <c r="AP54" s="417">
        <f t="shared" ref="AP54:BJ54" si="143">+AP187</f>
        <v>74844.817876474393</v>
      </c>
      <c r="AQ54" s="417">
        <f t="shared" si="143"/>
        <v>74844.817876474393</v>
      </c>
      <c r="AR54" s="417">
        <f t="shared" si="143"/>
        <v>74844.817876474393</v>
      </c>
      <c r="AS54" s="417">
        <f t="shared" si="143"/>
        <v>75049.872172026386</v>
      </c>
      <c r="AT54" s="417">
        <f t="shared" si="143"/>
        <v>74844.817876474393</v>
      </c>
      <c r="AU54" s="417">
        <f t="shared" si="143"/>
        <v>73374.463000361488</v>
      </c>
      <c r="AV54" s="417">
        <f t="shared" si="143"/>
        <v>67415.849864913878</v>
      </c>
      <c r="AW54" s="417">
        <f t="shared" si="143"/>
        <v>61311.928470101448</v>
      </c>
      <c r="AX54" s="417">
        <f t="shared" si="143"/>
        <v>54543.718597731095</v>
      </c>
      <c r="AY54" s="417">
        <f t="shared" si="143"/>
        <v>52788.654653238365</v>
      </c>
      <c r="AZ54" s="417">
        <f t="shared" si="143"/>
        <v>44679.057853223916</v>
      </c>
      <c r="BA54" s="417">
        <f t="shared" si="143"/>
        <v>36242.731076609285</v>
      </c>
      <c r="BB54" s="417">
        <f t="shared" si="143"/>
        <v>27160.250681012705</v>
      </c>
      <c r="BC54" s="417">
        <f t="shared" si="143"/>
        <v>17705.162672456412</v>
      </c>
      <c r="BD54" s="417">
        <f t="shared" si="143"/>
        <v>7753.6825434509183</v>
      </c>
      <c r="BE54" s="417">
        <f t="shared" si="143"/>
        <v>0</v>
      </c>
      <c r="BF54" s="417">
        <f t="shared" si="143"/>
        <v>0</v>
      </c>
      <c r="BG54" s="417">
        <f t="shared" si="143"/>
        <v>0</v>
      </c>
      <c r="BH54" s="417">
        <f t="shared" si="143"/>
        <v>0</v>
      </c>
      <c r="BI54" s="417">
        <f t="shared" si="143"/>
        <v>0</v>
      </c>
      <c r="BJ54" s="417">
        <f t="shared" si="143"/>
        <v>0</v>
      </c>
      <c r="BK54" s="417"/>
      <c r="BL54" s="417"/>
      <c r="BM54" s="417"/>
      <c r="BN54" s="417"/>
      <c r="BO54" s="417"/>
      <c r="BP54" s="417"/>
      <c r="BQ54" s="417"/>
      <c r="BR54" s="417"/>
      <c r="BS54" s="417"/>
      <c r="BT54" s="417"/>
      <c r="BU54" s="417"/>
    </row>
    <row r="55" spans="1:73" x14ac:dyDescent="0.2">
      <c r="A55" s="299"/>
      <c r="B55" s="299"/>
      <c r="C55" s="299" t="s">
        <v>120</v>
      </c>
      <c r="D55" s="299"/>
      <c r="E55" s="299"/>
      <c r="F55" s="299"/>
      <c r="G55" s="299"/>
      <c r="H55" s="299"/>
      <c r="I55" s="299"/>
      <c r="J55" s="299"/>
      <c r="K55" s="410" t="s">
        <v>62</v>
      </c>
      <c r="L55" s="299"/>
      <c r="M55" s="299"/>
      <c r="N55" s="417">
        <f t="shared" si="133"/>
        <v>-1486884.1300324327</v>
      </c>
      <c r="O55" s="299"/>
      <c r="P55" s="299"/>
      <c r="Q55" s="417"/>
      <c r="R55" s="417">
        <f t="shared" ref="R55:AO55" si="144">+R188</f>
        <v>0</v>
      </c>
      <c r="S55" s="417">
        <f t="shared" si="144"/>
        <v>0</v>
      </c>
      <c r="T55" s="417">
        <f t="shared" si="144"/>
        <v>0</v>
      </c>
      <c r="U55" s="417">
        <f t="shared" si="144"/>
        <v>-21350</v>
      </c>
      <c r="V55" s="417">
        <f t="shared" si="144"/>
        <v>-21291.666666666664</v>
      </c>
      <c r="W55" s="417">
        <f t="shared" si="144"/>
        <v>-21291.666666666664</v>
      </c>
      <c r="X55" s="417">
        <f t="shared" si="144"/>
        <v>-21291.666666666664</v>
      </c>
      <c r="Y55" s="417">
        <f t="shared" si="144"/>
        <v>-21380.555087670531</v>
      </c>
      <c r="Z55" s="417">
        <f t="shared" si="144"/>
        <v>-21587.379504314489</v>
      </c>
      <c r="AA55" s="417">
        <f t="shared" si="144"/>
        <v>-22284.741048084084</v>
      </c>
      <c r="AB55" s="417">
        <f t="shared" si="144"/>
        <v>-22937.415888752817</v>
      </c>
      <c r="AC55" s="417">
        <f t="shared" si="144"/>
        <v>-23450.040989698955</v>
      </c>
      <c r="AD55" s="417">
        <f t="shared" si="144"/>
        <v>-23627.786027291608</v>
      </c>
      <c r="AE55" s="417">
        <f t="shared" si="144"/>
        <v>-26898.129059163042</v>
      </c>
      <c r="AF55" s="417">
        <f t="shared" si="144"/>
        <v>-27094.017922530049</v>
      </c>
      <c r="AG55" s="417">
        <f t="shared" si="144"/>
        <v>-28061.043927720882</v>
      </c>
      <c r="AH55" s="417">
        <f t="shared" si="144"/>
        <v>-29330.351806731673</v>
      </c>
      <c r="AI55" s="417">
        <f t="shared" si="144"/>
        <v>-31376.551985320446</v>
      </c>
      <c r="AJ55" s="417">
        <f t="shared" si="144"/>
        <v>-34630.016269776825</v>
      </c>
      <c r="AK55" s="417">
        <f t="shared" si="144"/>
        <v>-39184.254055639831</v>
      </c>
      <c r="AL55" s="417">
        <f t="shared" si="144"/>
        <v>-44461.275998523699</v>
      </c>
      <c r="AM55" s="417">
        <f t="shared" si="144"/>
        <v>-51491.237007254043</v>
      </c>
      <c r="AN55" s="417">
        <f t="shared" si="144"/>
        <v>-61409.818190909937</v>
      </c>
      <c r="AO55" s="417">
        <f t="shared" si="144"/>
        <v>-75049.872172026386</v>
      </c>
      <c r="AP55" s="417">
        <f t="shared" ref="AP55:BJ55" si="145">+AP188</f>
        <v>-74844.817876474393</v>
      </c>
      <c r="AQ55" s="417">
        <f t="shared" si="145"/>
        <v>-74844.817876474393</v>
      </c>
      <c r="AR55" s="417">
        <f t="shared" si="145"/>
        <v>-74844.817876474393</v>
      </c>
      <c r="AS55" s="417">
        <f t="shared" si="145"/>
        <v>-75049.872172026386</v>
      </c>
      <c r="AT55" s="417">
        <f t="shared" si="145"/>
        <v>-74844.817876474393</v>
      </c>
      <c r="AU55" s="417">
        <f t="shared" si="145"/>
        <v>-73374.463000361488</v>
      </c>
      <c r="AV55" s="417">
        <f t="shared" si="145"/>
        <v>-67415.849864913878</v>
      </c>
      <c r="AW55" s="417">
        <f t="shared" si="145"/>
        <v>-61311.928470101448</v>
      </c>
      <c r="AX55" s="417">
        <f t="shared" si="145"/>
        <v>-54543.718597731095</v>
      </c>
      <c r="AY55" s="417">
        <f t="shared" si="145"/>
        <v>-52788.654653238365</v>
      </c>
      <c r="AZ55" s="417">
        <f t="shared" si="145"/>
        <v>-44679.057853223916</v>
      </c>
      <c r="BA55" s="417">
        <f t="shared" si="145"/>
        <v>-36242.731076609285</v>
      </c>
      <c r="BB55" s="417">
        <f t="shared" si="145"/>
        <v>-27160.250681012705</v>
      </c>
      <c r="BC55" s="417">
        <f t="shared" si="145"/>
        <v>-17705.162672456412</v>
      </c>
      <c r="BD55" s="417">
        <f t="shared" si="145"/>
        <v>-7753.6825434509183</v>
      </c>
      <c r="BE55" s="417">
        <f t="shared" si="145"/>
        <v>0</v>
      </c>
      <c r="BF55" s="417">
        <f t="shared" si="145"/>
        <v>0</v>
      </c>
      <c r="BG55" s="417">
        <f t="shared" si="145"/>
        <v>0</v>
      </c>
      <c r="BH55" s="417">
        <f t="shared" si="145"/>
        <v>0</v>
      </c>
      <c r="BI55" s="417">
        <f t="shared" si="145"/>
        <v>0</v>
      </c>
      <c r="BJ55" s="417">
        <f t="shared" si="145"/>
        <v>0</v>
      </c>
      <c r="BK55" s="417"/>
      <c r="BL55" s="417"/>
      <c r="BM55" s="417"/>
      <c r="BN55" s="417"/>
      <c r="BO55" s="417"/>
      <c r="BP55" s="417"/>
      <c r="BQ55" s="417"/>
      <c r="BR55" s="417"/>
      <c r="BS55" s="417"/>
      <c r="BT55" s="417"/>
      <c r="BU55" s="417"/>
    </row>
    <row r="56" spans="1:73" x14ac:dyDescent="0.2">
      <c r="A56" s="299"/>
      <c r="B56" s="299"/>
      <c r="C56" s="426" t="s">
        <v>151</v>
      </c>
      <c r="D56" s="426"/>
      <c r="E56" s="426"/>
      <c r="F56" s="426"/>
      <c r="G56" s="426"/>
      <c r="H56" s="426"/>
      <c r="I56" s="426"/>
      <c r="J56" s="426"/>
      <c r="K56" s="630" t="s">
        <v>62</v>
      </c>
      <c r="L56" s="426"/>
      <c r="M56" s="426"/>
      <c r="N56" s="427">
        <f t="shared" si="133"/>
        <v>-1507327.8967406133</v>
      </c>
      <c r="O56" s="426"/>
      <c r="P56" s="426"/>
      <c r="Q56" s="427"/>
      <c r="R56" s="427">
        <f t="shared" ref="R56:AO56" si="146">+R189</f>
        <v>0</v>
      </c>
      <c r="S56" s="427">
        <f t="shared" si="146"/>
        <v>0</v>
      </c>
      <c r="T56" s="427">
        <f t="shared" si="146"/>
        <v>0</v>
      </c>
      <c r="U56" s="427">
        <f t="shared" si="146"/>
        <v>0</v>
      </c>
      <c r="V56" s="427">
        <f t="shared" si="146"/>
        <v>0</v>
      </c>
      <c r="W56" s="427">
        <f t="shared" si="146"/>
        <v>0</v>
      </c>
      <c r="X56" s="427">
        <f t="shared" si="146"/>
        <v>0</v>
      </c>
      <c r="Y56" s="427">
        <f t="shared" si="146"/>
        <v>0</v>
      </c>
      <c r="Z56" s="427">
        <f t="shared" si="146"/>
        <v>0</v>
      </c>
      <c r="AA56" s="427">
        <f t="shared" si="146"/>
        <v>0</v>
      </c>
      <c r="AB56" s="427">
        <f t="shared" si="146"/>
        <v>0</v>
      </c>
      <c r="AC56" s="427">
        <f t="shared" si="146"/>
        <v>0</v>
      </c>
      <c r="AD56" s="427">
        <f t="shared" si="146"/>
        <v>0</v>
      </c>
      <c r="AE56" s="427">
        <f t="shared" si="146"/>
        <v>0</v>
      </c>
      <c r="AF56" s="427">
        <f t="shared" si="146"/>
        <v>0</v>
      </c>
      <c r="AG56" s="427">
        <f t="shared" si="146"/>
        <v>0</v>
      </c>
      <c r="AH56" s="427">
        <f t="shared" si="146"/>
        <v>0</v>
      </c>
      <c r="AI56" s="427">
        <f t="shared" si="146"/>
        <v>0</v>
      </c>
      <c r="AJ56" s="427">
        <f t="shared" si="146"/>
        <v>0</v>
      </c>
      <c r="AK56" s="427">
        <f t="shared" si="146"/>
        <v>0</v>
      </c>
      <c r="AL56" s="427">
        <f t="shared" si="146"/>
        <v>0</v>
      </c>
      <c r="AM56" s="427">
        <f t="shared" si="146"/>
        <v>0</v>
      </c>
      <c r="AN56" s="427">
        <f t="shared" si="146"/>
        <v>0</v>
      </c>
      <c r="AO56" s="427">
        <f t="shared" si="146"/>
        <v>0</v>
      </c>
      <c r="AP56" s="427">
        <f t="shared" ref="AP56:BJ56" si="147">+AP189</f>
        <v>0</v>
      </c>
      <c r="AQ56" s="427">
        <f t="shared" si="147"/>
        <v>0</v>
      </c>
      <c r="AR56" s="427">
        <f t="shared" si="147"/>
        <v>0</v>
      </c>
      <c r="AS56" s="427">
        <f t="shared" si="147"/>
        <v>0</v>
      </c>
      <c r="AT56" s="427">
        <f t="shared" si="147"/>
        <v>0</v>
      </c>
      <c r="AU56" s="427">
        <f t="shared" si="147"/>
        <v>-110492.42121866169</v>
      </c>
      <c r="AV56" s="427">
        <f t="shared" si="147"/>
        <v>-116293.2733326414</v>
      </c>
      <c r="AW56" s="427">
        <f t="shared" si="147"/>
        <v>-122398.67018260507</v>
      </c>
      <c r="AX56" s="427">
        <f t="shared" si="147"/>
        <v>-128824.60036719183</v>
      </c>
      <c r="AY56" s="427">
        <f t="shared" si="147"/>
        <v>-150378.78197027749</v>
      </c>
      <c r="AZ56" s="427">
        <f t="shared" si="147"/>
        <v>-158273.66802371704</v>
      </c>
      <c r="BA56" s="427">
        <f t="shared" si="147"/>
        <v>-166583.03559496219</v>
      </c>
      <c r="BB56" s="427">
        <f t="shared" si="147"/>
        <v>-175328.6449636977</v>
      </c>
      <c r="BC56" s="427">
        <f t="shared" si="147"/>
        <v>-184533.39882429174</v>
      </c>
      <c r="BD56" s="427">
        <f t="shared" si="147"/>
        <v>-194221.40226256705</v>
      </c>
      <c r="BE56" s="427">
        <f t="shared" si="147"/>
        <v>0</v>
      </c>
      <c r="BF56" s="427">
        <f t="shared" si="147"/>
        <v>0</v>
      </c>
      <c r="BG56" s="427">
        <f t="shared" si="147"/>
        <v>0</v>
      </c>
      <c r="BH56" s="427">
        <f t="shared" si="147"/>
        <v>0</v>
      </c>
      <c r="BI56" s="427">
        <f t="shared" si="147"/>
        <v>0</v>
      </c>
      <c r="BJ56" s="427">
        <f t="shared" si="147"/>
        <v>0</v>
      </c>
      <c r="BK56" s="427"/>
      <c r="BL56" s="427"/>
      <c r="BM56" s="427"/>
      <c r="BN56" s="427"/>
      <c r="BO56" s="427"/>
      <c r="BP56" s="427"/>
      <c r="BQ56" s="427"/>
      <c r="BR56" s="427"/>
      <c r="BS56" s="427"/>
      <c r="BT56" s="427"/>
      <c r="BU56" s="427"/>
    </row>
    <row r="57" spans="1:73" ht="13.5" thickBot="1" x14ac:dyDescent="0.25">
      <c r="A57" s="299"/>
      <c r="B57" s="299"/>
      <c r="C57" s="299" t="s">
        <v>153</v>
      </c>
      <c r="D57" s="299"/>
      <c r="E57" s="299"/>
      <c r="F57" s="299"/>
      <c r="G57" s="299"/>
      <c r="H57" s="299"/>
      <c r="I57" s="299"/>
      <c r="J57" s="299"/>
      <c r="K57" s="410" t="s">
        <v>62</v>
      </c>
      <c r="L57" s="299"/>
      <c r="M57" s="299"/>
      <c r="N57" s="417"/>
      <c r="O57" s="299"/>
      <c r="P57" s="299"/>
      <c r="Q57" s="417"/>
      <c r="R57" s="417">
        <f t="shared" ref="R57:AO57" si="148">SUM(R49:R56)</f>
        <v>0</v>
      </c>
      <c r="S57" s="417">
        <f t="shared" si="148"/>
        <v>0</v>
      </c>
      <c r="T57" s="417">
        <f t="shared" si="148"/>
        <v>400000</v>
      </c>
      <c r="U57" s="417">
        <f t="shared" si="148"/>
        <v>400000</v>
      </c>
      <c r="V57" s="417">
        <f t="shared" si="148"/>
        <v>400000</v>
      </c>
      <c r="W57" s="417">
        <f t="shared" si="148"/>
        <v>400000</v>
      </c>
      <c r="X57" s="417">
        <f t="shared" si="148"/>
        <v>400000</v>
      </c>
      <c r="Y57" s="417">
        <f t="shared" si="148"/>
        <v>402289.84263573081</v>
      </c>
      <c r="Z57" s="417">
        <f t="shared" si="148"/>
        <v>415352.33699628391</v>
      </c>
      <c r="AA57" s="417">
        <f t="shared" si="148"/>
        <v>428569.32217441441</v>
      </c>
      <c r="AB57" s="417">
        <f t="shared" si="148"/>
        <v>437964.77345348534</v>
      </c>
      <c r="AC57" s="417">
        <f t="shared" si="148"/>
        <v>443485.80064742826</v>
      </c>
      <c r="AD57" s="417">
        <f t="shared" si="148"/>
        <v>505326.8864343742</v>
      </c>
      <c r="AE57" s="417">
        <f t="shared" si="148"/>
        <v>505326.88643437426</v>
      </c>
      <c r="AF57" s="417">
        <f t="shared" si="148"/>
        <v>520047.30199854833</v>
      </c>
      <c r="AG57" s="417">
        <f t="shared" si="148"/>
        <v>542793.47032067436</v>
      </c>
      <c r="AH57" s="417">
        <f t="shared" si="148"/>
        <v>575700.82069843961</v>
      </c>
      <c r="AI57" s="417">
        <f t="shared" si="148"/>
        <v>630744.10588179529</v>
      </c>
      <c r="AJ57" s="417">
        <f t="shared" si="148"/>
        <v>710101.58599342103</v>
      </c>
      <c r="AK57" s="417">
        <f t="shared" si="148"/>
        <v>806220.13611920946</v>
      </c>
      <c r="AL57" s="417">
        <f t="shared" si="148"/>
        <v>922460.9191243872</v>
      </c>
      <c r="AM57" s="417">
        <f t="shared" si="148"/>
        <v>1102017.4404322307</v>
      </c>
      <c r="AN57" s="417">
        <f t="shared" si="148"/>
        <v>1406086.5980707521</v>
      </c>
      <c r="AO57" s="417">
        <f t="shared" si="148"/>
        <v>1406086.5980707521</v>
      </c>
      <c r="AP57" s="417">
        <f t="shared" ref="AP57:BJ57" si="149">SUM(AP49:AP56)</f>
        <v>1406086.5980707521</v>
      </c>
      <c r="AQ57" s="417">
        <f t="shared" si="149"/>
        <v>1406086.5980707521</v>
      </c>
      <c r="AR57" s="417">
        <f t="shared" si="149"/>
        <v>1406086.5980707521</v>
      </c>
      <c r="AS57" s="417">
        <f t="shared" si="149"/>
        <v>1406086.5980707521</v>
      </c>
      <c r="AT57" s="417">
        <f t="shared" si="149"/>
        <v>1406086.5980707521</v>
      </c>
      <c r="AU57" s="417">
        <f t="shared" si="149"/>
        <v>1295594.1768520905</v>
      </c>
      <c r="AV57" s="417">
        <f t="shared" si="149"/>
        <v>1179300.9035194491</v>
      </c>
      <c r="AW57" s="417">
        <f t="shared" si="149"/>
        <v>1056902.233336844</v>
      </c>
      <c r="AX57" s="417">
        <f t="shared" si="149"/>
        <v>1029318.9316395134</v>
      </c>
      <c r="AY57" s="417">
        <f t="shared" si="149"/>
        <v>878940.14966923581</v>
      </c>
      <c r="AZ57" s="417">
        <f t="shared" si="149"/>
        <v>720666.4816455188</v>
      </c>
      <c r="BA57" s="417">
        <f t="shared" si="149"/>
        <v>554083.44605055649</v>
      </c>
      <c r="BB57" s="417">
        <f t="shared" si="149"/>
        <v>378754.80108685879</v>
      </c>
      <c r="BC57" s="417">
        <f t="shared" si="149"/>
        <v>194221.40226256705</v>
      </c>
      <c r="BD57" s="417">
        <f t="shared" si="149"/>
        <v>0</v>
      </c>
      <c r="BE57" s="417">
        <f t="shared" si="149"/>
        <v>0</v>
      </c>
      <c r="BF57" s="417">
        <f t="shared" si="149"/>
        <v>0</v>
      </c>
      <c r="BG57" s="417">
        <f t="shared" si="149"/>
        <v>0</v>
      </c>
      <c r="BH57" s="417">
        <f t="shared" si="149"/>
        <v>0</v>
      </c>
      <c r="BI57" s="417">
        <f t="shared" si="149"/>
        <v>0</v>
      </c>
      <c r="BJ57" s="417">
        <f t="shared" si="149"/>
        <v>0</v>
      </c>
      <c r="BK57" s="417"/>
      <c r="BL57" s="417"/>
      <c r="BM57" s="417"/>
      <c r="BN57" s="417"/>
      <c r="BO57" s="417"/>
      <c r="BP57" s="417"/>
      <c r="BQ57" s="417"/>
      <c r="BR57" s="417"/>
      <c r="BS57" s="417"/>
      <c r="BT57" s="417"/>
      <c r="BU57" s="417"/>
    </row>
    <row r="58" spans="1:73" ht="13.5" thickBot="1" x14ac:dyDescent="0.25">
      <c r="A58" s="299"/>
      <c r="B58" s="299"/>
      <c r="C58" s="299"/>
      <c r="D58" s="299"/>
      <c r="E58" s="299"/>
      <c r="F58" s="299"/>
      <c r="G58" s="299"/>
      <c r="H58" s="299"/>
      <c r="I58" s="299"/>
      <c r="J58" s="299"/>
      <c r="K58" s="410"/>
      <c r="L58" s="299"/>
      <c r="M58" s="299"/>
      <c r="N58" s="656">
        <f>IF(ROUND(SUM(N50:N56),0)&lt;&gt;0,1,0)</f>
        <v>0</v>
      </c>
      <c r="O58" s="299"/>
      <c r="P58" s="299"/>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17"/>
      <c r="BR58" s="417"/>
      <c r="BS58" s="417"/>
      <c r="BT58" s="417"/>
      <c r="BU58" s="417"/>
    </row>
    <row r="59" spans="1:73" x14ac:dyDescent="0.2">
      <c r="A59" s="299"/>
      <c r="B59" s="423" t="s">
        <v>163</v>
      </c>
      <c r="C59" s="299"/>
      <c r="D59" s="299"/>
      <c r="E59" s="299"/>
      <c r="F59" s="299"/>
      <c r="G59" s="299"/>
      <c r="H59" s="299"/>
      <c r="I59" s="299"/>
      <c r="J59" s="299"/>
      <c r="K59" s="410"/>
      <c r="L59" s="299"/>
      <c r="M59" s="299"/>
      <c r="N59" s="417"/>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row>
    <row r="60" spans="1:73" x14ac:dyDescent="0.2">
      <c r="A60" s="299"/>
      <c r="B60" s="299"/>
      <c r="C60" s="299" t="s">
        <v>164</v>
      </c>
      <c r="D60" s="299"/>
      <c r="E60" s="299"/>
      <c r="F60" s="299"/>
      <c r="G60" s="299"/>
      <c r="H60" s="299"/>
      <c r="I60" s="299"/>
      <c r="J60" s="299"/>
      <c r="K60" s="410" t="s">
        <v>62</v>
      </c>
      <c r="L60" s="299"/>
      <c r="M60" s="299"/>
      <c r="N60" s="417">
        <f t="shared" ref="N60:N63" si="150">SUM(Q60:BJ60)</f>
        <v>9218.740197231773</v>
      </c>
      <c r="O60" s="299"/>
      <c r="P60" s="299"/>
      <c r="Q60" s="417"/>
      <c r="R60" s="417">
        <f>+Mac!R33</f>
        <v>0</v>
      </c>
      <c r="S60" s="417">
        <f>+Mac!S33</f>
        <v>0</v>
      </c>
      <c r="T60" s="417">
        <f>+Mac!T33</f>
        <v>0</v>
      </c>
      <c r="U60" s="417">
        <f>+Mac!U33</f>
        <v>0</v>
      </c>
      <c r="V60" s="417">
        <f>+Mac!V33</f>
        <v>557.6687048297066</v>
      </c>
      <c r="W60" s="417">
        <f>+Mac!W33</f>
        <v>534.36216053980058</v>
      </c>
      <c r="X60" s="417">
        <f>+Mac!X33</f>
        <v>509.23548841406182</v>
      </c>
      <c r="Y60" s="417">
        <f>+Mac!Y33</f>
        <v>482.14654531459877</v>
      </c>
      <c r="Z60" s="417">
        <f>+Mac!Z33</f>
        <v>452.94208741528695</v>
      </c>
      <c r="AA60" s="417">
        <f>+Mac!AA33</f>
        <v>421.45690329196924</v>
      </c>
      <c r="AB60" s="417">
        <f>+Mac!AB33</f>
        <v>387.51287931121317</v>
      </c>
      <c r="AC60" s="417">
        <f>+Mac!AC33</f>
        <v>353.37203379818618</v>
      </c>
      <c r="AD60" s="417">
        <f>+Mac!AD33</f>
        <v>319.03322549999513</v>
      </c>
      <c r="AE60" s="417">
        <f>+Mac!AE33</f>
        <v>0</v>
      </c>
      <c r="AF60" s="417">
        <f>+Mac!AF33</f>
        <v>579.84454029266635</v>
      </c>
      <c r="AG60" s="417">
        <f>+Mac!AG33</f>
        <v>544.90492975497261</v>
      </c>
      <c r="AH60" s="417">
        <f>+Mac!AH33</f>
        <v>507.3445262385282</v>
      </c>
      <c r="AI60" s="417">
        <f>+Mac!AI33</f>
        <v>466.96674610282395</v>
      </c>
      <c r="AJ60" s="417">
        <f>+Mac!AJ33</f>
        <v>423.56026012155701</v>
      </c>
      <c r="AK60" s="417">
        <f>+Mac!AK33</f>
        <v>376.89788742772294</v>
      </c>
      <c r="AL60" s="417">
        <f>+Mac!AL33</f>
        <v>326.7354064943903</v>
      </c>
      <c r="AM60" s="417">
        <f>+Mac!AM33</f>
        <v>272.00130935066659</v>
      </c>
      <c r="AN60" s="417">
        <f>+Mac!AN33</f>
        <v>212.27895642079221</v>
      </c>
      <c r="AO60" s="417">
        <f>+Mac!AO33</f>
        <v>0</v>
      </c>
      <c r="AP60" s="417">
        <f>+Mac!AP33</f>
        <v>414.85410612569075</v>
      </c>
      <c r="AQ60" s="417">
        <f>+Mac!AQ33</f>
        <v>337.26982103998716</v>
      </c>
      <c r="AR60" s="417">
        <f>+Mac!AR33</f>
        <v>266.4024836345576</v>
      </c>
      <c r="AS60" s="417">
        <f>+Mac!AS33</f>
        <v>201.67056652805547</v>
      </c>
      <c r="AT60" s="417">
        <f>+Mac!AT33</f>
        <v>142.54288873326325</v>
      </c>
      <c r="AU60" s="417">
        <f>+Mac!AU33</f>
        <v>88.534256860786414</v>
      </c>
      <c r="AV60" s="417">
        <f>+Mac!AV33</f>
        <v>39.201483690492267</v>
      </c>
      <c r="AW60" s="417">
        <f>+Mac!AW33</f>
        <v>0</v>
      </c>
      <c r="AX60" s="417">
        <f>+Mac!AX33</f>
        <v>0</v>
      </c>
      <c r="AY60" s="417">
        <f>+Mac!AY33</f>
        <v>0</v>
      </c>
      <c r="AZ60" s="417">
        <f>+Mac!AZ33</f>
        <v>0</v>
      </c>
      <c r="BA60" s="417">
        <f>+Mac!BA33</f>
        <v>0</v>
      </c>
      <c r="BB60" s="417">
        <f>+Mac!BB33</f>
        <v>0</v>
      </c>
      <c r="BC60" s="417">
        <f>+Mac!BC33</f>
        <v>0</v>
      </c>
      <c r="BD60" s="417">
        <f>+Mac!BD33</f>
        <v>0</v>
      </c>
      <c r="BE60" s="417">
        <f>+Mac!BE33</f>
        <v>0</v>
      </c>
      <c r="BF60" s="417">
        <f>+Mac!BF33</f>
        <v>0</v>
      </c>
      <c r="BG60" s="417">
        <f>+Mac!BG33</f>
        <v>0</v>
      </c>
      <c r="BH60" s="417">
        <f>+Mac!BH33</f>
        <v>0</v>
      </c>
      <c r="BI60" s="417">
        <f>+Mac!BI33</f>
        <v>0</v>
      </c>
      <c r="BJ60" s="417">
        <f>+Mac!BJ33</f>
        <v>0</v>
      </c>
      <c r="BK60" s="417"/>
      <c r="BL60" s="417"/>
      <c r="BM60" s="417"/>
      <c r="BN60" s="417"/>
      <c r="BO60" s="417"/>
      <c r="BP60" s="417"/>
      <c r="BQ60" s="417"/>
      <c r="BR60" s="417"/>
      <c r="BS60" s="417"/>
      <c r="BT60" s="417"/>
      <c r="BU60" s="417"/>
    </row>
    <row r="61" spans="1:73" x14ac:dyDescent="0.2">
      <c r="A61" s="299"/>
      <c r="B61" s="299"/>
      <c r="C61" s="299" t="s">
        <v>165</v>
      </c>
      <c r="D61" s="299"/>
      <c r="E61" s="299"/>
      <c r="F61" s="299"/>
      <c r="G61" s="299"/>
      <c r="H61" s="299"/>
      <c r="I61" s="299"/>
      <c r="J61" s="299"/>
      <c r="K61" s="410" t="s">
        <v>62</v>
      </c>
      <c r="L61" s="299"/>
      <c r="M61" s="299"/>
      <c r="N61" s="417">
        <f t="shared" si="150"/>
        <v>27280.637888427991</v>
      </c>
      <c r="O61" s="299"/>
      <c r="P61" s="299"/>
      <c r="Q61" s="417"/>
      <c r="R61" s="417">
        <f>+Mac!R34</f>
        <v>0</v>
      </c>
      <c r="S61" s="417">
        <f>+Mac!S34</f>
        <v>0</v>
      </c>
      <c r="T61" s="417">
        <f>+Mac!T34</f>
        <v>4000</v>
      </c>
      <c r="U61" s="417">
        <f>+Mac!U34</f>
        <v>4182.581101955403</v>
      </c>
      <c r="V61" s="417">
        <f>+Mac!V34</f>
        <v>0</v>
      </c>
      <c r="W61" s="417">
        <f>+Mac!W34</f>
        <v>0</v>
      </c>
      <c r="X61" s="417">
        <f>+Mac!X34</f>
        <v>0</v>
      </c>
      <c r="Y61" s="417">
        <f>+Mac!Y34</f>
        <v>22.898426357308054</v>
      </c>
      <c r="Z61" s="417">
        <f>+Mac!Z34</f>
        <v>130.624943605531</v>
      </c>
      <c r="AA61" s="417">
        <f>+Mac!AA34</f>
        <v>132.16985178130474</v>
      </c>
      <c r="AB61" s="417">
        <f>+Mac!AB34</f>
        <v>93.954512790708975</v>
      </c>
      <c r="AC61" s="417">
        <f>+Mac!AC34</f>
        <v>55.210271939429219</v>
      </c>
      <c r="AD61" s="417">
        <f>+Mac!AD34</f>
        <v>618.4108578694603</v>
      </c>
      <c r="AE61" s="417">
        <f>+Mac!AE34</f>
        <v>4481.3323656213124</v>
      </c>
      <c r="AF61" s="417">
        <f>+Mac!AF34</f>
        <v>147.20415564174067</v>
      </c>
      <c r="AG61" s="417">
        <f>+Mac!AG34</f>
        <v>227.4616832212609</v>
      </c>
      <c r="AH61" s="417">
        <f>+Mac!AH34</f>
        <v>329.07350377765192</v>
      </c>
      <c r="AI61" s="417">
        <f>+Mac!AI34</f>
        <v>550.43285183355624</v>
      </c>
      <c r="AJ61" s="417">
        <f>+Mac!AJ34</f>
        <v>793.5748011162575</v>
      </c>
      <c r="AK61" s="417">
        <f>+Mac!AK34</f>
        <v>961.18550125788488</v>
      </c>
      <c r="AL61" s="417">
        <f>+Mac!AL34</f>
        <v>1162.4078300517774</v>
      </c>
      <c r="AM61" s="417">
        <f>+Mac!AM34</f>
        <v>1795.5652130784356</v>
      </c>
      <c r="AN61" s="417">
        <f>+Mac!AN34</f>
        <v>3040.6915763852139</v>
      </c>
      <c r="AO61" s="417">
        <f>+Mac!AO34</f>
        <v>3543.4454534451443</v>
      </c>
      <c r="AP61" s="417">
        <f>+Mac!AP34</f>
        <v>0</v>
      </c>
      <c r="AQ61" s="417">
        <f>+Mac!AQ34</f>
        <v>0</v>
      </c>
      <c r="AR61" s="417">
        <f>+Mac!AR34</f>
        <v>0</v>
      </c>
      <c r="AS61" s="417">
        <f>+Mac!AS34</f>
        <v>0</v>
      </c>
      <c r="AT61" s="417">
        <f>+Mac!AT34</f>
        <v>0</v>
      </c>
      <c r="AU61" s="417">
        <f>+Mac!AU34</f>
        <v>0</v>
      </c>
      <c r="AV61" s="417">
        <f>+Mac!AV34</f>
        <v>0</v>
      </c>
      <c r="AW61" s="417">
        <f>+Mac!AW34</f>
        <v>0</v>
      </c>
      <c r="AX61" s="417">
        <f>+Mac!AX34</f>
        <v>1012.4129866986125</v>
      </c>
      <c r="AY61" s="417">
        <f>+Mac!AY34</f>
        <v>0</v>
      </c>
      <c r="AZ61" s="417">
        <f>+Mac!AZ34</f>
        <v>0</v>
      </c>
      <c r="BA61" s="417">
        <f>+Mac!BA34</f>
        <v>0</v>
      </c>
      <c r="BB61" s="417">
        <f>+Mac!BB34</f>
        <v>0</v>
      </c>
      <c r="BC61" s="417">
        <f>+Mac!BC34</f>
        <v>0</v>
      </c>
      <c r="BD61" s="417">
        <f>+Mac!BD34</f>
        <v>0</v>
      </c>
      <c r="BE61" s="417">
        <f>+Mac!BE34</f>
        <v>0</v>
      </c>
      <c r="BF61" s="417">
        <f>+Mac!BF34</f>
        <v>0</v>
      </c>
      <c r="BG61" s="417">
        <f>+Mac!BG34</f>
        <v>0</v>
      </c>
      <c r="BH61" s="417">
        <f>+Mac!BH34</f>
        <v>0</v>
      </c>
      <c r="BI61" s="417">
        <f>+Mac!BI34</f>
        <v>0</v>
      </c>
      <c r="BJ61" s="417">
        <f>+Mac!BJ34</f>
        <v>0</v>
      </c>
      <c r="BK61" s="417"/>
      <c r="BL61" s="417"/>
      <c r="BM61" s="417"/>
      <c r="BN61" s="417"/>
      <c r="BO61" s="417"/>
      <c r="BP61" s="417"/>
      <c r="BQ61" s="417"/>
      <c r="BR61" s="417"/>
      <c r="BS61" s="417"/>
      <c r="BT61" s="417"/>
      <c r="BU61" s="417"/>
    </row>
    <row r="62" spans="1:73" x14ac:dyDescent="0.2">
      <c r="A62" s="299"/>
      <c r="B62" s="299"/>
      <c r="C62" s="299" t="s">
        <v>166</v>
      </c>
      <c r="D62" s="299"/>
      <c r="E62" s="299"/>
      <c r="F62" s="299"/>
      <c r="G62" s="299"/>
      <c r="H62" s="299"/>
      <c r="I62" s="299"/>
      <c r="J62" s="299"/>
      <c r="K62" s="410" t="s">
        <v>62</v>
      </c>
      <c r="L62" s="299"/>
      <c r="M62" s="299"/>
      <c r="N62" s="417">
        <f t="shared" si="150"/>
        <v>1794.4636664588454</v>
      </c>
      <c r="O62" s="299"/>
      <c r="P62" s="299"/>
      <c r="Q62" s="417"/>
      <c r="R62" s="417">
        <f t="shared" ref="R62:AO62" si="151" xml:space="preserve">  R123</f>
        <v>0</v>
      </c>
      <c r="S62" s="417">
        <f t="shared" si="151"/>
        <v>0</v>
      </c>
      <c r="T62" s="417">
        <f t="shared" si="151"/>
        <v>67.491689346742817</v>
      </c>
      <c r="U62" s="417">
        <f t="shared" si="151"/>
        <v>69.010252357044521</v>
      </c>
      <c r="V62" s="417">
        <f t="shared" si="151"/>
        <v>70.56298303507802</v>
      </c>
      <c r="W62" s="417">
        <f t="shared" si="151"/>
        <v>72.185931644884803</v>
      </c>
      <c r="X62" s="417">
        <f t="shared" si="151"/>
        <v>73.846208072717147</v>
      </c>
      <c r="Y62" s="417">
        <f t="shared" si="151"/>
        <v>75.544670858389637</v>
      </c>
      <c r="Z62" s="417">
        <f t="shared" si="151"/>
        <v>77.282198288132577</v>
      </c>
      <c r="AA62" s="417">
        <f t="shared" si="151"/>
        <v>79.059688848759635</v>
      </c>
      <c r="AB62" s="417">
        <f t="shared" si="151"/>
        <v>80.878061692281079</v>
      </c>
      <c r="AC62" s="417">
        <f t="shared" si="151"/>
        <v>82.738257111203552</v>
      </c>
      <c r="AD62" s="417">
        <f t="shared" si="151"/>
        <v>84.64123702476121</v>
      </c>
      <c r="AE62" s="417">
        <f t="shared" si="151"/>
        <v>86.587985476330715</v>
      </c>
      <c r="AF62" s="417">
        <f t="shared" si="151"/>
        <v>88.579509142286327</v>
      </c>
      <c r="AG62" s="417">
        <f t="shared" si="151"/>
        <v>90.616837852558902</v>
      </c>
      <c r="AH62" s="417">
        <f t="shared" si="151"/>
        <v>92.701025123167753</v>
      </c>
      <c r="AI62" s="417">
        <f t="shared" si="151"/>
        <v>94.833148701000596</v>
      </c>
      <c r="AJ62" s="417">
        <f t="shared" si="151"/>
        <v>97.014311121123598</v>
      </c>
      <c r="AK62" s="417">
        <f t="shared" si="151"/>
        <v>99.245640276909427</v>
      </c>
      <c r="AL62" s="417">
        <f t="shared" si="151"/>
        <v>101.52829000327834</v>
      </c>
      <c r="AM62" s="417">
        <f t="shared" si="151"/>
        <v>103.86344067335374</v>
      </c>
      <c r="AN62" s="417">
        <f t="shared" si="151"/>
        <v>106.25229980884086</v>
      </c>
      <c r="AO62" s="417">
        <f t="shared" si="151"/>
        <v>0</v>
      </c>
      <c r="AP62" s="417">
        <f t="shared" ref="AP62:BJ62" si="152" xml:space="preserve">  AP123</f>
        <v>0</v>
      </c>
      <c r="AQ62" s="417">
        <f t="shared" si="152"/>
        <v>0</v>
      </c>
      <c r="AR62" s="417">
        <f t="shared" si="152"/>
        <v>0</v>
      </c>
      <c r="AS62" s="417">
        <f t="shared" si="152"/>
        <v>0</v>
      </c>
      <c r="AT62" s="417">
        <f t="shared" si="152"/>
        <v>0</v>
      </c>
      <c r="AU62" s="417">
        <f t="shared" si="152"/>
        <v>0</v>
      </c>
      <c r="AV62" s="417">
        <f t="shared" si="152"/>
        <v>0</v>
      </c>
      <c r="AW62" s="417">
        <f t="shared" si="152"/>
        <v>0</v>
      </c>
      <c r="AX62" s="417">
        <f t="shared" si="152"/>
        <v>0</v>
      </c>
      <c r="AY62" s="417">
        <f t="shared" si="152"/>
        <v>0</v>
      </c>
      <c r="AZ62" s="417">
        <f t="shared" si="152"/>
        <v>0</v>
      </c>
      <c r="BA62" s="417">
        <f t="shared" si="152"/>
        <v>0</v>
      </c>
      <c r="BB62" s="417">
        <f t="shared" si="152"/>
        <v>0</v>
      </c>
      <c r="BC62" s="417">
        <f t="shared" si="152"/>
        <v>0</v>
      </c>
      <c r="BD62" s="417">
        <f t="shared" si="152"/>
        <v>0</v>
      </c>
      <c r="BE62" s="417">
        <f t="shared" si="152"/>
        <v>0</v>
      </c>
      <c r="BF62" s="417">
        <f t="shared" si="152"/>
        <v>0</v>
      </c>
      <c r="BG62" s="417">
        <f t="shared" si="152"/>
        <v>0</v>
      </c>
      <c r="BH62" s="417">
        <f t="shared" si="152"/>
        <v>0</v>
      </c>
      <c r="BI62" s="417">
        <f t="shared" si="152"/>
        <v>0</v>
      </c>
      <c r="BJ62" s="417">
        <f t="shared" si="152"/>
        <v>0</v>
      </c>
      <c r="BK62" s="417"/>
      <c r="BL62" s="417"/>
      <c r="BM62" s="417"/>
      <c r="BN62" s="417"/>
      <c r="BO62" s="417"/>
      <c r="BP62" s="417"/>
      <c r="BQ62" s="417"/>
      <c r="BR62" s="417"/>
      <c r="BS62" s="417"/>
      <c r="BT62" s="417"/>
      <c r="BU62" s="417"/>
    </row>
    <row r="63" spans="1:73" x14ac:dyDescent="0.2">
      <c r="A63" s="299"/>
      <c r="B63" s="299"/>
      <c r="C63" s="299" t="s">
        <v>21</v>
      </c>
      <c r="D63" s="299"/>
      <c r="E63" s="299"/>
      <c r="F63" s="299"/>
      <c r="G63" s="299"/>
      <c r="H63" s="299"/>
      <c r="I63" s="299"/>
      <c r="J63" s="299"/>
      <c r="K63" s="410" t="s">
        <v>62</v>
      </c>
      <c r="L63" s="299"/>
      <c r="M63" s="299"/>
      <c r="N63" s="417">
        <f t="shared" si="150"/>
        <v>3420.454521479629</v>
      </c>
      <c r="O63" s="299"/>
      <c r="P63" s="299"/>
      <c r="Q63" s="417"/>
      <c r="R63" s="417">
        <f t="shared" ref="R63:AV63" si="153">R227</f>
        <v>0</v>
      </c>
      <c r="S63" s="417">
        <f t="shared" si="153"/>
        <v>0</v>
      </c>
      <c r="T63" s="417">
        <f t="shared" si="153"/>
        <v>59.677215171277695</v>
      </c>
      <c r="U63" s="417">
        <f t="shared" si="153"/>
        <v>61.019952512631448</v>
      </c>
      <c r="V63" s="417">
        <f t="shared" si="153"/>
        <v>62.392901444165652</v>
      </c>
      <c r="W63" s="417">
        <f t="shared" si="153"/>
        <v>63.827938177381448</v>
      </c>
      <c r="X63" s="417">
        <f t="shared" si="153"/>
        <v>65.295980755461215</v>
      </c>
      <c r="Y63" s="417">
        <f t="shared" si="153"/>
        <v>66.797788312836815</v>
      </c>
      <c r="Z63" s="417">
        <f t="shared" si="153"/>
        <v>68.334137444032052</v>
      </c>
      <c r="AA63" s="417">
        <f t="shared" si="153"/>
        <v>69.905822605244779</v>
      </c>
      <c r="AB63" s="417">
        <f t="shared" si="153"/>
        <v>71.513656525165402</v>
      </c>
      <c r="AC63" s="417">
        <f t="shared" si="153"/>
        <v>73.158470625244192</v>
      </c>
      <c r="AD63" s="417">
        <f t="shared" si="153"/>
        <v>74.841115449624809</v>
      </c>
      <c r="AE63" s="417">
        <f t="shared" si="153"/>
        <v>76.562461104966175</v>
      </c>
      <c r="AF63" s="417">
        <f t="shared" si="153"/>
        <v>78.323397710380391</v>
      </c>
      <c r="AG63" s="417">
        <f t="shared" si="153"/>
        <v>80.124835857719134</v>
      </c>
      <c r="AH63" s="417">
        <f t="shared" si="153"/>
        <v>81.96770708244668</v>
      </c>
      <c r="AI63" s="417">
        <f t="shared" si="153"/>
        <v>83.85296434534294</v>
      </c>
      <c r="AJ63" s="417">
        <f t="shared" si="153"/>
        <v>85.781582525285813</v>
      </c>
      <c r="AK63" s="417">
        <f t="shared" si="153"/>
        <v>87.75455892336737</v>
      </c>
      <c r="AL63" s="417">
        <f t="shared" si="153"/>
        <v>89.772913778604817</v>
      </c>
      <c r="AM63" s="417">
        <f t="shared" si="153"/>
        <v>91.837690795512714</v>
      </c>
      <c r="AN63" s="417">
        <f t="shared" si="153"/>
        <v>93.949957683809501</v>
      </c>
      <c r="AO63" s="417">
        <f t="shared" si="153"/>
        <v>96.110806710537105</v>
      </c>
      <c r="AP63" s="417">
        <f t="shared" si="153"/>
        <v>98.321355264879458</v>
      </c>
      <c r="AQ63" s="417">
        <f t="shared" si="153"/>
        <v>100.58274643597167</v>
      </c>
      <c r="AR63" s="417">
        <f t="shared" si="153"/>
        <v>102.89614960399902</v>
      </c>
      <c r="AS63" s="417">
        <f t="shared" si="153"/>
        <v>105.26276104489098</v>
      </c>
      <c r="AT63" s="417">
        <f t="shared" si="153"/>
        <v>107.68380454892348</v>
      </c>
      <c r="AU63" s="417">
        <f t="shared" si="153"/>
        <v>110.16053205354869</v>
      </c>
      <c r="AV63" s="417">
        <f t="shared" si="153"/>
        <v>112.69422429078031</v>
      </c>
      <c r="AW63" s="417">
        <f t="shared" ref="AW63:BJ63" si="154">AW227</f>
        <v>115.28619144946826</v>
      </c>
      <c r="AX63" s="417">
        <f t="shared" si="154"/>
        <v>117.93777385280602</v>
      </c>
      <c r="AY63" s="417">
        <f t="shared" si="154"/>
        <v>120.65034265142054</v>
      </c>
      <c r="AZ63" s="417">
        <f t="shared" si="154"/>
        <v>123.4253005324032</v>
      </c>
      <c r="BA63" s="417">
        <f t="shared" si="154"/>
        <v>126.26408244464847</v>
      </c>
      <c r="BB63" s="417">
        <f t="shared" si="154"/>
        <v>129.16815634087538</v>
      </c>
      <c r="BC63" s="417">
        <f t="shared" si="154"/>
        <v>132.13902393671552</v>
      </c>
      <c r="BD63" s="417">
        <f t="shared" si="154"/>
        <v>135.17822148725995</v>
      </c>
      <c r="BE63" s="417">
        <f t="shared" si="154"/>
        <v>0</v>
      </c>
      <c r="BF63" s="417">
        <f t="shared" si="154"/>
        <v>0</v>
      </c>
      <c r="BG63" s="417">
        <f t="shared" si="154"/>
        <v>0</v>
      </c>
      <c r="BH63" s="417">
        <f t="shared" si="154"/>
        <v>0</v>
      </c>
      <c r="BI63" s="417">
        <f t="shared" si="154"/>
        <v>0</v>
      </c>
      <c r="BJ63" s="417">
        <f t="shared" si="154"/>
        <v>0</v>
      </c>
      <c r="BK63" s="417"/>
      <c r="BL63" s="417"/>
      <c r="BM63" s="417"/>
      <c r="BN63" s="417"/>
      <c r="BO63" s="417"/>
      <c r="BP63" s="417"/>
      <c r="BQ63" s="417"/>
      <c r="BR63" s="417"/>
      <c r="BS63" s="417"/>
      <c r="BT63" s="417"/>
      <c r="BU63" s="417"/>
    </row>
    <row r="64" spans="1:73" x14ac:dyDescent="0.2">
      <c r="A64" s="299"/>
      <c r="B64" s="299"/>
      <c r="C64" s="299"/>
      <c r="D64" s="299"/>
      <c r="E64" s="299"/>
      <c r="F64" s="299"/>
      <c r="G64" s="299"/>
      <c r="H64" s="299"/>
      <c r="I64" s="299"/>
      <c r="J64" s="299"/>
      <c r="K64" s="410"/>
      <c r="L64" s="299"/>
      <c r="M64" s="299"/>
      <c r="N64" s="417"/>
      <c r="O64" s="299"/>
      <c r="P64" s="299"/>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row>
    <row r="65" spans="1:125" x14ac:dyDescent="0.2">
      <c r="A65" s="299"/>
      <c r="B65" s="423" t="s">
        <v>416</v>
      </c>
      <c r="C65" s="299"/>
      <c r="D65" s="299"/>
      <c r="E65" s="424"/>
      <c r="F65" s="299"/>
      <c r="G65" s="299"/>
      <c r="H65" s="299"/>
      <c r="I65" s="299"/>
      <c r="J65" s="299"/>
      <c r="K65" s="410"/>
      <c r="L65" s="299"/>
      <c r="M65" s="299"/>
      <c r="N65" s="417"/>
      <c r="O65" s="299"/>
      <c r="P65" s="299"/>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7"/>
      <c r="AY65" s="417"/>
      <c r="AZ65" s="417"/>
      <c r="BA65" s="417"/>
      <c r="BB65" s="417"/>
      <c r="BC65" s="417"/>
      <c r="BD65" s="417"/>
      <c r="BE65" s="417"/>
      <c r="BF65" s="417"/>
      <c r="BG65" s="417"/>
      <c r="BH65" s="417"/>
      <c r="BI65" s="417"/>
      <c r="BJ65" s="417"/>
      <c r="BK65" s="417"/>
      <c r="BL65" s="417"/>
      <c r="BM65" s="417"/>
      <c r="BN65" s="417"/>
      <c r="BO65" s="417"/>
      <c r="BP65" s="417"/>
      <c r="BQ65" s="417"/>
      <c r="BR65" s="417"/>
      <c r="BS65" s="417"/>
      <c r="BT65" s="417"/>
      <c r="BU65" s="417"/>
    </row>
    <row r="66" spans="1:125" x14ac:dyDescent="0.2">
      <c r="A66" s="299"/>
      <c r="B66" s="299"/>
      <c r="C66" s="299"/>
      <c r="D66" s="299"/>
      <c r="E66" s="299"/>
      <c r="F66" s="299"/>
      <c r="G66" s="299"/>
      <c r="H66" s="299"/>
      <c r="I66" s="299"/>
      <c r="J66" s="299"/>
      <c r="K66" s="410"/>
      <c r="L66" s="299"/>
      <c r="M66" s="299"/>
      <c r="N66" s="417"/>
      <c r="O66" s="299"/>
      <c r="P66" s="299"/>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7"/>
      <c r="AY66" s="417"/>
      <c r="AZ66" s="417"/>
      <c r="BA66" s="417"/>
      <c r="BB66" s="417"/>
      <c r="BC66" s="417"/>
      <c r="BD66" s="417"/>
      <c r="BE66" s="417"/>
      <c r="BF66" s="417"/>
      <c r="BG66" s="417"/>
      <c r="BH66" s="417"/>
      <c r="BI66" s="417"/>
      <c r="BJ66" s="417"/>
      <c r="BK66" s="417"/>
      <c r="BL66" s="417"/>
      <c r="BM66" s="417"/>
      <c r="BN66" s="417"/>
      <c r="BO66" s="417"/>
      <c r="BP66" s="417"/>
      <c r="BQ66" s="417"/>
      <c r="BR66" s="417"/>
      <c r="BS66" s="417"/>
      <c r="BT66" s="417"/>
      <c r="BU66" s="417"/>
    </row>
    <row r="67" spans="1:125" x14ac:dyDescent="0.2">
      <c r="A67" s="299"/>
      <c r="B67" s="299"/>
      <c r="C67" s="430" t="s">
        <v>269</v>
      </c>
      <c r="D67" s="299"/>
      <c r="E67" s="299"/>
      <c r="F67" s="299"/>
      <c r="G67" s="299"/>
      <c r="H67" s="299"/>
      <c r="I67" s="299"/>
      <c r="J67" s="299"/>
      <c r="K67" s="410" t="s">
        <v>62</v>
      </c>
      <c r="L67" s="299"/>
      <c r="M67" s="299"/>
      <c r="N67" s="417"/>
      <c r="O67" s="417"/>
      <c r="P67" s="417"/>
      <c r="Q67" s="417"/>
      <c r="R67" s="417">
        <f t="shared" ref="R67:AO67" si="155">R253</f>
        <v>20000</v>
      </c>
      <c r="S67" s="417">
        <f t="shared" si="155"/>
        <v>20000</v>
      </c>
      <c r="T67" s="417">
        <f t="shared" si="155"/>
        <v>12563.890311304778</v>
      </c>
      <c r="U67" s="417">
        <f t="shared" si="155"/>
        <v>14756.141199515881</v>
      </c>
      <c r="V67" s="417">
        <f t="shared" si="155"/>
        <v>15908.524110196922</v>
      </c>
      <c r="W67" s="417">
        <f t="shared" si="155"/>
        <v>17074.213720211905</v>
      </c>
      <c r="X67" s="417">
        <f t="shared" si="155"/>
        <v>18151.552804278828</v>
      </c>
      <c r="Y67" s="417">
        <f t="shared" si="155"/>
        <v>19030.349725480504</v>
      </c>
      <c r="Z67" s="417">
        <f t="shared" si="155"/>
        <v>19591.208486375075</v>
      </c>
      <c r="AA67" s="417">
        <f t="shared" si="155"/>
        <v>19704.80644033349</v>
      </c>
      <c r="AB67" s="417">
        <f t="shared" si="155"/>
        <v>19894.631789310341</v>
      </c>
      <c r="AC67" s="417">
        <f t="shared" si="155"/>
        <v>20267.553157169252</v>
      </c>
      <c r="AD67" s="417">
        <f t="shared" si="155"/>
        <v>20939.041814714692</v>
      </c>
      <c r="AE67" s="417">
        <f t="shared" si="155"/>
        <v>22033.820358395467</v>
      </c>
      <c r="AF67" s="417">
        <f t="shared" si="155"/>
        <v>23686.56006561231</v>
      </c>
      <c r="AG67" s="417">
        <f t="shared" si="155"/>
        <v>25488.550728063128</v>
      </c>
      <c r="AH67" s="417">
        <f t="shared" si="155"/>
        <v>27486.998469936781</v>
      </c>
      <c r="AI67" s="417">
        <f t="shared" si="155"/>
        <v>29735.932207806396</v>
      </c>
      <c r="AJ67" s="417">
        <f t="shared" si="155"/>
        <v>32297.014522554295</v>
      </c>
      <c r="AK67" s="417">
        <f t="shared" si="155"/>
        <v>35240.440612957937</v>
      </c>
      <c r="AL67" s="417">
        <f t="shared" si="155"/>
        <v>38021.254210962274</v>
      </c>
      <c r="AM67" s="417">
        <f t="shared" si="155"/>
        <v>40087.451320097607</v>
      </c>
      <c r="AN67" s="417">
        <f t="shared" si="155"/>
        <v>40883.227741441588</v>
      </c>
      <c r="AO67" s="417">
        <f t="shared" si="155"/>
        <v>39844.606313149081</v>
      </c>
      <c r="AP67" s="417">
        <f t="shared" ref="AP67:BJ67" si="156">AP253</f>
        <v>36395.014225641971</v>
      </c>
      <c r="AQ67" s="417">
        <f t="shared" si="156"/>
        <v>33592.811347877549</v>
      </c>
      <c r="AR67" s="417">
        <f t="shared" si="156"/>
        <v>31895.627257733944</v>
      </c>
      <c r="AS67" s="417">
        <f t="shared" si="156"/>
        <v>31793.198712632835</v>
      </c>
      <c r="AT67" s="417">
        <f t="shared" si="156"/>
        <v>33814.605467792782</v>
      </c>
      <c r="AU67" s="417">
        <f t="shared" si="156"/>
        <v>38536.27815554609</v>
      </c>
      <c r="AV67" s="417">
        <f t="shared" si="156"/>
        <v>43294.036563673508</v>
      </c>
      <c r="AW67" s="417">
        <f t="shared" si="156"/>
        <v>47305.995724505468</v>
      </c>
      <c r="AX67" s="417">
        <f t="shared" si="156"/>
        <v>49736.697686133921</v>
      </c>
      <c r="AY67" s="417">
        <f t="shared" si="156"/>
        <v>49685.701801538125</v>
      </c>
      <c r="AZ67" s="417">
        <f t="shared" si="156"/>
        <v>46174.85946658122</v>
      </c>
      <c r="BA67" s="417">
        <f t="shared" si="156"/>
        <v>43585.441150537576</v>
      </c>
      <c r="BB67" s="417">
        <f t="shared" si="156"/>
        <v>42923.245497392287</v>
      </c>
      <c r="BC67" s="417">
        <f t="shared" si="156"/>
        <v>45398.327747783354</v>
      </c>
      <c r="BD67" s="417">
        <f t="shared" si="156"/>
        <v>0</v>
      </c>
      <c r="BE67" s="417">
        <f t="shared" si="156"/>
        <v>0</v>
      </c>
      <c r="BF67" s="417">
        <f t="shared" si="156"/>
        <v>0</v>
      </c>
      <c r="BG67" s="417">
        <f t="shared" si="156"/>
        <v>0</v>
      </c>
      <c r="BH67" s="417">
        <f t="shared" si="156"/>
        <v>0</v>
      </c>
      <c r="BI67" s="417">
        <f t="shared" si="156"/>
        <v>0</v>
      </c>
      <c r="BJ67" s="417">
        <f t="shared" si="156"/>
        <v>0</v>
      </c>
      <c r="BK67" s="417"/>
      <c r="BL67" s="417"/>
      <c r="BM67" s="417"/>
      <c r="BN67" s="417"/>
      <c r="BO67" s="417"/>
      <c r="BP67" s="417"/>
      <c r="BQ67" s="417"/>
      <c r="BR67" s="417"/>
      <c r="BS67" s="417"/>
      <c r="BT67" s="417"/>
      <c r="BU67" s="417"/>
    </row>
    <row r="68" spans="1:125" x14ac:dyDescent="0.2">
      <c r="A68" s="299"/>
      <c r="B68" s="299"/>
      <c r="C68" s="430" t="s">
        <v>233</v>
      </c>
      <c r="D68" s="299"/>
      <c r="E68" s="299"/>
      <c r="F68" s="299"/>
      <c r="G68" s="299"/>
      <c r="H68" s="299"/>
      <c r="I68" s="299"/>
      <c r="J68" s="299"/>
      <c r="K68" s="410" t="s">
        <v>62</v>
      </c>
      <c r="L68" s="299"/>
      <c r="M68" s="299"/>
      <c r="N68" s="417"/>
      <c r="O68" s="417"/>
      <c r="P68" s="417"/>
      <c r="Q68" s="417"/>
      <c r="R68" s="417">
        <f t="shared" ref="R68:AO68" si="157">+R278</f>
        <v>40000</v>
      </c>
      <c r="S68" s="417">
        <f t="shared" si="157"/>
        <v>40000</v>
      </c>
      <c r="T68" s="417">
        <f t="shared" si="157"/>
        <v>26879.103090938956</v>
      </c>
      <c r="U68" s="417">
        <f t="shared" si="157"/>
        <v>30002.865623482852</v>
      </c>
      <c r="V68" s="417">
        <f t="shared" si="157"/>
        <v>31746.605478152331</v>
      </c>
      <c r="W68" s="417">
        <f t="shared" si="157"/>
        <v>32030.484547014006</v>
      </c>
      <c r="X68" s="417">
        <f t="shared" si="157"/>
        <v>32428.840003345693</v>
      </c>
      <c r="Y68" s="417">
        <f t="shared" si="157"/>
        <v>32962.846902482386</v>
      </c>
      <c r="Z68" s="417">
        <f t="shared" si="157"/>
        <v>34016.177323830176</v>
      </c>
      <c r="AA68" s="417">
        <f t="shared" si="157"/>
        <v>35045.816012695825</v>
      </c>
      <c r="AB68" s="417">
        <f t="shared" si="157"/>
        <v>35944.544872108192</v>
      </c>
      <c r="AC68" s="417">
        <f t="shared" si="157"/>
        <v>36496.686917501516</v>
      </c>
      <c r="AD68" s="417">
        <f t="shared" si="157"/>
        <v>36944.466548383905</v>
      </c>
      <c r="AE68" s="417">
        <f t="shared" si="157"/>
        <v>37526.138793610335</v>
      </c>
      <c r="AF68" s="417">
        <f t="shared" si="157"/>
        <v>38890.293453783153</v>
      </c>
      <c r="AG68" s="417">
        <f t="shared" si="157"/>
        <v>40581.532561227978</v>
      </c>
      <c r="AH68" s="417">
        <f t="shared" si="157"/>
        <v>43083.895127427772</v>
      </c>
      <c r="AI68" s="417">
        <f t="shared" si="157"/>
        <v>46742.833184973511</v>
      </c>
      <c r="AJ68" s="417">
        <f t="shared" si="157"/>
        <v>51718.757009774708</v>
      </c>
      <c r="AK68" s="417">
        <f t="shared" si="157"/>
        <v>57444.124051783656</v>
      </c>
      <c r="AL68" s="417">
        <f t="shared" si="157"/>
        <v>64981.882092569635</v>
      </c>
      <c r="AM68" s="417">
        <f t="shared" si="157"/>
        <v>89198.686125918917</v>
      </c>
      <c r="AN68" s="417">
        <f t="shared" si="157"/>
        <v>75247.537943107614</v>
      </c>
      <c r="AO68" s="417">
        <f t="shared" si="157"/>
        <v>75848.411660478436</v>
      </c>
      <c r="AP68" s="417">
        <f t="shared" ref="AP68:BJ68" si="158">+AP278</f>
        <v>76690.153839572173</v>
      </c>
      <c r="AQ68" s="417">
        <f t="shared" si="158"/>
        <v>77459.021232605737</v>
      </c>
      <c r="AR68" s="417">
        <f t="shared" si="158"/>
        <v>78375.463668142591</v>
      </c>
      <c r="AS68" s="417">
        <f t="shared" si="158"/>
        <v>78802.822302612563</v>
      </c>
      <c r="AT68" s="417">
        <f t="shared" si="158"/>
        <v>188410.84936429397</v>
      </c>
      <c r="AU68" s="417">
        <f t="shared" si="158"/>
        <v>188772.07217223092</v>
      </c>
      <c r="AV68" s="417">
        <f t="shared" si="158"/>
        <v>189114.35296921036</v>
      </c>
      <c r="AW68" s="417">
        <f t="shared" si="158"/>
        <v>188757.30892537074</v>
      </c>
      <c r="AX68" s="417">
        <f t="shared" si="158"/>
        <v>203167.43662351585</v>
      </c>
      <c r="AY68" s="417">
        <f t="shared" si="158"/>
        <v>202952.72587694094</v>
      </c>
      <c r="AZ68" s="417">
        <f t="shared" si="158"/>
        <v>202825.76667157147</v>
      </c>
      <c r="BA68" s="417">
        <f t="shared" si="158"/>
        <v>202488.8956447104</v>
      </c>
      <c r="BB68" s="417">
        <f t="shared" si="158"/>
        <v>202238.56149674815</v>
      </c>
      <c r="BC68" s="417">
        <f t="shared" si="158"/>
        <v>201975.08480601796</v>
      </c>
      <c r="BD68" s="417">
        <f t="shared" si="158"/>
        <v>0</v>
      </c>
      <c r="BE68" s="417">
        <f t="shared" si="158"/>
        <v>0</v>
      </c>
      <c r="BF68" s="417">
        <f t="shared" si="158"/>
        <v>0</v>
      </c>
      <c r="BG68" s="417">
        <f t="shared" si="158"/>
        <v>0</v>
      </c>
      <c r="BH68" s="417">
        <f t="shared" si="158"/>
        <v>0</v>
      </c>
      <c r="BI68" s="417">
        <f t="shared" si="158"/>
        <v>0</v>
      </c>
      <c r="BJ68" s="417">
        <f t="shared" si="158"/>
        <v>0</v>
      </c>
      <c r="BK68" s="417"/>
      <c r="BL68" s="417"/>
      <c r="BM68" s="417"/>
      <c r="BN68" s="417"/>
      <c r="BO68" s="417"/>
      <c r="BP68" s="417"/>
      <c r="BQ68" s="417"/>
      <c r="BR68" s="417"/>
      <c r="BS68" s="417"/>
      <c r="BT68" s="417"/>
      <c r="BU68" s="417"/>
    </row>
    <row r="69" spans="1:125" x14ac:dyDescent="0.2">
      <c r="A69" s="299"/>
      <c r="B69" s="299"/>
      <c r="C69" s="430" t="s">
        <v>74</v>
      </c>
      <c r="D69" s="299"/>
      <c r="E69" s="299"/>
      <c r="F69" s="299"/>
      <c r="G69" s="299"/>
      <c r="H69" s="299"/>
      <c r="I69" s="299"/>
      <c r="J69" s="299"/>
      <c r="K69" s="410" t="s">
        <v>62</v>
      </c>
      <c r="L69" s="299"/>
      <c r="M69" s="299"/>
      <c r="N69" s="417"/>
      <c r="O69" s="417"/>
      <c r="P69" s="417"/>
      <c r="Q69" s="417"/>
      <c r="R69" s="417">
        <f t="shared" ref="R69:AO69" si="159">R308</f>
        <v>92381.343480000025</v>
      </c>
      <c r="S69" s="417">
        <f t="shared" si="159"/>
        <v>145303.99870894785</v>
      </c>
      <c r="T69" s="417">
        <f t="shared" si="159"/>
        <v>0</v>
      </c>
      <c r="U69" s="417">
        <f t="shared" si="159"/>
        <v>0</v>
      </c>
      <c r="V69" s="417">
        <f t="shared" si="159"/>
        <v>0</v>
      </c>
      <c r="W69" s="417">
        <f t="shared" si="159"/>
        <v>0</v>
      </c>
      <c r="X69" s="417">
        <f t="shared" si="159"/>
        <v>0</v>
      </c>
      <c r="Y69" s="417">
        <f t="shared" si="159"/>
        <v>0</v>
      </c>
      <c r="Z69" s="417">
        <f t="shared" si="159"/>
        <v>0</v>
      </c>
      <c r="AA69" s="417">
        <f t="shared" si="159"/>
        <v>0</v>
      </c>
      <c r="AB69" s="417">
        <f t="shared" si="159"/>
        <v>0</v>
      </c>
      <c r="AC69" s="417">
        <f t="shared" si="159"/>
        <v>0</v>
      </c>
      <c r="AD69" s="417">
        <f t="shared" si="159"/>
        <v>0</v>
      </c>
      <c r="AE69" s="417">
        <f t="shared" si="159"/>
        <v>0</v>
      </c>
      <c r="AF69" s="417">
        <f t="shared" si="159"/>
        <v>0</v>
      </c>
      <c r="AG69" s="417">
        <f t="shared" si="159"/>
        <v>0</v>
      </c>
      <c r="AH69" s="417">
        <f t="shared" si="159"/>
        <v>0</v>
      </c>
      <c r="AI69" s="417">
        <f t="shared" si="159"/>
        <v>0</v>
      </c>
      <c r="AJ69" s="417">
        <f t="shared" si="159"/>
        <v>0</v>
      </c>
      <c r="AK69" s="417">
        <f t="shared" si="159"/>
        <v>0</v>
      </c>
      <c r="AL69" s="417">
        <f t="shared" si="159"/>
        <v>0</v>
      </c>
      <c r="AM69" s="417">
        <f t="shared" si="159"/>
        <v>0</v>
      </c>
      <c r="AN69" s="417">
        <f t="shared" si="159"/>
        <v>0</v>
      </c>
      <c r="AO69" s="417">
        <f t="shared" si="159"/>
        <v>0</v>
      </c>
      <c r="AP69" s="417">
        <f t="shared" ref="AP69:BJ69" si="160">AP308</f>
        <v>0</v>
      </c>
      <c r="AQ69" s="417">
        <f t="shared" si="160"/>
        <v>0</v>
      </c>
      <c r="AR69" s="417">
        <f t="shared" si="160"/>
        <v>0</v>
      </c>
      <c r="AS69" s="417">
        <f t="shared" si="160"/>
        <v>0</v>
      </c>
      <c r="AT69" s="417">
        <f t="shared" si="160"/>
        <v>0</v>
      </c>
      <c r="AU69" s="417">
        <f t="shared" si="160"/>
        <v>0</v>
      </c>
      <c r="AV69" s="417">
        <f t="shared" si="160"/>
        <v>0</v>
      </c>
      <c r="AW69" s="417">
        <f t="shared" si="160"/>
        <v>0</v>
      </c>
      <c r="AX69" s="417">
        <f t="shared" si="160"/>
        <v>0</v>
      </c>
      <c r="AY69" s="417">
        <f t="shared" si="160"/>
        <v>0</v>
      </c>
      <c r="AZ69" s="417">
        <f t="shared" si="160"/>
        <v>0</v>
      </c>
      <c r="BA69" s="417">
        <f t="shared" si="160"/>
        <v>0</v>
      </c>
      <c r="BB69" s="417">
        <f t="shared" si="160"/>
        <v>0</v>
      </c>
      <c r="BC69" s="417">
        <f t="shared" si="160"/>
        <v>0</v>
      </c>
      <c r="BD69" s="417">
        <f t="shared" si="160"/>
        <v>0</v>
      </c>
      <c r="BE69" s="417">
        <f t="shared" si="160"/>
        <v>0</v>
      </c>
      <c r="BF69" s="417">
        <f t="shared" si="160"/>
        <v>0</v>
      </c>
      <c r="BG69" s="417">
        <f t="shared" si="160"/>
        <v>0</v>
      </c>
      <c r="BH69" s="417">
        <f t="shared" si="160"/>
        <v>0</v>
      </c>
      <c r="BI69" s="417">
        <f t="shared" si="160"/>
        <v>0</v>
      </c>
      <c r="BJ69" s="417">
        <f t="shared" si="160"/>
        <v>0</v>
      </c>
      <c r="BK69" s="417"/>
      <c r="BL69" s="417"/>
      <c r="BM69" s="417"/>
      <c r="BN69" s="417"/>
      <c r="BO69" s="417"/>
      <c r="BP69" s="417"/>
      <c r="BQ69" s="417"/>
      <c r="BR69" s="417"/>
      <c r="BS69" s="417"/>
      <c r="BT69" s="417"/>
      <c r="BU69" s="417"/>
    </row>
    <row r="70" spans="1:125" x14ac:dyDescent="0.2">
      <c r="A70" s="299"/>
      <c r="B70" s="299"/>
      <c r="C70" s="430" t="s">
        <v>346</v>
      </c>
      <c r="D70" s="299"/>
      <c r="E70" s="299"/>
      <c r="F70" s="299"/>
      <c r="G70" s="299"/>
      <c r="H70" s="299"/>
      <c r="I70" s="299"/>
      <c r="J70" s="299"/>
      <c r="K70" s="410" t="s">
        <v>62</v>
      </c>
      <c r="L70" s="299"/>
      <c r="M70" s="299"/>
      <c r="N70" s="417"/>
      <c r="O70" s="417"/>
      <c r="P70" s="417"/>
      <c r="Q70" s="417"/>
      <c r="R70" s="417">
        <f t="shared" ref="R70:AO70" si="161">R318</f>
        <v>2883.7478702290005</v>
      </c>
      <c r="S70" s="417">
        <f t="shared" si="161"/>
        <v>2883.7478702290005</v>
      </c>
      <c r="T70" s="417">
        <f t="shared" si="161"/>
        <v>2883.7478702290005</v>
      </c>
      <c r="U70" s="417">
        <f t="shared" si="161"/>
        <v>2883.7478702290005</v>
      </c>
      <c r="V70" s="417">
        <f t="shared" si="161"/>
        <v>2883.7478702290005</v>
      </c>
      <c r="W70" s="417">
        <f t="shared" si="161"/>
        <v>2883.7478702290005</v>
      </c>
      <c r="X70" s="417">
        <f t="shared" si="161"/>
        <v>2883.7478702290005</v>
      </c>
      <c r="Y70" s="417">
        <f t="shared" si="161"/>
        <v>2883.7478702290005</v>
      </c>
      <c r="Z70" s="417">
        <f t="shared" si="161"/>
        <v>2883.7478702290005</v>
      </c>
      <c r="AA70" s="417">
        <f t="shared" si="161"/>
        <v>2883.7478702290005</v>
      </c>
      <c r="AB70" s="417">
        <f t="shared" si="161"/>
        <v>2883.7478702290005</v>
      </c>
      <c r="AC70" s="417">
        <f t="shared" si="161"/>
        <v>2883.7478702290005</v>
      </c>
      <c r="AD70" s="417">
        <f t="shared" si="161"/>
        <v>2883.7478702290005</v>
      </c>
      <c r="AE70" s="417">
        <f t="shared" si="161"/>
        <v>2883.7478702290005</v>
      </c>
      <c r="AF70" s="417">
        <f t="shared" si="161"/>
        <v>2883.7478702290005</v>
      </c>
      <c r="AG70" s="417">
        <f t="shared" si="161"/>
        <v>2883.7478702290005</v>
      </c>
      <c r="AH70" s="417">
        <f t="shared" si="161"/>
        <v>2883.7478702290005</v>
      </c>
      <c r="AI70" s="417">
        <f t="shared" si="161"/>
        <v>2883.7478702290005</v>
      </c>
      <c r="AJ70" s="417">
        <f t="shared" si="161"/>
        <v>2883.7478702290005</v>
      </c>
      <c r="AK70" s="417">
        <f t="shared" si="161"/>
        <v>2883.7478702290005</v>
      </c>
      <c r="AL70" s="417">
        <f t="shared" si="161"/>
        <v>2883.7478702290005</v>
      </c>
      <c r="AM70" s="417">
        <f t="shared" si="161"/>
        <v>2883.7478702290005</v>
      </c>
      <c r="AN70" s="417">
        <f t="shared" si="161"/>
        <v>2883.7478702290005</v>
      </c>
      <c r="AO70" s="417">
        <f t="shared" si="161"/>
        <v>2883.7478702290005</v>
      </c>
      <c r="AP70" s="417">
        <f t="shared" ref="AP70:BJ70" si="162">AP318</f>
        <v>2883.7478702290005</v>
      </c>
      <c r="AQ70" s="417">
        <f t="shared" si="162"/>
        <v>2883.7478702290005</v>
      </c>
      <c r="AR70" s="417">
        <f t="shared" si="162"/>
        <v>2883.7478702290005</v>
      </c>
      <c r="AS70" s="417">
        <f t="shared" si="162"/>
        <v>2883.7478702290005</v>
      </c>
      <c r="AT70" s="417">
        <f t="shared" si="162"/>
        <v>2883.7478702290005</v>
      </c>
      <c r="AU70" s="417">
        <f t="shared" si="162"/>
        <v>2883.7478702290005</v>
      </c>
      <c r="AV70" s="417">
        <f t="shared" si="162"/>
        <v>2883.7478702290005</v>
      </c>
      <c r="AW70" s="417">
        <f t="shared" si="162"/>
        <v>2883.7478702290005</v>
      </c>
      <c r="AX70" s="417">
        <f t="shared" si="162"/>
        <v>2883.7478702290005</v>
      </c>
      <c r="AY70" s="417">
        <f t="shared" si="162"/>
        <v>2883.7478702290005</v>
      </c>
      <c r="AZ70" s="417">
        <f t="shared" si="162"/>
        <v>2883.7478702290005</v>
      </c>
      <c r="BA70" s="417">
        <f t="shared" si="162"/>
        <v>2883.7478702290005</v>
      </c>
      <c r="BB70" s="417">
        <f t="shared" si="162"/>
        <v>2883.7478702290005</v>
      </c>
      <c r="BC70" s="417">
        <f t="shared" si="162"/>
        <v>2883.7478702290005</v>
      </c>
      <c r="BD70" s="417">
        <f t="shared" si="162"/>
        <v>2883.7478702290005</v>
      </c>
      <c r="BE70" s="417">
        <f t="shared" si="162"/>
        <v>2883.7478702290005</v>
      </c>
      <c r="BF70" s="417">
        <f t="shared" si="162"/>
        <v>2883.7478702290005</v>
      </c>
      <c r="BG70" s="417">
        <f t="shared" si="162"/>
        <v>2883.7478702290005</v>
      </c>
      <c r="BH70" s="417">
        <f t="shared" si="162"/>
        <v>2883.7478702290005</v>
      </c>
      <c r="BI70" s="417">
        <f t="shared" si="162"/>
        <v>2883.7478702290005</v>
      </c>
      <c r="BJ70" s="417">
        <f t="shared" si="162"/>
        <v>0</v>
      </c>
      <c r="BK70" s="417"/>
      <c r="BL70" s="417"/>
      <c r="BM70" s="417"/>
      <c r="BN70" s="417"/>
      <c r="BO70" s="417"/>
      <c r="BP70" s="417"/>
      <c r="BQ70" s="417"/>
      <c r="BR70" s="417"/>
      <c r="BS70" s="417"/>
      <c r="BT70" s="417"/>
      <c r="BU70" s="417"/>
    </row>
    <row r="71" spans="1:125" x14ac:dyDescent="0.2">
      <c r="A71" s="299"/>
      <c r="B71" s="299"/>
      <c r="C71" s="431" t="s">
        <v>317</v>
      </c>
      <c r="D71" s="426"/>
      <c r="E71" s="426"/>
      <c r="F71" s="426"/>
      <c r="G71" s="426"/>
      <c r="H71" s="426"/>
      <c r="I71" s="426"/>
      <c r="J71" s="426"/>
      <c r="K71" s="630" t="s">
        <v>62</v>
      </c>
      <c r="L71" s="426"/>
      <c r="M71" s="426"/>
      <c r="N71" s="427"/>
      <c r="O71" s="427"/>
      <c r="P71" s="427"/>
      <c r="Q71" s="427"/>
      <c r="R71" s="427">
        <f t="shared" ref="R71:AO71" si="163">R292</f>
        <v>0</v>
      </c>
      <c r="S71" s="427">
        <f t="shared" si="163"/>
        <v>0</v>
      </c>
      <c r="T71" s="427">
        <f t="shared" si="163"/>
        <v>0</v>
      </c>
      <c r="U71" s="427">
        <f t="shared" si="163"/>
        <v>0</v>
      </c>
      <c r="V71" s="427">
        <f t="shared" si="163"/>
        <v>0</v>
      </c>
      <c r="W71" s="427">
        <f t="shared" si="163"/>
        <v>0</v>
      </c>
      <c r="X71" s="427">
        <f t="shared" si="163"/>
        <v>0</v>
      </c>
      <c r="Y71" s="427">
        <f t="shared" si="163"/>
        <v>0</v>
      </c>
      <c r="Z71" s="427">
        <f t="shared" si="163"/>
        <v>0</v>
      </c>
      <c r="AA71" s="427">
        <f t="shared" si="163"/>
        <v>0</v>
      </c>
      <c r="AB71" s="427">
        <f t="shared" si="163"/>
        <v>0</v>
      </c>
      <c r="AC71" s="427">
        <f t="shared" si="163"/>
        <v>0</v>
      </c>
      <c r="AD71" s="427">
        <f t="shared" si="163"/>
        <v>0</v>
      </c>
      <c r="AE71" s="427">
        <f t="shared" si="163"/>
        <v>0</v>
      </c>
      <c r="AF71" s="427">
        <f t="shared" si="163"/>
        <v>0</v>
      </c>
      <c r="AG71" s="427">
        <f t="shared" si="163"/>
        <v>0</v>
      </c>
      <c r="AH71" s="427">
        <f t="shared" si="163"/>
        <v>0</v>
      </c>
      <c r="AI71" s="427">
        <f t="shared" si="163"/>
        <v>0</v>
      </c>
      <c r="AJ71" s="427">
        <f t="shared" si="163"/>
        <v>0</v>
      </c>
      <c r="AK71" s="427">
        <f t="shared" si="163"/>
        <v>0</v>
      </c>
      <c r="AL71" s="427">
        <f t="shared" si="163"/>
        <v>0</v>
      </c>
      <c r="AM71" s="427">
        <f t="shared" si="163"/>
        <v>0</v>
      </c>
      <c r="AN71" s="427">
        <f t="shared" si="163"/>
        <v>0</v>
      </c>
      <c r="AO71" s="427">
        <f t="shared" si="163"/>
        <v>0</v>
      </c>
      <c r="AP71" s="427">
        <f t="shared" ref="AP71:BI71" si="164">AP292</f>
        <v>0</v>
      </c>
      <c r="AQ71" s="427">
        <f t="shared" si="164"/>
        <v>0</v>
      </c>
      <c r="AR71" s="427">
        <f t="shared" si="164"/>
        <v>0</v>
      </c>
      <c r="AS71" s="427">
        <f t="shared" si="164"/>
        <v>0</v>
      </c>
      <c r="AT71" s="427">
        <f t="shared" si="164"/>
        <v>0</v>
      </c>
      <c r="AU71" s="427">
        <f t="shared" si="164"/>
        <v>0</v>
      </c>
      <c r="AV71" s="427">
        <f t="shared" si="164"/>
        <v>0</v>
      </c>
      <c r="AW71" s="427">
        <f t="shared" si="164"/>
        <v>0</v>
      </c>
      <c r="AX71" s="427">
        <f t="shared" si="164"/>
        <v>0</v>
      </c>
      <c r="AY71" s="427">
        <f t="shared" si="164"/>
        <v>0</v>
      </c>
      <c r="AZ71" s="427">
        <f t="shared" si="164"/>
        <v>0</v>
      </c>
      <c r="BA71" s="427">
        <f t="shared" si="164"/>
        <v>0</v>
      </c>
      <c r="BB71" s="427">
        <f t="shared" si="164"/>
        <v>0</v>
      </c>
      <c r="BC71" s="427">
        <f t="shared" si="164"/>
        <v>0</v>
      </c>
      <c r="BD71" s="427">
        <f t="shared" si="164"/>
        <v>0</v>
      </c>
      <c r="BE71" s="427">
        <f t="shared" si="164"/>
        <v>143269.05167515849</v>
      </c>
      <c r="BF71" s="427">
        <f t="shared" si="164"/>
        <v>126051.90591748834</v>
      </c>
      <c r="BG71" s="427">
        <f t="shared" si="164"/>
        <v>104408.27924592944</v>
      </c>
      <c r="BH71" s="427">
        <f t="shared" si="164"/>
        <v>77200.135568042242</v>
      </c>
      <c r="BI71" s="427">
        <f t="shared" si="164"/>
        <v>42996.852835886624</v>
      </c>
      <c r="BJ71" s="427">
        <f t="shared" ref="BJ71" si="165">BJ292</f>
        <v>-97373.823001979938</v>
      </c>
      <c r="BK71" s="427"/>
      <c r="BL71" s="427"/>
      <c r="BM71" s="427"/>
      <c r="BN71" s="427"/>
      <c r="BO71" s="427"/>
      <c r="BP71" s="427"/>
      <c r="BQ71" s="427"/>
      <c r="BR71" s="427"/>
      <c r="BS71" s="427"/>
      <c r="BT71" s="427"/>
      <c r="BU71" s="427"/>
    </row>
    <row r="72" spans="1:125" x14ac:dyDescent="0.2">
      <c r="C72" s="432" t="s">
        <v>415</v>
      </c>
      <c r="K72" s="410" t="s">
        <v>62</v>
      </c>
      <c r="N72" s="433"/>
      <c r="Q72" s="434"/>
      <c r="R72" s="722">
        <f t="shared" ref="R72:AO72" si="166">SUM(R67:R71)</f>
        <v>155265.09135022905</v>
      </c>
      <c r="S72" s="722">
        <f t="shared" si="166"/>
        <v>208187.74657917686</v>
      </c>
      <c r="T72" s="722">
        <f t="shared" si="166"/>
        <v>42326.74127247274</v>
      </c>
      <c r="U72" s="722">
        <f t="shared" si="166"/>
        <v>47642.75469322774</v>
      </c>
      <c r="V72" s="722">
        <f t="shared" si="166"/>
        <v>50538.877458578259</v>
      </c>
      <c r="W72" s="722">
        <f t="shared" si="166"/>
        <v>51988.446137454914</v>
      </c>
      <c r="X72" s="722">
        <f t="shared" si="166"/>
        <v>53464.140677853524</v>
      </c>
      <c r="Y72" s="722">
        <f t="shared" si="166"/>
        <v>54876.944498191893</v>
      </c>
      <c r="Z72" s="722">
        <f t="shared" si="166"/>
        <v>56491.13368043425</v>
      </c>
      <c r="AA72" s="722">
        <f t="shared" si="166"/>
        <v>57634.370323258314</v>
      </c>
      <c r="AB72" s="722">
        <f t="shared" si="166"/>
        <v>58722.924531647535</v>
      </c>
      <c r="AC72" s="722">
        <f t="shared" si="166"/>
        <v>59647.987944899774</v>
      </c>
      <c r="AD72" s="722">
        <f t="shared" si="166"/>
        <v>60767.2562333276</v>
      </c>
      <c r="AE72" s="722">
        <f t="shared" si="166"/>
        <v>62443.707022234805</v>
      </c>
      <c r="AF72" s="722">
        <f t="shared" si="166"/>
        <v>65460.601389624462</v>
      </c>
      <c r="AG72" s="722">
        <f t="shared" si="166"/>
        <v>68953.831159520094</v>
      </c>
      <c r="AH72" s="722">
        <f t="shared" si="166"/>
        <v>73454.641467593552</v>
      </c>
      <c r="AI72" s="722">
        <f t="shared" si="166"/>
        <v>79362.513263008907</v>
      </c>
      <c r="AJ72" s="722">
        <f t="shared" si="166"/>
        <v>86899.519402557999</v>
      </c>
      <c r="AK72" s="722">
        <f t="shared" si="166"/>
        <v>95568.312534970595</v>
      </c>
      <c r="AL72" s="722">
        <f t="shared" si="166"/>
        <v>105886.8841737609</v>
      </c>
      <c r="AM72" s="722">
        <f t="shared" si="166"/>
        <v>132169.88531624552</v>
      </c>
      <c r="AN72" s="722">
        <f t="shared" si="166"/>
        <v>119014.5135547782</v>
      </c>
      <c r="AO72" s="722">
        <f t="shared" si="166"/>
        <v>118576.76584385651</v>
      </c>
      <c r="AP72" s="722">
        <f t="shared" ref="AP72:BJ72" si="167">SUM(AP67:AP71)</f>
        <v>115968.91593544315</v>
      </c>
      <c r="AQ72" s="722">
        <f t="shared" si="167"/>
        <v>113935.58045071228</v>
      </c>
      <c r="AR72" s="722">
        <f t="shared" si="167"/>
        <v>113154.83879610553</v>
      </c>
      <c r="AS72" s="722">
        <f t="shared" si="167"/>
        <v>113479.76888547439</v>
      </c>
      <c r="AT72" s="722">
        <f t="shared" si="167"/>
        <v>225109.20270231576</v>
      </c>
      <c r="AU72" s="722">
        <f t="shared" si="167"/>
        <v>230192.09819800602</v>
      </c>
      <c r="AV72" s="722">
        <f t="shared" si="167"/>
        <v>235292.13740311289</v>
      </c>
      <c r="AW72" s="722">
        <f t="shared" si="167"/>
        <v>238947.05252010521</v>
      </c>
      <c r="AX72" s="722">
        <f t="shared" si="167"/>
        <v>255787.88217987877</v>
      </c>
      <c r="AY72" s="722">
        <f t="shared" si="167"/>
        <v>255522.17554870807</v>
      </c>
      <c r="AZ72" s="722">
        <f t="shared" si="167"/>
        <v>251884.37400838171</v>
      </c>
      <c r="BA72" s="722">
        <f t="shared" si="167"/>
        <v>248958.08466547698</v>
      </c>
      <c r="BB72" s="722">
        <f t="shared" si="167"/>
        <v>248045.55486436945</v>
      </c>
      <c r="BC72" s="722">
        <f t="shared" si="167"/>
        <v>250257.16042403033</v>
      </c>
      <c r="BD72" s="722">
        <f t="shared" si="167"/>
        <v>2883.7478702290005</v>
      </c>
      <c r="BE72" s="722">
        <f t="shared" si="167"/>
        <v>146152.7995453875</v>
      </c>
      <c r="BF72" s="722">
        <f t="shared" si="167"/>
        <v>128935.65378771734</v>
      </c>
      <c r="BG72" s="722">
        <f t="shared" si="167"/>
        <v>107292.02711615844</v>
      </c>
      <c r="BH72" s="722">
        <f t="shared" si="167"/>
        <v>80083.883438271238</v>
      </c>
      <c r="BI72" s="722">
        <f t="shared" si="167"/>
        <v>45880.600706115627</v>
      </c>
      <c r="BJ72" s="722">
        <f t="shared" si="167"/>
        <v>-97373.823001979938</v>
      </c>
      <c r="BK72" s="434"/>
      <c r="BL72" s="434"/>
      <c r="BM72" s="434"/>
      <c r="BN72" s="434"/>
      <c r="BO72" s="434"/>
      <c r="BP72" s="434"/>
      <c r="BQ72" s="434"/>
      <c r="BR72" s="434"/>
      <c r="BS72" s="434"/>
      <c r="BT72" s="434"/>
      <c r="BU72" s="434"/>
    </row>
    <row r="73" spans="1:125" x14ac:dyDescent="0.2">
      <c r="C73" s="432"/>
      <c r="N73" s="433"/>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434"/>
      <c r="AU73" s="434"/>
      <c r="AV73" s="434"/>
      <c r="AW73" s="434"/>
      <c r="AX73" s="434"/>
      <c r="AY73" s="434"/>
      <c r="AZ73" s="434"/>
      <c r="BA73" s="434"/>
      <c r="BB73" s="434"/>
      <c r="BC73" s="434"/>
      <c r="BD73" s="434"/>
      <c r="BE73" s="434"/>
      <c r="BF73" s="434"/>
      <c r="BG73" s="434"/>
      <c r="BH73" s="434"/>
      <c r="BI73" s="434"/>
      <c r="BJ73" s="434"/>
      <c r="BK73" s="434"/>
      <c r="BL73" s="434"/>
      <c r="BM73" s="434"/>
      <c r="BN73" s="434"/>
      <c r="BO73" s="434"/>
      <c r="BP73" s="434"/>
      <c r="BQ73" s="434"/>
      <c r="BR73" s="434"/>
      <c r="BS73" s="434"/>
      <c r="BT73" s="434"/>
      <c r="BU73" s="434"/>
    </row>
    <row r="74" spans="1:125" x14ac:dyDescent="0.2">
      <c r="B74" s="423" t="s">
        <v>374</v>
      </c>
      <c r="C74" s="435"/>
      <c r="Q74" s="434"/>
      <c r="R74" s="722">
        <f t="shared" ref="R74:AO74" si="168">+R341</f>
        <v>0</v>
      </c>
      <c r="S74" s="722">
        <f t="shared" si="168"/>
        <v>0</v>
      </c>
      <c r="T74" s="722">
        <f t="shared" si="168"/>
        <v>2933.937622086924</v>
      </c>
      <c r="U74" s="722">
        <f t="shared" si="168"/>
        <v>940.6351316665299</v>
      </c>
      <c r="V74" s="722">
        <f t="shared" si="168"/>
        <v>1180.3461841882392</v>
      </c>
      <c r="W74" s="722">
        <f t="shared" si="168"/>
        <v>1392.855798373562</v>
      </c>
      <c r="X74" s="722">
        <f t="shared" si="168"/>
        <v>1567.8927138781878</v>
      </c>
      <c r="Y74" s="722">
        <f t="shared" si="168"/>
        <v>1733.2721968863589</v>
      </c>
      <c r="Z74" s="722">
        <f t="shared" si="168"/>
        <v>1902.9812601184744</v>
      </c>
      <c r="AA74" s="722">
        <f t="shared" si="168"/>
        <v>2074.7351020773285</v>
      </c>
      <c r="AB74" s="722">
        <f t="shared" si="168"/>
        <v>2212.8585877595424</v>
      </c>
      <c r="AC74" s="722">
        <f t="shared" si="168"/>
        <v>2330.3773691569895</v>
      </c>
      <c r="AD74" s="722">
        <f t="shared" si="168"/>
        <v>2418.2959333556219</v>
      </c>
      <c r="AE74" s="722">
        <f t="shared" si="168"/>
        <v>2579.0949092429973</v>
      </c>
      <c r="AF74" s="722">
        <f t="shared" si="168"/>
        <v>2696.1751882153148</v>
      </c>
      <c r="AG74" s="722">
        <f t="shared" si="168"/>
        <v>2839.6666328661431</v>
      </c>
      <c r="AH74" s="722">
        <f t="shared" si="168"/>
        <v>3105.9161260773412</v>
      </c>
      <c r="AI74" s="722">
        <f t="shared" si="168"/>
        <v>3411.5832240242535</v>
      </c>
      <c r="AJ74" s="722">
        <f t="shared" si="168"/>
        <v>3768.0917971796848</v>
      </c>
      <c r="AK74" s="722">
        <f t="shared" si="168"/>
        <v>4073.6348544397351</v>
      </c>
      <c r="AL74" s="722">
        <f t="shared" si="168"/>
        <v>4320.6180431709508</v>
      </c>
      <c r="AM74" s="722">
        <f t="shared" si="168"/>
        <v>4797.2675879554872</v>
      </c>
      <c r="AN74" s="722">
        <f t="shared" si="168"/>
        <v>5638.7025356995109</v>
      </c>
      <c r="AO74" s="722">
        <f t="shared" si="168"/>
        <v>5664.2656594535383</v>
      </c>
      <c r="AP74" s="722">
        <f t="shared" ref="AP74:BJ74" si="169">+AP341</f>
        <v>5923.2709353723476</v>
      </c>
      <c r="AQ74" s="722">
        <f t="shared" si="169"/>
        <v>5964.8664794603264</v>
      </c>
      <c r="AR74" s="722">
        <f t="shared" si="169"/>
        <v>6134.1481172792337</v>
      </c>
      <c r="AS74" s="722">
        <f t="shared" si="169"/>
        <v>6339.194453137532</v>
      </c>
      <c r="AT74" s="722">
        <f t="shared" si="169"/>
        <v>6577.3231478792877</v>
      </c>
      <c r="AU74" s="722">
        <f t="shared" si="169"/>
        <v>9006.5046993014894</v>
      </c>
      <c r="AV74" s="722">
        <f t="shared" si="169"/>
        <v>9125.9065121812091</v>
      </c>
      <c r="AW74" s="722">
        <f t="shared" si="169"/>
        <v>9465.0985390987535</v>
      </c>
      <c r="AX74" s="722">
        <f t="shared" si="169"/>
        <v>9787.7998764432105</v>
      </c>
      <c r="AY74" s="722">
        <f t="shared" si="169"/>
        <v>10381.737567421795</v>
      </c>
      <c r="AZ74" s="722">
        <f t="shared" si="169"/>
        <v>10650.770306827853</v>
      </c>
      <c r="BA74" s="722">
        <f t="shared" si="169"/>
        <v>10806.024617332281</v>
      </c>
      <c r="BB74" s="722">
        <f t="shared" si="169"/>
        <v>10971.409959314491</v>
      </c>
      <c r="BC74" s="722">
        <f t="shared" si="169"/>
        <v>11072.161126111594</v>
      </c>
      <c r="BD74" s="722">
        <f t="shared" si="169"/>
        <v>11355.312685980001</v>
      </c>
      <c r="BE74" s="722">
        <f t="shared" si="169"/>
        <v>9642.6086918270485</v>
      </c>
      <c r="BF74" s="722">
        <f t="shared" si="169"/>
        <v>9736.9246790448087</v>
      </c>
      <c r="BG74" s="722">
        <f t="shared" si="169"/>
        <v>9624.1770197395927</v>
      </c>
      <c r="BH74" s="722">
        <f t="shared" si="169"/>
        <v>9434.8959840826774</v>
      </c>
      <c r="BI74" s="722">
        <f t="shared" si="169"/>
        <v>8508.7060004751474</v>
      </c>
      <c r="BJ74" s="722">
        <f t="shared" si="169"/>
        <v>1940.2901498285173</v>
      </c>
      <c r="BK74" s="434"/>
      <c r="BL74" s="434"/>
      <c r="BM74" s="434"/>
      <c r="BN74" s="434"/>
      <c r="BO74" s="434"/>
      <c r="BP74" s="434"/>
      <c r="BQ74" s="434"/>
      <c r="BR74" s="434"/>
      <c r="BS74" s="434"/>
      <c r="BT74" s="434"/>
      <c r="BU74" s="434"/>
    </row>
    <row r="75" spans="1:125" x14ac:dyDescent="0.2"/>
    <row r="76" spans="1:125" s="438" customFormat="1" ht="15.75" x14ac:dyDescent="0.25">
      <c r="A76" s="418"/>
      <c r="B76" s="418" t="s">
        <v>167</v>
      </c>
      <c r="C76" s="418"/>
      <c r="D76" s="418"/>
      <c r="E76" s="418"/>
      <c r="F76" s="418"/>
      <c r="G76" s="418"/>
      <c r="H76" s="418"/>
      <c r="I76" s="418"/>
      <c r="J76" s="418"/>
      <c r="K76" s="628"/>
      <c r="L76" s="418"/>
      <c r="M76" s="418"/>
      <c r="N76" s="418"/>
      <c r="O76" s="419"/>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c r="BQ76" s="436"/>
      <c r="BR76" s="436"/>
      <c r="BS76" s="436"/>
      <c r="BT76" s="436"/>
      <c r="BU76" s="436"/>
      <c r="BV76" s="436"/>
      <c r="BW76" s="436"/>
      <c r="BX76" s="436"/>
      <c r="BY76" s="436"/>
      <c r="BZ76" s="436"/>
      <c r="CA76" s="436"/>
      <c r="CB76" s="436"/>
      <c r="CC76" s="436"/>
      <c r="CD76" s="436"/>
      <c r="CE76" s="436"/>
      <c r="CF76" s="436"/>
      <c r="CG76" s="436"/>
      <c r="CH76" s="436"/>
      <c r="CI76" s="436"/>
      <c r="CJ76" s="436"/>
      <c r="CK76" s="436"/>
      <c r="CL76" s="436"/>
      <c r="CM76" s="436"/>
      <c r="CN76" s="436"/>
      <c r="CO76" s="436"/>
      <c r="CP76" s="436"/>
      <c r="CQ76" s="436"/>
      <c r="CR76" s="436"/>
      <c r="CS76" s="436"/>
      <c r="CT76" s="436"/>
      <c r="CU76" s="436"/>
      <c r="CV76" s="436"/>
      <c r="CW76" s="436"/>
      <c r="CX76" s="436"/>
      <c r="CY76" s="436"/>
      <c r="CZ76" s="436"/>
      <c r="DA76" s="436"/>
      <c r="DB76" s="436"/>
      <c r="DC76" s="436"/>
      <c r="DD76" s="436"/>
      <c r="DE76" s="436"/>
      <c r="DF76" s="436"/>
      <c r="DG76" s="436"/>
      <c r="DH76" s="436"/>
      <c r="DI76" s="436"/>
      <c r="DJ76" s="436"/>
      <c r="DK76" s="436"/>
      <c r="DL76" s="436"/>
      <c r="DM76" s="436"/>
      <c r="DN76" s="436"/>
      <c r="DO76" s="436"/>
      <c r="DP76" s="437"/>
      <c r="DQ76" s="436"/>
      <c r="DR76" s="436"/>
      <c r="DS76" s="436"/>
      <c r="DT76" s="436"/>
      <c r="DU76" s="436"/>
    </row>
    <row r="77" spans="1:125" x14ac:dyDescent="0.2">
      <c r="A77" s="299"/>
      <c r="B77" s="299"/>
      <c r="C77" s="299"/>
      <c r="D77" s="299"/>
      <c r="E77" s="299"/>
      <c r="F77" s="299"/>
      <c r="G77" s="299"/>
      <c r="H77" s="299"/>
      <c r="I77" s="299"/>
      <c r="J77" s="299"/>
      <c r="K77" s="410"/>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299"/>
      <c r="BS77" s="299"/>
      <c r="BT77" s="299"/>
      <c r="BU77" s="299"/>
    </row>
    <row r="78" spans="1:125" x14ac:dyDescent="0.2">
      <c r="A78" s="299"/>
      <c r="B78" s="439" t="s">
        <v>168</v>
      </c>
      <c r="C78" s="299"/>
      <c r="D78" s="299"/>
      <c r="E78" s="299"/>
      <c r="F78" s="299"/>
      <c r="G78" s="299"/>
      <c r="H78" s="299"/>
      <c r="I78" s="299"/>
      <c r="J78" s="299"/>
      <c r="K78" s="410"/>
      <c r="L78" s="440"/>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299"/>
      <c r="BS78" s="299"/>
      <c r="BT78" s="299"/>
      <c r="BU78" s="299"/>
    </row>
    <row r="79" spans="1:125" x14ac:dyDescent="0.2">
      <c r="A79" s="299"/>
      <c r="B79" s="299"/>
      <c r="C79" s="299"/>
      <c r="D79" s="299"/>
      <c r="E79" s="299"/>
      <c r="F79" s="299"/>
      <c r="G79" s="299"/>
      <c r="H79" s="299"/>
      <c r="I79" s="299"/>
      <c r="J79" s="299"/>
      <c r="K79" s="410"/>
      <c r="L79" s="441"/>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299"/>
      <c r="BO79" s="299"/>
      <c r="BP79" s="299"/>
      <c r="BQ79" s="299"/>
      <c r="BR79" s="299"/>
      <c r="BS79" s="299"/>
      <c r="BT79" s="299"/>
      <c r="BU79" s="299"/>
    </row>
    <row r="80" spans="1:125" x14ac:dyDescent="0.2">
      <c r="A80" s="299"/>
      <c r="B80" s="299" t="s">
        <v>325</v>
      </c>
      <c r="C80" s="299"/>
      <c r="D80" s="299"/>
      <c r="E80" s="299"/>
      <c r="F80" s="299"/>
      <c r="G80" s="299"/>
      <c r="H80" s="299"/>
      <c r="I80" s="299"/>
      <c r="J80" s="299"/>
      <c r="K80" s="633">
        <f>Inputs!L135</f>
        <v>43830</v>
      </c>
      <c r="L80" s="413"/>
      <c r="M80" s="413"/>
      <c r="N80" s="299"/>
      <c r="O80" s="299"/>
      <c r="P80" s="299"/>
      <c r="Q80" s="414"/>
      <c r="R80" s="414">
        <f t="shared" ref="R80:BJ80" si="170">+R166</f>
        <v>0</v>
      </c>
      <c r="S80" s="414">
        <f t="shared" si="170"/>
        <v>0</v>
      </c>
      <c r="T80" s="414">
        <f t="shared" si="170"/>
        <v>1</v>
      </c>
      <c r="U80" s="414">
        <f t="shared" si="170"/>
        <v>0</v>
      </c>
      <c r="V80" s="414">
        <f t="shared" si="170"/>
        <v>0</v>
      </c>
      <c r="W80" s="414">
        <f t="shared" si="170"/>
        <v>0</v>
      </c>
      <c r="X80" s="414">
        <f t="shared" si="170"/>
        <v>0</v>
      </c>
      <c r="Y80" s="414">
        <f t="shared" si="170"/>
        <v>0</v>
      </c>
      <c r="Z80" s="414">
        <f t="shared" si="170"/>
        <v>0</v>
      </c>
      <c r="AA80" s="414">
        <f t="shared" si="170"/>
        <v>0</v>
      </c>
      <c r="AB80" s="414">
        <f t="shared" si="170"/>
        <v>0</v>
      </c>
      <c r="AC80" s="414">
        <f t="shared" si="170"/>
        <v>0</v>
      </c>
      <c r="AD80" s="414">
        <f t="shared" si="170"/>
        <v>0</v>
      </c>
      <c r="AE80" s="414">
        <f t="shared" si="170"/>
        <v>0</v>
      </c>
      <c r="AF80" s="414">
        <f t="shared" si="170"/>
        <v>0</v>
      </c>
      <c r="AG80" s="414">
        <f t="shared" si="170"/>
        <v>0</v>
      </c>
      <c r="AH80" s="414">
        <f t="shared" si="170"/>
        <v>0</v>
      </c>
      <c r="AI80" s="414">
        <f t="shared" si="170"/>
        <v>0</v>
      </c>
      <c r="AJ80" s="414">
        <f t="shared" si="170"/>
        <v>0</v>
      </c>
      <c r="AK80" s="414">
        <f t="shared" si="170"/>
        <v>0</v>
      </c>
      <c r="AL80" s="414">
        <f t="shared" si="170"/>
        <v>0</v>
      </c>
      <c r="AM80" s="414">
        <f t="shared" si="170"/>
        <v>0</v>
      </c>
      <c r="AN80" s="414">
        <f t="shared" si="170"/>
        <v>0</v>
      </c>
      <c r="AO80" s="414">
        <f t="shared" si="170"/>
        <v>0</v>
      </c>
      <c r="AP80" s="414">
        <f t="shared" si="170"/>
        <v>0</v>
      </c>
      <c r="AQ80" s="414">
        <f t="shared" si="170"/>
        <v>0</v>
      </c>
      <c r="AR80" s="414">
        <f t="shared" si="170"/>
        <v>0</v>
      </c>
      <c r="AS80" s="414">
        <f t="shared" si="170"/>
        <v>0</v>
      </c>
      <c r="AT80" s="414">
        <f t="shared" si="170"/>
        <v>0</v>
      </c>
      <c r="AU80" s="414">
        <f t="shared" si="170"/>
        <v>0</v>
      </c>
      <c r="AV80" s="414">
        <f t="shared" si="170"/>
        <v>0</v>
      </c>
      <c r="AW80" s="414">
        <f t="shared" si="170"/>
        <v>0</v>
      </c>
      <c r="AX80" s="414">
        <f t="shared" si="170"/>
        <v>0</v>
      </c>
      <c r="AY80" s="414">
        <f t="shared" si="170"/>
        <v>0</v>
      </c>
      <c r="AZ80" s="414">
        <f t="shared" si="170"/>
        <v>0</v>
      </c>
      <c r="BA80" s="414">
        <f t="shared" si="170"/>
        <v>0</v>
      </c>
      <c r="BB80" s="414">
        <f t="shared" si="170"/>
        <v>0</v>
      </c>
      <c r="BC80" s="414">
        <f t="shared" si="170"/>
        <v>0</v>
      </c>
      <c r="BD80" s="414">
        <f t="shared" si="170"/>
        <v>0</v>
      </c>
      <c r="BE80" s="414">
        <f t="shared" si="170"/>
        <v>0</v>
      </c>
      <c r="BF80" s="414">
        <f t="shared" si="170"/>
        <v>0</v>
      </c>
      <c r="BG80" s="414">
        <f t="shared" si="170"/>
        <v>0</v>
      </c>
      <c r="BH80" s="414">
        <f t="shared" si="170"/>
        <v>0</v>
      </c>
      <c r="BI80" s="414">
        <f t="shared" si="170"/>
        <v>0</v>
      </c>
      <c r="BJ80" s="414">
        <f t="shared" si="170"/>
        <v>0</v>
      </c>
      <c r="BK80" s="414"/>
      <c r="BL80" s="414"/>
      <c r="BM80" s="414"/>
      <c r="BN80" s="414"/>
      <c r="BO80" s="414"/>
      <c r="BP80" s="414"/>
      <c r="BQ80" s="414"/>
      <c r="BR80" s="414"/>
      <c r="BS80" s="414"/>
      <c r="BT80" s="414"/>
      <c r="BU80" s="414"/>
    </row>
    <row r="81" spans="1:73" x14ac:dyDescent="0.2">
      <c r="A81" s="299"/>
      <c r="B81" s="299"/>
      <c r="M81" s="413"/>
      <c r="N81" s="417"/>
      <c r="O81" s="299"/>
      <c r="P81" s="299"/>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7"/>
      <c r="AY81" s="417"/>
      <c r="AZ81" s="417"/>
      <c r="BA81" s="417"/>
      <c r="BB81" s="417"/>
      <c r="BC81" s="417"/>
      <c r="BD81" s="417"/>
      <c r="BE81" s="417"/>
      <c r="BF81" s="417"/>
      <c r="BG81" s="417"/>
      <c r="BH81" s="417"/>
      <c r="BI81" s="417"/>
      <c r="BJ81" s="417"/>
      <c r="BK81" s="417"/>
      <c r="BL81" s="417"/>
      <c r="BM81" s="417"/>
      <c r="BN81" s="417"/>
      <c r="BO81" s="417"/>
      <c r="BP81" s="417"/>
      <c r="BQ81" s="417"/>
      <c r="BR81" s="417"/>
      <c r="BS81" s="417"/>
      <c r="BT81" s="417"/>
      <c r="BU81" s="417"/>
    </row>
    <row r="82" spans="1:73" x14ac:dyDescent="0.2">
      <c r="A82" s="299"/>
      <c r="B82" s="299"/>
      <c r="C82" s="299" t="s">
        <v>326</v>
      </c>
      <c r="D82" s="299"/>
      <c r="E82" s="299"/>
      <c r="F82" s="299"/>
      <c r="G82" s="299"/>
      <c r="H82" s="299"/>
      <c r="I82" s="299"/>
      <c r="J82" s="299"/>
      <c r="K82" s="410" t="s">
        <v>20</v>
      </c>
      <c r="L82" s="413"/>
      <c r="M82" s="413"/>
      <c r="N82" s="417"/>
      <c r="O82" s="299"/>
      <c r="P82" s="299"/>
      <c r="Q82" s="442"/>
      <c r="R82" s="442">
        <f t="shared" ref="R82:BJ82" si="171">+IF(AND($K$80&gt;=R8,$K$80&gt;=R9),1,0)</f>
        <v>1</v>
      </c>
      <c r="S82" s="442">
        <f t="shared" si="171"/>
        <v>1</v>
      </c>
      <c r="T82" s="442">
        <f t="shared" si="171"/>
        <v>1</v>
      </c>
      <c r="U82" s="442">
        <f t="shared" si="171"/>
        <v>0</v>
      </c>
      <c r="V82" s="442">
        <f t="shared" si="171"/>
        <v>0</v>
      </c>
      <c r="W82" s="442">
        <f t="shared" si="171"/>
        <v>0</v>
      </c>
      <c r="X82" s="442">
        <f t="shared" si="171"/>
        <v>0</v>
      </c>
      <c r="Y82" s="442">
        <f t="shared" si="171"/>
        <v>0</v>
      </c>
      <c r="Z82" s="442">
        <f t="shared" si="171"/>
        <v>0</v>
      </c>
      <c r="AA82" s="442">
        <f t="shared" si="171"/>
        <v>0</v>
      </c>
      <c r="AB82" s="442">
        <f t="shared" si="171"/>
        <v>0</v>
      </c>
      <c r="AC82" s="442">
        <f t="shared" si="171"/>
        <v>0</v>
      </c>
      <c r="AD82" s="442">
        <f t="shared" si="171"/>
        <v>0</v>
      </c>
      <c r="AE82" s="442">
        <f t="shared" si="171"/>
        <v>0</v>
      </c>
      <c r="AF82" s="442">
        <f t="shared" si="171"/>
        <v>0</v>
      </c>
      <c r="AG82" s="442">
        <f t="shared" si="171"/>
        <v>0</v>
      </c>
      <c r="AH82" s="442">
        <f t="shared" si="171"/>
        <v>0</v>
      </c>
      <c r="AI82" s="442">
        <f t="shared" si="171"/>
        <v>0</v>
      </c>
      <c r="AJ82" s="442">
        <f t="shared" si="171"/>
        <v>0</v>
      </c>
      <c r="AK82" s="442">
        <f t="shared" si="171"/>
        <v>0</v>
      </c>
      <c r="AL82" s="442">
        <f t="shared" si="171"/>
        <v>0</v>
      </c>
      <c r="AM82" s="442">
        <f t="shared" si="171"/>
        <v>0</v>
      </c>
      <c r="AN82" s="442">
        <f t="shared" si="171"/>
        <v>0</v>
      </c>
      <c r="AO82" s="442">
        <f t="shared" si="171"/>
        <v>0</v>
      </c>
      <c r="AP82" s="442">
        <f t="shared" si="171"/>
        <v>0</v>
      </c>
      <c r="AQ82" s="442">
        <f t="shared" si="171"/>
        <v>0</v>
      </c>
      <c r="AR82" s="442">
        <f t="shared" si="171"/>
        <v>0</v>
      </c>
      <c r="AS82" s="442">
        <f t="shared" si="171"/>
        <v>0</v>
      </c>
      <c r="AT82" s="442">
        <f t="shared" si="171"/>
        <v>0</v>
      </c>
      <c r="AU82" s="442">
        <f t="shared" si="171"/>
        <v>0</v>
      </c>
      <c r="AV82" s="442">
        <f t="shared" si="171"/>
        <v>0</v>
      </c>
      <c r="AW82" s="442">
        <f t="shared" si="171"/>
        <v>0</v>
      </c>
      <c r="AX82" s="442">
        <f t="shared" si="171"/>
        <v>0</v>
      </c>
      <c r="AY82" s="442">
        <f t="shared" si="171"/>
        <v>0</v>
      </c>
      <c r="AZ82" s="442">
        <f t="shared" si="171"/>
        <v>0</v>
      </c>
      <c r="BA82" s="442">
        <f t="shared" si="171"/>
        <v>0</v>
      </c>
      <c r="BB82" s="442">
        <f t="shared" si="171"/>
        <v>0</v>
      </c>
      <c r="BC82" s="442">
        <f t="shared" si="171"/>
        <v>0</v>
      </c>
      <c r="BD82" s="442">
        <f t="shared" si="171"/>
        <v>0</v>
      </c>
      <c r="BE82" s="442">
        <f t="shared" si="171"/>
        <v>0</v>
      </c>
      <c r="BF82" s="442">
        <f t="shared" si="171"/>
        <v>0</v>
      </c>
      <c r="BG82" s="442">
        <f t="shared" si="171"/>
        <v>0</v>
      </c>
      <c r="BH82" s="442">
        <f t="shared" si="171"/>
        <v>0</v>
      </c>
      <c r="BI82" s="442">
        <f t="shared" si="171"/>
        <v>0</v>
      </c>
      <c r="BJ82" s="442">
        <f t="shared" si="171"/>
        <v>0</v>
      </c>
      <c r="BK82" s="442"/>
      <c r="BL82" s="442"/>
      <c r="BM82" s="442"/>
      <c r="BN82" s="442"/>
      <c r="BO82" s="442"/>
      <c r="BP82" s="442"/>
      <c r="BQ82" s="442"/>
      <c r="BR82" s="442"/>
      <c r="BS82" s="442"/>
      <c r="BT82" s="442"/>
      <c r="BU82" s="442"/>
    </row>
    <row r="83" spans="1:73" x14ac:dyDescent="0.2">
      <c r="A83" s="299"/>
      <c r="B83" s="299"/>
      <c r="C83" s="299"/>
      <c r="D83" s="299"/>
      <c r="E83" s="299"/>
      <c r="F83" s="299"/>
      <c r="G83" s="299"/>
      <c r="H83" s="299"/>
      <c r="I83" s="299"/>
      <c r="J83" s="299"/>
      <c r="K83" s="410"/>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299"/>
      <c r="BT83" s="299"/>
      <c r="BU83" s="299"/>
    </row>
    <row r="84" spans="1:73" x14ac:dyDescent="0.2">
      <c r="A84" s="299"/>
      <c r="B84" s="439" t="s">
        <v>174</v>
      </c>
      <c r="C84" s="299"/>
      <c r="D84" s="299"/>
      <c r="E84" s="299"/>
      <c r="F84" s="299"/>
      <c r="G84" s="299"/>
      <c r="H84" s="299"/>
      <c r="I84" s="299"/>
      <c r="J84" s="299"/>
      <c r="K84" s="410"/>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299"/>
      <c r="BC84" s="299"/>
      <c r="BD84" s="299"/>
      <c r="BE84" s="299"/>
      <c r="BF84" s="299"/>
      <c r="BG84" s="299"/>
      <c r="BH84" s="299"/>
      <c r="BI84" s="299"/>
      <c r="BJ84" s="299"/>
      <c r="BK84" s="299"/>
      <c r="BL84" s="299"/>
      <c r="BM84" s="299"/>
      <c r="BN84" s="299"/>
      <c r="BO84" s="299"/>
      <c r="BP84" s="299"/>
      <c r="BQ84" s="299"/>
      <c r="BR84" s="299"/>
      <c r="BS84" s="299"/>
      <c r="BT84" s="299"/>
      <c r="BU84" s="299"/>
    </row>
    <row r="85" spans="1:73" x14ac:dyDescent="0.2">
      <c r="A85" s="299"/>
      <c r="B85" s="299"/>
      <c r="C85" s="443" t="s">
        <v>444</v>
      </c>
      <c r="D85" s="444"/>
      <c r="E85" s="444"/>
      <c r="F85" s="444"/>
      <c r="G85" s="444"/>
      <c r="H85" s="444"/>
      <c r="I85" s="444"/>
      <c r="J85" s="444"/>
      <c r="K85" s="634" t="s">
        <v>20</v>
      </c>
      <c r="L85" s="444"/>
      <c r="M85" s="444"/>
      <c r="N85" s="444"/>
      <c r="O85" s="445"/>
      <c r="P85" s="443"/>
      <c r="Q85" s="446"/>
      <c r="R85" s="446">
        <f>+Inputs!$L$106</f>
        <v>6.9684453125000004E-2</v>
      </c>
      <c r="S85" s="446">
        <f>+Inputs!$L$106</f>
        <v>6.9684453125000004E-2</v>
      </c>
      <c r="T85" s="446">
        <f>+Inputs!$L$106</f>
        <v>6.9684453125000004E-2</v>
      </c>
      <c r="U85" s="446">
        <f>+Inputs!$L$106</f>
        <v>6.9684453125000004E-2</v>
      </c>
      <c r="V85" s="446">
        <f>+Inputs!$L$106</f>
        <v>6.9684453125000004E-2</v>
      </c>
      <c r="W85" s="446">
        <f>+Inputs!$L$106</f>
        <v>6.9684453125000004E-2</v>
      </c>
      <c r="X85" s="446">
        <f>+Inputs!$L$106</f>
        <v>6.9684453125000004E-2</v>
      </c>
      <c r="Y85" s="446">
        <f>+Inputs!$L$106</f>
        <v>6.9684453125000004E-2</v>
      </c>
      <c r="Z85" s="446">
        <f>+Inputs!$L$106</f>
        <v>6.9684453125000004E-2</v>
      </c>
      <c r="AA85" s="446">
        <f>+Inputs!$L$106</f>
        <v>6.9684453125000004E-2</v>
      </c>
      <c r="AB85" s="446">
        <f>+Inputs!$L$106</f>
        <v>6.9684453125000004E-2</v>
      </c>
      <c r="AC85" s="446">
        <f>+Inputs!$L$106</f>
        <v>6.9684453125000004E-2</v>
      </c>
      <c r="AD85" s="446">
        <f>+Inputs!$L$106</f>
        <v>6.9684453125000004E-2</v>
      </c>
      <c r="AE85" s="446">
        <f>+Inputs!$L$106</f>
        <v>6.9684453125000004E-2</v>
      </c>
      <c r="AF85" s="446">
        <f>+Inputs!$L$106</f>
        <v>6.9684453125000004E-2</v>
      </c>
      <c r="AG85" s="446">
        <f>+Inputs!$L$106</f>
        <v>6.9684453125000004E-2</v>
      </c>
      <c r="AH85" s="446">
        <f>+Inputs!$L$106</f>
        <v>6.9684453125000004E-2</v>
      </c>
      <c r="AI85" s="446">
        <f>+Inputs!$L$106</f>
        <v>6.9684453125000004E-2</v>
      </c>
      <c r="AJ85" s="446">
        <f>+Inputs!$L$106</f>
        <v>6.9684453125000004E-2</v>
      </c>
      <c r="AK85" s="446">
        <f>+Inputs!$L$106</f>
        <v>6.9684453125000004E-2</v>
      </c>
      <c r="AL85" s="446">
        <f>+Inputs!$L$106</f>
        <v>6.9684453125000004E-2</v>
      </c>
      <c r="AM85" s="446">
        <f>+Inputs!$L$106</f>
        <v>6.9684453125000004E-2</v>
      </c>
      <c r="AN85" s="446">
        <f>+Inputs!$L$106</f>
        <v>6.9684453125000004E-2</v>
      </c>
      <c r="AO85" s="446">
        <f>+Inputs!$L$106</f>
        <v>6.9684453125000004E-2</v>
      </c>
      <c r="AP85" s="446">
        <f>+Inputs!$L$106</f>
        <v>6.9684453125000004E-2</v>
      </c>
      <c r="AQ85" s="446">
        <f>+Inputs!$L$106</f>
        <v>6.9684453125000004E-2</v>
      </c>
      <c r="AR85" s="446">
        <f>+Inputs!$L$106</f>
        <v>6.9684453125000004E-2</v>
      </c>
      <c r="AS85" s="446">
        <f>+Inputs!$L$106</f>
        <v>6.9684453125000004E-2</v>
      </c>
      <c r="AT85" s="446">
        <f>+Inputs!$L$106</f>
        <v>6.9684453125000004E-2</v>
      </c>
      <c r="AU85" s="446">
        <f>+Inputs!$L$106</f>
        <v>6.9684453125000004E-2</v>
      </c>
      <c r="AV85" s="446">
        <f>+Inputs!$L$106</f>
        <v>6.9684453125000004E-2</v>
      </c>
      <c r="AW85" s="446">
        <f>+Inputs!$L$106</f>
        <v>6.9684453125000004E-2</v>
      </c>
      <c r="AX85" s="446">
        <f>+Inputs!$L$106</f>
        <v>6.9684453125000004E-2</v>
      </c>
      <c r="AY85" s="446">
        <f>+Inputs!$L$106</f>
        <v>6.9684453125000004E-2</v>
      </c>
      <c r="AZ85" s="446">
        <f>+Inputs!$L$106</f>
        <v>6.9684453125000004E-2</v>
      </c>
      <c r="BA85" s="446">
        <f>+Inputs!$L$106</f>
        <v>6.9684453125000004E-2</v>
      </c>
      <c r="BB85" s="446">
        <f>+Inputs!$L$106</f>
        <v>6.9684453125000004E-2</v>
      </c>
      <c r="BC85" s="446">
        <f>+Inputs!$L$106</f>
        <v>6.9684453125000004E-2</v>
      </c>
      <c r="BD85" s="446">
        <f>+Inputs!$L$106</f>
        <v>6.9684453125000004E-2</v>
      </c>
      <c r="BE85" s="446">
        <f>+Inputs!$L$106</f>
        <v>6.9684453125000004E-2</v>
      </c>
      <c r="BF85" s="446">
        <f>+Inputs!$L$106</f>
        <v>6.9684453125000004E-2</v>
      </c>
      <c r="BG85" s="446">
        <f>+Inputs!$L$106</f>
        <v>6.9684453125000004E-2</v>
      </c>
      <c r="BH85" s="446">
        <f>+Inputs!$L$106</f>
        <v>6.9684453125000004E-2</v>
      </c>
      <c r="BI85" s="446">
        <f>+Inputs!$L$106</f>
        <v>6.9684453125000004E-2</v>
      </c>
      <c r="BJ85" s="446">
        <f>+Inputs!$L$106</f>
        <v>6.9684453125000004E-2</v>
      </c>
      <c r="BK85" s="447"/>
      <c r="BL85" s="447"/>
      <c r="BM85" s="447"/>
      <c r="BN85" s="447"/>
      <c r="BO85" s="447"/>
      <c r="BP85" s="447"/>
      <c r="BQ85" s="447"/>
      <c r="BR85" s="447"/>
      <c r="BS85" s="447"/>
      <c r="BT85" s="447"/>
      <c r="BU85" s="447"/>
    </row>
    <row r="86" spans="1:73" x14ac:dyDescent="0.2">
      <c r="A86" s="299"/>
      <c r="B86" s="299"/>
      <c r="C86" s="299"/>
      <c r="D86" s="299"/>
      <c r="E86" s="448"/>
      <c r="F86" s="448"/>
      <c r="G86" s="299"/>
      <c r="H86" s="299"/>
      <c r="I86" s="449"/>
      <c r="J86" s="449"/>
      <c r="K86" s="449"/>
      <c r="L86" s="449"/>
      <c r="M86" s="449"/>
      <c r="N86" s="449"/>
      <c r="O86" s="449"/>
      <c r="P86" s="449"/>
      <c r="Q86" s="306"/>
      <c r="R86" s="306"/>
      <c r="S86" s="306"/>
      <c r="T86" s="306"/>
      <c r="U86" s="450"/>
      <c r="V86" s="450"/>
      <c r="W86" s="450"/>
      <c r="X86" s="450"/>
      <c r="Y86" s="450"/>
      <c r="Z86" s="450"/>
      <c r="AA86" s="450"/>
      <c r="AB86" s="450"/>
      <c r="AC86" s="450"/>
      <c r="AD86" s="450"/>
      <c r="AE86" s="450"/>
      <c r="AF86" s="450"/>
      <c r="AG86" s="450"/>
      <c r="AH86" s="450"/>
      <c r="AI86" s="450"/>
      <c r="AJ86" s="450"/>
      <c r="AK86" s="450"/>
      <c r="AL86" s="450"/>
      <c r="AM86" s="450"/>
      <c r="AN86" s="450"/>
      <c r="AO86" s="450"/>
      <c r="AP86" s="450"/>
      <c r="AQ86" s="450"/>
      <c r="AR86" s="450"/>
      <c r="AS86" s="450"/>
      <c r="AT86" s="450"/>
      <c r="AU86" s="450"/>
      <c r="AV86" s="450"/>
      <c r="AW86" s="450"/>
      <c r="AX86" s="450"/>
      <c r="AY86" s="450"/>
      <c r="AZ86" s="450"/>
      <c r="BA86" s="450"/>
      <c r="BB86" s="450"/>
      <c r="BC86" s="450"/>
      <c r="BD86" s="450"/>
      <c r="BE86" s="450"/>
      <c r="BF86" s="450"/>
      <c r="BG86" s="450"/>
      <c r="BH86" s="450"/>
      <c r="BI86" s="450"/>
      <c r="BJ86" s="450"/>
      <c r="BK86" s="450"/>
      <c r="BL86" s="450"/>
      <c r="BM86" s="450"/>
      <c r="BN86" s="450"/>
      <c r="BO86" s="450"/>
      <c r="BP86" s="450"/>
      <c r="BQ86" s="450"/>
      <c r="BR86" s="450"/>
      <c r="BS86" s="450"/>
      <c r="BT86" s="450"/>
      <c r="BU86" s="450"/>
    </row>
    <row r="87" spans="1:73" x14ac:dyDescent="0.2">
      <c r="A87" s="299"/>
      <c r="B87" s="439" t="s">
        <v>133</v>
      </c>
      <c r="C87" s="299"/>
      <c r="D87" s="299"/>
      <c r="E87" s="299"/>
      <c r="F87" s="299"/>
      <c r="G87" s="299"/>
      <c r="H87" s="299"/>
      <c r="I87" s="299"/>
      <c r="J87" s="299"/>
      <c r="K87" s="410"/>
      <c r="L87" s="299"/>
      <c r="M87" s="299"/>
      <c r="N87" s="417"/>
      <c r="O87" s="299"/>
      <c r="P87" s="299"/>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7"/>
      <c r="AY87" s="417"/>
      <c r="AZ87" s="417"/>
      <c r="BA87" s="417"/>
      <c r="BB87" s="417"/>
      <c r="BC87" s="417"/>
      <c r="BD87" s="417"/>
      <c r="BE87" s="417"/>
      <c r="BF87" s="417"/>
      <c r="BG87" s="417"/>
      <c r="BH87" s="417"/>
      <c r="BI87" s="417"/>
      <c r="BJ87" s="417"/>
      <c r="BK87" s="417"/>
      <c r="BL87" s="417"/>
      <c r="BM87" s="417"/>
      <c r="BN87" s="417"/>
      <c r="BO87" s="417"/>
      <c r="BP87" s="417"/>
      <c r="BQ87" s="417"/>
      <c r="BR87" s="417"/>
      <c r="BS87" s="417"/>
      <c r="BT87" s="417"/>
      <c r="BU87" s="417"/>
    </row>
    <row r="88" spans="1:73" x14ac:dyDescent="0.2">
      <c r="A88" s="299"/>
      <c r="B88" s="299"/>
      <c r="C88" s="299" t="s">
        <v>87</v>
      </c>
      <c r="D88" s="299"/>
      <c r="E88" s="299"/>
      <c r="F88" s="299"/>
      <c r="G88" s="299"/>
      <c r="H88" s="299"/>
      <c r="I88" s="299"/>
      <c r="J88" s="299"/>
      <c r="K88" s="410" t="s">
        <v>62</v>
      </c>
      <c r="L88" s="299"/>
      <c r="M88" s="299"/>
      <c r="N88" s="299"/>
      <c r="O88" s="299"/>
      <c r="P88" s="299"/>
      <c r="Q88" s="417"/>
      <c r="R88" s="721">
        <f>Inputs!$L$216</f>
        <v>400000</v>
      </c>
      <c r="S88" s="417">
        <f t="shared" ref="S88:AO88" si="172">R93</f>
        <v>400000</v>
      </c>
      <c r="T88" s="417">
        <f t="shared" si="172"/>
        <v>400000</v>
      </c>
      <c r="U88" s="417">
        <f t="shared" si="172"/>
        <v>0</v>
      </c>
      <c r="V88" s="417">
        <f t="shared" si="172"/>
        <v>0</v>
      </c>
      <c r="W88" s="417">
        <f t="shared" si="172"/>
        <v>0</v>
      </c>
      <c r="X88" s="417">
        <f t="shared" si="172"/>
        <v>0</v>
      </c>
      <c r="Y88" s="417">
        <f t="shared" si="172"/>
        <v>0</v>
      </c>
      <c r="Z88" s="417">
        <f t="shared" si="172"/>
        <v>0</v>
      </c>
      <c r="AA88" s="417">
        <f t="shared" si="172"/>
        <v>0</v>
      </c>
      <c r="AB88" s="417">
        <f t="shared" si="172"/>
        <v>0</v>
      </c>
      <c r="AC88" s="417">
        <f t="shared" si="172"/>
        <v>0</v>
      </c>
      <c r="AD88" s="417">
        <f t="shared" si="172"/>
        <v>0</v>
      </c>
      <c r="AE88" s="417">
        <f t="shared" si="172"/>
        <v>0</v>
      </c>
      <c r="AF88" s="417">
        <f t="shared" si="172"/>
        <v>0</v>
      </c>
      <c r="AG88" s="417">
        <f t="shared" si="172"/>
        <v>0</v>
      </c>
      <c r="AH88" s="417">
        <f t="shared" si="172"/>
        <v>0</v>
      </c>
      <c r="AI88" s="417">
        <f t="shared" si="172"/>
        <v>0</v>
      </c>
      <c r="AJ88" s="417">
        <f t="shared" si="172"/>
        <v>0</v>
      </c>
      <c r="AK88" s="417">
        <f t="shared" si="172"/>
        <v>0</v>
      </c>
      <c r="AL88" s="417">
        <f t="shared" si="172"/>
        <v>0</v>
      </c>
      <c r="AM88" s="417">
        <f t="shared" si="172"/>
        <v>0</v>
      </c>
      <c r="AN88" s="417">
        <f t="shared" si="172"/>
        <v>0</v>
      </c>
      <c r="AO88" s="417">
        <f t="shared" si="172"/>
        <v>0</v>
      </c>
      <c r="AP88" s="417">
        <f t="shared" ref="AP88:BJ88" si="173">AO93</f>
        <v>0</v>
      </c>
      <c r="AQ88" s="417">
        <f t="shared" si="173"/>
        <v>0</v>
      </c>
      <c r="AR88" s="417">
        <f t="shared" si="173"/>
        <v>0</v>
      </c>
      <c r="AS88" s="417">
        <f t="shared" si="173"/>
        <v>0</v>
      </c>
      <c r="AT88" s="417">
        <f t="shared" si="173"/>
        <v>0</v>
      </c>
      <c r="AU88" s="417">
        <f t="shared" si="173"/>
        <v>0</v>
      </c>
      <c r="AV88" s="417">
        <f t="shared" si="173"/>
        <v>0</v>
      </c>
      <c r="AW88" s="417">
        <f t="shared" si="173"/>
        <v>0</v>
      </c>
      <c r="AX88" s="417">
        <f t="shared" si="173"/>
        <v>0</v>
      </c>
      <c r="AY88" s="417">
        <f t="shared" si="173"/>
        <v>0</v>
      </c>
      <c r="AZ88" s="417">
        <f t="shared" si="173"/>
        <v>0</v>
      </c>
      <c r="BA88" s="417">
        <f t="shared" si="173"/>
        <v>0</v>
      </c>
      <c r="BB88" s="417">
        <f t="shared" si="173"/>
        <v>0</v>
      </c>
      <c r="BC88" s="417">
        <f t="shared" si="173"/>
        <v>0</v>
      </c>
      <c r="BD88" s="417">
        <f t="shared" si="173"/>
        <v>0</v>
      </c>
      <c r="BE88" s="417">
        <f t="shared" si="173"/>
        <v>0</v>
      </c>
      <c r="BF88" s="417">
        <f t="shared" si="173"/>
        <v>0</v>
      </c>
      <c r="BG88" s="417">
        <f t="shared" si="173"/>
        <v>0</v>
      </c>
      <c r="BH88" s="417">
        <f t="shared" si="173"/>
        <v>0</v>
      </c>
      <c r="BI88" s="417">
        <f t="shared" si="173"/>
        <v>0</v>
      </c>
      <c r="BJ88" s="417">
        <f t="shared" si="173"/>
        <v>0</v>
      </c>
      <c r="BK88" s="417"/>
      <c r="BL88" s="417"/>
      <c r="BM88" s="417"/>
      <c r="BN88" s="417"/>
      <c r="BO88" s="417"/>
      <c r="BP88" s="417"/>
      <c r="BQ88" s="417"/>
      <c r="BR88" s="417"/>
      <c r="BS88" s="417"/>
      <c r="BT88" s="417"/>
      <c r="BU88" s="417"/>
    </row>
    <row r="89" spans="1:73" x14ac:dyDescent="0.2">
      <c r="A89" s="299"/>
      <c r="B89" s="299"/>
      <c r="C89" s="299" t="s">
        <v>177</v>
      </c>
      <c r="D89" s="299"/>
      <c r="E89" s="299"/>
      <c r="F89" s="299"/>
      <c r="G89" s="299"/>
      <c r="H89" s="299"/>
      <c r="I89" s="299"/>
      <c r="J89" s="299"/>
      <c r="K89" s="410" t="s">
        <v>62</v>
      </c>
      <c r="L89" s="299"/>
      <c r="M89" s="299"/>
      <c r="N89" s="417">
        <f>R88</f>
        <v>400000</v>
      </c>
      <c r="O89" s="299"/>
      <c r="P89" s="299"/>
      <c r="Q89" s="416"/>
      <c r="R89" s="416">
        <v>0</v>
      </c>
      <c r="S89" s="416">
        <v>0</v>
      </c>
      <c r="T89" s="416">
        <v>0</v>
      </c>
      <c r="U89" s="416">
        <v>0</v>
      </c>
      <c r="V89" s="416">
        <v>0</v>
      </c>
      <c r="W89" s="416">
        <v>0</v>
      </c>
      <c r="X89" s="416">
        <v>0</v>
      </c>
      <c r="Y89" s="416">
        <v>0</v>
      </c>
      <c r="Z89" s="416">
        <v>0</v>
      </c>
      <c r="AA89" s="416">
        <v>0</v>
      </c>
      <c r="AB89" s="416">
        <v>0</v>
      </c>
      <c r="AC89" s="416">
        <v>0</v>
      </c>
      <c r="AD89" s="416">
        <v>0</v>
      </c>
      <c r="AE89" s="416">
        <v>0</v>
      </c>
      <c r="AF89" s="416">
        <v>0</v>
      </c>
      <c r="AG89" s="416">
        <v>0</v>
      </c>
      <c r="AH89" s="416">
        <v>0</v>
      </c>
      <c r="AI89" s="416">
        <v>0</v>
      </c>
      <c r="AJ89" s="416">
        <v>0</v>
      </c>
      <c r="AK89" s="416">
        <v>0</v>
      </c>
      <c r="AL89" s="416">
        <v>0</v>
      </c>
      <c r="AM89" s="416">
        <v>0</v>
      </c>
      <c r="AN89" s="416">
        <v>0</v>
      </c>
      <c r="AO89" s="416">
        <v>0</v>
      </c>
      <c r="AP89" s="416">
        <v>0</v>
      </c>
      <c r="AQ89" s="416">
        <v>0</v>
      </c>
      <c r="AR89" s="416">
        <v>0</v>
      </c>
      <c r="AS89" s="416">
        <v>0</v>
      </c>
      <c r="AT89" s="416">
        <v>0</v>
      </c>
      <c r="AU89" s="416">
        <v>0</v>
      </c>
      <c r="AV89" s="416">
        <v>0</v>
      </c>
      <c r="AW89" s="416">
        <v>0</v>
      </c>
      <c r="AX89" s="416">
        <v>0</v>
      </c>
      <c r="AY89" s="416">
        <v>0</v>
      </c>
      <c r="AZ89" s="416">
        <v>0</v>
      </c>
      <c r="BA89" s="416">
        <v>0</v>
      </c>
      <c r="BB89" s="416">
        <v>0</v>
      </c>
      <c r="BC89" s="416">
        <v>0</v>
      </c>
      <c r="BD89" s="416">
        <v>0</v>
      </c>
      <c r="BE89" s="416">
        <v>0</v>
      </c>
      <c r="BF89" s="416">
        <v>0</v>
      </c>
      <c r="BG89" s="416">
        <v>0</v>
      </c>
      <c r="BH89" s="416">
        <v>0</v>
      </c>
      <c r="BI89" s="416">
        <v>0</v>
      </c>
      <c r="BJ89" s="416">
        <v>0</v>
      </c>
      <c r="BK89" s="416"/>
      <c r="BL89" s="416"/>
      <c r="BM89" s="416"/>
      <c r="BN89" s="416"/>
      <c r="BO89" s="416"/>
      <c r="BP89" s="416"/>
      <c r="BQ89" s="416"/>
      <c r="BR89" s="416"/>
      <c r="BS89" s="416"/>
      <c r="BT89" s="416"/>
      <c r="BU89" s="416"/>
    </row>
    <row r="90" spans="1:73" x14ac:dyDescent="0.2">
      <c r="A90" s="299"/>
      <c r="B90" s="299"/>
      <c r="C90" s="299" t="s">
        <v>180</v>
      </c>
      <c r="D90" s="299"/>
      <c r="E90" s="299"/>
      <c r="F90" s="299"/>
      <c r="G90" s="299"/>
      <c r="H90" s="299"/>
      <c r="I90" s="299"/>
      <c r="J90" s="299"/>
      <c r="K90" s="410" t="s">
        <v>62</v>
      </c>
      <c r="L90" s="299"/>
      <c r="M90" s="299"/>
      <c r="N90" s="417">
        <f>SUM(Q90:BJ90)</f>
        <v>83621.34375</v>
      </c>
      <c r="O90" s="299"/>
      <c r="P90" s="299"/>
      <c r="Q90" s="382"/>
      <c r="R90" s="382">
        <f t="shared" ref="R90:BJ90" si="174">R88*R85*R$82</f>
        <v>27873.78125</v>
      </c>
      <c r="S90" s="382">
        <f t="shared" si="174"/>
        <v>27873.78125</v>
      </c>
      <c r="T90" s="382">
        <f t="shared" si="174"/>
        <v>27873.78125</v>
      </c>
      <c r="U90" s="382">
        <f t="shared" si="174"/>
        <v>0</v>
      </c>
      <c r="V90" s="382">
        <f t="shared" si="174"/>
        <v>0</v>
      </c>
      <c r="W90" s="382">
        <f t="shared" si="174"/>
        <v>0</v>
      </c>
      <c r="X90" s="382">
        <f t="shared" si="174"/>
        <v>0</v>
      </c>
      <c r="Y90" s="382">
        <f t="shared" si="174"/>
        <v>0</v>
      </c>
      <c r="Z90" s="382">
        <f t="shared" si="174"/>
        <v>0</v>
      </c>
      <c r="AA90" s="382">
        <f t="shared" si="174"/>
        <v>0</v>
      </c>
      <c r="AB90" s="382">
        <f t="shared" si="174"/>
        <v>0</v>
      </c>
      <c r="AC90" s="382">
        <f t="shared" si="174"/>
        <v>0</v>
      </c>
      <c r="AD90" s="382">
        <f t="shared" si="174"/>
        <v>0</v>
      </c>
      <c r="AE90" s="382">
        <f t="shared" si="174"/>
        <v>0</v>
      </c>
      <c r="AF90" s="382">
        <f t="shared" si="174"/>
        <v>0</v>
      </c>
      <c r="AG90" s="382">
        <f t="shared" si="174"/>
        <v>0</v>
      </c>
      <c r="AH90" s="382">
        <f t="shared" si="174"/>
        <v>0</v>
      </c>
      <c r="AI90" s="382">
        <f t="shared" si="174"/>
        <v>0</v>
      </c>
      <c r="AJ90" s="382">
        <f t="shared" si="174"/>
        <v>0</v>
      </c>
      <c r="AK90" s="382">
        <f t="shared" si="174"/>
        <v>0</v>
      </c>
      <c r="AL90" s="382">
        <f t="shared" si="174"/>
        <v>0</v>
      </c>
      <c r="AM90" s="382">
        <f t="shared" si="174"/>
        <v>0</v>
      </c>
      <c r="AN90" s="382">
        <f t="shared" si="174"/>
        <v>0</v>
      </c>
      <c r="AO90" s="382">
        <f t="shared" si="174"/>
        <v>0</v>
      </c>
      <c r="AP90" s="382">
        <f t="shared" si="174"/>
        <v>0</v>
      </c>
      <c r="AQ90" s="382">
        <f t="shared" si="174"/>
        <v>0</v>
      </c>
      <c r="AR90" s="382">
        <f t="shared" si="174"/>
        <v>0</v>
      </c>
      <c r="AS90" s="382">
        <f t="shared" si="174"/>
        <v>0</v>
      </c>
      <c r="AT90" s="382">
        <f t="shared" si="174"/>
        <v>0</v>
      </c>
      <c r="AU90" s="382">
        <f t="shared" si="174"/>
        <v>0</v>
      </c>
      <c r="AV90" s="382">
        <f t="shared" si="174"/>
        <v>0</v>
      </c>
      <c r="AW90" s="382">
        <f t="shared" si="174"/>
        <v>0</v>
      </c>
      <c r="AX90" s="382">
        <f t="shared" si="174"/>
        <v>0</v>
      </c>
      <c r="AY90" s="382">
        <f t="shared" si="174"/>
        <v>0</v>
      </c>
      <c r="AZ90" s="382">
        <f t="shared" si="174"/>
        <v>0</v>
      </c>
      <c r="BA90" s="382">
        <f t="shared" si="174"/>
        <v>0</v>
      </c>
      <c r="BB90" s="382">
        <f t="shared" si="174"/>
        <v>0</v>
      </c>
      <c r="BC90" s="382">
        <f t="shared" si="174"/>
        <v>0</v>
      </c>
      <c r="BD90" s="382">
        <f t="shared" si="174"/>
        <v>0</v>
      </c>
      <c r="BE90" s="382">
        <f t="shared" si="174"/>
        <v>0</v>
      </c>
      <c r="BF90" s="382">
        <f t="shared" si="174"/>
        <v>0</v>
      </c>
      <c r="BG90" s="382">
        <f t="shared" si="174"/>
        <v>0</v>
      </c>
      <c r="BH90" s="382">
        <f t="shared" si="174"/>
        <v>0</v>
      </c>
      <c r="BI90" s="382">
        <f t="shared" si="174"/>
        <v>0</v>
      </c>
      <c r="BJ90" s="382">
        <f t="shared" si="174"/>
        <v>0</v>
      </c>
      <c r="BK90" s="382"/>
      <c r="BL90" s="382"/>
      <c r="BM90" s="382"/>
      <c r="BN90" s="382"/>
      <c r="BO90" s="382"/>
      <c r="BP90" s="382"/>
      <c r="BQ90" s="382"/>
      <c r="BR90" s="382"/>
      <c r="BS90" s="382"/>
      <c r="BT90" s="382"/>
      <c r="BU90" s="382"/>
    </row>
    <row r="91" spans="1:73" x14ac:dyDescent="0.2">
      <c r="A91" s="299"/>
      <c r="B91" s="299"/>
      <c r="C91" s="299" t="s">
        <v>120</v>
      </c>
      <c r="D91" s="299"/>
      <c r="E91" s="299"/>
      <c r="F91" s="299"/>
      <c r="G91" s="299"/>
      <c r="H91" s="299"/>
      <c r="I91" s="299"/>
      <c r="J91" s="299"/>
      <c r="K91" s="410" t="s">
        <v>62</v>
      </c>
      <c r="L91" s="299"/>
      <c r="M91" s="299"/>
      <c r="N91" s="417">
        <f t="shared" ref="N91:N92" si="175">SUM(Q91:BJ91)</f>
        <v>-83621.34375</v>
      </c>
      <c r="O91" s="299"/>
      <c r="P91" s="299"/>
      <c r="Q91" s="417"/>
      <c r="R91" s="417">
        <f t="shared" ref="R91:BJ91" si="176">-R90</f>
        <v>-27873.78125</v>
      </c>
      <c r="S91" s="417">
        <f t="shared" si="176"/>
        <v>-27873.78125</v>
      </c>
      <c r="T91" s="417">
        <f t="shared" si="176"/>
        <v>-27873.78125</v>
      </c>
      <c r="U91" s="417">
        <f t="shared" si="176"/>
        <v>0</v>
      </c>
      <c r="V91" s="417">
        <f t="shared" si="176"/>
        <v>0</v>
      </c>
      <c r="W91" s="417">
        <f t="shared" si="176"/>
        <v>0</v>
      </c>
      <c r="X91" s="417">
        <f t="shared" si="176"/>
        <v>0</v>
      </c>
      <c r="Y91" s="417">
        <f t="shared" si="176"/>
        <v>0</v>
      </c>
      <c r="Z91" s="417">
        <f t="shared" si="176"/>
        <v>0</v>
      </c>
      <c r="AA91" s="417">
        <f t="shared" si="176"/>
        <v>0</v>
      </c>
      <c r="AB91" s="417">
        <f t="shared" si="176"/>
        <v>0</v>
      </c>
      <c r="AC91" s="417">
        <f t="shared" si="176"/>
        <v>0</v>
      </c>
      <c r="AD91" s="417">
        <f t="shared" si="176"/>
        <v>0</v>
      </c>
      <c r="AE91" s="417">
        <f t="shared" si="176"/>
        <v>0</v>
      </c>
      <c r="AF91" s="417">
        <f t="shared" si="176"/>
        <v>0</v>
      </c>
      <c r="AG91" s="417">
        <f t="shared" si="176"/>
        <v>0</v>
      </c>
      <c r="AH91" s="417">
        <f t="shared" si="176"/>
        <v>0</v>
      </c>
      <c r="AI91" s="417">
        <f t="shared" si="176"/>
        <v>0</v>
      </c>
      <c r="AJ91" s="417">
        <f t="shared" si="176"/>
        <v>0</v>
      </c>
      <c r="AK91" s="417">
        <f t="shared" si="176"/>
        <v>0</v>
      </c>
      <c r="AL91" s="417">
        <f t="shared" si="176"/>
        <v>0</v>
      </c>
      <c r="AM91" s="417">
        <f t="shared" si="176"/>
        <v>0</v>
      </c>
      <c r="AN91" s="417">
        <f t="shared" si="176"/>
        <v>0</v>
      </c>
      <c r="AO91" s="417">
        <f t="shared" si="176"/>
        <v>0</v>
      </c>
      <c r="AP91" s="417">
        <f t="shared" si="176"/>
        <v>0</v>
      </c>
      <c r="AQ91" s="417">
        <f t="shared" si="176"/>
        <v>0</v>
      </c>
      <c r="AR91" s="417">
        <f t="shared" si="176"/>
        <v>0</v>
      </c>
      <c r="AS91" s="417">
        <f t="shared" si="176"/>
        <v>0</v>
      </c>
      <c r="AT91" s="417">
        <f t="shared" si="176"/>
        <v>0</v>
      </c>
      <c r="AU91" s="417">
        <f t="shared" si="176"/>
        <v>0</v>
      </c>
      <c r="AV91" s="417">
        <f t="shared" si="176"/>
        <v>0</v>
      </c>
      <c r="AW91" s="417">
        <f t="shared" si="176"/>
        <v>0</v>
      </c>
      <c r="AX91" s="417">
        <f t="shared" si="176"/>
        <v>0</v>
      </c>
      <c r="AY91" s="417">
        <f t="shared" si="176"/>
        <v>0</v>
      </c>
      <c r="AZ91" s="417">
        <f t="shared" si="176"/>
        <v>0</v>
      </c>
      <c r="BA91" s="417">
        <f t="shared" si="176"/>
        <v>0</v>
      </c>
      <c r="BB91" s="417">
        <f t="shared" si="176"/>
        <v>0</v>
      </c>
      <c r="BC91" s="417">
        <f t="shared" si="176"/>
        <v>0</v>
      </c>
      <c r="BD91" s="417">
        <f t="shared" si="176"/>
        <v>0</v>
      </c>
      <c r="BE91" s="417">
        <f t="shared" si="176"/>
        <v>0</v>
      </c>
      <c r="BF91" s="417">
        <f t="shared" si="176"/>
        <v>0</v>
      </c>
      <c r="BG91" s="417">
        <f t="shared" si="176"/>
        <v>0</v>
      </c>
      <c r="BH91" s="417">
        <f t="shared" si="176"/>
        <v>0</v>
      </c>
      <c r="BI91" s="417">
        <f t="shared" si="176"/>
        <v>0</v>
      </c>
      <c r="BJ91" s="417">
        <f t="shared" si="176"/>
        <v>0</v>
      </c>
      <c r="BK91" s="417"/>
      <c r="BL91" s="417"/>
      <c r="BM91" s="417"/>
      <c r="BN91" s="417"/>
      <c r="BO91" s="417"/>
      <c r="BP91" s="417"/>
      <c r="BQ91" s="417"/>
      <c r="BR91" s="417"/>
      <c r="BS91" s="417"/>
      <c r="BT91" s="417"/>
      <c r="BU91" s="417"/>
    </row>
    <row r="92" spans="1:73" x14ac:dyDescent="0.2">
      <c r="A92" s="299"/>
      <c r="B92" s="299"/>
      <c r="C92" s="426" t="s">
        <v>152</v>
      </c>
      <c r="D92" s="426"/>
      <c r="E92" s="426"/>
      <c r="F92" s="426"/>
      <c r="G92" s="426"/>
      <c r="H92" s="426"/>
      <c r="I92" s="426"/>
      <c r="J92" s="426"/>
      <c r="K92" s="630" t="s">
        <v>62</v>
      </c>
      <c r="L92" s="451"/>
      <c r="M92" s="426"/>
      <c r="N92" s="427">
        <f t="shared" si="175"/>
        <v>-400000</v>
      </c>
      <c r="O92" s="426"/>
      <c r="P92" s="426"/>
      <c r="Q92" s="427"/>
      <c r="R92" s="427">
        <f xml:space="preserve"> - SUM(R88:R91) * R80  * $L$165</f>
        <v>0</v>
      </c>
      <c r="S92" s="427">
        <f t="shared" ref="S92:BJ92" si="177" xml:space="preserve"> - SUM(S88:S91) * S80  * $L$165</f>
        <v>0</v>
      </c>
      <c r="T92" s="427">
        <f t="shared" si="177"/>
        <v>-400000</v>
      </c>
      <c r="U92" s="427">
        <f t="shared" si="177"/>
        <v>0</v>
      </c>
      <c r="V92" s="427">
        <f t="shared" si="177"/>
        <v>0</v>
      </c>
      <c r="W92" s="427">
        <f t="shared" si="177"/>
        <v>0</v>
      </c>
      <c r="X92" s="427">
        <f t="shared" si="177"/>
        <v>0</v>
      </c>
      <c r="Y92" s="427">
        <f t="shared" si="177"/>
        <v>0</v>
      </c>
      <c r="Z92" s="427">
        <f t="shared" si="177"/>
        <v>0</v>
      </c>
      <c r="AA92" s="427">
        <f t="shared" si="177"/>
        <v>0</v>
      </c>
      <c r="AB92" s="427">
        <f t="shared" si="177"/>
        <v>0</v>
      </c>
      <c r="AC92" s="427">
        <f t="shared" si="177"/>
        <v>0</v>
      </c>
      <c r="AD92" s="427">
        <f t="shared" si="177"/>
        <v>0</v>
      </c>
      <c r="AE92" s="427">
        <f t="shared" si="177"/>
        <v>0</v>
      </c>
      <c r="AF92" s="427">
        <f t="shared" si="177"/>
        <v>0</v>
      </c>
      <c r="AG92" s="427">
        <f t="shared" si="177"/>
        <v>0</v>
      </c>
      <c r="AH92" s="427">
        <f t="shared" si="177"/>
        <v>0</v>
      </c>
      <c r="AI92" s="427">
        <f t="shared" si="177"/>
        <v>0</v>
      </c>
      <c r="AJ92" s="427">
        <f t="shared" si="177"/>
        <v>0</v>
      </c>
      <c r="AK92" s="427">
        <f t="shared" si="177"/>
        <v>0</v>
      </c>
      <c r="AL92" s="427">
        <f t="shared" si="177"/>
        <v>0</v>
      </c>
      <c r="AM92" s="427">
        <f t="shared" si="177"/>
        <v>0</v>
      </c>
      <c r="AN92" s="427">
        <f t="shared" si="177"/>
        <v>0</v>
      </c>
      <c r="AO92" s="427">
        <f t="shared" si="177"/>
        <v>0</v>
      </c>
      <c r="AP92" s="427">
        <f t="shared" si="177"/>
        <v>0</v>
      </c>
      <c r="AQ92" s="427">
        <f t="shared" si="177"/>
        <v>0</v>
      </c>
      <c r="AR92" s="427">
        <f t="shared" si="177"/>
        <v>0</v>
      </c>
      <c r="AS92" s="427">
        <f t="shared" si="177"/>
        <v>0</v>
      </c>
      <c r="AT92" s="427">
        <f t="shared" si="177"/>
        <v>0</v>
      </c>
      <c r="AU92" s="427">
        <f t="shared" si="177"/>
        <v>0</v>
      </c>
      <c r="AV92" s="427">
        <f t="shared" si="177"/>
        <v>0</v>
      </c>
      <c r="AW92" s="427">
        <f t="shared" si="177"/>
        <v>0</v>
      </c>
      <c r="AX92" s="427">
        <f t="shared" si="177"/>
        <v>0</v>
      </c>
      <c r="AY92" s="427">
        <f t="shared" si="177"/>
        <v>0</v>
      </c>
      <c r="AZ92" s="427">
        <f t="shared" si="177"/>
        <v>0</v>
      </c>
      <c r="BA92" s="427">
        <f t="shared" si="177"/>
        <v>0</v>
      </c>
      <c r="BB92" s="427">
        <f t="shared" si="177"/>
        <v>0</v>
      </c>
      <c r="BC92" s="427">
        <f t="shared" si="177"/>
        <v>0</v>
      </c>
      <c r="BD92" s="427">
        <f t="shared" si="177"/>
        <v>0</v>
      </c>
      <c r="BE92" s="427">
        <f t="shared" si="177"/>
        <v>0</v>
      </c>
      <c r="BF92" s="427">
        <f t="shared" si="177"/>
        <v>0</v>
      </c>
      <c r="BG92" s="427">
        <f t="shared" si="177"/>
        <v>0</v>
      </c>
      <c r="BH92" s="427">
        <f t="shared" si="177"/>
        <v>0</v>
      </c>
      <c r="BI92" s="427">
        <f t="shared" si="177"/>
        <v>0</v>
      </c>
      <c r="BJ92" s="427">
        <f t="shared" si="177"/>
        <v>0</v>
      </c>
      <c r="BK92" s="427"/>
      <c r="BL92" s="427"/>
      <c r="BM92" s="427"/>
      <c r="BN92" s="427"/>
      <c r="BO92" s="427"/>
      <c r="BP92" s="427"/>
      <c r="BQ92" s="427"/>
      <c r="BR92" s="427"/>
      <c r="BS92" s="427"/>
      <c r="BT92" s="427"/>
      <c r="BU92" s="427"/>
    </row>
    <row r="93" spans="1:73" x14ac:dyDescent="0.2">
      <c r="A93" s="299"/>
      <c r="B93" s="299"/>
      <c r="C93" s="299" t="s">
        <v>88</v>
      </c>
      <c r="D93" s="299"/>
      <c r="E93" s="299"/>
      <c r="F93" s="299"/>
      <c r="G93" s="299"/>
      <c r="H93" s="299"/>
      <c r="I93" s="299"/>
      <c r="J93" s="299"/>
      <c r="K93" s="410" t="s">
        <v>62</v>
      </c>
      <c r="L93" s="299"/>
      <c r="M93" s="299"/>
      <c r="N93" s="299"/>
      <c r="O93" s="299"/>
      <c r="P93" s="299"/>
      <c r="Q93" s="417"/>
      <c r="R93" s="417">
        <f t="shared" ref="R93:AO93" si="178">SUM(R88:R92)</f>
        <v>400000</v>
      </c>
      <c r="S93" s="417">
        <f t="shared" si="178"/>
        <v>400000</v>
      </c>
      <c r="T93" s="417">
        <f t="shared" si="178"/>
        <v>0</v>
      </c>
      <c r="U93" s="417">
        <f t="shared" si="178"/>
        <v>0</v>
      </c>
      <c r="V93" s="417">
        <f t="shared" si="178"/>
        <v>0</v>
      </c>
      <c r="W93" s="417">
        <f t="shared" si="178"/>
        <v>0</v>
      </c>
      <c r="X93" s="417">
        <f t="shared" si="178"/>
        <v>0</v>
      </c>
      <c r="Y93" s="417">
        <f t="shared" si="178"/>
        <v>0</v>
      </c>
      <c r="Z93" s="417">
        <f t="shared" si="178"/>
        <v>0</v>
      </c>
      <c r="AA93" s="417">
        <f t="shared" si="178"/>
        <v>0</v>
      </c>
      <c r="AB93" s="417">
        <f t="shared" si="178"/>
        <v>0</v>
      </c>
      <c r="AC93" s="417">
        <f t="shared" si="178"/>
        <v>0</v>
      </c>
      <c r="AD93" s="417">
        <f t="shared" si="178"/>
        <v>0</v>
      </c>
      <c r="AE93" s="417">
        <f t="shared" si="178"/>
        <v>0</v>
      </c>
      <c r="AF93" s="417">
        <f t="shared" si="178"/>
        <v>0</v>
      </c>
      <c r="AG93" s="417">
        <f t="shared" si="178"/>
        <v>0</v>
      </c>
      <c r="AH93" s="417">
        <f t="shared" si="178"/>
        <v>0</v>
      </c>
      <c r="AI93" s="417">
        <f t="shared" si="178"/>
        <v>0</v>
      </c>
      <c r="AJ93" s="417">
        <f t="shared" si="178"/>
        <v>0</v>
      </c>
      <c r="AK93" s="417">
        <f t="shared" si="178"/>
        <v>0</v>
      </c>
      <c r="AL93" s="417">
        <f t="shared" si="178"/>
        <v>0</v>
      </c>
      <c r="AM93" s="417">
        <f t="shared" si="178"/>
        <v>0</v>
      </c>
      <c r="AN93" s="417">
        <f t="shared" si="178"/>
        <v>0</v>
      </c>
      <c r="AO93" s="417">
        <f t="shared" si="178"/>
        <v>0</v>
      </c>
      <c r="AP93" s="417">
        <f t="shared" ref="AP93:BJ93" si="179">SUM(AP88:AP92)</f>
        <v>0</v>
      </c>
      <c r="AQ93" s="417">
        <f t="shared" si="179"/>
        <v>0</v>
      </c>
      <c r="AR93" s="417">
        <f t="shared" si="179"/>
        <v>0</v>
      </c>
      <c r="AS93" s="417">
        <f t="shared" si="179"/>
        <v>0</v>
      </c>
      <c r="AT93" s="417">
        <f t="shared" si="179"/>
        <v>0</v>
      </c>
      <c r="AU93" s="417">
        <f t="shared" si="179"/>
        <v>0</v>
      </c>
      <c r="AV93" s="417">
        <f t="shared" si="179"/>
        <v>0</v>
      </c>
      <c r="AW93" s="417">
        <f t="shared" si="179"/>
        <v>0</v>
      </c>
      <c r="AX93" s="417">
        <f t="shared" si="179"/>
        <v>0</v>
      </c>
      <c r="AY93" s="417">
        <f t="shared" si="179"/>
        <v>0</v>
      </c>
      <c r="AZ93" s="417">
        <f t="shared" si="179"/>
        <v>0</v>
      </c>
      <c r="BA93" s="417">
        <f t="shared" si="179"/>
        <v>0</v>
      </c>
      <c r="BB93" s="417">
        <f t="shared" si="179"/>
        <v>0</v>
      </c>
      <c r="BC93" s="417">
        <f t="shared" si="179"/>
        <v>0</v>
      </c>
      <c r="BD93" s="417">
        <f t="shared" si="179"/>
        <v>0</v>
      </c>
      <c r="BE93" s="417">
        <f t="shared" si="179"/>
        <v>0</v>
      </c>
      <c r="BF93" s="417">
        <f t="shared" si="179"/>
        <v>0</v>
      </c>
      <c r="BG93" s="417">
        <f t="shared" si="179"/>
        <v>0</v>
      </c>
      <c r="BH93" s="417">
        <f t="shared" si="179"/>
        <v>0</v>
      </c>
      <c r="BI93" s="417">
        <f t="shared" si="179"/>
        <v>0</v>
      </c>
      <c r="BJ93" s="417">
        <f t="shared" si="179"/>
        <v>0</v>
      </c>
      <c r="BK93" s="417"/>
      <c r="BL93" s="417"/>
      <c r="BM93" s="417"/>
      <c r="BN93" s="417"/>
      <c r="BO93" s="417"/>
      <c r="BP93" s="417"/>
      <c r="BQ93" s="417"/>
      <c r="BR93" s="417"/>
      <c r="BS93" s="417"/>
      <c r="BT93" s="417"/>
      <c r="BU93" s="417"/>
    </row>
    <row r="94" spans="1:73" x14ac:dyDescent="0.2">
      <c r="A94" s="299"/>
      <c r="B94" s="299"/>
      <c r="C94" s="299"/>
      <c r="D94" s="299"/>
      <c r="E94" s="299"/>
      <c r="F94" s="299"/>
      <c r="G94" s="299"/>
      <c r="H94" s="299"/>
      <c r="I94" s="299"/>
      <c r="J94" s="299"/>
      <c r="K94" s="410"/>
      <c r="L94" s="299"/>
      <c r="M94" s="299"/>
      <c r="N94" s="299"/>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7"/>
      <c r="AY94" s="417"/>
      <c r="AZ94" s="417"/>
      <c r="BA94" s="417"/>
      <c r="BB94" s="417"/>
      <c r="BC94" s="417"/>
      <c r="BD94" s="417"/>
      <c r="BE94" s="417"/>
      <c r="BF94" s="417"/>
      <c r="BG94" s="417"/>
      <c r="BH94" s="417"/>
      <c r="BI94" s="417"/>
      <c r="BJ94" s="417"/>
      <c r="BK94" s="417"/>
      <c r="BL94" s="417"/>
      <c r="BM94" s="417"/>
      <c r="BN94" s="417"/>
      <c r="BO94" s="417"/>
      <c r="BP94" s="417"/>
      <c r="BQ94" s="417"/>
      <c r="BR94" s="417"/>
      <c r="BS94" s="417"/>
      <c r="BT94" s="417"/>
      <c r="BU94" s="417"/>
    </row>
    <row r="95" spans="1:73" x14ac:dyDescent="0.2">
      <c r="A95" s="299"/>
      <c r="B95" s="299"/>
      <c r="C95" s="299"/>
      <c r="D95" s="299"/>
      <c r="E95" s="299"/>
      <c r="F95" s="299"/>
      <c r="G95" s="299"/>
      <c r="H95" s="299"/>
      <c r="I95" s="299"/>
      <c r="J95" s="299"/>
      <c r="K95" s="410"/>
      <c r="L95" s="299"/>
      <c r="M95" s="299"/>
      <c r="N95" s="299"/>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7"/>
      <c r="AY95" s="417"/>
      <c r="AZ95" s="417"/>
      <c r="BA95" s="417"/>
      <c r="BB95" s="417"/>
      <c r="BC95" s="417"/>
      <c r="BD95" s="417"/>
      <c r="BE95" s="417"/>
      <c r="BF95" s="417"/>
      <c r="BG95" s="417"/>
      <c r="BH95" s="417"/>
      <c r="BI95" s="417"/>
      <c r="BJ95" s="417"/>
      <c r="BK95" s="417"/>
      <c r="BL95" s="417"/>
      <c r="BM95" s="417"/>
      <c r="BN95" s="417"/>
      <c r="BO95" s="417"/>
      <c r="BP95" s="417"/>
      <c r="BQ95" s="417"/>
      <c r="BR95" s="417"/>
      <c r="BS95" s="417"/>
      <c r="BT95" s="417"/>
      <c r="BU95" s="417"/>
    </row>
    <row r="96" spans="1:73" ht="13.5" thickBot="1" x14ac:dyDescent="0.25">
      <c r="A96" s="299"/>
      <c r="B96" s="299"/>
      <c r="C96" s="299"/>
      <c r="D96" s="299"/>
      <c r="E96" s="299"/>
      <c r="F96" s="299"/>
      <c r="G96" s="299"/>
      <c r="H96" s="299"/>
      <c r="I96" s="299"/>
      <c r="J96" s="299"/>
      <c r="K96" s="410"/>
      <c r="L96" s="299"/>
      <c r="M96" s="299"/>
      <c r="N96" s="299"/>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7"/>
      <c r="BC96" s="417"/>
      <c r="BD96" s="417"/>
      <c r="BE96" s="417"/>
      <c r="BF96" s="417"/>
      <c r="BG96" s="417"/>
      <c r="BH96" s="417"/>
      <c r="BI96" s="417"/>
      <c r="BJ96" s="417"/>
      <c r="BK96" s="417"/>
      <c r="BL96" s="417"/>
      <c r="BM96" s="417"/>
      <c r="BN96" s="417"/>
      <c r="BO96" s="417"/>
      <c r="BP96" s="417"/>
      <c r="BQ96" s="417"/>
      <c r="BR96" s="417"/>
      <c r="BS96" s="417"/>
      <c r="BT96" s="417"/>
      <c r="BU96" s="417"/>
    </row>
    <row r="97" spans="1:73" x14ac:dyDescent="0.2">
      <c r="A97" s="299"/>
      <c r="B97" s="299"/>
      <c r="C97" s="299"/>
      <c r="D97" s="299"/>
      <c r="E97" s="299"/>
      <c r="F97" s="299"/>
      <c r="G97" s="299"/>
      <c r="H97" s="299"/>
      <c r="I97" s="299"/>
      <c r="J97" s="299"/>
      <c r="K97" s="410"/>
      <c r="L97" s="299"/>
      <c r="M97" s="299"/>
      <c r="N97" s="464">
        <f>+SUM(N89:N92)</f>
        <v>0</v>
      </c>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7"/>
      <c r="AY97" s="417"/>
      <c r="AZ97" s="417"/>
      <c r="BA97" s="417"/>
      <c r="BB97" s="417"/>
      <c r="BC97" s="417"/>
      <c r="BD97" s="417"/>
      <c r="BE97" s="417"/>
      <c r="BF97" s="417"/>
      <c r="BG97" s="417"/>
      <c r="BH97" s="417"/>
      <c r="BI97" s="417"/>
      <c r="BJ97" s="417"/>
      <c r="BK97" s="417"/>
      <c r="BL97" s="417"/>
      <c r="BM97" s="417"/>
      <c r="BN97" s="417"/>
      <c r="BO97" s="417"/>
      <c r="BP97" s="417"/>
      <c r="BQ97" s="417"/>
      <c r="BR97" s="417"/>
      <c r="BS97" s="417"/>
      <c r="BT97" s="417"/>
      <c r="BU97" s="417"/>
    </row>
    <row r="98" spans="1:73" x14ac:dyDescent="0.2">
      <c r="A98" s="299"/>
      <c r="B98" s="299"/>
      <c r="C98" s="299"/>
      <c r="D98" s="299"/>
      <c r="E98" s="299"/>
      <c r="F98" s="299"/>
      <c r="G98" s="299"/>
      <c r="H98" s="299"/>
      <c r="I98" s="299"/>
      <c r="K98" s="635"/>
      <c r="L98" s="299"/>
      <c r="M98" s="299"/>
      <c r="N98" s="299"/>
      <c r="O98" s="299"/>
      <c r="P98" s="299"/>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7"/>
      <c r="AY98" s="417"/>
      <c r="AZ98" s="417"/>
      <c r="BA98" s="417"/>
      <c r="BB98" s="417"/>
      <c r="BC98" s="417"/>
      <c r="BD98" s="417"/>
      <c r="BE98" s="417"/>
      <c r="BF98" s="417"/>
      <c r="BG98" s="417"/>
      <c r="BH98" s="417"/>
      <c r="BI98" s="417"/>
      <c r="BJ98" s="417"/>
      <c r="BK98" s="453"/>
      <c r="BL98" s="453"/>
      <c r="BM98" s="453"/>
      <c r="BN98" s="453"/>
      <c r="BO98" s="453"/>
      <c r="BP98" s="453"/>
      <c r="BQ98" s="453"/>
      <c r="BR98" s="453"/>
      <c r="BS98" s="453"/>
      <c r="BT98" s="453"/>
      <c r="BU98" s="453"/>
    </row>
    <row r="99" spans="1:73" ht="15.75" x14ac:dyDescent="0.25">
      <c r="A99" s="418" t="s">
        <v>126</v>
      </c>
      <c r="B99" s="418" t="s">
        <v>182</v>
      </c>
      <c r="C99" s="418"/>
      <c r="D99" s="418"/>
      <c r="E99" s="418"/>
      <c r="F99" s="418"/>
      <c r="G99" s="418"/>
      <c r="H99" s="418"/>
      <c r="I99" s="418"/>
      <c r="J99" s="418"/>
      <c r="K99" s="628"/>
      <c r="L99" s="418"/>
      <c r="M99" s="418"/>
      <c r="N99" s="418"/>
      <c r="O99" s="419"/>
      <c r="P99" s="420"/>
      <c r="Q99" s="420"/>
      <c r="R99" s="420"/>
      <c r="S99" s="420"/>
      <c r="T99" s="420"/>
      <c r="U99" s="420"/>
      <c r="V99" s="420"/>
      <c r="W99" s="420"/>
      <c r="X99" s="420"/>
      <c r="Y99" s="420"/>
      <c r="Z99" s="420"/>
      <c r="AA99" s="420"/>
      <c r="AB99" s="420"/>
      <c r="AC99" s="420"/>
      <c r="AD99" s="420"/>
      <c r="AE99" s="420"/>
      <c r="AF99" s="420"/>
      <c r="AG99" s="420"/>
      <c r="AH99" s="420"/>
      <c r="AI99" s="420"/>
      <c r="AJ99" s="420"/>
      <c r="AK99" s="420"/>
      <c r="AL99" s="420"/>
      <c r="AM99" s="420"/>
      <c r="AN99" s="420"/>
      <c r="AO99" s="420"/>
      <c r="AP99" s="420"/>
      <c r="AQ99" s="420"/>
      <c r="AR99" s="420"/>
      <c r="AS99" s="420"/>
      <c r="AT99" s="420"/>
      <c r="AU99" s="420"/>
      <c r="AV99" s="420"/>
      <c r="AW99" s="420"/>
      <c r="AX99" s="420"/>
      <c r="AY99" s="420"/>
      <c r="AZ99" s="420"/>
      <c r="BA99" s="420"/>
      <c r="BB99" s="420"/>
      <c r="BC99" s="420"/>
      <c r="BD99" s="420"/>
      <c r="BE99" s="420"/>
      <c r="BF99" s="420"/>
      <c r="BG99" s="420"/>
      <c r="BH99" s="420"/>
      <c r="BI99" s="420"/>
      <c r="BJ99" s="421"/>
      <c r="BK99" s="420"/>
      <c r="BL99" s="420"/>
      <c r="BM99" s="420"/>
      <c r="BN99" s="420"/>
      <c r="BO99" s="420"/>
      <c r="BP99" s="420"/>
      <c r="BQ99" s="420"/>
      <c r="BR99" s="420"/>
      <c r="BS99" s="420"/>
      <c r="BT99" s="420"/>
      <c r="BU99" s="420"/>
    </row>
    <row r="100" spans="1:73" x14ac:dyDescent="0.2">
      <c r="A100" s="299"/>
      <c r="B100" s="299"/>
      <c r="C100" s="299"/>
      <c r="D100" s="299"/>
      <c r="E100" s="299"/>
      <c r="F100" s="299"/>
      <c r="G100" s="299"/>
      <c r="H100" s="299"/>
      <c r="I100" s="299"/>
      <c r="J100" s="299"/>
      <c r="K100" s="410"/>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299"/>
      <c r="BT100" s="299"/>
      <c r="BU100" s="299"/>
    </row>
    <row r="101" spans="1:73" x14ac:dyDescent="0.2">
      <c r="A101" s="299"/>
      <c r="B101" s="439" t="s">
        <v>168</v>
      </c>
      <c r="C101" s="299"/>
      <c r="D101" s="299"/>
      <c r="E101" s="299"/>
      <c r="F101" s="299"/>
      <c r="G101" s="299"/>
      <c r="H101" s="299"/>
      <c r="I101" s="299"/>
      <c r="J101" s="299"/>
      <c r="K101" s="410"/>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299"/>
      <c r="AZ101" s="299"/>
      <c r="BA101" s="299"/>
      <c r="BB101" s="299"/>
      <c r="BC101" s="299"/>
      <c r="BD101" s="299"/>
      <c r="BE101" s="299"/>
      <c r="BF101" s="299"/>
      <c r="BG101" s="299"/>
      <c r="BH101" s="299"/>
      <c r="BI101" s="299"/>
      <c r="BJ101" s="299"/>
      <c r="BK101" s="299"/>
      <c r="BL101" s="299"/>
      <c r="BM101" s="299"/>
      <c r="BN101" s="299"/>
      <c r="BO101" s="299"/>
      <c r="BP101" s="299"/>
      <c r="BQ101" s="299"/>
      <c r="BR101" s="299"/>
      <c r="BS101" s="299"/>
      <c r="BT101" s="299"/>
      <c r="BU101" s="299"/>
    </row>
    <row r="102" spans="1:73" x14ac:dyDescent="0.2">
      <c r="A102" s="299"/>
      <c r="B102" s="299"/>
      <c r="C102" s="299"/>
      <c r="D102" s="299"/>
      <c r="E102" s="299"/>
      <c r="F102" s="299"/>
      <c r="G102" s="299"/>
      <c r="H102" s="299"/>
      <c r="I102" s="299"/>
      <c r="J102" s="299"/>
      <c r="K102" s="410"/>
      <c r="L102" s="348"/>
      <c r="M102" s="299"/>
      <c r="N102" s="299"/>
      <c r="O102" s="299"/>
      <c r="P102" s="299"/>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5"/>
      <c r="AR102" s="455"/>
      <c r="AS102" s="455"/>
      <c r="AT102" s="455"/>
      <c r="AU102" s="455"/>
      <c r="AV102" s="455"/>
      <c r="AW102" s="455"/>
      <c r="AX102" s="455"/>
      <c r="AY102" s="455"/>
      <c r="AZ102" s="455"/>
      <c r="BA102" s="455"/>
      <c r="BB102" s="455"/>
      <c r="BC102" s="455"/>
      <c r="BD102" s="455"/>
      <c r="BE102" s="455"/>
      <c r="BF102" s="455"/>
      <c r="BG102" s="455"/>
      <c r="BH102" s="455"/>
      <c r="BI102" s="455"/>
      <c r="BJ102" s="455"/>
      <c r="BK102" s="455"/>
      <c r="BL102" s="455"/>
      <c r="BM102" s="455"/>
      <c r="BN102" s="455"/>
      <c r="BO102" s="455"/>
      <c r="BP102" s="455"/>
      <c r="BQ102" s="455"/>
      <c r="BR102" s="455"/>
      <c r="BS102" s="455"/>
      <c r="BT102" s="455"/>
      <c r="BU102" s="455"/>
    </row>
    <row r="103" spans="1:73" s="308" customFormat="1" x14ac:dyDescent="0.2">
      <c r="A103" s="299"/>
      <c r="B103" s="299"/>
      <c r="C103" s="299" t="s">
        <v>171</v>
      </c>
      <c r="D103" s="299"/>
      <c r="E103" s="299"/>
      <c r="F103" s="299"/>
      <c r="G103" s="299"/>
      <c r="H103" s="299"/>
      <c r="I103" s="299"/>
      <c r="J103" s="299"/>
      <c r="K103" s="410" t="s">
        <v>50</v>
      </c>
      <c r="L103" s="413">
        <f>Inputs!L96</f>
        <v>50771</v>
      </c>
      <c r="M103" s="413">
        <f>Inputs!L97</f>
        <v>54788</v>
      </c>
      <c r="N103" s="417">
        <f>SUM(Q103:BU103)</f>
        <v>11</v>
      </c>
      <c r="O103" s="299"/>
      <c r="P103" s="299"/>
      <c r="Q103" s="414"/>
      <c r="R103" s="414">
        <f t="shared" ref="R103:BJ103" si="180">IF((MIN(R$9,$M103) - MAX(R$8,$L103) &gt;= 0),1,0)</f>
        <v>0</v>
      </c>
      <c r="S103" s="414">
        <f t="shared" si="180"/>
        <v>0</v>
      </c>
      <c r="T103" s="414">
        <f t="shared" si="180"/>
        <v>0</v>
      </c>
      <c r="U103" s="414">
        <f t="shared" si="180"/>
        <v>0</v>
      </c>
      <c r="V103" s="414">
        <f t="shared" si="180"/>
        <v>0</v>
      </c>
      <c r="W103" s="414">
        <f t="shared" si="180"/>
        <v>0</v>
      </c>
      <c r="X103" s="414">
        <f t="shared" si="180"/>
        <v>0</v>
      </c>
      <c r="Y103" s="414">
        <f t="shared" si="180"/>
        <v>0</v>
      </c>
      <c r="Z103" s="414">
        <f t="shared" si="180"/>
        <v>0</v>
      </c>
      <c r="AA103" s="414">
        <f t="shared" si="180"/>
        <v>0</v>
      </c>
      <c r="AB103" s="414">
        <f t="shared" si="180"/>
        <v>0</v>
      </c>
      <c r="AC103" s="414">
        <f t="shared" si="180"/>
        <v>0</v>
      </c>
      <c r="AD103" s="414">
        <f t="shared" si="180"/>
        <v>0</v>
      </c>
      <c r="AE103" s="414">
        <f t="shared" si="180"/>
        <v>0</v>
      </c>
      <c r="AF103" s="414">
        <f t="shared" si="180"/>
        <v>0</v>
      </c>
      <c r="AG103" s="414">
        <f t="shared" si="180"/>
        <v>0</v>
      </c>
      <c r="AH103" s="414">
        <f t="shared" si="180"/>
        <v>0</v>
      </c>
      <c r="AI103" s="414">
        <f t="shared" si="180"/>
        <v>0</v>
      </c>
      <c r="AJ103" s="414">
        <f t="shared" si="180"/>
        <v>0</v>
      </c>
      <c r="AK103" s="414">
        <f t="shared" si="180"/>
        <v>0</v>
      </c>
      <c r="AL103" s="414">
        <f t="shared" si="180"/>
        <v>0</v>
      </c>
      <c r="AM103" s="414">
        <f t="shared" si="180"/>
        <v>0</v>
      </c>
      <c r="AN103" s="414">
        <f t="shared" si="180"/>
        <v>1</v>
      </c>
      <c r="AO103" s="414">
        <f t="shared" si="180"/>
        <v>1</v>
      </c>
      <c r="AP103" s="414">
        <f t="shared" si="180"/>
        <v>1</v>
      </c>
      <c r="AQ103" s="414">
        <f t="shared" si="180"/>
        <v>1</v>
      </c>
      <c r="AR103" s="414">
        <f t="shared" si="180"/>
        <v>1</v>
      </c>
      <c r="AS103" s="414">
        <f t="shared" si="180"/>
        <v>1</v>
      </c>
      <c r="AT103" s="414">
        <f t="shared" si="180"/>
        <v>1</v>
      </c>
      <c r="AU103" s="414">
        <f t="shared" si="180"/>
        <v>1</v>
      </c>
      <c r="AV103" s="414">
        <f t="shared" si="180"/>
        <v>1</v>
      </c>
      <c r="AW103" s="414">
        <f t="shared" si="180"/>
        <v>1</v>
      </c>
      <c r="AX103" s="414">
        <f t="shared" si="180"/>
        <v>1</v>
      </c>
      <c r="AY103" s="414">
        <f t="shared" si="180"/>
        <v>0</v>
      </c>
      <c r="AZ103" s="414">
        <f t="shared" si="180"/>
        <v>0</v>
      </c>
      <c r="BA103" s="414">
        <f t="shared" si="180"/>
        <v>0</v>
      </c>
      <c r="BB103" s="414">
        <f t="shared" si="180"/>
        <v>0</v>
      </c>
      <c r="BC103" s="414">
        <f t="shared" si="180"/>
        <v>0</v>
      </c>
      <c r="BD103" s="414">
        <f t="shared" si="180"/>
        <v>0</v>
      </c>
      <c r="BE103" s="414">
        <f t="shared" si="180"/>
        <v>0</v>
      </c>
      <c r="BF103" s="414">
        <f t="shared" si="180"/>
        <v>0</v>
      </c>
      <c r="BG103" s="414">
        <f t="shared" si="180"/>
        <v>0</v>
      </c>
      <c r="BH103" s="414">
        <f t="shared" si="180"/>
        <v>0</v>
      </c>
      <c r="BI103" s="414">
        <f t="shared" si="180"/>
        <v>0</v>
      </c>
      <c r="BJ103" s="414">
        <f t="shared" si="180"/>
        <v>0</v>
      </c>
      <c r="BK103" s="414"/>
      <c r="BL103" s="414"/>
      <c r="BM103" s="414"/>
      <c r="BN103" s="414"/>
      <c r="BO103" s="414"/>
      <c r="BP103" s="414"/>
      <c r="BQ103" s="414"/>
      <c r="BR103" s="414"/>
      <c r="BS103" s="414"/>
      <c r="BT103" s="414"/>
      <c r="BU103" s="414"/>
    </row>
    <row r="104" spans="1:73" s="308" customFormat="1" x14ac:dyDescent="0.2">
      <c r="A104" s="299"/>
      <c r="B104" s="299"/>
      <c r="C104" s="299" t="s">
        <v>500</v>
      </c>
      <c r="D104" s="299"/>
      <c r="E104" s="299"/>
      <c r="F104" s="299"/>
      <c r="G104" s="299"/>
      <c r="H104" s="299"/>
      <c r="I104" s="299"/>
      <c r="J104" s="299"/>
      <c r="K104" s="410" t="s">
        <v>50</v>
      </c>
      <c r="L104" s="413"/>
      <c r="M104" s="413"/>
      <c r="N104" s="417"/>
      <c r="O104" s="299"/>
      <c r="P104" s="299"/>
      <c r="Q104" s="414"/>
      <c r="R104" s="414">
        <f>+IF(SUM($Q$107:R107)=1,1,0)</f>
        <v>0</v>
      </c>
      <c r="S104" s="414">
        <f>+IF(SUM($Q$107:S107)=1,1,0)</f>
        <v>0</v>
      </c>
      <c r="T104" s="414">
        <f>+IF(SUM($Q$107:T107)=1,1,0)</f>
        <v>1</v>
      </c>
      <c r="U104" s="414">
        <f>+IF(SUM($Q$107:U107)=1,1,0)</f>
        <v>0</v>
      </c>
      <c r="V104" s="414">
        <f>+IF(SUM($Q$107:V107)=1,1,0)</f>
        <v>0</v>
      </c>
      <c r="W104" s="414">
        <f>+IF(SUM($Q$107:W107)=1,1,0)</f>
        <v>0</v>
      </c>
      <c r="X104" s="414">
        <f>+IF(SUM($Q$107:X107)=1,1,0)</f>
        <v>0</v>
      </c>
      <c r="Y104" s="414">
        <f>+IF(SUM($Q$107:Y107)=1,1,0)</f>
        <v>0</v>
      </c>
      <c r="Z104" s="414">
        <f>+IF(SUM($Q$107:Z107)=1,1,0)</f>
        <v>0</v>
      </c>
      <c r="AA104" s="414">
        <f>+IF(SUM($Q$107:AA107)=1,1,0)</f>
        <v>0</v>
      </c>
      <c r="AB104" s="414">
        <f>+IF(SUM($Q$107:AB107)=1,1,0)</f>
        <v>0</v>
      </c>
      <c r="AC104" s="414">
        <f>+IF(SUM($Q$107:AC107)=1,1,0)</f>
        <v>0</v>
      </c>
      <c r="AD104" s="414">
        <f>+IF(SUM($Q$107:AD107)=1,1,0)</f>
        <v>0</v>
      </c>
      <c r="AE104" s="414">
        <f>+IF(SUM($Q$107:AE107)=1,1,0)</f>
        <v>0</v>
      </c>
      <c r="AF104" s="414">
        <f>+IF(SUM($Q$107:AF107)=1,1,0)</f>
        <v>0</v>
      </c>
      <c r="AG104" s="414">
        <f>+IF(SUM($Q$107:AG107)=1,1,0)</f>
        <v>0</v>
      </c>
      <c r="AH104" s="414">
        <f>+IF(SUM($Q$107:AH107)=1,1,0)</f>
        <v>0</v>
      </c>
      <c r="AI104" s="414">
        <f>+IF(SUM($Q$107:AI107)=1,1,0)</f>
        <v>0</v>
      </c>
      <c r="AJ104" s="414">
        <f>+IF(SUM($Q$107:AJ107)=1,1,0)</f>
        <v>0</v>
      </c>
      <c r="AK104" s="414">
        <f>+IF(SUM($Q$107:AK107)=1,1,0)</f>
        <v>0</v>
      </c>
      <c r="AL104" s="414">
        <f>+IF(SUM($Q$107:AL107)=1,1,0)</f>
        <v>0</v>
      </c>
      <c r="AM104" s="414">
        <f>+IF(SUM($Q$107:AM107)=1,1,0)</f>
        <v>0</v>
      </c>
      <c r="AN104" s="414">
        <f>+IF(SUM($Q$107:AN107)=1,1,0)</f>
        <v>0</v>
      </c>
      <c r="AO104" s="414">
        <f>+IF(SUM($Q$107:AO107)=1,1,0)</f>
        <v>0</v>
      </c>
      <c r="AP104" s="414">
        <f>+IF(SUM($Q$107:AP107)=1,1,0)</f>
        <v>0</v>
      </c>
      <c r="AQ104" s="414">
        <f>+IF(SUM($Q$107:AQ107)=1,1,0)</f>
        <v>0</v>
      </c>
      <c r="AR104" s="414">
        <f>+IF(SUM($Q$107:AR107)=1,1,0)</f>
        <v>0</v>
      </c>
      <c r="AS104" s="414">
        <f>+IF(SUM($Q$107:AS107)=1,1,0)</f>
        <v>0</v>
      </c>
      <c r="AT104" s="414">
        <f>+IF(SUM($Q$107:AT107)=1,1,0)</f>
        <v>0</v>
      </c>
      <c r="AU104" s="414">
        <f>+IF(SUM($Q$107:AU107)=1,1,0)</f>
        <v>0</v>
      </c>
      <c r="AV104" s="414">
        <f>+IF(SUM($Q$107:AV107)=1,1,0)</f>
        <v>0</v>
      </c>
      <c r="AW104" s="414">
        <f>+IF(SUM($Q$107:AW107)=1,1,0)</f>
        <v>0</v>
      </c>
      <c r="AX104" s="414">
        <f>+IF(SUM($Q$107:AX107)=1,1,0)</f>
        <v>0</v>
      </c>
      <c r="AY104" s="414">
        <f>+IF(SUM($Q$107:AY107)=1,1,0)</f>
        <v>0</v>
      </c>
      <c r="AZ104" s="414">
        <f>+IF(SUM($Q$107:AZ107)=1,1,0)</f>
        <v>0</v>
      </c>
      <c r="BA104" s="414">
        <f>+IF(SUM($Q$107:BA107)=1,1,0)</f>
        <v>0</v>
      </c>
      <c r="BB104" s="414">
        <f>+IF(SUM($Q$107:BB107)=1,1,0)</f>
        <v>0</v>
      </c>
      <c r="BC104" s="414">
        <f>+IF(SUM($Q$107:BC107)=1,1,0)</f>
        <v>0</v>
      </c>
      <c r="BD104" s="414">
        <f>+IF(SUM($Q$107:BD107)=1,1,0)</f>
        <v>0</v>
      </c>
      <c r="BE104" s="414">
        <f>+IF(SUM($Q$107:BE107)=1,1,0)</f>
        <v>0</v>
      </c>
      <c r="BF104" s="414">
        <f>+IF(SUM($Q$107:BF107)=1,1,0)</f>
        <v>0</v>
      </c>
      <c r="BG104" s="414">
        <f>+IF(SUM($Q$107:BG107)=1,1,0)</f>
        <v>0</v>
      </c>
      <c r="BH104" s="414">
        <f>+IF(SUM($Q$107:BH107)=1,1,0)</f>
        <v>0</v>
      </c>
      <c r="BI104" s="414">
        <f>+IF(SUM($Q$107:BI107)=1,1,0)</f>
        <v>0</v>
      </c>
      <c r="BJ104" s="414">
        <f>+IF(SUM($Q$107:BJ107)=1,1,0)</f>
        <v>0</v>
      </c>
      <c r="BK104" s="414"/>
      <c r="BL104" s="414"/>
      <c r="BM104" s="414"/>
      <c r="BN104" s="414"/>
      <c r="BO104" s="414"/>
      <c r="BP104" s="414"/>
      <c r="BQ104" s="414"/>
      <c r="BR104" s="414"/>
      <c r="BS104" s="414"/>
      <c r="BT104" s="414"/>
      <c r="BU104" s="414"/>
    </row>
    <row r="105" spans="1:73" x14ac:dyDescent="0.2">
      <c r="A105" s="299"/>
      <c r="B105" s="299"/>
      <c r="C105" s="299" t="s">
        <v>183</v>
      </c>
      <c r="D105" s="299"/>
      <c r="E105" s="299"/>
      <c r="F105" s="299"/>
      <c r="G105" s="299"/>
      <c r="H105" s="299"/>
      <c r="I105" s="299"/>
      <c r="J105" s="299"/>
      <c r="K105" s="410" t="s">
        <v>50</v>
      </c>
      <c r="L105" s="413">
        <f>Inputs!L29</f>
        <v>41915</v>
      </c>
      <c r="M105" s="413">
        <f>EDATE(L105, 5*12) -1</f>
        <v>43740</v>
      </c>
      <c r="N105" s="417"/>
      <c r="O105" s="299"/>
      <c r="P105" s="299"/>
      <c r="Q105" s="414"/>
      <c r="R105" s="414">
        <f t="shared" ref="R105:BJ105" si="181">IF((MIN(R$9,$M105) - MAX(R$8,$L105) &gt;= 0),1,0)</f>
        <v>1</v>
      </c>
      <c r="S105" s="414">
        <f t="shared" si="181"/>
        <v>1</v>
      </c>
      <c r="T105" s="414">
        <f t="shared" si="181"/>
        <v>1</v>
      </c>
      <c r="U105" s="414">
        <f t="shared" si="181"/>
        <v>0</v>
      </c>
      <c r="V105" s="414">
        <f t="shared" si="181"/>
        <v>0</v>
      </c>
      <c r="W105" s="414">
        <f t="shared" si="181"/>
        <v>0</v>
      </c>
      <c r="X105" s="414">
        <f t="shared" si="181"/>
        <v>0</v>
      </c>
      <c r="Y105" s="414">
        <f t="shared" si="181"/>
        <v>0</v>
      </c>
      <c r="Z105" s="414">
        <f t="shared" si="181"/>
        <v>0</v>
      </c>
      <c r="AA105" s="414">
        <f t="shared" si="181"/>
        <v>0</v>
      </c>
      <c r="AB105" s="414">
        <f t="shared" si="181"/>
        <v>0</v>
      </c>
      <c r="AC105" s="414">
        <f t="shared" si="181"/>
        <v>0</v>
      </c>
      <c r="AD105" s="414">
        <f t="shared" si="181"/>
        <v>0</v>
      </c>
      <c r="AE105" s="414">
        <f t="shared" si="181"/>
        <v>0</v>
      </c>
      <c r="AF105" s="414">
        <f t="shared" si="181"/>
        <v>0</v>
      </c>
      <c r="AG105" s="414">
        <f t="shared" si="181"/>
        <v>0</v>
      </c>
      <c r="AH105" s="414">
        <f t="shared" si="181"/>
        <v>0</v>
      </c>
      <c r="AI105" s="414">
        <f t="shared" si="181"/>
        <v>0</v>
      </c>
      <c r="AJ105" s="414">
        <f t="shared" si="181"/>
        <v>0</v>
      </c>
      <c r="AK105" s="414">
        <f t="shared" si="181"/>
        <v>0</v>
      </c>
      <c r="AL105" s="414">
        <f t="shared" si="181"/>
        <v>0</v>
      </c>
      <c r="AM105" s="414">
        <f t="shared" si="181"/>
        <v>0</v>
      </c>
      <c r="AN105" s="414">
        <f t="shared" si="181"/>
        <v>0</v>
      </c>
      <c r="AO105" s="414">
        <f t="shared" si="181"/>
        <v>0</v>
      </c>
      <c r="AP105" s="414">
        <f t="shared" si="181"/>
        <v>0</v>
      </c>
      <c r="AQ105" s="414">
        <f t="shared" si="181"/>
        <v>0</v>
      </c>
      <c r="AR105" s="414">
        <f t="shared" si="181"/>
        <v>0</v>
      </c>
      <c r="AS105" s="414">
        <f t="shared" si="181"/>
        <v>0</v>
      </c>
      <c r="AT105" s="414">
        <f t="shared" si="181"/>
        <v>0</v>
      </c>
      <c r="AU105" s="414">
        <f t="shared" si="181"/>
        <v>0</v>
      </c>
      <c r="AV105" s="414">
        <f t="shared" si="181"/>
        <v>0</v>
      </c>
      <c r="AW105" s="414">
        <f t="shared" si="181"/>
        <v>0</v>
      </c>
      <c r="AX105" s="414">
        <f t="shared" si="181"/>
        <v>0</v>
      </c>
      <c r="AY105" s="414">
        <f t="shared" si="181"/>
        <v>0</v>
      </c>
      <c r="AZ105" s="414">
        <f t="shared" si="181"/>
        <v>0</v>
      </c>
      <c r="BA105" s="414">
        <f t="shared" si="181"/>
        <v>0</v>
      </c>
      <c r="BB105" s="414">
        <f t="shared" si="181"/>
        <v>0</v>
      </c>
      <c r="BC105" s="414">
        <f t="shared" si="181"/>
        <v>0</v>
      </c>
      <c r="BD105" s="414">
        <f t="shared" si="181"/>
        <v>0</v>
      </c>
      <c r="BE105" s="414">
        <f t="shared" si="181"/>
        <v>0</v>
      </c>
      <c r="BF105" s="414">
        <f t="shared" si="181"/>
        <v>0</v>
      </c>
      <c r="BG105" s="414">
        <f t="shared" si="181"/>
        <v>0</v>
      </c>
      <c r="BH105" s="414">
        <f t="shared" si="181"/>
        <v>0</v>
      </c>
      <c r="BI105" s="414">
        <f t="shared" si="181"/>
        <v>0</v>
      </c>
      <c r="BJ105" s="414">
        <f t="shared" si="181"/>
        <v>0</v>
      </c>
      <c r="BK105" s="414"/>
      <c r="BL105" s="414"/>
      <c r="BM105" s="414"/>
      <c r="BN105" s="414"/>
      <c r="BO105" s="414"/>
      <c r="BP105" s="414"/>
      <c r="BQ105" s="414"/>
      <c r="BR105" s="414"/>
      <c r="BS105" s="414"/>
      <c r="BT105" s="414"/>
      <c r="BU105" s="414"/>
    </row>
    <row r="106" spans="1:73" x14ac:dyDescent="0.2">
      <c r="A106" s="299"/>
      <c r="B106" s="299"/>
      <c r="C106" s="299" t="s">
        <v>184</v>
      </c>
      <c r="D106" s="299"/>
      <c r="E106" s="299"/>
      <c r="F106" s="299"/>
      <c r="G106" s="299"/>
      <c r="H106" s="299"/>
      <c r="I106" s="299"/>
      <c r="J106" s="299"/>
      <c r="K106" s="410" t="s">
        <v>50</v>
      </c>
      <c r="L106" s="413">
        <f>+L105</f>
        <v>41915</v>
      </c>
      <c r="M106" s="413">
        <f>+M103</f>
        <v>54788</v>
      </c>
      <c r="N106" s="417"/>
      <c r="O106" s="299"/>
      <c r="P106" s="299"/>
      <c r="Q106" s="414"/>
      <c r="R106" s="414">
        <f t="shared" ref="R106:BJ106" si="182">((MIN(R$9,$M106)-MAX(R$8,$L106)&gt;= 0)) * IF(OR(MONTH(R9)=12,MONTH(R9)=6),1,0)</f>
        <v>1</v>
      </c>
      <c r="S106" s="414">
        <f t="shared" si="182"/>
        <v>1</v>
      </c>
      <c r="T106" s="414">
        <f t="shared" si="182"/>
        <v>1</v>
      </c>
      <c r="U106" s="414">
        <f t="shared" si="182"/>
        <v>1</v>
      </c>
      <c r="V106" s="414">
        <f t="shared" si="182"/>
        <v>1</v>
      </c>
      <c r="W106" s="414">
        <f t="shared" si="182"/>
        <v>1</v>
      </c>
      <c r="X106" s="414">
        <f t="shared" si="182"/>
        <v>1</v>
      </c>
      <c r="Y106" s="414">
        <f t="shared" si="182"/>
        <v>1</v>
      </c>
      <c r="Z106" s="414">
        <f t="shared" si="182"/>
        <v>1</v>
      </c>
      <c r="AA106" s="414">
        <f t="shared" si="182"/>
        <v>1</v>
      </c>
      <c r="AB106" s="414">
        <f t="shared" si="182"/>
        <v>1</v>
      </c>
      <c r="AC106" s="414">
        <f t="shared" si="182"/>
        <v>1</v>
      </c>
      <c r="AD106" s="414">
        <f t="shared" si="182"/>
        <v>1</v>
      </c>
      <c r="AE106" s="414">
        <f t="shared" si="182"/>
        <v>1</v>
      </c>
      <c r="AF106" s="414">
        <f t="shared" si="182"/>
        <v>1</v>
      </c>
      <c r="AG106" s="414">
        <f t="shared" si="182"/>
        <v>1</v>
      </c>
      <c r="AH106" s="414">
        <f t="shared" si="182"/>
        <v>1</v>
      </c>
      <c r="AI106" s="414">
        <f t="shared" si="182"/>
        <v>1</v>
      </c>
      <c r="AJ106" s="414">
        <f t="shared" si="182"/>
        <v>1</v>
      </c>
      <c r="AK106" s="414">
        <f t="shared" si="182"/>
        <v>1</v>
      </c>
      <c r="AL106" s="414">
        <f t="shared" si="182"/>
        <v>1</v>
      </c>
      <c r="AM106" s="414">
        <f t="shared" si="182"/>
        <v>1</v>
      </c>
      <c r="AN106" s="414">
        <f t="shared" si="182"/>
        <v>1</v>
      </c>
      <c r="AO106" s="414">
        <f t="shared" si="182"/>
        <v>1</v>
      </c>
      <c r="AP106" s="414">
        <f t="shared" si="182"/>
        <v>1</v>
      </c>
      <c r="AQ106" s="414">
        <f t="shared" si="182"/>
        <v>1</v>
      </c>
      <c r="AR106" s="414">
        <f t="shared" si="182"/>
        <v>1</v>
      </c>
      <c r="AS106" s="414">
        <f t="shared" si="182"/>
        <v>1</v>
      </c>
      <c r="AT106" s="414">
        <f t="shared" si="182"/>
        <v>1</v>
      </c>
      <c r="AU106" s="414">
        <f t="shared" si="182"/>
        <v>1</v>
      </c>
      <c r="AV106" s="414">
        <f t="shared" si="182"/>
        <v>1</v>
      </c>
      <c r="AW106" s="414">
        <f t="shared" si="182"/>
        <v>1</v>
      </c>
      <c r="AX106" s="414">
        <f t="shared" si="182"/>
        <v>1</v>
      </c>
      <c r="AY106" s="414">
        <f t="shared" si="182"/>
        <v>0</v>
      </c>
      <c r="AZ106" s="414">
        <f t="shared" si="182"/>
        <v>0</v>
      </c>
      <c r="BA106" s="414">
        <f t="shared" si="182"/>
        <v>0</v>
      </c>
      <c r="BB106" s="414">
        <f t="shared" si="182"/>
        <v>0</v>
      </c>
      <c r="BC106" s="414">
        <f t="shared" si="182"/>
        <v>0</v>
      </c>
      <c r="BD106" s="414">
        <f t="shared" si="182"/>
        <v>0</v>
      </c>
      <c r="BE106" s="414">
        <f t="shared" si="182"/>
        <v>0</v>
      </c>
      <c r="BF106" s="414">
        <f t="shared" si="182"/>
        <v>0</v>
      </c>
      <c r="BG106" s="414">
        <f t="shared" si="182"/>
        <v>0</v>
      </c>
      <c r="BH106" s="414">
        <f t="shared" si="182"/>
        <v>0</v>
      </c>
      <c r="BI106" s="414">
        <f t="shared" si="182"/>
        <v>0</v>
      </c>
      <c r="BJ106" s="414">
        <f t="shared" si="182"/>
        <v>0</v>
      </c>
      <c r="BK106" s="414"/>
      <c r="BL106" s="414"/>
      <c r="BM106" s="414"/>
      <c r="BN106" s="414"/>
      <c r="BO106" s="414"/>
      <c r="BP106" s="414"/>
      <c r="BQ106" s="414"/>
      <c r="BR106" s="414"/>
      <c r="BS106" s="414"/>
      <c r="BT106" s="414"/>
      <c r="BU106" s="414"/>
    </row>
    <row r="107" spans="1:73" x14ac:dyDescent="0.2">
      <c r="A107" s="299"/>
      <c r="B107" s="299"/>
      <c r="C107" s="299" t="s">
        <v>18</v>
      </c>
      <c r="D107" s="299"/>
      <c r="E107" s="299"/>
      <c r="F107" s="299"/>
      <c r="G107" s="299"/>
      <c r="H107" s="299"/>
      <c r="I107" s="299"/>
      <c r="J107" s="299"/>
      <c r="K107" s="410" t="s">
        <v>50</v>
      </c>
      <c r="L107" s="413"/>
      <c r="M107" s="413"/>
      <c r="N107" s="417"/>
      <c r="O107" s="299"/>
      <c r="P107" s="299"/>
      <c r="Q107" s="414"/>
      <c r="R107" s="414">
        <f>IF(R9&gt;Inputs!$L$100,1,0) * R106</f>
        <v>0</v>
      </c>
      <c r="S107" s="414">
        <f>IF(S9&gt;Inputs!$L$100,1,0) * S106</f>
        <v>0</v>
      </c>
      <c r="T107" s="414">
        <f>IF(T9&gt;Inputs!$L$100,1,0) * T106</f>
        <v>1</v>
      </c>
      <c r="U107" s="414">
        <f>IF(U9&gt;Inputs!$L$100,1,0) * U106</f>
        <v>1</v>
      </c>
      <c r="V107" s="414">
        <f>IF(V9&gt;Inputs!$L$100,1,0) * V106</f>
        <v>1</v>
      </c>
      <c r="W107" s="414">
        <f>IF(W9&gt;Inputs!$L$100,1,0) * W106</f>
        <v>1</v>
      </c>
      <c r="X107" s="414">
        <f>IF(X9&gt;Inputs!$L$100,1,0) * X106</f>
        <v>1</v>
      </c>
      <c r="Y107" s="414">
        <f>IF(Y9&gt;Inputs!$L$100,1,0) * Y106</f>
        <v>1</v>
      </c>
      <c r="Z107" s="414">
        <f>IF(Z9&gt;Inputs!$L$100,1,0) * Z106</f>
        <v>1</v>
      </c>
      <c r="AA107" s="414">
        <f>IF(AA9&gt;Inputs!$L$100,1,0) * AA106</f>
        <v>1</v>
      </c>
      <c r="AB107" s="414">
        <f>IF(AB9&gt;Inputs!$L$100,1,0) * AB106</f>
        <v>1</v>
      </c>
      <c r="AC107" s="414">
        <f>IF(AC9&gt;Inputs!$L$100,1,0) * AC106</f>
        <v>1</v>
      </c>
      <c r="AD107" s="414">
        <f>IF(AD9&gt;Inputs!$L$100,1,0) * AD106</f>
        <v>1</v>
      </c>
      <c r="AE107" s="414">
        <f>IF(AE9&gt;Inputs!$L$100,1,0) * AE106</f>
        <v>1</v>
      </c>
      <c r="AF107" s="414">
        <f>IF(AF9&gt;Inputs!$L$100,1,0) * AF106</f>
        <v>1</v>
      </c>
      <c r="AG107" s="414">
        <f>IF(AG9&gt;Inputs!$L$100,1,0) * AG106</f>
        <v>1</v>
      </c>
      <c r="AH107" s="414">
        <f>IF(AH9&gt;Inputs!$L$100,1,0) * AH106</f>
        <v>1</v>
      </c>
      <c r="AI107" s="414">
        <f>IF(AI9&gt;Inputs!$L$100,1,0) * AI106</f>
        <v>1</v>
      </c>
      <c r="AJ107" s="414">
        <f>IF(AJ9&gt;Inputs!$L$100,1,0) * AJ106</f>
        <v>1</v>
      </c>
      <c r="AK107" s="414">
        <f>IF(AK9&gt;Inputs!$L$100,1,0) * AK106</f>
        <v>1</v>
      </c>
      <c r="AL107" s="414">
        <f>IF(AL9&gt;Inputs!$L$100,1,0) * AL106</f>
        <v>1</v>
      </c>
      <c r="AM107" s="414">
        <f>IF(AM9&gt;Inputs!$L$100,1,0) * AM106</f>
        <v>1</v>
      </c>
      <c r="AN107" s="414">
        <f>IF(AN9&gt;Inputs!$L$100,1,0) * AN106</f>
        <v>1</v>
      </c>
      <c r="AO107" s="414">
        <f>IF(AO9&gt;Inputs!$L$100,1,0) * AO106</f>
        <v>1</v>
      </c>
      <c r="AP107" s="414">
        <f>IF(AP9&gt;Inputs!$L$100,1,0) * AP106</f>
        <v>1</v>
      </c>
      <c r="AQ107" s="414">
        <f>IF(AQ9&gt;Inputs!$L$100,1,0) * AQ106</f>
        <v>1</v>
      </c>
      <c r="AR107" s="414">
        <f>IF(AR9&gt;Inputs!$L$100,1,0) * AR106</f>
        <v>1</v>
      </c>
      <c r="AS107" s="414">
        <f>IF(AS9&gt;Inputs!$L$100,1,0) * AS106</f>
        <v>1</v>
      </c>
      <c r="AT107" s="414">
        <f>IF(AT9&gt;Inputs!$L$100,1,0) * AT106</f>
        <v>1</v>
      </c>
      <c r="AU107" s="414">
        <f>IF(AU9&gt;Inputs!$L$100,1,0) * AU106</f>
        <v>1</v>
      </c>
      <c r="AV107" s="414">
        <f>IF(AV9&gt;Inputs!$L$100,1,0) * AV106</f>
        <v>1</v>
      </c>
      <c r="AW107" s="414">
        <f>IF(AW9&gt;Inputs!$L$100,1,0) * AW106</f>
        <v>1</v>
      </c>
      <c r="AX107" s="414">
        <f>IF(AX9&gt;Inputs!$L$100,1,0) * AX106</f>
        <v>1</v>
      </c>
      <c r="AY107" s="414">
        <f>IF(AY9&gt;Inputs!$L$100,1,0) * AY106</f>
        <v>0</v>
      </c>
      <c r="AZ107" s="414">
        <f>IF(AZ9&gt;Inputs!$L$100,1,0) * AZ106</f>
        <v>0</v>
      </c>
      <c r="BA107" s="414">
        <f>IF(BA9&gt;Inputs!$L$100,1,0) * BA106</f>
        <v>0</v>
      </c>
      <c r="BB107" s="414">
        <f>IF(BB9&gt;Inputs!$L$100,1,0) * BB106</f>
        <v>0</v>
      </c>
      <c r="BC107" s="414">
        <f>IF(BC9&gt;Inputs!$L$100,1,0) * BC106</f>
        <v>0</v>
      </c>
      <c r="BD107" s="414">
        <f>IF(BD9&gt;Inputs!$L$100,1,0) * BD106</f>
        <v>0</v>
      </c>
      <c r="BE107" s="414">
        <f>IF(BE9&gt;Inputs!$L$100,1,0) * BE106</f>
        <v>0</v>
      </c>
      <c r="BF107" s="414">
        <f>IF(BF9&gt;Inputs!$L$100,1,0) * BF106</f>
        <v>0</v>
      </c>
      <c r="BG107" s="414">
        <f>IF(BG9&gt;Inputs!$L$100,1,0) * BG106</f>
        <v>0</v>
      </c>
      <c r="BH107" s="414">
        <f>IF(BH9&gt;Inputs!$L$100,1,0) * BH106</f>
        <v>0</v>
      </c>
      <c r="BI107" s="414">
        <f>IF(BI9&gt;Inputs!$L$100,1,0) * BI106</f>
        <v>0</v>
      </c>
      <c r="BJ107" s="414">
        <f>IF(BJ9&gt;Inputs!$L$100,1,0) * BJ106</f>
        <v>0</v>
      </c>
      <c r="BK107" s="414"/>
      <c r="BL107" s="414"/>
      <c r="BM107" s="414"/>
      <c r="BN107" s="414"/>
      <c r="BO107" s="414"/>
      <c r="BP107" s="414"/>
      <c r="BQ107" s="414"/>
      <c r="BR107" s="414"/>
      <c r="BS107" s="414"/>
      <c r="BT107" s="414"/>
      <c r="BU107" s="414"/>
    </row>
    <row r="108" spans="1:73" s="308" customFormat="1" x14ac:dyDescent="0.2">
      <c r="A108" s="299"/>
      <c r="B108" s="299"/>
      <c r="C108" s="299" t="s">
        <v>172</v>
      </c>
      <c r="D108" s="299"/>
      <c r="E108" s="299"/>
      <c r="F108" s="299"/>
      <c r="G108" s="299"/>
      <c r="H108" s="299"/>
      <c r="I108" s="299"/>
      <c r="J108" s="299"/>
      <c r="K108" s="410" t="s">
        <v>173</v>
      </c>
      <c r="L108" s="413"/>
      <c r="M108" s="413"/>
      <c r="N108" s="417"/>
      <c r="O108" s="299"/>
      <c r="P108" s="299"/>
      <c r="Q108" s="417"/>
      <c r="R108" s="417">
        <f t="shared" ref="R108:BJ108" si="183">IF(R103,Q108 + R103,0)</f>
        <v>0</v>
      </c>
      <c r="S108" s="417">
        <f t="shared" si="183"/>
        <v>0</v>
      </c>
      <c r="T108" s="417">
        <f t="shared" si="183"/>
        <v>0</v>
      </c>
      <c r="U108" s="417">
        <f t="shared" si="183"/>
        <v>0</v>
      </c>
      <c r="V108" s="417">
        <f t="shared" si="183"/>
        <v>0</v>
      </c>
      <c r="W108" s="417">
        <f t="shared" si="183"/>
        <v>0</v>
      </c>
      <c r="X108" s="417">
        <f t="shared" si="183"/>
        <v>0</v>
      </c>
      <c r="Y108" s="417">
        <f t="shared" si="183"/>
        <v>0</v>
      </c>
      <c r="Z108" s="417">
        <f t="shared" si="183"/>
        <v>0</v>
      </c>
      <c r="AA108" s="417">
        <f t="shared" si="183"/>
        <v>0</v>
      </c>
      <c r="AB108" s="417">
        <f t="shared" si="183"/>
        <v>0</v>
      </c>
      <c r="AC108" s="417">
        <f t="shared" si="183"/>
        <v>0</v>
      </c>
      <c r="AD108" s="417">
        <f t="shared" si="183"/>
        <v>0</v>
      </c>
      <c r="AE108" s="417">
        <f t="shared" si="183"/>
        <v>0</v>
      </c>
      <c r="AF108" s="417">
        <f t="shared" si="183"/>
        <v>0</v>
      </c>
      <c r="AG108" s="417">
        <f t="shared" si="183"/>
        <v>0</v>
      </c>
      <c r="AH108" s="417">
        <f t="shared" si="183"/>
        <v>0</v>
      </c>
      <c r="AI108" s="417">
        <f t="shared" si="183"/>
        <v>0</v>
      </c>
      <c r="AJ108" s="417">
        <f t="shared" si="183"/>
        <v>0</v>
      </c>
      <c r="AK108" s="417">
        <f t="shared" si="183"/>
        <v>0</v>
      </c>
      <c r="AL108" s="417">
        <f t="shared" si="183"/>
        <v>0</v>
      </c>
      <c r="AM108" s="417">
        <f t="shared" si="183"/>
        <v>0</v>
      </c>
      <c r="AN108" s="417">
        <f t="shared" si="183"/>
        <v>1</v>
      </c>
      <c r="AO108" s="417">
        <f t="shared" si="183"/>
        <v>2</v>
      </c>
      <c r="AP108" s="417">
        <f t="shared" si="183"/>
        <v>3</v>
      </c>
      <c r="AQ108" s="417">
        <f t="shared" si="183"/>
        <v>4</v>
      </c>
      <c r="AR108" s="417">
        <f t="shared" si="183"/>
        <v>5</v>
      </c>
      <c r="AS108" s="417">
        <f t="shared" si="183"/>
        <v>6</v>
      </c>
      <c r="AT108" s="417">
        <f t="shared" si="183"/>
        <v>7</v>
      </c>
      <c r="AU108" s="417">
        <f t="shared" si="183"/>
        <v>8</v>
      </c>
      <c r="AV108" s="417">
        <f t="shared" si="183"/>
        <v>9</v>
      </c>
      <c r="AW108" s="417">
        <f t="shared" si="183"/>
        <v>10</v>
      </c>
      <c r="AX108" s="417">
        <f t="shared" si="183"/>
        <v>11</v>
      </c>
      <c r="AY108" s="417">
        <f t="shared" si="183"/>
        <v>0</v>
      </c>
      <c r="AZ108" s="417">
        <f t="shared" si="183"/>
        <v>0</v>
      </c>
      <c r="BA108" s="417">
        <f t="shared" si="183"/>
        <v>0</v>
      </c>
      <c r="BB108" s="417">
        <f t="shared" si="183"/>
        <v>0</v>
      </c>
      <c r="BC108" s="417">
        <f t="shared" si="183"/>
        <v>0</v>
      </c>
      <c r="BD108" s="417">
        <f t="shared" si="183"/>
        <v>0</v>
      </c>
      <c r="BE108" s="417">
        <f t="shared" si="183"/>
        <v>0</v>
      </c>
      <c r="BF108" s="417">
        <f t="shared" si="183"/>
        <v>0</v>
      </c>
      <c r="BG108" s="417">
        <f t="shared" si="183"/>
        <v>0</v>
      </c>
      <c r="BH108" s="417">
        <f t="shared" si="183"/>
        <v>0</v>
      </c>
      <c r="BI108" s="417">
        <f t="shared" si="183"/>
        <v>0</v>
      </c>
      <c r="BJ108" s="417">
        <f t="shared" si="183"/>
        <v>0</v>
      </c>
      <c r="BK108" s="417"/>
      <c r="BL108" s="417"/>
      <c r="BM108" s="417"/>
      <c r="BN108" s="417"/>
      <c r="BO108" s="417"/>
      <c r="BP108" s="417"/>
      <c r="BQ108" s="417"/>
      <c r="BR108" s="417"/>
      <c r="BS108" s="417"/>
      <c r="BT108" s="417"/>
      <c r="BU108" s="417"/>
    </row>
    <row r="109" spans="1:73" x14ac:dyDescent="0.2">
      <c r="A109" s="299"/>
      <c r="B109" s="299"/>
      <c r="C109" s="299" t="s">
        <v>328</v>
      </c>
      <c r="D109" s="299"/>
      <c r="E109" s="299"/>
      <c r="F109" s="299"/>
      <c r="G109" s="299"/>
      <c r="H109" s="299"/>
      <c r="I109" s="299"/>
      <c r="J109" s="299"/>
      <c r="K109" s="410" t="s">
        <v>20</v>
      </c>
      <c r="L109" s="720">
        <v>43830</v>
      </c>
      <c r="M109" s="413"/>
      <c r="N109" s="417"/>
      <c r="O109" s="299"/>
      <c r="P109" s="299"/>
      <c r="Q109" s="456"/>
      <c r="R109" s="456">
        <f t="shared" ref="R109:BJ109" si="184">+IF(AND($L$109&gt;=R8,$L$109&gt;R9),0,1)</f>
        <v>0</v>
      </c>
      <c r="S109" s="456">
        <f t="shared" si="184"/>
        <v>0</v>
      </c>
      <c r="T109" s="456">
        <f t="shared" si="184"/>
        <v>1</v>
      </c>
      <c r="U109" s="456">
        <f t="shared" si="184"/>
        <v>1</v>
      </c>
      <c r="V109" s="456">
        <f t="shared" si="184"/>
        <v>1</v>
      </c>
      <c r="W109" s="456">
        <f t="shared" si="184"/>
        <v>1</v>
      </c>
      <c r="X109" s="456">
        <f t="shared" si="184"/>
        <v>1</v>
      </c>
      <c r="Y109" s="456">
        <f t="shared" si="184"/>
        <v>1</v>
      </c>
      <c r="Z109" s="456">
        <f t="shared" si="184"/>
        <v>1</v>
      </c>
      <c r="AA109" s="456">
        <f t="shared" si="184"/>
        <v>1</v>
      </c>
      <c r="AB109" s="456">
        <f t="shared" si="184"/>
        <v>1</v>
      </c>
      <c r="AC109" s="456">
        <f t="shared" si="184"/>
        <v>1</v>
      </c>
      <c r="AD109" s="456">
        <f t="shared" si="184"/>
        <v>1</v>
      </c>
      <c r="AE109" s="456">
        <f t="shared" si="184"/>
        <v>1</v>
      </c>
      <c r="AF109" s="456">
        <f t="shared" si="184"/>
        <v>1</v>
      </c>
      <c r="AG109" s="456">
        <f t="shared" si="184"/>
        <v>1</v>
      </c>
      <c r="AH109" s="456">
        <f t="shared" si="184"/>
        <v>1</v>
      </c>
      <c r="AI109" s="456">
        <f t="shared" si="184"/>
        <v>1</v>
      </c>
      <c r="AJ109" s="456">
        <f t="shared" si="184"/>
        <v>1</v>
      </c>
      <c r="AK109" s="456">
        <f t="shared" si="184"/>
        <v>1</v>
      </c>
      <c r="AL109" s="456">
        <f t="shared" si="184"/>
        <v>1</v>
      </c>
      <c r="AM109" s="456">
        <f t="shared" si="184"/>
        <v>1</v>
      </c>
      <c r="AN109" s="456">
        <f t="shared" si="184"/>
        <v>1</v>
      </c>
      <c r="AO109" s="456">
        <f t="shared" si="184"/>
        <v>1</v>
      </c>
      <c r="AP109" s="456">
        <f t="shared" si="184"/>
        <v>1</v>
      </c>
      <c r="AQ109" s="456">
        <f t="shared" si="184"/>
        <v>1</v>
      </c>
      <c r="AR109" s="456">
        <f t="shared" si="184"/>
        <v>1</v>
      </c>
      <c r="AS109" s="456">
        <f t="shared" si="184"/>
        <v>1</v>
      </c>
      <c r="AT109" s="456">
        <f t="shared" si="184"/>
        <v>1</v>
      </c>
      <c r="AU109" s="456">
        <f t="shared" si="184"/>
        <v>1</v>
      </c>
      <c r="AV109" s="456">
        <f t="shared" si="184"/>
        <v>1</v>
      </c>
      <c r="AW109" s="456">
        <f t="shared" si="184"/>
        <v>1</v>
      </c>
      <c r="AX109" s="456">
        <f t="shared" si="184"/>
        <v>1</v>
      </c>
      <c r="AY109" s="456">
        <f t="shared" si="184"/>
        <v>1</v>
      </c>
      <c r="AZ109" s="456">
        <f t="shared" si="184"/>
        <v>1</v>
      </c>
      <c r="BA109" s="456">
        <f t="shared" si="184"/>
        <v>1</v>
      </c>
      <c r="BB109" s="456">
        <f t="shared" si="184"/>
        <v>1</v>
      </c>
      <c r="BC109" s="456">
        <f t="shared" si="184"/>
        <v>1</v>
      </c>
      <c r="BD109" s="456">
        <f t="shared" si="184"/>
        <v>1</v>
      </c>
      <c r="BE109" s="456">
        <f t="shared" si="184"/>
        <v>1</v>
      </c>
      <c r="BF109" s="456">
        <f t="shared" si="184"/>
        <v>1</v>
      </c>
      <c r="BG109" s="456">
        <f t="shared" si="184"/>
        <v>1</v>
      </c>
      <c r="BH109" s="456">
        <f t="shared" si="184"/>
        <v>1</v>
      </c>
      <c r="BI109" s="456">
        <f t="shared" si="184"/>
        <v>1</v>
      </c>
      <c r="BJ109" s="456">
        <f t="shared" si="184"/>
        <v>1</v>
      </c>
      <c r="BK109" s="456"/>
      <c r="BL109" s="456"/>
      <c r="BM109" s="456"/>
      <c r="BN109" s="456"/>
      <c r="BO109" s="456"/>
      <c r="BP109" s="456"/>
      <c r="BQ109" s="456"/>
      <c r="BR109" s="456"/>
      <c r="BS109" s="456"/>
      <c r="BT109" s="456"/>
      <c r="BU109" s="456"/>
    </row>
    <row r="110" spans="1:73" x14ac:dyDescent="0.2">
      <c r="A110" s="299"/>
      <c r="B110" s="355" t="s">
        <v>334</v>
      </c>
      <c r="C110" s="299"/>
      <c r="D110" s="299"/>
      <c r="E110" s="299"/>
      <c r="F110" s="299"/>
      <c r="G110" s="299"/>
      <c r="H110" s="299"/>
      <c r="I110" s="299"/>
      <c r="J110" s="299"/>
      <c r="K110" s="410"/>
      <c r="L110" s="299"/>
      <c r="M110" s="299"/>
      <c r="N110" s="299"/>
      <c r="O110" s="299"/>
      <c r="P110" s="299"/>
      <c r="Q110" s="299"/>
      <c r="R110" s="719">
        <v>1.1415946135430122</v>
      </c>
      <c r="S110" s="457">
        <f>R110*(1+Oper!S25)</f>
        <v>1.16728049234773</v>
      </c>
      <c r="T110" s="457">
        <f>S110*(1+Oper!T25)</f>
        <v>1.193544303425554</v>
      </c>
      <c r="U110" s="457">
        <f>T110*(1+Oper!U25)</f>
        <v>1.220399050252629</v>
      </c>
      <c r="V110" s="457">
        <f>U110*(1+Oper!V25)</f>
        <v>1.247858028883313</v>
      </c>
      <c r="W110" s="457">
        <f>V110*(1+Oper!W25)</f>
        <v>1.276558763547629</v>
      </c>
      <c r="X110" s="457">
        <f>W110*(1+Oper!X25)</f>
        <v>1.3059196151092243</v>
      </c>
      <c r="Y110" s="457">
        <f>X110*(1+Oper!Y25)</f>
        <v>1.3359557662567363</v>
      </c>
      <c r="Z110" s="457">
        <f>Y110*(1+Oper!Z25)</f>
        <v>1.366682748880641</v>
      </c>
      <c r="AA110" s="457">
        <f>Z110*(1+Oper!AA25)</f>
        <v>1.3981164521048957</v>
      </c>
      <c r="AB110" s="457">
        <f>AA110*(1+Oper!AB25)</f>
        <v>1.4302731305033081</v>
      </c>
      <c r="AC110" s="457">
        <f>AB110*(1+Oper!AC25)</f>
        <v>1.463169412504884</v>
      </c>
      <c r="AD110" s="457">
        <f>AC110*(1+Oper!AD25)</f>
        <v>1.4968223089924961</v>
      </c>
      <c r="AE110" s="457">
        <f>AD110*(1+Oper!AE25)</f>
        <v>1.5312492220993235</v>
      </c>
      <c r="AF110" s="457">
        <f>AE110*(1+Oper!AF25)</f>
        <v>1.5664679542076079</v>
      </c>
      <c r="AG110" s="457">
        <f>AF110*(1+Oper!AG25)</f>
        <v>1.6024967171543827</v>
      </c>
      <c r="AH110" s="457">
        <f>AG110*(1+Oper!AH25)</f>
        <v>1.6393541416489334</v>
      </c>
      <c r="AI110" s="457">
        <f>AH110*(1+Oper!AI25)</f>
        <v>1.6770592869068588</v>
      </c>
      <c r="AJ110" s="457">
        <f>AI110*(1+Oper!AJ25)</f>
        <v>1.7156316505057163</v>
      </c>
      <c r="AK110" s="457">
        <f>AJ110*(1+Oper!AK25)</f>
        <v>1.7550911784673475</v>
      </c>
      <c r="AL110" s="457">
        <f>AK110*(1+Oper!AL25)</f>
        <v>1.7954582755720963</v>
      </c>
      <c r="AM110" s="457">
        <f>AL110*(1+Oper!AM25)</f>
        <v>1.8367538159102543</v>
      </c>
      <c r="AN110" s="457">
        <f>AM110*(1+Oper!AN25)</f>
        <v>1.8789991536761901</v>
      </c>
      <c r="AO110" s="457">
        <f>AN110*(1+Oper!AO25)</f>
        <v>1.9222161342107422</v>
      </c>
      <c r="AP110" s="457">
        <f>AO110*(1+Oper!AP25)</f>
        <v>1.966427105297589</v>
      </c>
      <c r="AQ110" s="457">
        <f>AP110*(1+Oper!AQ25)</f>
        <v>2.0116549287194334</v>
      </c>
      <c r="AR110" s="457">
        <f>AQ110*(1+Oper!AR25)</f>
        <v>2.0579229920799804</v>
      </c>
      <c r="AS110" s="457">
        <f>AR110*(1+Oper!AS25)</f>
        <v>2.1052552208978197</v>
      </c>
      <c r="AT110" s="457">
        <f>AS110*(1+Oper!AT25)</f>
        <v>2.1536760909784696</v>
      </c>
      <c r="AU110" s="457">
        <f>AT110*(1+Oper!AU25)</f>
        <v>2.203210641070974</v>
      </c>
      <c r="AV110" s="457">
        <f>AU110*(1+Oper!AV25)</f>
        <v>2.2538844858156062</v>
      </c>
      <c r="AW110" s="457">
        <f>AV110*(1+Oper!AW25)</f>
        <v>2.3057238289893651</v>
      </c>
      <c r="AX110" s="457">
        <f>AW110*(1+Oper!AX25)</f>
        <v>2.3587554770561203</v>
      </c>
      <c r="AY110" s="457">
        <f>AX110*(1+Oper!AY25)</f>
        <v>2.4130068530284108</v>
      </c>
      <c r="AZ110" s="457">
        <f>AY110*(1+Oper!AZ25)</f>
        <v>2.4685060106480639</v>
      </c>
      <c r="BA110" s="457">
        <f>AZ110*(1+Oper!BA25)</f>
        <v>2.5252816488929692</v>
      </c>
      <c r="BB110" s="457">
        <f>BA110*(1+Oper!BB25)</f>
        <v>2.5833631268175075</v>
      </c>
      <c r="BC110" s="457">
        <f>BB110*(1+Oper!BC25)</f>
        <v>2.6427804787343101</v>
      </c>
      <c r="BD110" s="457">
        <f>BC110*(1+Oper!BD25)</f>
        <v>2.7035644297451991</v>
      </c>
      <c r="BE110" s="457">
        <f>BD110*(1+Oper!BE25)</f>
        <v>2.7657464116293382</v>
      </c>
      <c r="BF110" s="457">
        <f>BE110*(1+Oper!BF25)</f>
        <v>2.8293585790968128</v>
      </c>
      <c r="BG110" s="457">
        <f>BF110*(1+Oper!BG25)</f>
        <v>2.8944338264160394</v>
      </c>
      <c r="BH110" s="457">
        <f>BG110*(1+Oper!BH25)</f>
        <v>2.9610058044236083</v>
      </c>
      <c r="BI110" s="457">
        <f>BH110*(1+Oper!BI25)</f>
        <v>3.0291089379253511</v>
      </c>
      <c r="BJ110" s="457">
        <f>BI110*(1+Oper!BJ25)</f>
        <v>3.098778443497634</v>
      </c>
      <c r="BK110" s="457"/>
      <c r="BL110" s="457"/>
      <c r="BM110" s="457"/>
      <c r="BN110" s="457"/>
      <c r="BO110" s="457"/>
      <c r="BP110" s="457"/>
      <c r="BQ110" s="457"/>
      <c r="BR110" s="457"/>
      <c r="BS110" s="457"/>
      <c r="BT110" s="457"/>
      <c r="BU110" s="457"/>
    </row>
    <row r="111" spans="1:73" x14ac:dyDescent="0.2">
      <c r="A111" s="299"/>
      <c r="B111" s="355" t="s">
        <v>333</v>
      </c>
      <c r="C111" s="299"/>
      <c r="D111" s="299"/>
      <c r="E111" s="299"/>
      <c r="F111" s="299"/>
      <c r="G111" s="299"/>
      <c r="H111" s="299"/>
      <c r="I111" s="299"/>
      <c r="J111" s="299"/>
      <c r="K111" s="410"/>
      <c r="L111" s="299"/>
      <c r="M111" s="299"/>
      <c r="N111" s="299"/>
      <c r="O111" s="299"/>
      <c r="P111" s="299"/>
      <c r="Q111" s="299"/>
      <c r="R111" s="719">
        <v>1.1247711468708226</v>
      </c>
      <c r="S111" s="457">
        <f>R111*(1+Oper!S25)</f>
        <v>1.1500784976754161</v>
      </c>
      <c r="T111" s="457">
        <f>S111*(1+Oper!T25)</f>
        <v>1.175955263873113</v>
      </c>
      <c r="U111" s="457">
        <f>T111*(1+Oper!U25)</f>
        <v>1.2024142573102581</v>
      </c>
      <c r="V111" s="457">
        <f>U111*(1+Oper!V25)</f>
        <v>1.2294685780997388</v>
      </c>
      <c r="W111" s="457">
        <f>V111*(1+Oper!W25)</f>
        <v>1.2577463553960326</v>
      </c>
      <c r="X111" s="457">
        <f>W111*(1+Oper!X25)</f>
        <v>1.2866745215701412</v>
      </c>
      <c r="Y111" s="457">
        <f>X111*(1+Oper!Y25)</f>
        <v>1.3162680355662544</v>
      </c>
      <c r="Z111" s="457">
        <f>Y111*(1+Oper!Z25)</f>
        <v>1.3465422003842782</v>
      </c>
      <c r="AA111" s="457">
        <f>Z111*(1+Oper!AA25)</f>
        <v>1.3775126709931165</v>
      </c>
      <c r="AB111" s="457">
        <f>AA111*(1+Oper!AB25)</f>
        <v>1.4091954624259579</v>
      </c>
      <c r="AC111" s="457">
        <f>AB111*(1+Oper!AC25)</f>
        <v>1.4416069580617548</v>
      </c>
      <c r="AD111" s="457">
        <f>AC111*(1+Oper!AD25)</f>
        <v>1.474763918097175</v>
      </c>
      <c r="AE111" s="457">
        <f>AD111*(1+Oper!AE25)</f>
        <v>1.5086834882134099</v>
      </c>
      <c r="AF111" s="457">
        <f>AE111*(1+Oper!AF25)</f>
        <v>1.5433832084423182</v>
      </c>
      <c r="AG111" s="457">
        <f>AF111*(1+Oper!AG25)</f>
        <v>1.5788810222364915</v>
      </c>
      <c r="AH111" s="457">
        <f>AG111*(1+Oper!AH25)</f>
        <v>1.6151952857479306</v>
      </c>
      <c r="AI111" s="457">
        <f>AH111*(1+Oper!AI25)</f>
        <v>1.6523447773201327</v>
      </c>
      <c r="AJ111" s="457">
        <f>AI111*(1+Oper!AJ25)</f>
        <v>1.6903487071984957</v>
      </c>
      <c r="AK111" s="457">
        <f>AJ111*(1+Oper!AK25)</f>
        <v>1.7292267274640609</v>
      </c>
      <c r="AL111" s="457">
        <f>AK111*(1+Oper!AL25)</f>
        <v>1.7689989421957342</v>
      </c>
      <c r="AM111" s="457">
        <f>AL111*(1+Oper!AM25)</f>
        <v>1.8096859178662359</v>
      </c>
      <c r="AN111" s="457">
        <f>AM111*(1+Oper!AN25)</f>
        <v>1.8513086939771592</v>
      </c>
      <c r="AO111" s="457">
        <f>AN111*(1+Oper!AO25)</f>
        <v>1.8938887939386337</v>
      </c>
      <c r="AP111" s="457">
        <f>AO111*(1+Oper!AP25)</f>
        <v>1.9374482361992222</v>
      </c>
      <c r="AQ111" s="457">
        <f>AP111*(1+Oper!AQ25)</f>
        <v>1.9820095456318041</v>
      </c>
      <c r="AR111" s="457">
        <f>AQ111*(1+Oper!AR25)</f>
        <v>2.0275957651813354</v>
      </c>
      <c r="AS111" s="457">
        <f>AR111*(1+Oper!AS25)</f>
        <v>2.0742304677805059</v>
      </c>
      <c r="AT111" s="457">
        <f>AS111*(1+Oper!AT25)</f>
        <v>2.1219377685394574</v>
      </c>
      <c r="AU111" s="457">
        <f>AT111*(1+Oper!AU25)</f>
        <v>2.1707423372158647</v>
      </c>
      <c r="AV111" s="457">
        <f>AU111*(1+Oper!AV25)</f>
        <v>2.2206694109718295</v>
      </c>
      <c r="AW111" s="457">
        <f>AV111*(1+Oper!AW25)</f>
        <v>2.2717448074241813</v>
      </c>
      <c r="AX111" s="457">
        <f>AW111*(1+Oper!AX25)</f>
        <v>2.3239949379949372</v>
      </c>
      <c r="AY111" s="457">
        <f>AX111*(1+Oper!AY25)</f>
        <v>2.3774468215688205</v>
      </c>
      <c r="AZ111" s="457">
        <f>AY111*(1+Oper!AZ25)</f>
        <v>2.432128098464903</v>
      </c>
      <c r="BA111" s="457">
        <f>AZ111*(1+Oper!BA25)</f>
        <v>2.4880670447295956</v>
      </c>
      <c r="BB111" s="457">
        <f>BA111*(1+Oper!BB25)</f>
        <v>2.545292586758376</v>
      </c>
      <c r="BC111" s="457">
        <f>BB111*(1+Oper!BC25)</f>
        <v>2.6038343162538182</v>
      </c>
      <c r="BD111" s="457">
        <f>BC111*(1+Oper!BD25)</f>
        <v>2.6637225055276557</v>
      </c>
      <c r="BE111" s="457">
        <f>BD111*(1+Oper!BE25)</f>
        <v>2.7249881231547914</v>
      </c>
      <c r="BF111" s="457">
        <f>BE111*(1+Oper!BF25)</f>
        <v>2.7876628499873513</v>
      </c>
      <c r="BG111" s="457">
        <f>BF111*(1+Oper!BG25)</f>
        <v>2.8517790955370601</v>
      </c>
      <c r="BH111" s="457">
        <f>BG111*(1+Oper!BH25)</f>
        <v>2.9173700147344124</v>
      </c>
      <c r="BI111" s="457">
        <f>BH111*(1+Oper!BI25)</f>
        <v>2.9844695250733038</v>
      </c>
      <c r="BJ111" s="457">
        <f>BI111*(1+Oper!BJ25)</f>
        <v>3.0531123241499896</v>
      </c>
      <c r="BK111" s="457"/>
      <c r="BL111" s="457"/>
      <c r="BM111" s="457"/>
      <c r="BN111" s="457"/>
      <c r="BO111" s="457"/>
      <c r="BP111" s="457"/>
      <c r="BQ111" s="457"/>
      <c r="BR111" s="457"/>
      <c r="BS111" s="457"/>
      <c r="BT111" s="457"/>
      <c r="BU111" s="457"/>
    </row>
    <row r="112" spans="1:73" x14ac:dyDescent="0.2">
      <c r="A112" s="299"/>
      <c r="B112" s="299"/>
      <c r="C112" s="299"/>
      <c r="D112" s="299"/>
      <c r="E112" s="299"/>
      <c r="F112" s="299"/>
      <c r="G112" s="299"/>
      <c r="H112" s="299"/>
      <c r="I112" s="299"/>
      <c r="J112" s="299"/>
      <c r="K112" s="410"/>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299"/>
      <c r="BC112" s="299"/>
      <c r="BD112" s="299"/>
      <c r="BE112" s="299"/>
      <c r="BF112" s="299"/>
      <c r="BG112" s="299"/>
      <c r="BH112" s="299"/>
      <c r="BI112" s="299"/>
      <c r="BJ112" s="299"/>
      <c r="BK112" s="299"/>
      <c r="BL112" s="299"/>
      <c r="BM112" s="299"/>
      <c r="BN112" s="299"/>
      <c r="BO112" s="299"/>
      <c r="BP112" s="299"/>
      <c r="BQ112" s="299"/>
      <c r="BR112" s="299"/>
      <c r="BS112" s="299"/>
      <c r="BT112" s="299"/>
      <c r="BU112" s="299"/>
    </row>
    <row r="113" spans="1:73" x14ac:dyDescent="0.2">
      <c r="A113" s="299"/>
      <c r="B113" s="439" t="s">
        <v>174</v>
      </c>
      <c r="C113" s="299"/>
      <c r="D113" s="299"/>
      <c r="E113" s="299"/>
      <c r="F113" s="299"/>
      <c r="G113" s="299"/>
      <c r="H113" s="299"/>
      <c r="I113" s="299"/>
      <c r="J113" s="299"/>
      <c r="K113" s="410"/>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299"/>
      <c r="BE113" s="299"/>
      <c r="BF113" s="299"/>
      <c r="BG113" s="299"/>
      <c r="BH113" s="299"/>
      <c r="BI113" s="299"/>
      <c r="BJ113" s="299"/>
      <c r="BK113" s="299"/>
      <c r="BL113" s="299"/>
      <c r="BM113" s="299"/>
      <c r="BN113" s="299"/>
      <c r="BO113" s="299"/>
      <c r="BP113" s="299"/>
      <c r="BQ113" s="299"/>
      <c r="BR113" s="299"/>
      <c r="BS113" s="299"/>
      <c r="BT113" s="299"/>
      <c r="BU113" s="299"/>
    </row>
    <row r="114" spans="1:73" x14ac:dyDescent="0.2">
      <c r="A114" s="299"/>
      <c r="B114" s="299"/>
      <c r="C114" s="299" t="s">
        <v>9</v>
      </c>
      <c r="D114" s="299"/>
      <c r="E114" s="299"/>
      <c r="F114" s="299"/>
      <c r="G114" s="299"/>
      <c r="H114" s="299"/>
      <c r="I114" s="299"/>
      <c r="J114" s="299"/>
      <c r="K114" s="410" t="s">
        <v>20</v>
      </c>
      <c r="L114" s="458">
        <v>4.5199999999999997E-2</v>
      </c>
      <c r="M114" s="299"/>
      <c r="N114" s="299"/>
      <c r="O114" s="299"/>
      <c r="P114" s="299"/>
      <c r="Q114" s="311"/>
      <c r="R114" s="311">
        <f t="shared" ref="R114:AO114" si="185">+$L$114</f>
        <v>4.5199999999999997E-2</v>
      </c>
      <c r="S114" s="311">
        <f t="shared" si="185"/>
        <v>4.5199999999999997E-2</v>
      </c>
      <c r="T114" s="311">
        <f t="shared" si="185"/>
        <v>4.5199999999999997E-2</v>
      </c>
      <c r="U114" s="311">
        <f t="shared" si="185"/>
        <v>4.5199999999999997E-2</v>
      </c>
      <c r="V114" s="311">
        <f t="shared" si="185"/>
        <v>4.5199999999999997E-2</v>
      </c>
      <c r="W114" s="311">
        <f t="shared" si="185"/>
        <v>4.5199999999999997E-2</v>
      </c>
      <c r="X114" s="311">
        <f t="shared" si="185"/>
        <v>4.5199999999999997E-2</v>
      </c>
      <c r="Y114" s="311">
        <f t="shared" si="185"/>
        <v>4.5199999999999997E-2</v>
      </c>
      <c r="Z114" s="311">
        <f t="shared" si="185"/>
        <v>4.5199999999999997E-2</v>
      </c>
      <c r="AA114" s="311">
        <f t="shared" si="185"/>
        <v>4.5199999999999997E-2</v>
      </c>
      <c r="AB114" s="311">
        <f t="shared" si="185"/>
        <v>4.5199999999999997E-2</v>
      </c>
      <c r="AC114" s="311">
        <f t="shared" si="185"/>
        <v>4.5199999999999997E-2</v>
      </c>
      <c r="AD114" s="311">
        <f t="shared" si="185"/>
        <v>4.5199999999999997E-2</v>
      </c>
      <c r="AE114" s="311">
        <f t="shared" si="185"/>
        <v>4.5199999999999997E-2</v>
      </c>
      <c r="AF114" s="311">
        <f t="shared" si="185"/>
        <v>4.5199999999999997E-2</v>
      </c>
      <c r="AG114" s="311">
        <f t="shared" si="185"/>
        <v>4.5199999999999997E-2</v>
      </c>
      <c r="AH114" s="311">
        <f t="shared" si="185"/>
        <v>4.5199999999999997E-2</v>
      </c>
      <c r="AI114" s="311">
        <f t="shared" si="185"/>
        <v>4.5199999999999997E-2</v>
      </c>
      <c r="AJ114" s="311">
        <f t="shared" si="185"/>
        <v>4.5199999999999997E-2</v>
      </c>
      <c r="AK114" s="311">
        <f t="shared" si="185"/>
        <v>4.5199999999999997E-2</v>
      </c>
      <c r="AL114" s="311">
        <f t="shared" si="185"/>
        <v>4.5199999999999997E-2</v>
      </c>
      <c r="AM114" s="311">
        <f t="shared" si="185"/>
        <v>4.5199999999999997E-2</v>
      </c>
      <c r="AN114" s="311">
        <f t="shared" si="185"/>
        <v>4.5199999999999997E-2</v>
      </c>
      <c r="AO114" s="311">
        <f t="shared" si="185"/>
        <v>4.5199999999999997E-2</v>
      </c>
      <c r="AP114" s="311">
        <f t="shared" ref="AP114:BJ114" si="186">+$L$114</f>
        <v>4.5199999999999997E-2</v>
      </c>
      <c r="AQ114" s="311">
        <f t="shared" si="186"/>
        <v>4.5199999999999997E-2</v>
      </c>
      <c r="AR114" s="311">
        <f t="shared" si="186"/>
        <v>4.5199999999999997E-2</v>
      </c>
      <c r="AS114" s="311">
        <f t="shared" si="186"/>
        <v>4.5199999999999997E-2</v>
      </c>
      <c r="AT114" s="311">
        <f t="shared" si="186"/>
        <v>4.5199999999999997E-2</v>
      </c>
      <c r="AU114" s="311">
        <f t="shared" si="186"/>
        <v>4.5199999999999997E-2</v>
      </c>
      <c r="AV114" s="311">
        <f t="shared" si="186"/>
        <v>4.5199999999999997E-2</v>
      </c>
      <c r="AW114" s="311">
        <f t="shared" si="186"/>
        <v>4.5199999999999997E-2</v>
      </c>
      <c r="AX114" s="311">
        <f t="shared" si="186"/>
        <v>4.5199999999999997E-2</v>
      </c>
      <c r="AY114" s="311">
        <f t="shared" si="186"/>
        <v>4.5199999999999997E-2</v>
      </c>
      <c r="AZ114" s="311">
        <f t="shared" si="186"/>
        <v>4.5199999999999997E-2</v>
      </c>
      <c r="BA114" s="311">
        <f t="shared" si="186"/>
        <v>4.5199999999999997E-2</v>
      </c>
      <c r="BB114" s="311">
        <f t="shared" si="186"/>
        <v>4.5199999999999997E-2</v>
      </c>
      <c r="BC114" s="311">
        <f t="shared" si="186"/>
        <v>4.5199999999999997E-2</v>
      </c>
      <c r="BD114" s="311">
        <f t="shared" si="186"/>
        <v>4.5199999999999997E-2</v>
      </c>
      <c r="BE114" s="311">
        <f t="shared" si="186"/>
        <v>4.5199999999999997E-2</v>
      </c>
      <c r="BF114" s="311">
        <f t="shared" si="186"/>
        <v>4.5199999999999997E-2</v>
      </c>
      <c r="BG114" s="311">
        <f t="shared" si="186"/>
        <v>4.5199999999999997E-2</v>
      </c>
      <c r="BH114" s="311">
        <f t="shared" si="186"/>
        <v>4.5199999999999997E-2</v>
      </c>
      <c r="BI114" s="311">
        <f t="shared" si="186"/>
        <v>4.5199999999999997E-2</v>
      </c>
      <c r="BJ114" s="311">
        <f t="shared" si="186"/>
        <v>4.5199999999999997E-2</v>
      </c>
      <c r="BK114" s="311"/>
      <c r="BL114" s="311"/>
      <c r="BM114" s="311"/>
      <c r="BN114" s="311"/>
      <c r="BO114" s="311"/>
      <c r="BP114" s="311"/>
      <c r="BQ114" s="311"/>
      <c r="BR114" s="311"/>
      <c r="BS114" s="311"/>
      <c r="BT114" s="311"/>
      <c r="BU114" s="311"/>
    </row>
    <row r="115" spans="1:73" x14ac:dyDescent="0.2">
      <c r="A115" s="299"/>
      <c r="B115" s="299"/>
      <c r="C115" s="443" t="s">
        <v>175</v>
      </c>
      <c r="D115" s="444"/>
      <c r="E115" s="444"/>
      <c r="F115" s="444"/>
      <c r="G115" s="444"/>
      <c r="H115" s="444"/>
      <c r="I115" s="444"/>
      <c r="J115" s="444"/>
      <c r="K115" s="634" t="s">
        <v>20</v>
      </c>
      <c r="L115" s="444"/>
      <c r="M115" s="444"/>
      <c r="N115" s="444"/>
      <c r="O115" s="445"/>
      <c r="P115" s="443"/>
      <c r="Q115" s="459"/>
      <c r="R115" s="459">
        <f t="shared" ref="R115:AO115" si="187">+R114</f>
        <v>4.5199999999999997E-2</v>
      </c>
      <c r="S115" s="459">
        <f t="shared" si="187"/>
        <v>4.5199999999999997E-2</v>
      </c>
      <c r="T115" s="459">
        <f t="shared" si="187"/>
        <v>4.5199999999999997E-2</v>
      </c>
      <c r="U115" s="459">
        <f t="shared" si="187"/>
        <v>4.5199999999999997E-2</v>
      </c>
      <c r="V115" s="459">
        <f t="shared" si="187"/>
        <v>4.5199999999999997E-2</v>
      </c>
      <c r="W115" s="459">
        <f t="shared" si="187"/>
        <v>4.5199999999999997E-2</v>
      </c>
      <c r="X115" s="459">
        <f t="shared" si="187"/>
        <v>4.5199999999999997E-2</v>
      </c>
      <c r="Y115" s="459">
        <f t="shared" si="187"/>
        <v>4.5199999999999997E-2</v>
      </c>
      <c r="Z115" s="459">
        <f t="shared" si="187"/>
        <v>4.5199999999999997E-2</v>
      </c>
      <c r="AA115" s="459">
        <f t="shared" si="187"/>
        <v>4.5199999999999997E-2</v>
      </c>
      <c r="AB115" s="459">
        <f t="shared" si="187"/>
        <v>4.5199999999999997E-2</v>
      </c>
      <c r="AC115" s="459">
        <f t="shared" si="187"/>
        <v>4.5199999999999997E-2</v>
      </c>
      <c r="AD115" s="459">
        <f t="shared" si="187"/>
        <v>4.5199999999999997E-2</v>
      </c>
      <c r="AE115" s="459">
        <f t="shared" si="187"/>
        <v>4.5199999999999997E-2</v>
      </c>
      <c r="AF115" s="459">
        <f t="shared" si="187"/>
        <v>4.5199999999999997E-2</v>
      </c>
      <c r="AG115" s="459">
        <f t="shared" si="187"/>
        <v>4.5199999999999997E-2</v>
      </c>
      <c r="AH115" s="459">
        <f t="shared" si="187"/>
        <v>4.5199999999999997E-2</v>
      </c>
      <c r="AI115" s="459">
        <f t="shared" si="187"/>
        <v>4.5199999999999997E-2</v>
      </c>
      <c r="AJ115" s="459">
        <f t="shared" si="187"/>
        <v>4.5199999999999997E-2</v>
      </c>
      <c r="AK115" s="459">
        <f t="shared" si="187"/>
        <v>4.5199999999999997E-2</v>
      </c>
      <c r="AL115" s="459">
        <f t="shared" si="187"/>
        <v>4.5199999999999997E-2</v>
      </c>
      <c r="AM115" s="459">
        <f t="shared" si="187"/>
        <v>4.5199999999999997E-2</v>
      </c>
      <c r="AN115" s="459">
        <f t="shared" si="187"/>
        <v>4.5199999999999997E-2</v>
      </c>
      <c r="AO115" s="459">
        <f t="shared" si="187"/>
        <v>4.5199999999999997E-2</v>
      </c>
      <c r="AP115" s="459">
        <f t="shared" ref="AP115:BJ115" si="188">+AP114</f>
        <v>4.5199999999999997E-2</v>
      </c>
      <c r="AQ115" s="459">
        <f t="shared" si="188"/>
        <v>4.5199999999999997E-2</v>
      </c>
      <c r="AR115" s="459">
        <f t="shared" si="188"/>
        <v>4.5199999999999997E-2</v>
      </c>
      <c r="AS115" s="459">
        <f t="shared" si="188"/>
        <v>4.5199999999999997E-2</v>
      </c>
      <c r="AT115" s="459">
        <f t="shared" si="188"/>
        <v>4.5199999999999997E-2</v>
      </c>
      <c r="AU115" s="459">
        <f t="shared" si="188"/>
        <v>4.5199999999999997E-2</v>
      </c>
      <c r="AV115" s="459">
        <f t="shared" si="188"/>
        <v>4.5199999999999997E-2</v>
      </c>
      <c r="AW115" s="459">
        <f t="shared" si="188"/>
        <v>4.5199999999999997E-2</v>
      </c>
      <c r="AX115" s="459">
        <f t="shared" si="188"/>
        <v>4.5199999999999997E-2</v>
      </c>
      <c r="AY115" s="459">
        <f t="shared" si="188"/>
        <v>4.5199999999999997E-2</v>
      </c>
      <c r="AZ115" s="459">
        <f t="shared" si="188"/>
        <v>4.5199999999999997E-2</v>
      </c>
      <c r="BA115" s="459">
        <f t="shared" si="188"/>
        <v>4.5199999999999997E-2</v>
      </c>
      <c r="BB115" s="459">
        <f t="shared" si="188"/>
        <v>4.5199999999999997E-2</v>
      </c>
      <c r="BC115" s="459">
        <f t="shared" si="188"/>
        <v>4.5199999999999997E-2</v>
      </c>
      <c r="BD115" s="459">
        <f t="shared" si="188"/>
        <v>4.5199999999999997E-2</v>
      </c>
      <c r="BE115" s="459">
        <f t="shared" si="188"/>
        <v>4.5199999999999997E-2</v>
      </c>
      <c r="BF115" s="459">
        <f t="shared" si="188"/>
        <v>4.5199999999999997E-2</v>
      </c>
      <c r="BG115" s="459">
        <f t="shared" si="188"/>
        <v>4.5199999999999997E-2</v>
      </c>
      <c r="BH115" s="459">
        <f t="shared" si="188"/>
        <v>4.5199999999999997E-2</v>
      </c>
      <c r="BI115" s="459">
        <f t="shared" si="188"/>
        <v>4.5199999999999997E-2</v>
      </c>
      <c r="BJ115" s="459">
        <f t="shared" si="188"/>
        <v>4.5199999999999997E-2</v>
      </c>
      <c r="BK115" s="459"/>
      <c r="BL115" s="459"/>
      <c r="BM115" s="459"/>
      <c r="BN115" s="459"/>
      <c r="BO115" s="459"/>
      <c r="BP115" s="459"/>
      <c r="BQ115" s="459"/>
      <c r="BR115" s="459"/>
      <c r="BS115" s="459"/>
      <c r="BT115" s="459"/>
      <c r="BU115" s="459"/>
    </row>
    <row r="116" spans="1:73" x14ac:dyDescent="0.2">
      <c r="A116" s="299"/>
      <c r="B116" s="299"/>
      <c r="C116" s="299"/>
      <c r="D116" s="299"/>
      <c r="E116" s="448"/>
      <c r="F116" s="448"/>
      <c r="G116" s="299"/>
      <c r="H116" s="299"/>
      <c r="I116" s="449"/>
      <c r="J116" s="449"/>
      <c r="K116" s="449"/>
      <c r="L116" s="449"/>
      <c r="M116" s="449"/>
      <c r="N116" s="449"/>
      <c r="O116" s="449"/>
      <c r="P116" s="449"/>
      <c r="Q116" s="450"/>
      <c r="R116" s="450"/>
      <c r="S116" s="450"/>
      <c r="T116" s="450"/>
      <c r="U116" s="450"/>
      <c r="V116" s="450"/>
      <c r="W116" s="450"/>
      <c r="X116" s="450"/>
      <c r="Y116" s="450"/>
      <c r="Z116" s="450"/>
      <c r="AA116" s="450"/>
      <c r="AB116" s="450"/>
      <c r="AC116" s="450"/>
      <c r="AD116" s="450"/>
      <c r="AE116" s="450"/>
      <c r="AF116" s="450"/>
      <c r="AG116" s="450"/>
      <c r="AH116" s="450"/>
      <c r="AI116" s="450"/>
      <c r="AJ116" s="450"/>
      <c r="AK116" s="450"/>
      <c r="AL116" s="450"/>
      <c r="AM116" s="450"/>
      <c r="AN116" s="450"/>
      <c r="AO116" s="450"/>
      <c r="AP116" s="450"/>
      <c r="AQ116" s="450"/>
      <c r="AR116" s="450"/>
      <c r="AS116" s="450"/>
      <c r="AT116" s="450"/>
      <c r="AU116" s="450"/>
      <c r="AV116" s="450"/>
      <c r="AW116" s="450"/>
      <c r="AX116" s="450"/>
      <c r="AY116" s="450"/>
      <c r="AZ116" s="450"/>
      <c r="BA116" s="450"/>
      <c r="BB116" s="450"/>
      <c r="BC116" s="450"/>
      <c r="BD116" s="450"/>
      <c r="BE116" s="450"/>
      <c r="BF116" s="450"/>
      <c r="BG116" s="450"/>
      <c r="BH116" s="450"/>
      <c r="BI116" s="450"/>
      <c r="BJ116" s="450"/>
      <c r="BK116" s="450"/>
      <c r="BL116" s="450"/>
      <c r="BM116" s="450"/>
      <c r="BN116" s="450"/>
      <c r="BO116" s="450"/>
      <c r="BP116" s="450"/>
      <c r="BQ116" s="450"/>
      <c r="BR116" s="450"/>
      <c r="BS116" s="450"/>
      <c r="BT116" s="450"/>
      <c r="BU116" s="450"/>
    </row>
    <row r="117" spans="1:73" x14ac:dyDescent="0.2">
      <c r="A117" s="299"/>
      <c r="B117" s="299"/>
      <c r="C117" s="299"/>
      <c r="D117" s="299"/>
      <c r="E117" s="448"/>
      <c r="F117" s="448"/>
      <c r="G117" s="299"/>
      <c r="H117" s="299"/>
      <c r="I117" s="449"/>
      <c r="J117" s="449"/>
      <c r="K117" s="449"/>
      <c r="L117" s="449"/>
      <c r="M117" s="449"/>
      <c r="N117" s="449"/>
      <c r="O117" s="449"/>
      <c r="P117" s="449"/>
      <c r="Q117" s="449"/>
      <c r="R117" s="449"/>
      <c r="S117" s="449"/>
      <c r="T117" s="449"/>
      <c r="U117" s="449"/>
      <c r="V117" s="449"/>
      <c r="W117" s="449"/>
      <c r="X117" s="449"/>
      <c r="Y117" s="449"/>
      <c r="Z117" s="449"/>
      <c r="AA117" s="449"/>
      <c r="AB117" s="449"/>
      <c r="AC117" s="449"/>
      <c r="AD117" s="449"/>
      <c r="AE117" s="449"/>
      <c r="AF117" s="449"/>
      <c r="AG117" s="449"/>
      <c r="AH117" s="449"/>
      <c r="AI117" s="449"/>
      <c r="AJ117" s="449"/>
      <c r="AK117" s="449"/>
      <c r="AL117" s="449"/>
      <c r="AM117" s="449"/>
      <c r="AN117" s="449"/>
      <c r="AO117" s="449"/>
      <c r="AP117" s="449"/>
      <c r="AQ117" s="449"/>
      <c r="AR117" s="449"/>
      <c r="AS117" s="449"/>
      <c r="AT117" s="449"/>
      <c r="AU117" s="449"/>
      <c r="AV117" s="449"/>
      <c r="AW117" s="449"/>
      <c r="AX117" s="449"/>
      <c r="AY117" s="449"/>
      <c r="AZ117" s="449"/>
      <c r="BA117" s="449"/>
      <c r="BB117" s="449"/>
      <c r="BC117" s="449"/>
      <c r="BD117" s="449"/>
      <c r="BE117" s="449"/>
      <c r="BF117" s="449"/>
      <c r="BG117" s="449"/>
      <c r="BH117" s="449"/>
      <c r="BI117" s="449"/>
      <c r="BJ117" s="449"/>
      <c r="BK117" s="449"/>
      <c r="BL117" s="449"/>
      <c r="BM117" s="449"/>
      <c r="BN117" s="449"/>
      <c r="BO117" s="449"/>
      <c r="BP117" s="449"/>
      <c r="BQ117" s="449"/>
      <c r="BR117" s="449"/>
      <c r="BS117" s="449"/>
      <c r="BT117" s="449"/>
      <c r="BU117" s="449"/>
    </row>
    <row r="118" spans="1:73" x14ac:dyDescent="0.2">
      <c r="A118" s="299"/>
      <c r="B118" s="299"/>
      <c r="C118" s="299" t="s">
        <v>185</v>
      </c>
      <c r="D118" s="299"/>
      <c r="E118" s="299"/>
      <c r="F118" s="299"/>
      <c r="G118" s="299"/>
      <c r="H118" s="299"/>
      <c r="I118" s="299"/>
      <c r="J118" s="299"/>
      <c r="K118" s="410" t="s">
        <v>62</v>
      </c>
      <c r="L118" s="299"/>
      <c r="M118" s="299"/>
      <c r="N118" s="417">
        <f t="shared" ref="N118:N120" si="189">SUM(Q118:BJ118)</f>
        <v>108527.94774711391</v>
      </c>
      <c r="O118" s="299"/>
      <c r="P118" s="299"/>
      <c r="Q118" s="417"/>
      <c r="R118" s="417">
        <f t="shared" ref="R118:BJ118" si="190">+R130 * R105</f>
        <v>34706.678972905356</v>
      </c>
      <c r="S118" s="417">
        <f t="shared" si="190"/>
        <v>36293.173843853452</v>
      </c>
      <c r="T118" s="417">
        <f t="shared" si="190"/>
        <v>37528.094930355095</v>
      </c>
      <c r="U118" s="417">
        <f t="shared" si="190"/>
        <v>0</v>
      </c>
      <c r="V118" s="417">
        <f t="shared" si="190"/>
        <v>0</v>
      </c>
      <c r="W118" s="417">
        <f t="shared" si="190"/>
        <v>0</v>
      </c>
      <c r="X118" s="417">
        <f t="shared" si="190"/>
        <v>0</v>
      </c>
      <c r="Y118" s="417">
        <f t="shared" si="190"/>
        <v>0</v>
      </c>
      <c r="Z118" s="417">
        <f t="shared" si="190"/>
        <v>0</v>
      </c>
      <c r="AA118" s="417">
        <f t="shared" si="190"/>
        <v>0</v>
      </c>
      <c r="AB118" s="417">
        <f t="shared" si="190"/>
        <v>0</v>
      </c>
      <c r="AC118" s="417">
        <f t="shared" si="190"/>
        <v>0</v>
      </c>
      <c r="AD118" s="417">
        <f t="shared" si="190"/>
        <v>0</v>
      </c>
      <c r="AE118" s="417">
        <f t="shared" si="190"/>
        <v>0</v>
      </c>
      <c r="AF118" s="417">
        <f t="shared" si="190"/>
        <v>0</v>
      </c>
      <c r="AG118" s="417">
        <f t="shared" si="190"/>
        <v>0</v>
      </c>
      <c r="AH118" s="417">
        <f t="shared" si="190"/>
        <v>0</v>
      </c>
      <c r="AI118" s="417">
        <f t="shared" si="190"/>
        <v>0</v>
      </c>
      <c r="AJ118" s="417">
        <f t="shared" si="190"/>
        <v>0</v>
      </c>
      <c r="AK118" s="417">
        <f t="shared" si="190"/>
        <v>0</v>
      </c>
      <c r="AL118" s="417">
        <f t="shared" si="190"/>
        <v>0</v>
      </c>
      <c r="AM118" s="417">
        <f t="shared" si="190"/>
        <v>0</v>
      </c>
      <c r="AN118" s="417">
        <f t="shared" si="190"/>
        <v>0</v>
      </c>
      <c r="AO118" s="417">
        <f t="shared" si="190"/>
        <v>0</v>
      </c>
      <c r="AP118" s="417">
        <f t="shared" si="190"/>
        <v>0</v>
      </c>
      <c r="AQ118" s="417">
        <f t="shared" si="190"/>
        <v>0</v>
      </c>
      <c r="AR118" s="417">
        <f t="shared" si="190"/>
        <v>0</v>
      </c>
      <c r="AS118" s="417">
        <f t="shared" si="190"/>
        <v>0</v>
      </c>
      <c r="AT118" s="417">
        <f t="shared" si="190"/>
        <v>0</v>
      </c>
      <c r="AU118" s="417">
        <f t="shared" si="190"/>
        <v>0</v>
      </c>
      <c r="AV118" s="417">
        <f t="shared" si="190"/>
        <v>0</v>
      </c>
      <c r="AW118" s="417">
        <f t="shared" si="190"/>
        <v>0</v>
      </c>
      <c r="AX118" s="417">
        <f t="shared" si="190"/>
        <v>0</v>
      </c>
      <c r="AY118" s="417">
        <f t="shared" si="190"/>
        <v>0</v>
      </c>
      <c r="AZ118" s="417">
        <f t="shared" si="190"/>
        <v>0</v>
      </c>
      <c r="BA118" s="417">
        <f t="shared" si="190"/>
        <v>0</v>
      </c>
      <c r="BB118" s="417">
        <f t="shared" si="190"/>
        <v>0</v>
      </c>
      <c r="BC118" s="417">
        <f t="shared" si="190"/>
        <v>0</v>
      </c>
      <c r="BD118" s="417">
        <f t="shared" si="190"/>
        <v>0</v>
      </c>
      <c r="BE118" s="417">
        <f t="shared" si="190"/>
        <v>0</v>
      </c>
      <c r="BF118" s="417">
        <f t="shared" si="190"/>
        <v>0</v>
      </c>
      <c r="BG118" s="417">
        <f t="shared" si="190"/>
        <v>0</v>
      </c>
      <c r="BH118" s="417">
        <f t="shared" si="190"/>
        <v>0</v>
      </c>
      <c r="BI118" s="417">
        <f t="shared" si="190"/>
        <v>0</v>
      </c>
      <c r="BJ118" s="417">
        <f t="shared" si="190"/>
        <v>0</v>
      </c>
      <c r="BK118" s="417"/>
      <c r="BL118" s="417"/>
      <c r="BM118" s="417"/>
      <c r="BN118" s="417"/>
      <c r="BO118" s="417"/>
      <c r="BP118" s="417"/>
      <c r="BQ118" s="417"/>
      <c r="BR118" s="417"/>
      <c r="BS118" s="417"/>
      <c r="BT118" s="417"/>
      <c r="BU118" s="417"/>
    </row>
    <row r="119" spans="1:73" x14ac:dyDescent="0.2">
      <c r="A119" s="299"/>
      <c r="B119" s="299"/>
      <c r="C119" s="299" t="s">
        <v>186</v>
      </c>
      <c r="D119" s="299"/>
      <c r="E119" s="299"/>
      <c r="F119" s="299"/>
      <c r="G119" s="299"/>
      <c r="H119" s="299"/>
      <c r="I119" s="299"/>
      <c r="J119" s="299"/>
      <c r="K119" s="410" t="s">
        <v>62</v>
      </c>
      <c r="L119" s="299"/>
      <c r="M119" s="299"/>
      <c r="N119" s="417">
        <f t="shared" si="189"/>
        <v>764759.59440849768</v>
      </c>
      <c r="O119" s="299"/>
      <c r="P119" s="299"/>
      <c r="Q119" s="417"/>
      <c r="R119" s="417">
        <f t="shared" ref="R119:AO119" si="191">+R130</f>
        <v>34706.678972905356</v>
      </c>
      <c r="S119" s="417">
        <f t="shared" si="191"/>
        <v>36293.173843853452</v>
      </c>
      <c r="T119" s="417">
        <f t="shared" si="191"/>
        <v>37528.094930355095</v>
      </c>
      <c r="U119" s="417">
        <f t="shared" si="191"/>
        <v>38350.607335617889</v>
      </c>
      <c r="V119" s="417">
        <f t="shared" si="191"/>
        <v>38350.607335617889</v>
      </c>
      <c r="W119" s="417">
        <f t="shared" si="191"/>
        <v>38350.607335617889</v>
      </c>
      <c r="X119" s="417">
        <f t="shared" si="191"/>
        <v>38350.607335617889</v>
      </c>
      <c r="Y119" s="417">
        <f t="shared" si="191"/>
        <v>38337.669724726009</v>
      </c>
      <c r="Z119" s="417">
        <f t="shared" si="191"/>
        <v>38173.303355345735</v>
      </c>
      <c r="AA119" s="417">
        <f t="shared" si="191"/>
        <v>37582.005737129424</v>
      </c>
      <c r="AB119" s="417">
        <f t="shared" si="191"/>
        <v>37006.189673607616</v>
      </c>
      <c r="AC119" s="417">
        <f t="shared" si="191"/>
        <v>36603.405771874575</v>
      </c>
      <c r="AD119" s="417">
        <f t="shared" si="191"/>
        <v>36375.960420083495</v>
      </c>
      <c r="AE119" s="417">
        <f t="shared" si="191"/>
        <v>36312.339336189019</v>
      </c>
      <c r="AF119" s="417">
        <f t="shared" si="191"/>
        <v>36229.168988251433</v>
      </c>
      <c r="AG119" s="417">
        <f t="shared" si="191"/>
        <v>35518.460701668344</v>
      </c>
      <c r="AH119" s="417">
        <f t="shared" si="191"/>
        <v>34432.923214893875</v>
      </c>
      <c r="AI119" s="417">
        <f t="shared" si="191"/>
        <v>32820.442946167299</v>
      </c>
      <c r="AJ119" s="417">
        <f t="shared" si="191"/>
        <v>30195.111254534899</v>
      </c>
      <c r="AK119" s="417">
        <f t="shared" si="191"/>
        <v>26513.453107909398</v>
      </c>
      <c r="AL119" s="417">
        <f t="shared" si="191"/>
        <v>22055.204026455205</v>
      </c>
      <c r="AM119" s="417">
        <f t="shared" si="191"/>
        <v>16443.386713211112</v>
      </c>
      <c r="AN119" s="417">
        <f t="shared" si="191"/>
        <v>8230.1923468647765</v>
      </c>
      <c r="AO119" s="417">
        <f t="shared" si="191"/>
        <v>0</v>
      </c>
      <c r="AP119" s="417">
        <f t="shared" ref="AP119:BJ119" si="192">+AP130</f>
        <v>0</v>
      </c>
      <c r="AQ119" s="417">
        <f t="shared" si="192"/>
        <v>0</v>
      </c>
      <c r="AR119" s="417">
        <f t="shared" si="192"/>
        <v>0</v>
      </c>
      <c r="AS119" s="417">
        <f t="shared" si="192"/>
        <v>0</v>
      </c>
      <c r="AT119" s="417">
        <f t="shared" si="192"/>
        <v>0</v>
      </c>
      <c r="AU119" s="417">
        <f t="shared" si="192"/>
        <v>0</v>
      </c>
      <c r="AV119" s="417">
        <f t="shared" si="192"/>
        <v>0</v>
      </c>
      <c r="AW119" s="417">
        <f t="shared" si="192"/>
        <v>0</v>
      </c>
      <c r="AX119" s="417">
        <f t="shared" si="192"/>
        <v>0</v>
      </c>
      <c r="AY119" s="417">
        <f t="shared" si="192"/>
        <v>0</v>
      </c>
      <c r="AZ119" s="417">
        <f t="shared" si="192"/>
        <v>0</v>
      </c>
      <c r="BA119" s="417">
        <f t="shared" si="192"/>
        <v>0</v>
      </c>
      <c r="BB119" s="417">
        <f t="shared" si="192"/>
        <v>0</v>
      </c>
      <c r="BC119" s="417">
        <f t="shared" si="192"/>
        <v>0</v>
      </c>
      <c r="BD119" s="417">
        <f t="shared" si="192"/>
        <v>0</v>
      </c>
      <c r="BE119" s="417">
        <f t="shared" si="192"/>
        <v>0</v>
      </c>
      <c r="BF119" s="417">
        <f t="shared" si="192"/>
        <v>0</v>
      </c>
      <c r="BG119" s="417">
        <f t="shared" si="192"/>
        <v>0</v>
      </c>
      <c r="BH119" s="417">
        <f t="shared" si="192"/>
        <v>0</v>
      </c>
      <c r="BI119" s="417">
        <f t="shared" si="192"/>
        <v>0</v>
      </c>
      <c r="BJ119" s="417">
        <f t="shared" si="192"/>
        <v>0</v>
      </c>
      <c r="BK119" s="417"/>
      <c r="BL119" s="417"/>
      <c r="BM119" s="417"/>
      <c r="BN119" s="417"/>
      <c r="BO119" s="417"/>
      <c r="BP119" s="417"/>
      <c r="BQ119" s="417"/>
      <c r="BR119" s="417"/>
      <c r="BS119" s="417"/>
      <c r="BT119" s="417"/>
      <c r="BU119" s="417"/>
    </row>
    <row r="120" spans="1:73" x14ac:dyDescent="0.2">
      <c r="A120" s="299"/>
      <c r="B120" s="299"/>
      <c r="C120" s="299" t="s">
        <v>120</v>
      </c>
      <c r="D120" s="299"/>
      <c r="E120" s="299"/>
      <c r="F120" s="299"/>
      <c r="G120" s="299"/>
      <c r="H120" s="299"/>
      <c r="I120" s="299"/>
      <c r="J120" s="299"/>
      <c r="K120" s="410" t="s">
        <v>62</v>
      </c>
      <c r="L120" s="299"/>
      <c r="M120" s="299"/>
      <c r="N120" s="417">
        <f t="shared" si="189"/>
        <v>675562.56448415481</v>
      </c>
      <c r="O120" s="299"/>
      <c r="P120" s="299"/>
      <c r="Q120" s="416"/>
      <c r="R120" s="417">
        <f t="shared" ref="R120:AO120" si="193" xml:space="preserve"> - R131 + -R132</f>
        <v>0</v>
      </c>
      <c r="S120" s="417">
        <f t="shared" si="193"/>
        <v>0</v>
      </c>
      <c r="T120" s="417">
        <f t="shared" si="193"/>
        <v>19330.9178227712</v>
      </c>
      <c r="U120" s="417">
        <f t="shared" si="193"/>
        <v>38350.607335617889</v>
      </c>
      <c r="V120" s="417">
        <f t="shared" si="193"/>
        <v>38350.607335617889</v>
      </c>
      <c r="W120" s="417">
        <f t="shared" si="193"/>
        <v>38350.607335617889</v>
      </c>
      <c r="X120" s="417">
        <f t="shared" si="193"/>
        <v>38350.607335617889</v>
      </c>
      <c r="Y120" s="417">
        <f t="shared" si="193"/>
        <v>38337.669724726009</v>
      </c>
      <c r="Z120" s="417">
        <f t="shared" si="193"/>
        <v>38173.303355345735</v>
      </c>
      <c r="AA120" s="417">
        <f t="shared" si="193"/>
        <v>37582.005737129424</v>
      </c>
      <c r="AB120" s="417">
        <f t="shared" si="193"/>
        <v>37006.189673607616</v>
      </c>
      <c r="AC120" s="417">
        <f t="shared" si="193"/>
        <v>36603.405771874575</v>
      </c>
      <c r="AD120" s="417">
        <f t="shared" si="193"/>
        <v>36375.960420083495</v>
      </c>
      <c r="AE120" s="417">
        <f t="shared" si="193"/>
        <v>36312.339336189019</v>
      </c>
      <c r="AF120" s="417">
        <f t="shared" si="193"/>
        <v>36229.168988251433</v>
      </c>
      <c r="AG120" s="417">
        <f t="shared" si="193"/>
        <v>35518.460701668344</v>
      </c>
      <c r="AH120" s="417">
        <f t="shared" si="193"/>
        <v>34432.923214893875</v>
      </c>
      <c r="AI120" s="417">
        <f t="shared" si="193"/>
        <v>32820.442946167299</v>
      </c>
      <c r="AJ120" s="417">
        <f t="shared" si="193"/>
        <v>30195.111254534899</v>
      </c>
      <c r="AK120" s="417">
        <f t="shared" si="193"/>
        <v>26513.453107909398</v>
      </c>
      <c r="AL120" s="417">
        <f t="shared" si="193"/>
        <v>22055.204026455205</v>
      </c>
      <c r="AM120" s="417">
        <f t="shared" si="193"/>
        <v>16443.386713211112</v>
      </c>
      <c r="AN120" s="417">
        <f t="shared" si="193"/>
        <v>8230.1923468647765</v>
      </c>
      <c r="AO120" s="417">
        <f t="shared" si="193"/>
        <v>0</v>
      </c>
      <c r="AP120" s="417">
        <f t="shared" ref="AP120:BJ120" si="194" xml:space="preserve"> - AP131 + -AP132</f>
        <v>0</v>
      </c>
      <c r="AQ120" s="417">
        <f t="shared" si="194"/>
        <v>0</v>
      </c>
      <c r="AR120" s="417">
        <f t="shared" si="194"/>
        <v>0</v>
      </c>
      <c r="AS120" s="417">
        <f t="shared" si="194"/>
        <v>0</v>
      </c>
      <c r="AT120" s="417">
        <f t="shared" si="194"/>
        <v>0</v>
      </c>
      <c r="AU120" s="417">
        <f t="shared" si="194"/>
        <v>0</v>
      </c>
      <c r="AV120" s="417">
        <f t="shared" si="194"/>
        <v>0</v>
      </c>
      <c r="AW120" s="417">
        <f t="shared" si="194"/>
        <v>0</v>
      </c>
      <c r="AX120" s="417">
        <f t="shared" si="194"/>
        <v>0</v>
      </c>
      <c r="AY120" s="417">
        <f t="shared" si="194"/>
        <v>0</v>
      </c>
      <c r="AZ120" s="417">
        <f t="shared" si="194"/>
        <v>0</v>
      </c>
      <c r="BA120" s="417">
        <f t="shared" si="194"/>
        <v>0</v>
      </c>
      <c r="BB120" s="417">
        <f t="shared" si="194"/>
        <v>0</v>
      </c>
      <c r="BC120" s="417">
        <f t="shared" si="194"/>
        <v>0</v>
      </c>
      <c r="BD120" s="417">
        <f t="shared" si="194"/>
        <v>0</v>
      </c>
      <c r="BE120" s="417">
        <f t="shared" si="194"/>
        <v>0</v>
      </c>
      <c r="BF120" s="417">
        <f t="shared" si="194"/>
        <v>0</v>
      </c>
      <c r="BG120" s="417">
        <f t="shared" si="194"/>
        <v>0</v>
      </c>
      <c r="BH120" s="417">
        <f t="shared" si="194"/>
        <v>0</v>
      </c>
      <c r="BI120" s="417">
        <f t="shared" si="194"/>
        <v>0</v>
      </c>
      <c r="BJ120" s="417">
        <f t="shared" si="194"/>
        <v>0</v>
      </c>
      <c r="BK120" s="417"/>
      <c r="BL120" s="417"/>
      <c r="BM120" s="417"/>
      <c r="BN120" s="417"/>
      <c r="BO120" s="417"/>
      <c r="BP120" s="417"/>
      <c r="BQ120" s="417"/>
      <c r="BR120" s="417"/>
      <c r="BS120" s="417"/>
      <c r="BT120" s="417"/>
      <c r="BU120" s="417"/>
    </row>
    <row r="121" spans="1:73" x14ac:dyDescent="0.2">
      <c r="A121" s="299"/>
      <c r="B121" s="439"/>
      <c r="C121" s="299"/>
      <c r="D121" s="299"/>
      <c r="E121" s="299"/>
      <c r="F121" s="299"/>
      <c r="G121" s="299"/>
      <c r="H121" s="299"/>
      <c r="I121" s="299"/>
      <c r="J121" s="299"/>
      <c r="K121" s="410"/>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299"/>
      <c r="BT121" s="299"/>
      <c r="BU121" s="299"/>
    </row>
    <row r="122" spans="1:73" x14ac:dyDescent="0.2">
      <c r="A122" s="299"/>
      <c r="B122" s="439" t="s">
        <v>163</v>
      </c>
      <c r="C122" s="299"/>
      <c r="D122" s="299"/>
      <c r="E122" s="299"/>
      <c r="F122" s="299"/>
      <c r="G122" s="299"/>
      <c r="H122" s="299"/>
      <c r="I122" s="299"/>
      <c r="J122" s="299"/>
      <c r="K122" s="410"/>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299"/>
      <c r="BT122" s="299"/>
      <c r="BU122" s="299"/>
    </row>
    <row r="123" spans="1:73" x14ac:dyDescent="0.2">
      <c r="A123" s="299"/>
      <c r="B123" s="299"/>
      <c r="C123" s="299" t="s">
        <v>430</v>
      </c>
      <c r="D123" s="299"/>
      <c r="E123" s="299"/>
      <c r="F123" s="299"/>
      <c r="G123" s="299"/>
      <c r="H123" s="299"/>
      <c r="I123" s="299"/>
      <c r="J123" s="299"/>
      <c r="K123" s="410" t="s">
        <v>62</v>
      </c>
      <c r="L123" s="299"/>
      <c r="M123" s="299"/>
      <c r="N123" s="417">
        <f t="shared" ref="N123" si="195">SUM(Q123:BJ123)</f>
        <v>1794.4636664588454</v>
      </c>
      <c r="O123" s="299"/>
      <c r="P123" s="299"/>
      <c r="Q123" s="299"/>
      <c r="R123" s="716">
        <v>0</v>
      </c>
      <c r="S123" s="716">
        <v>0</v>
      </c>
      <c r="T123" s="417">
        <f>IF(T143=1,IF(ROUND(T127,2)=0,0,Inputs!$L$98*T$110),IF(ROUND(T141,2)=0,0,Inputs!$L$98*T$110))+IF(T143=1,IF(ROUND(T127,2)=0,0,Inputs!$L$99*T$111),IF(ROUND(T141,2)=0,0,Inputs!$L$99*T$111))</f>
        <v>67.491689346742817</v>
      </c>
      <c r="U123" s="417">
        <f>IF(U143=1,IF(ROUND(U127,2)=0,0,Inputs!$L$98*U$110),IF(ROUND(U141,2)=0,0,Inputs!$L$98*U$110))+IF(U143=1,IF(ROUND(U127,2)=0,0,Inputs!$L$99*U$111),IF(ROUND(U141,2)=0,0,Inputs!$L$99*U$111))</f>
        <v>69.010252357044521</v>
      </c>
      <c r="V123" s="417">
        <f>IF(V143=1,IF(ROUND(V127,2)=0,0,Inputs!$L$98*V$110),IF(ROUND(V141,2)=0,0,Inputs!$L$98*V$110))+IF(V143=1,IF(ROUND(V127,2)=0,0,Inputs!$L$99*V$111),IF(ROUND(V141,2)=0,0,Inputs!$L$99*V$111))</f>
        <v>70.56298303507802</v>
      </c>
      <c r="W123" s="417">
        <f>IF(W143=1,IF(ROUND(W127,2)=0,0,Inputs!$L$98*W$110),IF(ROUND(W141,2)=0,0,Inputs!$L$98*W$110))+IF(W143=1,IF(ROUND(W127,2)=0,0,Inputs!$L$99*W$111),IF(ROUND(W141,2)=0,0,Inputs!$L$99*W$111))</f>
        <v>72.185931644884803</v>
      </c>
      <c r="X123" s="417">
        <f>IF(X143=1,IF(ROUND(X127,2)=0,0,Inputs!$L$98*X$110),IF(ROUND(X141,2)=0,0,Inputs!$L$98*X$110))+IF(X143=1,IF(ROUND(X127,2)=0,0,Inputs!$L$99*X$111),IF(ROUND(X141,2)=0,0,Inputs!$L$99*X$111))</f>
        <v>73.846208072717147</v>
      </c>
      <c r="Y123" s="417">
        <f>IF(Y143=1,IF(ROUND(Y127,2)=0,0,Inputs!$L$98*Y$110),IF(ROUND(Y141,2)=0,0,Inputs!$L$98*Y$110))+IF(Y143=1,IF(ROUND(Y127,2)=0,0,Inputs!$L$99*Y$111),IF(ROUND(Y141,2)=0,0,Inputs!$L$99*Y$111))</f>
        <v>75.544670858389637</v>
      </c>
      <c r="Z123" s="417">
        <f>IF(Z143=1,IF(ROUND(Z127,2)=0,0,Inputs!$L$98*Z$110),IF(ROUND(Z141,2)=0,0,Inputs!$L$98*Z$110))+IF(Z143=1,IF(ROUND(Z127,2)=0,0,Inputs!$L$99*Z$111),IF(ROUND(Z141,2)=0,0,Inputs!$L$99*Z$111))</f>
        <v>77.282198288132577</v>
      </c>
      <c r="AA123" s="417">
        <f>IF(AA143=1,IF(ROUND(AA127,2)=0,0,Inputs!$L$98*AA$110),IF(ROUND(AA141,2)=0,0,Inputs!$L$98*AA$110))+IF(AA143=1,IF(ROUND(AA127,2)=0,0,Inputs!$L$99*AA$111),IF(ROUND(AA141,2)=0,0,Inputs!$L$99*AA$111))</f>
        <v>79.059688848759635</v>
      </c>
      <c r="AB123" s="417">
        <f>IF(AB143=1,IF(ROUND(AB127,2)=0,0,Inputs!$L$98*AB$110),IF(ROUND(AB141,2)=0,0,Inputs!$L$98*AB$110))+IF(AB143=1,IF(ROUND(AB127,2)=0,0,Inputs!$L$99*AB$111),IF(ROUND(AB141,2)=0,0,Inputs!$L$99*AB$111))</f>
        <v>80.878061692281079</v>
      </c>
      <c r="AC123" s="417">
        <f>IF(AC143=1,IF(ROUND(AC127,2)=0,0,Inputs!$L$98*AC$110),IF(ROUND(AC141,2)=0,0,Inputs!$L$98*AC$110))+IF(AC143=1,IF(ROUND(AC127,2)=0,0,Inputs!$L$99*AC$111),IF(ROUND(AC141,2)=0,0,Inputs!$L$99*AC$111))</f>
        <v>82.738257111203552</v>
      </c>
      <c r="AD123" s="417">
        <f>IF(AD143=1,IF(ROUND(AD127,2)=0,0,Inputs!$L$98*AD$110),IF(ROUND(AD141,2)=0,0,Inputs!$L$98*AD$110))+IF(AD143=1,IF(ROUND(AD127,2)=0,0,Inputs!$L$99*AD$111),IF(ROUND(AD141,2)=0,0,Inputs!$L$99*AD$111))</f>
        <v>84.64123702476121</v>
      </c>
      <c r="AE123" s="417">
        <f>IF(AE143=1,IF(ROUND(AE127,2)=0,0,Inputs!$L$98*AE$110),IF(ROUND(AE141,2)=0,0,Inputs!$L$98*AE$110))+IF(AE143=1,IF(ROUND(AE127,2)=0,0,Inputs!$L$99*AE$111),IF(ROUND(AE141,2)=0,0,Inputs!$L$99*AE$111))</f>
        <v>86.587985476330715</v>
      </c>
      <c r="AF123" s="417">
        <f>IF(AF143=1,IF(ROUND(AF127,2)=0,0,Inputs!$L$98*AF$110),IF(ROUND(AF141,2)=0,0,Inputs!$L$98*AF$110))+IF(AF143=1,IF(ROUND(AF127,2)=0,0,Inputs!$L$99*AF$111),IF(ROUND(AF141,2)=0,0,Inputs!$L$99*AF$111))</f>
        <v>88.579509142286327</v>
      </c>
      <c r="AG123" s="417">
        <f>IF(AG143=1,IF(ROUND(AG127,2)=0,0,Inputs!$L$98*AG$110),IF(ROUND(AG141,2)=0,0,Inputs!$L$98*AG$110))+IF(AG143=1,IF(ROUND(AG127,2)=0,0,Inputs!$L$99*AG$111),IF(ROUND(AG141,2)=0,0,Inputs!$L$99*AG$111))</f>
        <v>90.616837852558902</v>
      </c>
      <c r="AH123" s="417">
        <f>IF(AH143=1,IF(ROUND(AH127,2)=0,0,Inputs!$L$98*AH$110),IF(ROUND(AH141,2)=0,0,Inputs!$L$98*AH$110))+IF(AH143=1,IF(ROUND(AH127,2)=0,0,Inputs!$L$99*AH$111),IF(ROUND(AH141,2)=0,0,Inputs!$L$99*AH$111))</f>
        <v>92.701025123167753</v>
      </c>
      <c r="AI123" s="417">
        <f>IF(AI143=1,IF(ROUND(AI127,2)=0,0,Inputs!$L$98*AI$110),IF(ROUND(AI141,2)=0,0,Inputs!$L$98*AI$110))+IF(AI143=1,IF(ROUND(AI127,2)=0,0,Inputs!$L$99*AI$111),IF(ROUND(AI141,2)=0,0,Inputs!$L$99*AI$111))</f>
        <v>94.833148701000596</v>
      </c>
      <c r="AJ123" s="417">
        <f>IF(AJ143=1,IF(ROUND(AJ127,2)=0,0,Inputs!$L$98*AJ$110),IF(ROUND(AJ141,2)=0,0,Inputs!$L$98*AJ$110))+IF(AJ143=1,IF(ROUND(AJ127,2)=0,0,Inputs!$L$99*AJ$111),IF(ROUND(AJ141,2)=0,0,Inputs!$L$99*AJ$111))</f>
        <v>97.014311121123598</v>
      </c>
      <c r="AK123" s="417">
        <f>IF(AK143=1,IF(ROUND(AK127,2)=0,0,Inputs!$L$98*AK$110),IF(ROUND(AK141,2)=0,0,Inputs!$L$98*AK$110))+IF(AK143=1,IF(ROUND(AK127,2)=0,0,Inputs!$L$99*AK$111),IF(ROUND(AK141,2)=0,0,Inputs!$L$99*AK$111))</f>
        <v>99.245640276909427</v>
      </c>
      <c r="AL123" s="417">
        <f>IF(AL143=1,IF(ROUND(AL127,2)=0,0,Inputs!$L$98*AL$110),IF(ROUND(AL141,2)=0,0,Inputs!$L$98*AL$110))+IF(AL143=1,IF(ROUND(AL127,2)=0,0,Inputs!$L$99*AL$111),IF(ROUND(AL141,2)=0,0,Inputs!$L$99*AL$111))</f>
        <v>101.52829000327834</v>
      </c>
      <c r="AM123" s="417">
        <f>IF(AM143=1,IF(ROUND(AM127,2)=0,0,Inputs!$L$98*AM$110),IF(ROUND(AM141,2)=0,0,Inputs!$L$98*AM$110))+IF(AM143=1,IF(ROUND(AM127,2)=0,0,Inputs!$L$99*AM$111),IF(ROUND(AM141,2)=0,0,Inputs!$L$99*AM$111))</f>
        <v>103.86344067335374</v>
      </c>
      <c r="AN123" s="417">
        <f>IF(AN143=1,IF(ROUND(AN127,2)=0,0,Inputs!$L$98*AN$110),IF(ROUND(AN141,2)=0,0,Inputs!$L$98*AN$110))+IF(AN143=1,IF(ROUND(AN127,2)=0,0,Inputs!$L$99*AN$111),IF(ROUND(AN141,2)=0,0,Inputs!$L$99*AN$111))</f>
        <v>106.25229980884086</v>
      </c>
      <c r="AO123" s="417">
        <f>IF(AO143=1,IF(ROUND(AO127,2)=0,0,Inputs!$L$98*AO$110),IF(ROUND(AO141,2)=0,0,Inputs!$L$98*AO$110))+IF(AO143=1,IF(ROUND(AO127,2)=0,0,Inputs!$L$99*AO$111),IF(ROUND(AO141,2)=0,0,Inputs!$L$99*AO$111))</f>
        <v>0</v>
      </c>
      <c r="AP123" s="417">
        <f>IF(AP143=1,IF(ROUND(AP127,2)=0,0,Inputs!$L$98*AP$110),IF(ROUND(AP141,2)=0,0,Inputs!$L$98*AP$110))+IF(AP143=1,IF(ROUND(AP127,2)=0,0,Inputs!$L$99*AP$111),IF(ROUND(AP141,2)=0,0,Inputs!$L$99*AP$111))</f>
        <v>0</v>
      </c>
      <c r="AQ123" s="417">
        <f>IF(AQ143=1,IF(ROUND(AQ127,2)=0,0,Inputs!$L$98*AQ$110),IF(ROUND(AQ141,2)=0,0,Inputs!$L$98*AQ$110))+IF(AQ143=1,IF(ROUND(AQ127,2)=0,0,Inputs!$L$99*AQ$111),IF(ROUND(AQ141,2)=0,0,Inputs!$L$99*AQ$111))</f>
        <v>0</v>
      </c>
      <c r="AR123" s="417">
        <f>IF(AR143=1,IF(ROUND(AR127,2)=0,0,Inputs!$L$98*AR$110),IF(ROUND(AR141,2)=0,0,Inputs!$L$98*AR$110))+IF(AR143=1,IF(ROUND(AR127,2)=0,0,Inputs!$L$99*AR$111),IF(ROUND(AR141,2)=0,0,Inputs!$L$99*AR$111))</f>
        <v>0</v>
      </c>
      <c r="AS123" s="417">
        <f>IF(AS143=1,IF(ROUND(AS127,2)=0,0,Inputs!$L$98*AS$110),IF(ROUND(AS141,2)=0,0,Inputs!$L$98*AS$110))+IF(AS143=1,IF(ROUND(AS127,2)=0,0,Inputs!$L$99*AS$111),IF(ROUND(AS141,2)=0,0,Inputs!$L$99*AS$111))</f>
        <v>0</v>
      </c>
      <c r="AT123" s="417">
        <f>IF(AT143=1,IF(ROUND(AT127,2)=0,0,Inputs!$L$98*AT$110),IF(ROUND(AT141,2)=0,0,Inputs!$L$98*AT$110))+IF(AT143=1,IF(ROUND(AT127,2)=0,0,Inputs!$L$99*AT$111),IF(ROUND(AT141,2)=0,0,Inputs!$L$99*AT$111))</f>
        <v>0</v>
      </c>
      <c r="AU123" s="417">
        <f>IF(AU143=1,IF(ROUND(AU127,2)=0,0,Inputs!$L$98*AU$110),IF(ROUND(AU141,2)=0,0,Inputs!$L$98*AU$110))+IF(AU143=1,IF(ROUND(AU127,2)=0,0,Inputs!$L$99*AU$111),IF(ROUND(AU141,2)=0,0,Inputs!$L$99*AU$111))</f>
        <v>0</v>
      </c>
      <c r="AV123" s="417">
        <f>IF(AV143=1,IF(ROUND(AV127,2)=0,0,Inputs!$L$98*AV$110),IF(ROUND(AV141,2)=0,0,Inputs!$L$98*AV$110))+IF(AV143=1,IF(ROUND(AV127,2)=0,0,Inputs!$L$99*AV$111),IF(ROUND(AV141,2)=0,0,Inputs!$L$99*AV$111))</f>
        <v>0</v>
      </c>
      <c r="AW123" s="417">
        <f>IF(AW143=1,IF(ROUND(AW127,2)=0,0,Inputs!$L$98*AW$110),IF(ROUND(AW141,2)=0,0,Inputs!$L$98*AW$110))+IF(AW143=1,IF(ROUND(AW127,2)=0,0,Inputs!$L$99*AW$111),IF(ROUND(AW141,2)=0,0,Inputs!$L$99*AW$111))</f>
        <v>0</v>
      </c>
      <c r="AX123" s="417">
        <f>IF(AX143=1,IF(ROUND(AX127,2)=0,0,Inputs!$L$98*AX$110),IF(ROUND(AX141,2)=0,0,Inputs!$L$98*AX$110))+IF(AX143=1,IF(ROUND(AX127,2)=0,0,Inputs!$L$99*AX$111),IF(ROUND(AX141,2)=0,0,Inputs!$L$99*AX$111))</f>
        <v>0</v>
      </c>
      <c r="AY123" s="417">
        <f>IF(AY143=1,IF(ROUND(AY127,2)=0,0,Inputs!$L$98*AY$110),IF(ROUND(AY141,2)=0,0,Inputs!$L$98*AY$110))+IF(AY143=1,IF(ROUND(AY127,2)=0,0,Inputs!$L$99*AY$111),IF(ROUND(AY141,2)=0,0,Inputs!$L$99*AY$111))</f>
        <v>0</v>
      </c>
      <c r="AZ123" s="417">
        <f>IF(AZ143=1,IF(ROUND(AZ127,2)=0,0,Inputs!$L$98*AZ$110),IF(ROUND(AZ141,2)=0,0,Inputs!$L$98*AZ$110))+IF(AZ143=1,IF(ROUND(AZ127,2)=0,0,Inputs!$L$99*AZ$111),IF(ROUND(AZ141,2)=0,0,Inputs!$L$99*AZ$111))</f>
        <v>0</v>
      </c>
      <c r="BA123" s="417">
        <f>IF(BA143=1,IF(ROUND(BA127,2)=0,0,Inputs!$L$98*BA$110),IF(ROUND(BA141,2)=0,0,Inputs!$L$98*BA$110))+IF(BA143=1,IF(ROUND(BA127,2)=0,0,Inputs!$L$99*BA$111),IF(ROUND(BA141,2)=0,0,Inputs!$L$99*BA$111))</f>
        <v>0</v>
      </c>
      <c r="BB123" s="417">
        <f>IF(BB143=1,IF(ROUND(BB127,2)=0,0,Inputs!$L$98*BB$110),IF(ROUND(BB141,2)=0,0,Inputs!$L$98*BB$110))+IF(BB143=1,IF(ROUND(BB127,2)=0,0,Inputs!$L$99*BB$111),IF(ROUND(BB141,2)=0,0,Inputs!$L$99*BB$111))</f>
        <v>0</v>
      </c>
      <c r="BC123" s="417">
        <f>IF(BC143=1,IF(ROUND(BC127,2)=0,0,Inputs!$L$98*BC$110),IF(ROUND(BC141,2)=0,0,Inputs!$L$98*BC$110))+IF(BC143=1,IF(ROUND(BC127,2)=0,0,Inputs!$L$99*BC$111),IF(ROUND(BC141,2)=0,0,Inputs!$L$99*BC$111))</f>
        <v>0</v>
      </c>
      <c r="BD123" s="417">
        <f>IF(BD143=1,IF(ROUND(BD127,2)=0,0,Inputs!$L$98*BD$110),IF(ROUND(BD141,2)=0,0,Inputs!$L$98*BD$110))+IF(BD143=1,IF(ROUND(BD127,2)=0,0,Inputs!$L$99*BD$111),IF(ROUND(BD141,2)=0,0,Inputs!$L$99*BD$111))</f>
        <v>0</v>
      </c>
      <c r="BE123" s="417">
        <f>IF(BE143=1,IF(ROUND(BE127,2)=0,0,Inputs!$L$98*BE$110),IF(ROUND(BE141,2)=0,0,Inputs!$L$98*BE$110))+IF(BE143=1,IF(ROUND(BE127,2)=0,0,Inputs!$L$99*BE$111),IF(ROUND(BE141,2)=0,0,Inputs!$L$99*BE$111))</f>
        <v>0</v>
      </c>
      <c r="BF123" s="417">
        <f>IF(BF143=1,IF(ROUND(BF127,2)=0,0,Inputs!$L$98*BF$110),IF(ROUND(BF141,2)=0,0,Inputs!$L$98*BF$110))+IF(BF143=1,IF(ROUND(BF127,2)=0,0,Inputs!$L$99*BF$111),IF(ROUND(BF141,2)=0,0,Inputs!$L$99*BF$111))</f>
        <v>0</v>
      </c>
      <c r="BG123" s="417">
        <f>IF(BG143=1,IF(ROUND(BG127,2)=0,0,Inputs!$L$98*BG$110),IF(ROUND(BG141,2)=0,0,Inputs!$L$98*BG$110))+IF(BG143=1,IF(ROUND(BG127,2)=0,0,Inputs!$L$99*BG$111),IF(ROUND(BG141,2)=0,0,Inputs!$L$99*BG$111))</f>
        <v>0</v>
      </c>
      <c r="BH123" s="417">
        <f>IF(BH143=1,IF(ROUND(BH127,2)=0,0,Inputs!$L$98*BH$110),IF(ROUND(BH141,2)=0,0,Inputs!$L$98*BH$110))+IF(BH143=1,IF(ROUND(BH127,2)=0,0,Inputs!$L$99*BH$111),IF(ROUND(BH141,2)=0,0,Inputs!$L$99*BH$111))</f>
        <v>0</v>
      </c>
      <c r="BI123" s="417">
        <f>IF(BI143=1,IF(ROUND(BI127,2)=0,0,Inputs!$L$98*BI$110),IF(ROUND(BI141,2)=0,0,Inputs!$L$98*BI$110))+IF(BI143=1,IF(ROUND(BI127,2)=0,0,Inputs!$L$99*BI$111),IF(ROUND(BI141,2)=0,0,Inputs!$L$99*BI$111))</f>
        <v>0</v>
      </c>
      <c r="BJ123" s="417">
        <f>IF(BJ143=1,IF(ROUND(BJ127,2)=0,0,Inputs!$L$98*BJ$110),IF(ROUND(BJ141,2)=0,0,Inputs!$L$98*BJ$110))+IF(BJ143=1,IF(ROUND(BJ127,2)=0,0,Inputs!$L$99*BJ$111),IF(ROUND(BJ141,2)=0,0,Inputs!$L$99*BJ$111))</f>
        <v>0</v>
      </c>
      <c r="BK123" s="417"/>
      <c r="BL123" s="417"/>
      <c r="BM123" s="417"/>
      <c r="BN123" s="417"/>
      <c r="BO123" s="417"/>
      <c r="BP123" s="417"/>
      <c r="BQ123" s="417"/>
      <c r="BR123" s="417"/>
      <c r="BS123" s="417"/>
      <c r="BT123" s="417"/>
      <c r="BU123" s="417"/>
    </row>
    <row r="124" spans="1:73" x14ac:dyDescent="0.2">
      <c r="A124" s="299"/>
      <c r="B124" s="299"/>
      <c r="C124" s="299"/>
      <c r="D124" s="299"/>
      <c r="E124" s="299"/>
      <c r="F124" s="299"/>
      <c r="G124" s="299"/>
      <c r="H124" s="299"/>
      <c r="I124" s="299"/>
      <c r="J124" s="299"/>
      <c r="K124" s="410"/>
      <c r="L124" s="299"/>
      <c r="M124" s="299"/>
      <c r="N124" s="417"/>
      <c r="O124" s="299"/>
      <c r="P124" s="299"/>
      <c r="Q124" s="299"/>
      <c r="R124" s="417"/>
      <c r="S124" s="417"/>
      <c r="T124" s="417"/>
      <c r="U124" s="417"/>
      <c r="V124" s="417"/>
      <c r="W124" s="417"/>
      <c r="X124" s="417"/>
      <c r="Y124" s="417"/>
      <c r="Z124" s="417"/>
      <c r="AA124" s="417"/>
      <c r="AB124" s="417"/>
      <c r="AC124" s="417"/>
      <c r="AD124" s="417"/>
      <c r="AE124" s="417"/>
      <c r="AF124" s="417"/>
      <c r="AG124" s="417"/>
      <c r="AH124" s="417"/>
      <c r="AI124" s="417"/>
      <c r="AJ124" s="417"/>
      <c r="AK124" s="417"/>
      <c r="AL124" s="417"/>
      <c r="AM124" s="417"/>
      <c r="AN124" s="417"/>
      <c r="AO124" s="417"/>
      <c r="AP124" s="417"/>
      <c r="AQ124" s="417"/>
      <c r="AR124" s="417"/>
      <c r="AS124" s="417"/>
      <c r="AT124" s="417"/>
      <c r="AU124" s="417"/>
      <c r="AV124" s="417"/>
      <c r="AW124" s="417"/>
      <c r="AX124" s="417"/>
      <c r="AY124" s="417"/>
      <c r="AZ124" s="417"/>
      <c r="BA124" s="417"/>
      <c r="BB124" s="417"/>
      <c r="BC124" s="417"/>
      <c r="BD124" s="417"/>
      <c r="BE124" s="417"/>
      <c r="BF124" s="417"/>
      <c r="BG124" s="417"/>
      <c r="BH124" s="417"/>
      <c r="BI124" s="417"/>
      <c r="BJ124" s="417"/>
      <c r="BK124" s="417"/>
      <c r="BL124" s="417"/>
      <c r="BM124" s="417"/>
      <c r="BN124" s="417"/>
      <c r="BO124" s="417"/>
      <c r="BP124" s="417"/>
      <c r="BQ124" s="417"/>
      <c r="BR124" s="417"/>
      <c r="BS124" s="417"/>
      <c r="BT124" s="417"/>
      <c r="BU124" s="417"/>
    </row>
    <row r="125" spans="1:73" x14ac:dyDescent="0.2">
      <c r="A125" s="299"/>
      <c r="B125" s="439" t="s">
        <v>133</v>
      </c>
      <c r="C125" s="299"/>
      <c r="D125" s="299"/>
      <c r="E125" s="299"/>
      <c r="F125" s="299"/>
      <c r="G125" s="299"/>
      <c r="H125" s="299"/>
      <c r="I125" s="299"/>
      <c r="J125" s="299"/>
      <c r="K125" s="410"/>
      <c r="L125" s="299"/>
      <c r="M125" s="417"/>
      <c r="N125" s="299"/>
      <c r="O125" s="299"/>
      <c r="P125" s="299"/>
      <c r="Q125" s="299"/>
      <c r="R125" s="455"/>
      <c r="S125" s="461"/>
      <c r="T125" s="455"/>
      <c r="U125" s="455"/>
      <c r="V125" s="455"/>
      <c r="W125" s="455"/>
      <c r="X125" s="455"/>
      <c r="Y125" s="455"/>
      <c r="Z125" s="455"/>
      <c r="AA125" s="455"/>
      <c r="AB125" s="455"/>
      <c r="AC125" s="455"/>
      <c r="AD125" s="455"/>
      <c r="AE125" s="455"/>
      <c r="AF125" s="455"/>
      <c r="AG125" s="455"/>
      <c r="AH125" s="455"/>
      <c r="AI125" s="455"/>
      <c r="AJ125" s="455"/>
      <c r="AK125" s="455"/>
      <c r="AL125" s="455"/>
      <c r="AM125" s="455"/>
      <c r="AN125" s="455"/>
      <c r="AO125" s="455"/>
      <c r="AP125" s="455"/>
      <c r="AQ125" s="455"/>
      <c r="AR125" s="455"/>
      <c r="AS125" s="455"/>
      <c r="AT125" s="455"/>
      <c r="AU125" s="455"/>
      <c r="AV125" s="455"/>
      <c r="AW125" s="455"/>
      <c r="AX125" s="455"/>
      <c r="AY125" s="455"/>
      <c r="AZ125" s="455"/>
      <c r="BA125" s="455"/>
      <c r="BB125" s="455"/>
      <c r="BC125" s="455"/>
      <c r="BD125" s="455"/>
      <c r="BE125" s="455"/>
      <c r="BF125" s="455"/>
      <c r="BG125" s="455"/>
      <c r="BH125" s="455"/>
      <c r="BI125" s="455"/>
      <c r="BJ125" s="455"/>
      <c r="BK125" s="455"/>
      <c r="BL125" s="455"/>
      <c r="BM125" s="455"/>
      <c r="BN125" s="455"/>
      <c r="BO125" s="455"/>
      <c r="BP125" s="455"/>
      <c r="BQ125" s="455"/>
      <c r="BR125" s="455"/>
      <c r="BS125" s="455"/>
      <c r="BT125" s="455"/>
      <c r="BU125" s="455"/>
    </row>
    <row r="126" spans="1:73" x14ac:dyDescent="0.2">
      <c r="A126" s="299"/>
      <c r="B126" s="299"/>
      <c r="C126" s="452"/>
      <c r="D126" s="299"/>
      <c r="E126" s="299"/>
      <c r="F126" s="299"/>
      <c r="G126" s="299"/>
      <c r="H126" s="299"/>
      <c r="I126" s="299"/>
      <c r="J126" s="299"/>
      <c r="K126" s="410"/>
      <c r="L126" s="299"/>
      <c r="M126" s="299"/>
      <c r="N126" s="299"/>
      <c r="O126" s="299"/>
      <c r="P126" s="299"/>
      <c r="Q126" s="299"/>
      <c r="R126" s="461"/>
      <c r="S126" s="461"/>
      <c r="T126" s="462"/>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299"/>
      <c r="BT126" s="299"/>
      <c r="BU126" s="299"/>
    </row>
    <row r="127" spans="1:73" x14ac:dyDescent="0.2">
      <c r="A127" s="299"/>
      <c r="B127" s="299"/>
      <c r="C127" s="299" t="s">
        <v>87</v>
      </c>
      <c r="D127" s="299"/>
      <c r="E127" s="299"/>
      <c r="F127" s="299"/>
      <c r="G127" s="299"/>
      <c r="H127" s="299"/>
      <c r="I127" s="299"/>
      <c r="J127" s="299"/>
      <c r="K127" s="410"/>
      <c r="L127" s="299"/>
      <c r="M127" s="299"/>
      <c r="N127" s="299"/>
      <c r="O127" s="299"/>
      <c r="P127" s="299"/>
      <c r="Q127" s="416"/>
      <c r="R127" s="417">
        <f t="shared" ref="R127:AO127" si="196">+Q141</f>
        <v>0</v>
      </c>
      <c r="S127" s="417">
        <f t="shared" si="196"/>
        <v>793974.41311090544</v>
      </c>
      <c r="T127" s="417">
        <f t="shared" si="196"/>
        <v>830267.58695475885</v>
      </c>
      <c r="U127" s="417">
        <f t="shared" si="196"/>
        <v>848464.7640623427</v>
      </c>
      <c r="V127" s="417">
        <f t="shared" si="196"/>
        <v>848464.7640623427</v>
      </c>
      <c r="W127" s="417">
        <f t="shared" si="196"/>
        <v>848464.7640623427</v>
      </c>
      <c r="X127" s="417">
        <f t="shared" si="196"/>
        <v>848464.7640623427</v>
      </c>
      <c r="Y127" s="417">
        <f t="shared" si="196"/>
        <v>848464.7640623427</v>
      </c>
      <c r="Z127" s="417">
        <f t="shared" si="196"/>
        <v>846174.92142661195</v>
      </c>
      <c r="AA127" s="417">
        <f t="shared" si="196"/>
        <v>833112.42706605885</v>
      </c>
      <c r="AB127" s="417">
        <f t="shared" si="196"/>
        <v>819895.44188792841</v>
      </c>
      <c r="AC127" s="417">
        <f t="shared" si="196"/>
        <v>810499.99060885748</v>
      </c>
      <c r="AD127" s="417">
        <f t="shared" si="196"/>
        <v>804978.96341491456</v>
      </c>
      <c r="AE127" s="417">
        <f t="shared" si="196"/>
        <v>803370.33929621731</v>
      </c>
      <c r="AF127" s="417">
        <f t="shared" si="196"/>
        <v>803370.33929621731</v>
      </c>
      <c r="AG127" s="417">
        <f t="shared" si="196"/>
        <v>788649.92373204324</v>
      </c>
      <c r="AH127" s="417">
        <f t="shared" si="196"/>
        <v>765903.7554099171</v>
      </c>
      <c r="AI127" s="417">
        <f t="shared" si="196"/>
        <v>732996.40503215184</v>
      </c>
      <c r="AJ127" s="417">
        <f t="shared" si="196"/>
        <v>677953.11984879617</v>
      </c>
      <c r="AK127" s="417">
        <f t="shared" si="196"/>
        <v>598595.63973717042</v>
      </c>
      <c r="AL127" s="417">
        <f t="shared" si="196"/>
        <v>502477.08961138193</v>
      </c>
      <c r="AM127" s="417">
        <f t="shared" si="196"/>
        <v>386236.30660620419</v>
      </c>
      <c r="AN127" s="417">
        <f t="shared" si="196"/>
        <v>206679.78529836063</v>
      </c>
      <c r="AO127" s="417">
        <f t="shared" si="196"/>
        <v>0</v>
      </c>
      <c r="AP127" s="417">
        <f t="shared" ref="AP127:BJ127" si="197">+AO141</f>
        <v>0</v>
      </c>
      <c r="AQ127" s="417">
        <f t="shared" si="197"/>
        <v>0</v>
      </c>
      <c r="AR127" s="417">
        <f t="shared" si="197"/>
        <v>0</v>
      </c>
      <c r="AS127" s="417">
        <f t="shared" si="197"/>
        <v>0</v>
      </c>
      <c r="AT127" s="417">
        <f t="shared" si="197"/>
        <v>0</v>
      </c>
      <c r="AU127" s="417">
        <f t="shared" si="197"/>
        <v>0</v>
      </c>
      <c r="AV127" s="417">
        <f t="shared" si="197"/>
        <v>0</v>
      </c>
      <c r="AW127" s="417">
        <f t="shared" si="197"/>
        <v>0</v>
      </c>
      <c r="AX127" s="417">
        <f t="shared" si="197"/>
        <v>0</v>
      </c>
      <c r="AY127" s="417">
        <f t="shared" si="197"/>
        <v>0</v>
      </c>
      <c r="AZ127" s="417">
        <f t="shared" si="197"/>
        <v>0</v>
      </c>
      <c r="BA127" s="417">
        <f t="shared" si="197"/>
        <v>0</v>
      </c>
      <c r="BB127" s="417">
        <f t="shared" si="197"/>
        <v>0</v>
      </c>
      <c r="BC127" s="417">
        <f t="shared" si="197"/>
        <v>0</v>
      </c>
      <c r="BD127" s="417">
        <f t="shared" si="197"/>
        <v>0</v>
      </c>
      <c r="BE127" s="417">
        <f t="shared" si="197"/>
        <v>0</v>
      </c>
      <c r="BF127" s="417">
        <f t="shared" si="197"/>
        <v>0</v>
      </c>
      <c r="BG127" s="417">
        <f t="shared" si="197"/>
        <v>0</v>
      </c>
      <c r="BH127" s="417">
        <f t="shared" si="197"/>
        <v>0</v>
      </c>
      <c r="BI127" s="417">
        <f t="shared" si="197"/>
        <v>0</v>
      </c>
      <c r="BJ127" s="417">
        <f t="shared" si="197"/>
        <v>0</v>
      </c>
      <c r="BK127" s="417"/>
      <c r="BL127" s="417"/>
      <c r="BM127" s="417"/>
      <c r="BN127" s="417"/>
      <c r="BO127" s="417"/>
      <c r="BP127" s="417"/>
      <c r="BQ127" s="417"/>
      <c r="BR127" s="417"/>
      <c r="BS127" s="417"/>
      <c r="BT127" s="417"/>
      <c r="BU127" s="417"/>
    </row>
    <row r="128" spans="1:73" x14ac:dyDescent="0.2">
      <c r="A128" s="299"/>
      <c r="B128" s="299"/>
      <c r="C128" s="299" t="s">
        <v>187</v>
      </c>
      <c r="D128" s="299"/>
      <c r="E128" s="299"/>
      <c r="F128" s="299"/>
      <c r="G128" s="299"/>
      <c r="H128" s="299"/>
      <c r="I128" s="299"/>
      <c r="J128" s="299"/>
      <c r="K128" s="410" t="s">
        <v>62</v>
      </c>
      <c r="L128" s="299"/>
      <c r="M128" s="299"/>
      <c r="N128" s="417">
        <f t="shared" ref="N128" si="198">SUM(Q128:BJ128)</f>
        <v>759267.73413800006</v>
      </c>
      <c r="O128" s="299"/>
      <c r="P128" s="299"/>
      <c r="Q128" s="416"/>
      <c r="R128" s="416">
        <v>759267.73413800006</v>
      </c>
      <c r="S128" s="416">
        <v>0</v>
      </c>
      <c r="T128" s="416">
        <v>0</v>
      </c>
      <c r="U128" s="416">
        <v>0</v>
      </c>
      <c r="V128" s="416">
        <v>0</v>
      </c>
      <c r="W128" s="416">
        <v>0</v>
      </c>
      <c r="X128" s="416">
        <v>0</v>
      </c>
      <c r="Y128" s="416">
        <v>0</v>
      </c>
      <c r="Z128" s="416">
        <v>0</v>
      </c>
      <c r="AA128" s="416">
        <v>0</v>
      </c>
      <c r="AB128" s="416">
        <v>0</v>
      </c>
      <c r="AC128" s="416">
        <v>0</v>
      </c>
      <c r="AD128" s="416">
        <v>0</v>
      </c>
      <c r="AE128" s="416">
        <v>0</v>
      </c>
      <c r="AF128" s="416">
        <v>0</v>
      </c>
      <c r="AG128" s="416">
        <v>0</v>
      </c>
      <c r="AH128" s="416">
        <v>0</v>
      </c>
      <c r="AI128" s="416">
        <v>0</v>
      </c>
      <c r="AJ128" s="416">
        <v>0</v>
      </c>
      <c r="AK128" s="416">
        <v>0</v>
      </c>
      <c r="AL128" s="416">
        <v>0</v>
      </c>
      <c r="AM128" s="416">
        <v>0</v>
      </c>
      <c r="AN128" s="416">
        <v>0</v>
      </c>
      <c r="AO128" s="416">
        <v>0</v>
      </c>
      <c r="AP128" s="416">
        <v>0</v>
      </c>
      <c r="AQ128" s="416">
        <v>0</v>
      </c>
      <c r="AR128" s="416">
        <v>0</v>
      </c>
      <c r="AS128" s="416">
        <v>0</v>
      </c>
      <c r="AT128" s="416">
        <v>0</v>
      </c>
      <c r="AU128" s="416">
        <v>0</v>
      </c>
      <c r="AV128" s="416">
        <v>0</v>
      </c>
      <c r="AW128" s="416">
        <v>0</v>
      </c>
      <c r="AX128" s="416">
        <v>0</v>
      </c>
      <c r="AY128" s="416">
        <v>0</v>
      </c>
      <c r="AZ128" s="416">
        <v>0</v>
      </c>
      <c r="BA128" s="416">
        <v>0</v>
      </c>
      <c r="BB128" s="416">
        <v>0</v>
      </c>
      <c r="BC128" s="416">
        <v>0</v>
      </c>
      <c r="BD128" s="416">
        <v>0</v>
      </c>
      <c r="BE128" s="416">
        <v>0</v>
      </c>
      <c r="BF128" s="416">
        <v>0</v>
      </c>
      <c r="BG128" s="416">
        <v>0</v>
      </c>
      <c r="BH128" s="416">
        <v>0</v>
      </c>
      <c r="BI128" s="416">
        <v>0</v>
      </c>
      <c r="BJ128" s="416">
        <v>0</v>
      </c>
      <c r="BK128" s="416"/>
      <c r="BL128" s="416"/>
      <c r="BM128" s="416"/>
      <c r="BN128" s="416"/>
      <c r="BO128" s="416"/>
      <c r="BP128" s="416"/>
      <c r="BQ128" s="416"/>
      <c r="BR128" s="416"/>
      <c r="BS128" s="416"/>
      <c r="BT128" s="416"/>
      <c r="BU128" s="416"/>
    </row>
    <row r="129" spans="1:73" x14ac:dyDescent="0.2">
      <c r="A129" s="299"/>
      <c r="B129" s="299"/>
      <c r="C129" s="299"/>
      <c r="D129" s="299"/>
      <c r="E129" s="299"/>
      <c r="F129" s="299"/>
      <c r="G129" s="299"/>
      <c r="H129" s="299"/>
      <c r="I129" s="299"/>
      <c r="J129" s="299"/>
      <c r="K129" s="410"/>
      <c r="L129" s="299"/>
      <c r="M129" s="299"/>
      <c r="N129" s="417"/>
      <c r="O129" s="299"/>
      <c r="P129" s="299"/>
      <c r="Q129" s="416"/>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7"/>
      <c r="AY129" s="417"/>
      <c r="AZ129" s="417"/>
      <c r="BA129" s="417"/>
      <c r="BB129" s="417"/>
      <c r="BC129" s="417"/>
      <c r="BD129" s="417"/>
      <c r="BE129" s="417"/>
      <c r="BF129" s="417"/>
      <c r="BG129" s="417"/>
      <c r="BH129" s="417"/>
      <c r="BI129" s="417"/>
      <c r="BJ129" s="417"/>
      <c r="BK129" s="417"/>
      <c r="BL129" s="417"/>
      <c r="BM129" s="417"/>
      <c r="BN129" s="417"/>
      <c r="BO129" s="417"/>
      <c r="BP129" s="417"/>
      <c r="BQ129" s="417"/>
      <c r="BR129" s="417"/>
      <c r="BS129" s="417"/>
      <c r="BT129" s="417"/>
      <c r="BU129" s="417"/>
    </row>
    <row r="130" spans="1:73" s="308" customFormat="1" x14ac:dyDescent="0.2">
      <c r="A130" s="299"/>
      <c r="B130" s="299"/>
      <c r="C130" s="299" t="s">
        <v>186</v>
      </c>
      <c r="D130" s="299"/>
      <c r="E130" s="299"/>
      <c r="F130" s="299"/>
      <c r="G130" s="299"/>
      <c r="H130" s="299"/>
      <c r="I130" s="299"/>
      <c r="J130" s="299"/>
      <c r="K130" s="410" t="s">
        <v>62</v>
      </c>
      <c r="L130" s="299"/>
      <c r="M130" s="299"/>
      <c r="N130" s="417">
        <f t="shared" ref="N130:N132" si="199">SUM(Q130:BJ130)</f>
        <v>764759.59440849768</v>
      </c>
      <c r="O130" s="299"/>
      <c r="P130" s="299"/>
      <c r="Q130" s="416"/>
      <c r="R130" s="416">
        <v>34706.678972905356</v>
      </c>
      <c r="S130" s="417">
        <f>+S127*S115/2+(S127+(S146+S160)/2)*S115/2+S127*S115/2*S115/2*(1-S109)</f>
        <v>36293.173843853452</v>
      </c>
      <c r="T130" s="417">
        <f t="shared" ref="T130:BJ130" si="200">+T127*T115/2+(T127+(T146+T160)/2)*T115/2+T127*T115/2*T115/2*(1-T109)</f>
        <v>37528.094930355095</v>
      </c>
      <c r="U130" s="417">
        <f t="shared" si="200"/>
        <v>38350.607335617889</v>
      </c>
      <c r="V130" s="417">
        <f t="shared" si="200"/>
        <v>38350.607335617889</v>
      </c>
      <c r="W130" s="417">
        <f t="shared" si="200"/>
        <v>38350.607335617889</v>
      </c>
      <c r="X130" s="417">
        <f t="shared" si="200"/>
        <v>38350.607335617889</v>
      </c>
      <c r="Y130" s="417">
        <f t="shared" si="200"/>
        <v>38337.669724726009</v>
      </c>
      <c r="Z130" s="417">
        <f t="shared" si="200"/>
        <v>38173.303355345735</v>
      </c>
      <c r="AA130" s="417">
        <f t="shared" si="200"/>
        <v>37582.005737129424</v>
      </c>
      <c r="AB130" s="417">
        <f t="shared" si="200"/>
        <v>37006.189673607616</v>
      </c>
      <c r="AC130" s="417">
        <f t="shared" si="200"/>
        <v>36603.405771874575</v>
      </c>
      <c r="AD130" s="417">
        <f t="shared" si="200"/>
        <v>36375.960420083495</v>
      </c>
      <c r="AE130" s="417">
        <f t="shared" si="200"/>
        <v>36312.339336189019</v>
      </c>
      <c r="AF130" s="417">
        <f t="shared" si="200"/>
        <v>36229.168988251433</v>
      </c>
      <c r="AG130" s="417">
        <f t="shared" si="200"/>
        <v>35518.460701668344</v>
      </c>
      <c r="AH130" s="417">
        <f t="shared" si="200"/>
        <v>34432.923214893875</v>
      </c>
      <c r="AI130" s="417">
        <f t="shared" si="200"/>
        <v>32820.442946167299</v>
      </c>
      <c r="AJ130" s="417">
        <f t="shared" si="200"/>
        <v>30195.111254534899</v>
      </c>
      <c r="AK130" s="417">
        <f t="shared" si="200"/>
        <v>26513.453107909398</v>
      </c>
      <c r="AL130" s="417">
        <f t="shared" si="200"/>
        <v>22055.204026455205</v>
      </c>
      <c r="AM130" s="417">
        <f t="shared" si="200"/>
        <v>16443.386713211112</v>
      </c>
      <c r="AN130" s="417">
        <f t="shared" si="200"/>
        <v>8230.1923468647765</v>
      </c>
      <c r="AO130" s="417">
        <f t="shared" si="200"/>
        <v>0</v>
      </c>
      <c r="AP130" s="417">
        <f t="shared" si="200"/>
        <v>0</v>
      </c>
      <c r="AQ130" s="417">
        <f t="shared" si="200"/>
        <v>0</v>
      </c>
      <c r="AR130" s="417">
        <f t="shared" si="200"/>
        <v>0</v>
      </c>
      <c r="AS130" s="417">
        <f t="shared" si="200"/>
        <v>0</v>
      </c>
      <c r="AT130" s="417">
        <f t="shared" si="200"/>
        <v>0</v>
      </c>
      <c r="AU130" s="417">
        <f t="shared" si="200"/>
        <v>0</v>
      </c>
      <c r="AV130" s="417">
        <f t="shared" si="200"/>
        <v>0</v>
      </c>
      <c r="AW130" s="417">
        <f t="shared" si="200"/>
        <v>0</v>
      </c>
      <c r="AX130" s="417">
        <f t="shared" si="200"/>
        <v>0</v>
      </c>
      <c r="AY130" s="417">
        <f t="shared" si="200"/>
        <v>0</v>
      </c>
      <c r="AZ130" s="417">
        <f t="shared" si="200"/>
        <v>0</v>
      </c>
      <c r="BA130" s="417">
        <f t="shared" si="200"/>
        <v>0</v>
      </c>
      <c r="BB130" s="417">
        <f t="shared" si="200"/>
        <v>0</v>
      </c>
      <c r="BC130" s="417">
        <f t="shared" si="200"/>
        <v>0</v>
      </c>
      <c r="BD130" s="417">
        <f t="shared" si="200"/>
        <v>0</v>
      </c>
      <c r="BE130" s="417">
        <f t="shared" si="200"/>
        <v>0</v>
      </c>
      <c r="BF130" s="417">
        <f t="shared" si="200"/>
        <v>0</v>
      </c>
      <c r="BG130" s="417">
        <f t="shared" si="200"/>
        <v>0</v>
      </c>
      <c r="BH130" s="417">
        <f t="shared" si="200"/>
        <v>0</v>
      </c>
      <c r="BI130" s="417">
        <f t="shared" si="200"/>
        <v>0</v>
      </c>
      <c r="BJ130" s="417">
        <f t="shared" si="200"/>
        <v>0</v>
      </c>
      <c r="BK130" s="417"/>
      <c r="BL130" s="417"/>
      <c r="BM130" s="417"/>
      <c r="BN130" s="417"/>
      <c r="BO130" s="417"/>
      <c r="BP130" s="417"/>
      <c r="BQ130" s="417"/>
      <c r="BR130" s="417"/>
      <c r="BS130" s="417"/>
      <c r="BT130" s="417"/>
      <c r="BU130" s="417"/>
    </row>
    <row r="131" spans="1:73" x14ac:dyDescent="0.2">
      <c r="A131" s="299"/>
      <c r="B131" s="299"/>
      <c r="C131" s="299" t="s">
        <v>154</v>
      </c>
      <c r="D131" s="299"/>
      <c r="E131" s="299"/>
      <c r="F131" s="299"/>
      <c r="G131" s="299"/>
      <c r="H131" s="299"/>
      <c r="I131" s="299"/>
      <c r="J131" s="299"/>
      <c r="K131" s="410" t="s">
        <v>62</v>
      </c>
      <c r="L131" s="299"/>
      <c r="M131" s="299"/>
      <c r="N131" s="417">
        <f t="shared" si="199"/>
        <v>-192316.9843468648</v>
      </c>
      <c r="O131" s="299"/>
      <c r="P131" s="299"/>
      <c r="Q131" s="463"/>
      <c r="R131" s="718">
        <f t="shared" ref="R131:S131" si="201">-MIN(R130,R145)</f>
        <v>0</v>
      </c>
      <c r="S131" s="718">
        <f t="shared" si="201"/>
        <v>0</v>
      </c>
      <c r="T131" s="718">
        <f>-MIN(T130,T145)</f>
        <v>-1999.7439999999999</v>
      </c>
      <c r="U131" s="417">
        <f t="shared" ref="U131:BJ131" si="202">-MIN(U130,U145)</f>
        <v>-5484.7839999999997</v>
      </c>
      <c r="V131" s="417">
        <f t="shared" si="202"/>
        <v>-8469.7929999999997</v>
      </c>
      <c r="W131" s="417">
        <f t="shared" si="202"/>
        <v>-9950.030999999999</v>
      </c>
      <c r="X131" s="417">
        <f t="shared" si="202"/>
        <v>-9949.83</v>
      </c>
      <c r="Y131" s="417">
        <f t="shared" si="202"/>
        <v>-9950.030999999999</v>
      </c>
      <c r="Z131" s="417">
        <f t="shared" si="202"/>
        <v>-9950.030999999999</v>
      </c>
      <c r="AA131" s="417">
        <f t="shared" si="202"/>
        <v>-9950.030999999999</v>
      </c>
      <c r="AB131" s="417">
        <f t="shared" si="202"/>
        <v>-9950.0299999999988</v>
      </c>
      <c r="AC131" s="417">
        <f t="shared" si="202"/>
        <v>-9950.030999999999</v>
      </c>
      <c r="AD131" s="417">
        <f t="shared" si="202"/>
        <v>-9950.030999999999</v>
      </c>
      <c r="AE131" s="417">
        <f t="shared" si="202"/>
        <v>-9950.030999999999</v>
      </c>
      <c r="AF131" s="417">
        <f t="shared" si="202"/>
        <v>-9950.0299999999988</v>
      </c>
      <c r="AG131" s="417">
        <f t="shared" si="202"/>
        <v>-9950.030999999999</v>
      </c>
      <c r="AH131" s="417">
        <f t="shared" si="202"/>
        <v>-9950.030999999999</v>
      </c>
      <c r="AI131" s="417">
        <f t="shared" si="202"/>
        <v>-9950.030999999999</v>
      </c>
      <c r="AJ131" s="417">
        <f t="shared" si="202"/>
        <v>-9865.1260000000002</v>
      </c>
      <c r="AK131" s="417">
        <f t="shared" si="202"/>
        <v>-9752.0479999999989</v>
      </c>
      <c r="AL131" s="417">
        <f t="shared" si="202"/>
        <v>-9639.0489999999991</v>
      </c>
      <c r="AM131" s="417">
        <f t="shared" si="202"/>
        <v>-9526.0479999999989</v>
      </c>
      <c r="AN131" s="417">
        <f t="shared" si="202"/>
        <v>-8230.1923468647765</v>
      </c>
      <c r="AO131" s="417">
        <f t="shared" si="202"/>
        <v>0</v>
      </c>
      <c r="AP131" s="417">
        <f t="shared" si="202"/>
        <v>0</v>
      </c>
      <c r="AQ131" s="417">
        <f t="shared" si="202"/>
        <v>0</v>
      </c>
      <c r="AR131" s="417">
        <f t="shared" si="202"/>
        <v>0</v>
      </c>
      <c r="AS131" s="417">
        <f t="shared" si="202"/>
        <v>0</v>
      </c>
      <c r="AT131" s="417">
        <f t="shared" si="202"/>
        <v>0</v>
      </c>
      <c r="AU131" s="417">
        <f t="shared" si="202"/>
        <v>0</v>
      </c>
      <c r="AV131" s="417">
        <f t="shared" si="202"/>
        <v>0</v>
      </c>
      <c r="AW131" s="417">
        <f t="shared" si="202"/>
        <v>0</v>
      </c>
      <c r="AX131" s="417">
        <f t="shared" si="202"/>
        <v>0</v>
      </c>
      <c r="AY131" s="417">
        <f t="shared" si="202"/>
        <v>0</v>
      </c>
      <c r="AZ131" s="417">
        <f t="shared" si="202"/>
        <v>0</v>
      </c>
      <c r="BA131" s="417">
        <f t="shared" si="202"/>
        <v>0</v>
      </c>
      <c r="BB131" s="417">
        <f t="shared" si="202"/>
        <v>0</v>
      </c>
      <c r="BC131" s="417">
        <f t="shared" si="202"/>
        <v>0</v>
      </c>
      <c r="BD131" s="417">
        <f t="shared" si="202"/>
        <v>0</v>
      </c>
      <c r="BE131" s="417">
        <f t="shared" si="202"/>
        <v>0</v>
      </c>
      <c r="BF131" s="417">
        <f t="shared" si="202"/>
        <v>0</v>
      </c>
      <c r="BG131" s="417">
        <f t="shared" si="202"/>
        <v>0</v>
      </c>
      <c r="BH131" s="417">
        <f t="shared" si="202"/>
        <v>0</v>
      </c>
      <c r="BI131" s="417">
        <f t="shared" si="202"/>
        <v>0</v>
      </c>
      <c r="BJ131" s="417">
        <f t="shared" si="202"/>
        <v>0</v>
      </c>
      <c r="BK131" s="417"/>
      <c r="BL131" s="417"/>
      <c r="BM131" s="417"/>
      <c r="BN131" s="417"/>
      <c r="BO131" s="417"/>
      <c r="BP131" s="417"/>
      <c r="BQ131" s="417"/>
      <c r="BR131" s="417"/>
      <c r="BS131" s="417"/>
      <c r="BT131" s="417"/>
      <c r="BU131" s="417"/>
    </row>
    <row r="132" spans="1:73" x14ac:dyDescent="0.2">
      <c r="A132" s="299"/>
      <c r="B132" s="299"/>
      <c r="C132" s="299" t="s">
        <v>188</v>
      </c>
      <c r="D132" s="299"/>
      <c r="E132" s="299"/>
      <c r="F132" s="299"/>
      <c r="G132" s="299"/>
      <c r="H132" s="299"/>
      <c r="I132" s="299"/>
      <c r="J132" s="299"/>
      <c r="K132" s="410" t="s">
        <v>62</v>
      </c>
      <c r="L132" s="299"/>
      <c r="M132" s="299"/>
      <c r="N132" s="417">
        <f t="shared" si="199"/>
        <v>-483245.58013729029</v>
      </c>
      <c r="O132" s="299"/>
      <c r="P132" s="299"/>
      <c r="Q132" s="463"/>
      <c r="R132" s="718">
        <f>IF(R104=1,-Inputs!$L$104,-(R130 *R109+R131)* R$107)</f>
        <v>0</v>
      </c>
      <c r="S132" s="718">
        <f>IF(S104=1,-Inputs!$L$104,-(S130 *S109+S131)* S$107)</f>
        <v>0</v>
      </c>
      <c r="T132" s="718">
        <f>IF(T104=1,-Inputs!$L$104,-(T130 *T109+T131)* T$107)</f>
        <v>-17331.173822771201</v>
      </c>
      <c r="U132" s="718">
        <f>IF(U104=1,-Inputs!$L$104,-(U130 *U109+U131)* U$107)</f>
        <v>-32865.82333561789</v>
      </c>
      <c r="V132" s="718">
        <f>IF(V104=1,-Inputs!$L$104,-(V130 *V109+V131)* V$107)</f>
        <v>-29880.814335617892</v>
      </c>
      <c r="W132" s="718">
        <f>IF(W104=1,-Inputs!$L$104,-(W130 *W109+W131)* W$107)</f>
        <v>-28400.57633561789</v>
      </c>
      <c r="X132" s="718">
        <f>IF(X104=1,-Inputs!$L$104,-(X130 *X109+X131)* X$107)</f>
        <v>-28400.777335617888</v>
      </c>
      <c r="Y132" s="718">
        <f>IF(Y104=1,-Inputs!$L$104,-(Y130 *Y109+Y131)* Y$107)</f>
        <v>-28387.63872472601</v>
      </c>
      <c r="Z132" s="718">
        <f>IF(Z104=1,-Inputs!$L$104,-(Z130 *Z109+Z131)* Z$107)</f>
        <v>-28223.272355345736</v>
      </c>
      <c r="AA132" s="718">
        <f>IF(AA104=1,-Inputs!$L$104,-(AA130 *AA109+AA131)* AA$107)</f>
        <v>-27631.974737129425</v>
      </c>
      <c r="AB132" s="718">
        <f>IF(AB104=1,-Inputs!$L$104,-(AB130 *AB109+AB131)* AB$107)</f>
        <v>-27056.159673607617</v>
      </c>
      <c r="AC132" s="718">
        <f>IF(AC104=1,-Inputs!$L$104,-(AC130 *AC109+AC131)* AC$107)</f>
        <v>-26653.374771874576</v>
      </c>
      <c r="AD132" s="718">
        <f>IF(AD104=1,-Inputs!$L$104,-(AD130 *AD109+AD131)* AD$107)</f>
        <v>-26425.929420083496</v>
      </c>
      <c r="AE132" s="718">
        <f>IF(AE104=1,-Inputs!$L$104,-(AE130 *AE109+AE131)* AE$107)</f>
        <v>-26362.30833618902</v>
      </c>
      <c r="AF132" s="718">
        <f>IF(AF104=1,-Inputs!$L$104,-(AF130 *AF109+AF131)* AF$107)</f>
        <v>-26279.138988251434</v>
      </c>
      <c r="AG132" s="718">
        <f>IF(AG104=1,-Inputs!$L$104,-(AG130 *AG109+AG131)* AG$107)</f>
        <v>-25568.429701668345</v>
      </c>
      <c r="AH132" s="718">
        <f>IF(AH104=1,-Inputs!$L$104,-(AH130 *AH109+AH131)* AH$107)</f>
        <v>-24482.892214893876</v>
      </c>
      <c r="AI132" s="718">
        <f>IF(AI104=1,-Inputs!$L$104,-(AI130 *AI109+AI131)* AI$107)</f>
        <v>-22870.4119461673</v>
      </c>
      <c r="AJ132" s="718">
        <f>IF(AJ104=1,-Inputs!$L$104,-(AJ130 *AJ109+AJ131)* AJ$107)</f>
        <v>-20329.985254534899</v>
      </c>
      <c r="AK132" s="718">
        <f>IF(AK104=1,-Inputs!$L$104,-(AK130 *AK109+AK131)* AK$107)</f>
        <v>-16761.405107909399</v>
      </c>
      <c r="AL132" s="718">
        <f>IF(AL104=1,-Inputs!$L$104,-(AL130 *AL109+AL131)* AL$107)</f>
        <v>-12416.155026455206</v>
      </c>
      <c r="AM132" s="718">
        <f>IF(AM104=1,-Inputs!$L$104,-(AM130 *AM109+AM131)* AM$107)</f>
        <v>-6917.3387132111129</v>
      </c>
      <c r="AN132" s="718">
        <f>IF(AN104=1,-Inputs!$L$104,-(AN130 *AN109+AN131)* AN$107)</f>
        <v>0</v>
      </c>
      <c r="AO132" s="718">
        <f>IF(AO104=1,-Inputs!$L$104,-(AO130 *AO109+AO131)* AO$107)</f>
        <v>0</v>
      </c>
      <c r="AP132" s="718">
        <f>IF(AP104=1,-Inputs!$L$104,-(AP130 *AP109+AP131)* AP$107)</f>
        <v>0</v>
      </c>
      <c r="AQ132" s="718">
        <f>IF(AQ104=1,-Inputs!$L$104,-(AQ130 *AQ109+AQ131)* AQ$107)</f>
        <v>0</v>
      </c>
      <c r="AR132" s="718">
        <f>IF(AR104=1,-Inputs!$L$104,-(AR130 *AR109+AR131)* AR$107)</f>
        <v>0</v>
      </c>
      <c r="AS132" s="718">
        <f>IF(AS104=1,-Inputs!$L$104,-(AS130 *AS109+AS131)* AS$107)</f>
        <v>0</v>
      </c>
      <c r="AT132" s="718">
        <f>IF(AT104=1,-Inputs!$L$104,-(AT130 *AT109+AT131)* AT$107)</f>
        <v>0</v>
      </c>
      <c r="AU132" s="718">
        <f>IF(AU104=1,-Inputs!$L$104,-(AU130 *AU109+AU131)* AU$107)</f>
        <v>0</v>
      </c>
      <c r="AV132" s="718">
        <f>IF(AV104=1,-Inputs!$L$104,-(AV130 *AV109+AV131)* AV$107)</f>
        <v>0</v>
      </c>
      <c r="AW132" s="718">
        <f>IF(AW104=1,-Inputs!$L$104,-(AW130 *AW109+AW131)* AW$107)</f>
        <v>0</v>
      </c>
      <c r="AX132" s="718">
        <f>IF(AX104=1,-Inputs!$L$104,-(AX130 *AX109+AX131)* AX$107)</f>
        <v>0</v>
      </c>
      <c r="AY132" s="718">
        <f>IF(AY104=1,-Inputs!$L$104,-(AY130 *AY109+AY131)* AY$107)</f>
        <v>0</v>
      </c>
      <c r="AZ132" s="718">
        <f>IF(AZ104=1,-Inputs!$L$104,-(AZ130 *AZ109+AZ131)* AZ$107)</f>
        <v>0</v>
      </c>
      <c r="BA132" s="718">
        <f>IF(BA104=1,-Inputs!$L$104,-(BA130 *BA109+BA131)* BA$107)</f>
        <v>0</v>
      </c>
      <c r="BB132" s="718">
        <f>IF(BB104=1,-Inputs!$L$104,-(BB130 *BB109+BB131)* BB$107)</f>
        <v>0</v>
      </c>
      <c r="BC132" s="718">
        <f>IF(BC104=1,-Inputs!$L$104,-(BC130 *BC109+BC131)* BC$107)</f>
        <v>0</v>
      </c>
      <c r="BD132" s="718">
        <f>IF(BD104=1,-Inputs!$L$104,-(BD130 *BD109+BD131)* BD$107)</f>
        <v>0</v>
      </c>
      <c r="BE132" s="718">
        <f>IF(BE104=1,-Inputs!$L$104,-(BE130 *BE109+BE131)* BE$107)</f>
        <v>0</v>
      </c>
      <c r="BF132" s="718">
        <f>IF(BF104=1,-Inputs!$L$104,-(BF130 *BF109+BF131)* BF$107)</f>
        <v>0</v>
      </c>
      <c r="BG132" s="718">
        <f>IF(BG104=1,-Inputs!$L$104,-(BG130 *BG109+BG131)* BG$107)</f>
        <v>0</v>
      </c>
      <c r="BH132" s="718">
        <f>IF(BH104=1,-Inputs!$L$104,-(BH130 *BH109+BH131)* BH$107)</f>
        <v>0</v>
      </c>
      <c r="BI132" s="718">
        <f>IF(BI104=1,-Inputs!$L$104,-(BI130 *BI109+BI131)* BI$107)</f>
        <v>0</v>
      </c>
      <c r="BJ132" s="718">
        <f>IF(BJ104=1,-Inputs!$L$104,-(BJ130 *BJ109+BJ131)* BJ$107)</f>
        <v>0</v>
      </c>
      <c r="BK132" s="463"/>
      <c r="BL132" s="463"/>
      <c r="BM132" s="463"/>
      <c r="BN132" s="463"/>
      <c r="BO132" s="463"/>
      <c r="BP132" s="463"/>
      <c r="BQ132" s="463"/>
      <c r="BR132" s="463"/>
      <c r="BS132" s="463"/>
      <c r="BT132" s="463"/>
      <c r="BU132" s="463"/>
    </row>
    <row r="133" spans="1:73" x14ac:dyDescent="0.2">
      <c r="A133" s="299"/>
      <c r="B133" s="299"/>
      <c r="C133" s="299"/>
      <c r="D133" s="299"/>
      <c r="E133" s="299"/>
      <c r="F133" s="299"/>
      <c r="G133" s="299"/>
      <c r="H133" s="299"/>
      <c r="I133" s="299"/>
      <c r="J133" s="299"/>
      <c r="K133" s="410"/>
      <c r="L133" s="299"/>
      <c r="M133" s="299"/>
      <c r="N133" s="417"/>
      <c r="O133" s="299"/>
      <c r="P133" s="299"/>
      <c r="Q133" s="463"/>
      <c r="R133" s="463"/>
      <c r="S133" s="463"/>
      <c r="T133" s="463"/>
      <c r="U133" s="463"/>
      <c r="V133" s="463"/>
      <c r="W133" s="463"/>
      <c r="X133" s="463"/>
      <c r="Y133" s="463"/>
      <c r="Z133" s="463"/>
      <c r="AA133" s="463"/>
      <c r="AB133" s="463"/>
      <c r="AC133" s="463"/>
      <c r="AD133" s="463"/>
      <c r="AE133" s="463"/>
      <c r="AF133" s="463"/>
      <c r="AG133" s="463"/>
      <c r="AH133" s="463"/>
      <c r="AI133" s="463"/>
      <c r="AJ133" s="463"/>
      <c r="AK133" s="463"/>
      <c r="AL133" s="463"/>
      <c r="AM133" s="463"/>
      <c r="AN133" s="463"/>
      <c r="AO133" s="463"/>
      <c r="AP133" s="463"/>
      <c r="AQ133" s="463"/>
      <c r="AR133" s="463"/>
      <c r="AS133" s="463"/>
      <c r="AT133" s="463"/>
      <c r="AU133" s="463"/>
      <c r="AV133" s="463"/>
      <c r="AW133" s="463"/>
      <c r="AX133" s="463"/>
      <c r="AY133" s="463"/>
      <c r="AZ133" s="463"/>
      <c r="BA133" s="463"/>
      <c r="BB133" s="463"/>
      <c r="BC133" s="463"/>
      <c r="BD133" s="463"/>
      <c r="BE133" s="463"/>
      <c r="BF133" s="463"/>
      <c r="BG133" s="463"/>
      <c r="BH133" s="463"/>
      <c r="BI133" s="463"/>
      <c r="BJ133" s="463"/>
      <c r="BK133" s="463"/>
      <c r="BL133" s="463"/>
      <c r="BM133" s="463"/>
      <c r="BN133" s="463"/>
      <c r="BO133" s="463"/>
      <c r="BP133" s="463"/>
      <c r="BQ133" s="463"/>
      <c r="BR133" s="463"/>
      <c r="BS133" s="463"/>
      <c r="BT133" s="463"/>
      <c r="BU133" s="463"/>
    </row>
    <row r="134" spans="1:73" x14ac:dyDescent="0.2">
      <c r="A134" s="299"/>
      <c r="B134" s="299"/>
      <c r="C134" s="299" t="s">
        <v>156</v>
      </c>
      <c r="D134" s="299"/>
      <c r="E134" s="299"/>
      <c r="F134" s="299"/>
      <c r="G134" s="299"/>
      <c r="H134" s="299"/>
      <c r="I134" s="299"/>
      <c r="J134" s="299"/>
      <c r="K134" s="410" t="s">
        <v>62</v>
      </c>
      <c r="L134" s="299"/>
      <c r="M134" s="299"/>
      <c r="N134" s="417">
        <f t="shared" ref="N134:N140" si="203">SUM(Q134:BJ134)</f>
        <v>-14916.703318010212</v>
      </c>
      <c r="O134" s="299"/>
      <c r="P134" s="299"/>
      <c r="Q134" s="463"/>
      <c r="R134" s="718">
        <f t="shared" ref="R134:BJ134" si="204">-MIN(SUM(R127:R128)+SUM(R130:R132),PPMT(R$115,1,$N$103+1-R$108,-R$127)) * (R$108&gt;0)</f>
        <v>0</v>
      </c>
      <c r="S134" s="718">
        <f t="shared" si="204"/>
        <v>0</v>
      </c>
      <c r="T134" s="718">
        <f t="shared" si="204"/>
        <v>0</v>
      </c>
      <c r="U134" s="718">
        <f t="shared" si="204"/>
        <v>0</v>
      </c>
      <c r="V134" s="718">
        <f t="shared" si="204"/>
        <v>0</v>
      </c>
      <c r="W134" s="718">
        <f t="shared" si="204"/>
        <v>0</v>
      </c>
      <c r="X134" s="718">
        <f t="shared" si="204"/>
        <v>0</v>
      </c>
      <c r="Y134" s="718">
        <f t="shared" si="204"/>
        <v>0</v>
      </c>
      <c r="Z134" s="718">
        <f t="shared" si="204"/>
        <v>0</v>
      </c>
      <c r="AA134" s="718">
        <f t="shared" si="204"/>
        <v>0</v>
      </c>
      <c r="AB134" s="718">
        <f t="shared" si="204"/>
        <v>0</v>
      </c>
      <c r="AC134" s="718">
        <f t="shared" si="204"/>
        <v>0</v>
      </c>
      <c r="AD134" s="718">
        <f t="shared" si="204"/>
        <v>0</v>
      </c>
      <c r="AE134" s="718">
        <f t="shared" si="204"/>
        <v>0</v>
      </c>
      <c r="AF134" s="718">
        <f t="shared" si="204"/>
        <v>0</v>
      </c>
      <c r="AG134" s="718">
        <f t="shared" si="204"/>
        <v>0</v>
      </c>
      <c r="AH134" s="718">
        <f t="shared" si="204"/>
        <v>0</v>
      </c>
      <c r="AI134" s="718">
        <f t="shared" si="204"/>
        <v>0</v>
      </c>
      <c r="AJ134" s="718">
        <f t="shared" si="204"/>
        <v>0</v>
      </c>
      <c r="AK134" s="718">
        <f t="shared" si="204"/>
        <v>0</v>
      </c>
      <c r="AL134" s="718">
        <f t="shared" si="204"/>
        <v>0</v>
      </c>
      <c r="AM134" s="718">
        <f t="shared" si="204"/>
        <v>0</v>
      </c>
      <c r="AN134" s="718">
        <f t="shared" si="204"/>
        <v>-14916.703318010212</v>
      </c>
      <c r="AO134" s="718">
        <f t="shared" si="204"/>
        <v>0</v>
      </c>
      <c r="AP134" s="718">
        <f t="shared" si="204"/>
        <v>0</v>
      </c>
      <c r="AQ134" s="718">
        <f t="shared" si="204"/>
        <v>0</v>
      </c>
      <c r="AR134" s="718">
        <f t="shared" si="204"/>
        <v>0</v>
      </c>
      <c r="AS134" s="718">
        <f t="shared" si="204"/>
        <v>0</v>
      </c>
      <c r="AT134" s="718">
        <f t="shared" si="204"/>
        <v>0</v>
      </c>
      <c r="AU134" s="718">
        <f t="shared" si="204"/>
        <v>0</v>
      </c>
      <c r="AV134" s="718">
        <f t="shared" si="204"/>
        <v>0</v>
      </c>
      <c r="AW134" s="718">
        <f t="shared" si="204"/>
        <v>0</v>
      </c>
      <c r="AX134" s="718">
        <f t="shared" si="204"/>
        <v>0</v>
      </c>
      <c r="AY134" s="718">
        <f t="shared" si="204"/>
        <v>0</v>
      </c>
      <c r="AZ134" s="718">
        <f t="shared" si="204"/>
        <v>0</v>
      </c>
      <c r="BA134" s="718">
        <f t="shared" si="204"/>
        <v>0</v>
      </c>
      <c r="BB134" s="718">
        <f t="shared" si="204"/>
        <v>0</v>
      </c>
      <c r="BC134" s="718">
        <f t="shared" si="204"/>
        <v>0</v>
      </c>
      <c r="BD134" s="718">
        <f t="shared" si="204"/>
        <v>0</v>
      </c>
      <c r="BE134" s="718">
        <f t="shared" si="204"/>
        <v>0</v>
      </c>
      <c r="BF134" s="718">
        <f t="shared" si="204"/>
        <v>0</v>
      </c>
      <c r="BG134" s="718">
        <f t="shared" si="204"/>
        <v>0</v>
      </c>
      <c r="BH134" s="718">
        <f t="shared" si="204"/>
        <v>0</v>
      </c>
      <c r="BI134" s="718">
        <f t="shared" si="204"/>
        <v>0</v>
      </c>
      <c r="BJ134" s="718">
        <f t="shared" si="204"/>
        <v>0</v>
      </c>
      <c r="BK134" s="463"/>
      <c r="BL134" s="463"/>
      <c r="BM134" s="463"/>
      <c r="BN134" s="463"/>
      <c r="BO134" s="463"/>
      <c r="BP134" s="463"/>
      <c r="BQ134" s="463"/>
      <c r="BR134" s="463"/>
      <c r="BS134" s="463"/>
      <c r="BT134" s="463"/>
      <c r="BU134" s="463"/>
    </row>
    <row r="135" spans="1:73" x14ac:dyDescent="0.2">
      <c r="A135" s="299"/>
      <c r="B135" s="299"/>
      <c r="C135" s="299" t="s">
        <v>157</v>
      </c>
      <c r="D135" s="299"/>
      <c r="E135" s="299"/>
      <c r="F135" s="299"/>
      <c r="G135" s="299"/>
      <c r="H135" s="299"/>
      <c r="I135" s="299"/>
      <c r="J135" s="299"/>
      <c r="K135" s="410" t="s">
        <v>62</v>
      </c>
      <c r="L135" s="299"/>
      <c r="M135" s="299"/>
      <c r="N135" s="417">
        <f t="shared" si="203"/>
        <v>-90000</v>
      </c>
      <c r="O135" s="299"/>
      <c r="P135" s="299"/>
      <c r="Q135" s="463"/>
      <c r="R135" s="718">
        <f t="shared" ref="R135:AW135" si="205">+-MIN(-R146,SUM(R127:R128)+SUM(R130:R134))</f>
        <v>0</v>
      </c>
      <c r="S135" s="718">
        <f t="shared" si="205"/>
        <v>0</v>
      </c>
      <c r="T135" s="718">
        <f t="shared" si="205"/>
        <v>0</v>
      </c>
      <c r="U135" s="718">
        <f t="shared" si="205"/>
        <v>0</v>
      </c>
      <c r="V135" s="718">
        <f t="shared" si="205"/>
        <v>0</v>
      </c>
      <c r="W135" s="718">
        <f t="shared" si="205"/>
        <v>0</v>
      </c>
      <c r="X135" s="718">
        <f t="shared" si="205"/>
        <v>0</v>
      </c>
      <c r="Y135" s="718">
        <f t="shared" si="205"/>
        <v>0</v>
      </c>
      <c r="Z135" s="718">
        <f t="shared" si="205"/>
        <v>0</v>
      </c>
      <c r="AA135" s="718">
        <f t="shared" si="205"/>
        <v>0</v>
      </c>
      <c r="AB135" s="718">
        <f t="shared" si="205"/>
        <v>0</v>
      </c>
      <c r="AC135" s="718">
        <f t="shared" si="205"/>
        <v>0</v>
      </c>
      <c r="AD135" s="718">
        <f t="shared" si="205"/>
        <v>0</v>
      </c>
      <c r="AE135" s="718">
        <f t="shared" si="205"/>
        <v>0</v>
      </c>
      <c r="AF135" s="718">
        <f t="shared" si="205"/>
        <v>0</v>
      </c>
      <c r="AG135" s="718">
        <f t="shared" si="205"/>
        <v>0</v>
      </c>
      <c r="AH135" s="718">
        <f t="shared" si="205"/>
        <v>0</v>
      </c>
      <c r="AI135" s="718">
        <f t="shared" si="205"/>
        <v>-5000</v>
      </c>
      <c r="AJ135" s="718">
        <f t="shared" si="205"/>
        <v>-10000</v>
      </c>
      <c r="AK135" s="718">
        <f t="shared" si="205"/>
        <v>-10000</v>
      </c>
      <c r="AL135" s="718">
        <f t="shared" si="205"/>
        <v>-10000</v>
      </c>
      <c r="AM135" s="718">
        <f t="shared" si="205"/>
        <v>-30000</v>
      </c>
      <c r="AN135" s="718">
        <f t="shared" si="205"/>
        <v>-25000</v>
      </c>
      <c r="AO135" s="718">
        <f t="shared" si="205"/>
        <v>0</v>
      </c>
      <c r="AP135" s="718">
        <f t="shared" si="205"/>
        <v>0</v>
      </c>
      <c r="AQ135" s="718">
        <f t="shared" si="205"/>
        <v>0</v>
      </c>
      <c r="AR135" s="718">
        <f t="shared" si="205"/>
        <v>0</v>
      </c>
      <c r="AS135" s="718">
        <f t="shared" si="205"/>
        <v>0</v>
      </c>
      <c r="AT135" s="718">
        <f t="shared" si="205"/>
        <v>0</v>
      </c>
      <c r="AU135" s="718">
        <f t="shared" si="205"/>
        <v>0</v>
      </c>
      <c r="AV135" s="718">
        <f t="shared" si="205"/>
        <v>0</v>
      </c>
      <c r="AW135" s="718">
        <f t="shared" si="205"/>
        <v>0</v>
      </c>
      <c r="AX135" s="718">
        <f t="shared" ref="AX135:BJ135" si="206">+-MIN(-AX146,SUM(AX127:AX128)+SUM(AX130:AX134))</f>
        <v>0</v>
      </c>
      <c r="AY135" s="718">
        <f t="shared" si="206"/>
        <v>0</v>
      </c>
      <c r="AZ135" s="718">
        <f t="shared" si="206"/>
        <v>0</v>
      </c>
      <c r="BA135" s="718">
        <f t="shared" si="206"/>
        <v>0</v>
      </c>
      <c r="BB135" s="718">
        <f t="shared" si="206"/>
        <v>0</v>
      </c>
      <c r="BC135" s="718">
        <f t="shared" si="206"/>
        <v>0</v>
      </c>
      <c r="BD135" s="718">
        <f t="shared" si="206"/>
        <v>0</v>
      </c>
      <c r="BE135" s="718">
        <f t="shared" si="206"/>
        <v>0</v>
      </c>
      <c r="BF135" s="718">
        <f t="shared" si="206"/>
        <v>0</v>
      </c>
      <c r="BG135" s="718">
        <f t="shared" si="206"/>
        <v>0</v>
      </c>
      <c r="BH135" s="718">
        <f t="shared" si="206"/>
        <v>0</v>
      </c>
      <c r="BI135" s="718">
        <f t="shared" si="206"/>
        <v>0</v>
      </c>
      <c r="BJ135" s="718">
        <f t="shared" si="206"/>
        <v>0</v>
      </c>
      <c r="BK135" s="463"/>
      <c r="BL135" s="463"/>
      <c r="BM135" s="463"/>
      <c r="BN135" s="463"/>
      <c r="BO135" s="463"/>
      <c r="BP135" s="463"/>
      <c r="BQ135" s="463"/>
      <c r="BR135" s="463"/>
      <c r="BS135" s="463"/>
      <c r="BT135" s="463"/>
      <c r="BU135" s="463"/>
    </row>
    <row r="136" spans="1:73" x14ac:dyDescent="0.2">
      <c r="A136" s="299"/>
      <c r="B136" s="299"/>
      <c r="C136" s="299"/>
      <c r="D136" s="299"/>
      <c r="E136" s="299"/>
      <c r="F136" s="299"/>
      <c r="G136" s="299"/>
      <c r="H136" s="299"/>
      <c r="I136" s="299"/>
      <c r="J136" s="299"/>
      <c r="K136" s="410"/>
      <c r="L136" s="299"/>
      <c r="M136" s="299"/>
      <c r="N136" s="417"/>
      <c r="O136" s="299"/>
      <c r="P136" s="299"/>
      <c r="Q136" s="463"/>
      <c r="R136" s="463"/>
      <c r="S136" s="463"/>
      <c r="T136" s="463"/>
      <c r="U136" s="463"/>
      <c r="V136" s="463"/>
      <c r="W136" s="463"/>
      <c r="X136" s="463"/>
      <c r="Y136" s="463"/>
      <c r="Z136" s="463"/>
      <c r="AA136" s="463"/>
      <c r="AB136" s="463"/>
      <c r="AC136" s="463"/>
      <c r="AD136" s="463"/>
      <c r="AE136" s="463"/>
      <c r="AF136" s="463"/>
      <c r="AG136" s="463"/>
      <c r="AH136" s="463"/>
      <c r="AI136" s="463"/>
      <c r="AJ136" s="463"/>
      <c r="AK136" s="463"/>
      <c r="AL136" s="463"/>
      <c r="AM136" s="463"/>
      <c r="AN136" s="463"/>
      <c r="AO136" s="463"/>
      <c r="AP136" s="463"/>
      <c r="AQ136" s="463"/>
      <c r="AR136" s="463"/>
      <c r="AS136" s="463"/>
      <c r="AT136" s="463"/>
      <c r="AU136" s="463"/>
      <c r="AV136" s="463"/>
      <c r="AW136" s="463"/>
      <c r="AX136" s="463"/>
      <c r="AY136" s="463"/>
      <c r="AZ136" s="463"/>
      <c r="BA136" s="463"/>
      <c r="BB136" s="463"/>
      <c r="BC136" s="463"/>
      <c r="BD136" s="463"/>
      <c r="BE136" s="463"/>
      <c r="BF136" s="463"/>
      <c r="BG136" s="463"/>
      <c r="BH136" s="463"/>
      <c r="BI136" s="463"/>
      <c r="BJ136" s="463"/>
      <c r="BK136" s="463"/>
      <c r="BL136" s="463"/>
      <c r="BM136" s="463"/>
      <c r="BN136" s="463"/>
      <c r="BO136" s="463"/>
      <c r="BP136" s="463"/>
      <c r="BQ136" s="463"/>
      <c r="BR136" s="463"/>
      <c r="BS136" s="463"/>
      <c r="BT136" s="463"/>
      <c r="BU136" s="463"/>
    </row>
    <row r="137" spans="1:73" x14ac:dyDescent="0.2">
      <c r="A137" s="299"/>
      <c r="B137" s="299"/>
      <c r="C137" s="299" t="s">
        <v>189</v>
      </c>
      <c r="D137" s="299"/>
      <c r="E137" s="299"/>
      <c r="F137" s="299"/>
      <c r="G137" s="299"/>
      <c r="H137" s="299"/>
      <c r="I137" s="299"/>
      <c r="J137" s="299"/>
      <c r="K137" s="410" t="s">
        <v>62</v>
      </c>
      <c r="L137" s="299"/>
      <c r="M137" s="299"/>
      <c r="N137" s="417">
        <f t="shared" si="203"/>
        <v>-104916.70331801022</v>
      </c>
      <c r="O137" s="299"/>
      <c r="P137" s="299"/>
      <c r="Q137" s="417"/>
      <c r="R137" s="417">
        <f>-MIN(R185* Inputs!$L$103,R127+R134+R135)</f>
        <v>0</v>
      </c>
      <c r="S137" s="417">
        <f>-MIN(S185* Inputs!$L$103,S127+S134+S135)</f>
        <v>0</v>
      </c>
      <c r="T137" s="417">
        <f>-MIN(T185* Inputs!$L$103,T127+T134+T135)</f>
        <v>0</v>
      </c>
      <c r="U137" s="417">
        <f>-MIN(U185* Inputs!$L$103,U127+U134+U135)</f>
        <v>0</v>
      </c>
      <c r="V137" s="417">
        <f>-MIN(V185* Inputs!$L$103,V127+V134+V135)</f>
        <v>0</v>
      </c>
      <c r="W137" s="417">
        <f>-MIN(W185* Inputs!$L$103,W127+W134+W135)</f>
        <v>0</v>
      </c>
      <c r="X137" s="417">
        <f>-MIN(X185* Inputs!$L$103,X127+X134+X135)</f>
        <v>0</v>
      </c>
      <c r="Y137" s="417">
        <f>-MIN(Y185* Inputs!$L$103,Y127+Y134+Y135)</f>
        <v>0</v>
      </c>
      <c r="Z137" s="417">
        <f>-MIN(Z185* Inputs!$L$103,Z127+Z134+Z135)</f>
        <v>0</v>
      </c>
      <c r="AA137" s="417">
        <f>-MIN(AA185* Inputs!$L$103,AA127+AA134+AA135)</f>
        <v>0</v>
      </c>
      <c r="AB137" s="417">
        <f>-MIN(AB185* Inputs!$L$103,AB127+AB134+AB135)</f>
        <v>0</v>
      </c>
      <c r="AC137" s="417">
        <f>-MIN(AC185* Inputs!$L$103,AC127+AC134+AC135)</f>
        <v>0</v>
      </c>
      <c r="AD137" s="417">
        <f>-MIN(AD185* Inputs!$L$103,AD127+AD134+AD135)</f>
        <v>0</v>
      </c>
      <c r="AE137" s="417">
        <f>-MIN(AE185* Inputs!$L$103,AE127+AE134+AE135)</f>
        <v>0</v>
      </c>
      <c r="AF137" s="417">
        <f>-MIN(AF185* Inputs!$L$103,AF127+AF134+AF135)</f>
        <v>0</v>
      </c>
      <c r="AG137" s="417">
        <f>-MIN(AG185* Inputs!$L$103,AG127+AG134+AG135)</f>
        <v>0</v>
      </c>
      <c r="AH137" s="417">
        <f>-MIN(AH185* Inputs!$L$103,AH127+AH134+AH135)</f>
        <v>0</v>
      </c>
      <c r="AI137" s="417">
        <f>-MIN(AI185* Inputs!$L$103,AI127+AI134+AI135)</f>
        <v>-5000</v>
      </c>
      <c r="AJ137" s="417">
        <f>-MIN(AJ185* Inputs!$L$103,AJ127+AJ134+AJ135)</f>
        <v>-10000</v>
      </c>
      <c r="AK137" s="417">
        <f>-MIN(AK185* Inputs!$L$103,AK127+AK134+AK135)</f>
        <v>-10000</v>
      </c>
      <c r="AL137" s="417">
        <f>-MIN(AL185* Inputs!$L$103,AL127+AL134+AL135)</f>
        <v>-10000</v>
      </c>
      <c r="AM137" s="417">
        <f>-MIN(AM185* Inputs!$L$103,AM127+AM134+AM135)</f>
        <v>-30000</v>
      </c>
      <c r="AN137" s="417">
        <f>-MIN(AN185* Inputs!$L$103,AN127+AN134+AN135)</f>
        <v>-39916.703318010215</v>
      </c>
      <c r="AO137" s="417">
        <f>-MIN(AO185* Inputs!$L$103,AO127+AO134+AO135)</f>
        <v>0</v>
      </c>
      <c r="AP137" s="417">
        <f>-MIN(AP185* Inputs!$L$103,AP127+AP134+AP135)</f>
        <v>0</v>
      </c>
      <c r="AQ137" s="417">
        <f>-MIN(AQ185* Inputs!$L$103,AQ127+AQ134+AQ135)</f>
        <v>0</v>
      </c>
      <c r="AR137" s="417">
        <f>-MIN(AR185* Inputs!$L$103,AR127+AR134+AR135)</f>
        <v>0</v>
      </c>
      <c r="AS137" s="417">
        <f>-MIN(AS185* Inputs!$L$103,AS127+AS134+AS135)</f>
        <v>0</v>
      </c>
      <c r="AT137" s="417">
        <f>-MIN(AT185* Inputs!$L$103,AT127+AT134+AT135)</f>
        <v>0</v>
      </c>
      <c r="AU137" s="417">
        <f>-MIN(AU185* Inputs!$L$103,AU127+AU134+AU135)</f>
        <v>0</v>
      </c>
      <c r="AV137" s="417">
        <f>-MIN(AV185* Inputs!$L$103,AV127+AV134+AV135)</f>
        <v>0</v>
      </c>
      <c r="AW137" s="417">
        <f>-MIN(AW185* Inputs!$L$103,AW127+AW134+AW135)</f>
        <v>0</v>
      </c>
      <c r="AX137" s="417">
        <f>-MIN(AX185* Inputs!$L$103,AX127+AX134+AX135)</f>
        <v>0</v>
      </c>
      <c r="AY137" s="417">
        <f>-MIN(AY185* Inputs!$L$103,AY127+AY134+AY135)</f>
        <v>0</v>
      </c>
      <c r="AZ137" s="417">
        <f>-MIN(AZ185* Inputs!$L$103,AZ127+AZ134+AZ135)</f>
        <v>0</v>
      </c>
      <c r="BA137" s="417">
        <f>-MIN(BA185* Inputs!$L$103,BA127+BA134+BA135)</f>
        <v>0</v>
      </c>
      <c r="BB137" s="417">
        <f>-MIN(BB185* Inputs!$L$103,BB127+BB134+BB135)</f>
        <v>0</v>
      </c>
      <c r="BC137" s="417">
        <f>-MIN(BC185* Inputs!$L$103,BC127+BC134+BC135)</f>
        <v>0</v>
      </c>
      <c r="BD137" s="417">
        <f>-MIN(BD185* Inputs!$L$103,BD127+BD134+BD135)</f>
        <v>0</v>
      </c>
      <c r="BE137" s="417">
        <f>-MIN(BE185* Inputs!$L$103,BE127+BE134+BE135)</f>
        <v>0</v>
      </c>
      <c r="BF137" s="417">
        <f>-MIN(BF185* Inputs!$L$103,BF127+BF134+BF135)</f>
        <v>0</v>
      </c>
      <c r="BG137" s="417">
        <f>-MIN(BG185* Inputs!$L$103,BG127+BG134+BG135)</f>
        <v>0</v>
      </c>
      <c r="BH137" s="417">
        <f>-MIN(BH185* Inputs!$L$103,BH127+BH134+BH135)</f>
        <v>0</v>
      </c>
      <c r="BI137" s="417">
        <f>-MIN(BI185* Inputs!$L$103,BI127+BI134+BI135)</f>
        <v>0</v>
      </c>
      <c r="BJ137" s="417">
        <f>-MIN(BJ185* Inputs!$L$103,BJ127+BJ134+BJ135)</f>
        <v>0</v>
      </c>
      <c r="BK137" s="417"/>
      <c r="BL137" s="417"/>
      <c r="BM137" s="417"/>
      <c r="BN137" s="417"/>
      <c r="BO137" s="417"/>
      <c r="BP137" s="417"/>
      <c r="BQ137" s="417"/>
      <c r="BR137" s="417"/>
      <c r="BS137" s="417"/>
      <c r="BT137" s="417"/>
      <c r="BU137" s="417"/>
    </row>
    <row r="138" spans="1:73" x14ac:dyDescent="0.2">
      <c r="A138" s="299"/>
      <c r="B138" s="299"/>
      <c r="C138" s="299"/>
      <c r="D138" s="299"/>
      <c r="E138" s="299"/>
      <c r="F138" s="299"/>
      <c r="G138" s="299"/>
      <c r="H138" s="299"/>
      <c r="I138" s="299"/>
      <c r="J138" s="299"/>
      <c r="K138" s="410"/>
      <c r="L138" s="299"/>
      <c r="M138" s="299"/>
      <c r="N138" s="417"/>
      <c r="O138" s="299"/>
      <c r="P138" s="299"/>
      <c r="Q138" s="417"/>
      <c r="R138" s="417"/>
      <c r="S138" s="417"/>
      <c r="T138" s="417"/>
      <c r="U138" s="417"/>
      <c r="V138" s="417"/>
      <c r="W138" s="417"/>
      <c r="X138" s="417"/>
      <c r="Y138" s="417"/>
      <c r="Z138" s="417"/>
      <c r="AA138" s="417"/>
      <c r="AB138" s="417"/>
      <c r="AC138" s="417"/>
      <c r="AD138" s="417"/>
      <c r="AE138" s="417"/>
      <c r="AF138" s="417"/>
      <c r="AG138" s="417"/>
      <c r="AH138" s="417"/>
      <c r="AI138" s="417"/>
      <c r="AJ138" s="417"/>
      <c r="AK138" s="417"/>
      <c r="AL138" s="417"/>
      <c r="AM138" s="417"/>
      <c r="AN138" s="417"/>
      <c r="AO138" s="417"/>
      <c r="AP138" s="417"/>
      <c r="AQ138" s="417"/>
      <c r="AR138" s="417"/>
      <c r="AS138" s="417"/>
      <c r="AT138" s="417"/>
      <c r="AU138" s="417"/>
      <c r="AV138" s="417"/>
      <c r="AW138" s="417"/>
      <c r="AX138" s="417"/>
      <c r="AY138" s="417"/>
      <c r="AZ138" s="417"/>
      <c r="BA138" s="417"/>
      <c r="BB138" s="417"/>
      <c r="BC138" s="417"/>
      <c r="BD138" s="417"/>
      <c r="BE138" s="417"/>
      <c r="BF138" s="417"/>
      <c r="BG138" s="417"/>
      <c r="BH138" s="417"/>
      <c r="BI138" s="417"/>
      <c r="BJ138" s="417"/>
      <c r="BK138" s="417"/>
      <c r="BL138" s="417"/>
      <c r="BM138" s="417"/>
      <c r="BN138" s="417"/>
      <c r="BO138" s="417"/>
      <c r="BP138" s="417"/>
      <c r="BQ138" s="417"/>
      <c r="BR138" s="417"/>
      <c r="BS138" s="417"/>
      <c r="BT138" s="417"/>
      <c r="BU138" s="417"/>
    </row>
    <row r="139" spans="1:73" x14ac:dyDescent="0.2">
      <c r="A139" s="299"/>
      <c r="B139" s="299"/>
      <c r="C139" s="299" t="s">
        <v>155</v>
      </c>
      <c r="D139" s="299"/>
      <c r="E139" s="299"/>
      <c r="F139" s="299"/>
      <c r="G139" s="299"/>
      <c r="H139" s="299"/>
      <c r="I139" s="299"/>
      <c r="J139" s="299"/>
      <c r="K139" s="410" t="s">
        <v>62</v>
      </c>
      <c r="L139" s="299"/>
      <c r="M139" s="299"/>
      <c r="N139" s="417">
        <f t="shared" si="203"/>
        <v>-329276.02465819661</v>
      </c>
      <c r="O139" s="299"/>
      <c r="P139" s="299"/>
      <c r="Q139" s="417"/>
      <c r="R139" s="417">
        <f t="shared" ref="R139:AW139" si="207">-MIN(-R160,SUM(R127:R128)+SUM(R130:R137))</f>
        <v>0</v>
      </c>
      <c r="S139" s="417">
        <f t="shared" si="207"/>
        <v>0</v>
      </c>
      <c r="T139" s="417">
        <f t="shared" si="207"/>
        <v>0</v>
      </c>
      <c r="U139" s="417">
        <f t="shared" si="207"/>
        <v>0</v>
      </c>
      <c r="V139" s="417">
        <f t="shared" si="207"/>
        <v>0</v>
      </c>
      <c r="W139" s="417">
        <f t="shared" si="207"/>
        <v>0</v>
      </c>
      <c r="X139" s="417">
        <f t="shared" si="207"/>
        <v>0</v>
      </c>
      <c r="Y139" s="417">
        <f t="shared" si="207"/>
        <v>-1144.9213178654027</v>
      </c>
      <c r="Z139" s="417">
        <f t="shared" si="207"/>
        <v>-6531.2471802765504</v>
      </c>
      <c r="AA139" s="417">
        <f t="shared" si="207"/>
        <v>-6608.4925890652376</v>
      </c>
      <c r="AB139" s="417">
        <f t="shared" si="207"/>
        <v>-4697.7256395354489</v>
      </c>
      <c r="AC139" s="417">
        <f t="shared" si="207"/>
        <v>-2760.5135969714611</v>
      </c>
      <c r="AD139" s="417">
        <f t="shared" si="207"/>
        <v>-804.31205934862373</v>
      </c>
      <c r="AE139" s="417">
        <f t="shared" si="207"/>
        <v>0</v>
      </c>
      <c r="AF139" s="417">
        <f t="shared" si="207"/>
        <v>-7360.2077820870327</v>
      </c>
      <c r="AG139" s="417">
        <f t="shared" si="207"/>
        <v>-11373.084161063045</v>
      </c>
      <c r="AH139" s="417">
        <f t="shared" si="207"/>
        <v>-16453.675188882597</v>
      </c>
      <c r="AI139" s="417">
        <f t="shared" si="207"/>
        <v>-22521.64259167781</v>
      </c>
      <c r="AJ139" s="417">
        <f t="shared" si="207"/>
        <v>-29678.740055812872</v>
      </c>
      <c r="AK139" s="417">
        <f t="shared" si="207"/>
        <v>-38059.275062894245</v>
      </c>
      <c r="AL139" s="417">
        <f t="shared" si="207"/>
        <v>-48120.391502588871</v>
      </c>
      <c r="AM139" s="417">
        <f t="shared" si="207"/>
        <v>-59778.260653921781</v>
      </c>
      <c r="AN139" s="417">
        <f t="shared" si="207"/>
        <v>-73383.535276205657</v>
      </c>
      <c r="AO139" s="417">
        <f t="shared" si="207"/>
        <v>0</v>
      </c>
      <c r="AP139" s="417">
        <f t="shared" si="207"/>
        <v>0</v>
      </c>
      <c r="AQ139" s="417">
        <f t="shared" si="207"/>
        <v>0</v>
      </c>
      <c r="AR139" s="417">
        <f t="shared" si="207"/>
        <v>0</v>
      </c>
      <c r="AS139" s="417">
        <f t="shared" si="207"/>
        <v>0</v>
      </c>
      <c r="AT139" s="417">
        <f t="shared" si="207"/>
        <v>0</v>
      </c>
      <c r="AU139" s="417">
        <f t="shared" si="207"/>
        <v>0</v>
      </c>
      <c r="AV139" s="417">
        <f t="shared" si="207"/>
        <v>0</v>
      </c>
      <c r="AW139" s="417">
        <f t="shared" si="207"/>
        <v>0</v>
      </c>
      <c r="AX139" s="417">
        <f t="shared" ref="AX139:BJ139" si="208">-MIN(-AX160,SUM(AX127:AX128)+SUM(AX130:AX137))</f>
        <v>0</v>
      </c>
      <c r="AY139" s="417">
        <f t="shared" si="208"/>
        <v>0</v>
      </c>
      <c r="AZ139" s="417">
        <f t="shared" si="208"/>
        <v>0</v>
      </c>
      <c r="BA139" s="417">
        <f t="shared" si="208"/>
        <v>0</v>
      </c>
      <c r="BB139" s="417">
        <f t="shared" si="208"/>
        <v>0</v>
      </c>
      <c r="BC139" s="417">
        <f t="shared" si="208"/>
        <v>0</v>
      </c>
      <c r="BD139" s="417">
        <f t="shared" si="208"/>
        <v>0</v>
      </c>
      <c r="BE139" s="417">
        <f t="shared" si="208"/>
        <v>0</v>
      </c>
      <c r="BF139" s="417">
        <f t="shared" si="208"/>
        <v>0</v>
      </c>
      <c r="BG139" s="417">
        <f t="shared" si="208"/>
        <v>0</v>
      </c>
      <c r="BH139" s="417">
        <f t="shared" si="208"/>
        <v>0</v>
      </c>
      <c r="BI139" s="417">
        <f t="shared" si="208"/>
        <v>0</v>
      </c>
      <c r="BJ139" s="417">
        <f t="shared" si="208"/>
        <v>0</v>
      </c>
      <c r="BK139" s="417"/>
      <c r="BL139" s="417"/>
      <c r="BM139" s="417"/>
      <c r="BN139" s="417"/>
      <c r="BO139" s="417"/>
      <c r="BP139" s="417"/>
      <c r="BQ139" s="417"/>
      <c r="BR139" s="417"/>
      <c r="BS139" s="417"/>
      <c r="BT139" s="417"/>
      <c r="BU139" s="417"/>
    </row>
    <row r="140" spans="1:73" ht="13.5" thickBot="1" x14ac:dyDescent="0.25">
      <c r="A140" s="299"/>
      <c r="B140" s="299"/>
      <c r="C140" s="426" t="s">
        <v>190</v>
      </c>
      <c r="D140" s="426"/>
      <c r="E140" s="426"/>
      <c r="F140" s="426"/>
      <c r="G140" s="426"/>
      <c r="H140" s="426"/>
      <c r="I140" s="426"/>
      <c r="J140" s="426"/>
      <c r="K140" s="630" t="s">
        <v>62</v>
      </c>
      <c r="L140" s="426"/>
      <c r="M140" s="426"/>
      <c r="N140" s="427">
        <f t="shared" si="203"/>
        <v>-309355.33276812552</v>
      </c>
      <c r="O140" s="426"/>
      <c r="P140" s="426"/>
      <c r="Q140" s="427"/>
      <c r="R140" s="427">
        <f>IF(ROUND(SUM(R127:R128)+SUM(R130:R139),0)=0,0,MAX(+R160,-SUM(R127:R128)-SUM(R130:R139))) * Inputs!$L$102</f>
        <v>0</v>
      </c>
      <c r="S140" s="427">
        <f>IF(ROUND(SUM(S127:S128)+SUM(S130:S139),0)=0,0,MAX(+S160,-SUM(S127:S128)-SUM(S130:S139))) * Inputs!$L$102</f>
        <v>0</v>
      </c>
      <c r="T140" s="427">
        <f>IF(ROUND(SUM(T127:T128)+SUM(T130:T139),0)=0,0,MAX(+T160,-SUM(T127:T128)-SUM(T130:T139))) * Inputs!$L$102</f>
        <v>0</v>
      </c>
      <c r="U140" s="427">
        <f>IF(ROUND(SUM(U127:U128)+SUM(U130:U139),0)=0,0,MAX(+U160,-SUM(U127:U128)-SUM(U130:U139))) * Inputs!$L$102</f>
        <v>0</v>
      </c>
      <c r="V140" s="427">
        <f>IF(ROUND(SUM(V127:V128)+SUM(V130:V139),0)=0,0,MAX(+V160,-SUM(V127:V128)-SUM(V130:V139))) * Inputs!$L$102</f>
        <v>0</v>
      </c>
      <c r="W140" s="427">
        <f>IF(ROUND(SUM(W127:W128)+SUM(W130:W139),0)=0,0,MAX(+W160,-SUM(W127:W128)-SUM(W130:W139))) * Inputs!$L$102</f>
        <v>0</v>
      </c>
      <c r="X140" s="427">
        <f>IF(ROUND(SUM(X127:X128)+SUM(X130:X139),0)=0,0,MAX(+X160,-SUM(X127:X128)-SUM(X130:X139))) * Inputs!$L$102</f>
        <v>0</v>
      </c>
      <c r="Y140" s="427">
        <f>IF(ROUND(SUM(Y127:Y128)+SUM(Y130:Y139),0)=0,0,MAX(+Y160,-SUM(Y127:Y128)-SUM(Y130:Y139))) * Inputs!$L$102</f>
        <v>-1144.9213178654027</v>
      </c>
      <c r="Z140" s="427">
        <f>IF(ROUND(SUM(Z127:Z128)+SUM(Z130:Z139),0)=0,0,MAX(+Z160,-SUM(Z127:Z128)-SUM(Z130:Z139))) * Inputs!$L$102</f>
        <v>-6531.2471802765504</v>
      </c>
      <c r="AA140" s="427">
        <f>IF(ROUND(SUM(AA127:AA128)+SUM(AA130:AA139),0)=0,0,MAX(+AA160,-SUM(AA127:AA128)-SUM(AA130:AA139))) * Inputs!$L$102</f>
        <v>-6608.4925890652376</v>
      </c>
      <c r="AB140" s="427">
        <f>IF(ROUND(SUM(AB127:AB128)+SUM(AB130:AB139),0)=0,0,MAX(+AB160,-SUM(AB127:AB128)-SUM(AB130:AB139))) * Inputs!$L$102</f>
        <v>-4697.7256395354489</v>
      </c>
      <c r="AC140" s="427">
        <f>IF(ROUND(SUM(AC127:AC128)+SUM(AC130:AC139),0)=0,0,MAX(+AC160,-SUM(AC127:AC128)-SUM(AC130:AC139))) * Inputs!$L$102</f>
        <v>-2760.5135969714611</v>
      </c>
      <c r="AD140" s="427">
        <f>IF(ROUND(SUM(AD127:AD128)+SUM(AD130:AD139),0)=0,0,MAX(+AD160,-SUM(AD127:AD128)-SUM(AD130:AD139))) * Inputs!$L$102</f>
        <v>-804.31205934862373</v>
      </c>
      <c r="AE140" s="427">
        <f>IF(ROUND(SUM(AE127:AE128)+SUM(AE130:AE139),0)=0,0,MAX(+AE160,-SUM(AE127:AE128)-SUM(AE130:AE139))) * Inputs!$L$102</f>
        <v>0</v>
      </c>
      <c r="AF140" s="427">
        <f>IF(ROUND(SUM(AF127:AF128)+SUM(AF130:AF139),0)=0,0,MAX(+AF160,-SUM(AF127:AF128)-SUM(AF130:AF139))) * Inputs!$L$102</f>
        <v>-7360.2077820870327</v>
      </c>
      <c r="AG140" s="427">
        <f>IF(ROUND(SUM(AG127:AG128)+SUM(AG130:AG139),0)=0,0,MAX(+AG160,-SUM(AG127:AG128)-SUM(AG130:AG139))) * Inputs!$L$102</f>
        <v>-11373.084161063045</v>
      </c>
      <c r="AH140" s="427">
        <f>IF(ROUND(SUM(AH127:AH128)+SUM(AH130:AH139),0)=0,0,MAX(+AH160,-SUM(AH127:AH128)-SUM(AH130:AH139))) * Inputs!$L$102</f>
        <v>-16453.675188882597</v>
      </c>
      <c r="AI140" s="503">
        <f>IF(ROUND(SUM(AI127:AI128)+SUM(AI130:AI139),0)=0,0,MAX(+AI160,-SUM(AI127:AI128)-SUM(AI130:AI139))) * Inputs!$L$102</f>
        <v>-22521.64259167781</v>
      </c>
      <c r="AJ140" s="427">
        <f>IF(ROUND(SUM(AJ127:AJ128)+SUM(AJ130:AJ139),0)=0,0,MAX(+AJ160,-SUM(AJ127:AJ128)-SUM(AJ130:AJ139))) * Inputs!$L$102</f>
        <v>-29678.740055812872</v>
      </c>
      <c r="AK140" s="427">
        <f>IF(ROUND(SUM(AK127:AK128)+SUM(AK130:AK139),0)=0,0,MAX(+AK160,-SUM(AK127:AK128)-SUM(AK130:AK139))) * Inputs!$L$102</f>
        <v>-38059.275062894245</v>
      </c>
      <c r="AL140" s="427">
        <f>IF(ROUND(SUM(AL127:AL128)+SUM(AL130:AL139),0)=0,0,MAX(+AL160,-SUM(AL127:AL128)-SUM(AL130:AL139))) * Inputs!$L$102</f>
        <v>-48120.391502588871</v>
      </c>
      <c r="AM140" s="427">
        <f>IF(ROUND(SUM(AM127:AM128)+SUM(AM130:AM139),0)=0,0,MAX(+AM160,-SUM(AM127:AM128)-SUM(AM130:AM139))) * Inputs!$L$102</f>
        <v>-59778.260653921781</v>
      </c>
      <c r="AN140" s="427">
        <f>IF(ROUND(SUM(AN127:AN128)+SUM(AN130:AN139),0)=0,0,MAX(+AN160,-SUM(AN127:AN128)-SUM(AN130:AN139))) * Inputs!$L$102</f>
        <v>-53462.84338613454</v>
      </c>
      <c r="AO140" s="427">
        <f>IF(ROUND(SUM(AO127:AO128)+SUM(AO130:AO139),0)=0,0,MAX(+AO160,-SUM(AO127:AO128)-SUM(AO130:AO139))) * Inputs!$L$102</f>
        <v>0</v>
      </c>
      <c r="AP140" s="427">
        <f>IF(ROUND(SUM(AP127:AP128)+SUM(AP130:AP139),0)=0,0,MAX(+AP160,-SUM(AP127:AP128)-SUM(AP130:AP139))) * Inputs!$L$102</f>
        <v>0</v>
      </c>
      <c r="AQ140" s="427">
        <f>IF(ROUND(SUM(AQ127:AQ128)+SUM(AQ130:AQ139),0)=0,0,MAX(+AQ160,-SUM(AQ127:AQ128)-SUM(AQ130:AQ139))) * Inputs!$L$102</f>
        <v>0</v>
      </c>
      <c r="AR140" s="427">
        <f>IF(ROUND(SUM(AR127:AR128)+SUM(AR130:AR139),0)=0,0,MAX(+AR160,-SUM(AR127:AR128)-SUM(AR130:AR139))) * Inputs!$L$102</f>
        <v>0</v>
      </c>
      <c r="AS140" s="427">
        <f>IF(ROUND(SUM(AS127:AS128)+SUM(AS130:AS139),0)=0,0,MAX(+AS160,-SUM(AS127:AS128)-SUM(AS130:AS139))) * Inputs!$L$102</f>
        <v>0</v>
      </c>
      <c r="AT140" s="427">
        <f>IF(ROUND(SUM(AT127:AT128)+SUM(AT130:AT139),0)=0,0,MAX(+AT160,-SUM(AT127:AT128)-SUM(AT130:AT139))) * Inputs!$L$102</f>
        <v>0</v>
      </c>
      <c r="AU140" s="427">
        <f>IF(ROUND(SUM(AU127:AU128)+SUM(AU130:AU139),0)=0,0,MAX(+AU160,-SUM(AU127:AU128)-SUM(AU130:AU139))) * Inputs!$L$102</f>
        <v>0</v>
      </c>
      <c r="AV140" s="427">
        <f>IF(ROUND(SUM(AV127:AV128)+SUM(AV130:AV139),0)=0,0,MAX(+AV160,-SUM(AV127:AV128)-SUM(AV130:AV139))) * Inputs!$L$102</f>
        <v>0</v>
      </c>
      <c r="AW140" s="427">
        <f>IF(ROUND(SUM(AW127:AW128)+SUM(AW130:AW139),0)=0,0,MAX(+AW160,-SUM(AW127:AW128)-SUM(AW130:AW139))) * Inputs!$L$102</f>
        <v>0</v>
      </c>
      <c r="AX140" s="427">
        <f>IF(ROUND(SUM(AX127:AX128)+SUM(AX130:AX139),0)=0,0,MAX(+AX160,-SUM(AX127:AX128)-SUM(AX130:AX139))) * Inputs!$L$102</f>
        <v>0</v>
      </c>
      <c r="AY140" s="427">
        <f>IF(ROUND(SUM(AY127:AY128)+SUM(AY130:AY139),0)=0,0,MAX(+AY160,-SUM(AY127:AY128)-SUM(AY130:AY139))) * Inputs!$L$102</f>
        <v>0</v>
      </c>
      <c r="AZ140" s="427">
        <f>IF(ROUND(SUM(AZ127:AZ128)+SUM(AZ130:AZ139),0)=0,0,MAX(+AZ160,-SUM(AZ127:AZ128)-SUM(AZ130:AZ139))) * Inputs!$L$102</f>
        <v>0</v>
      </c>
      <c r="BA140" s="427">
        <f>IF(ROUND(SUM(BA127:BA128)+SUM(BA130:BA139),0)=0,0,MAX(+BA160,-SUM(BA127:BA128)-SUM(BA130:BA139))) * Inputs!$L$102</f>
        <v>0</v>
      </c>
      <c r="BB140" s="427">
        <f>IF(ROUND(SUM(BB127:BB128)+SUM(BB130:BB139),0)=0,0,MAX(+BB160,-SUM(BB127:BB128)-SUM(BB130:BB139))) * Inputs!$L$102</f>
        <v>0</v>
      </c>
      <c r="BC140" s="427">
        <f>IF(ROUND(SUM(BC127:BC128)+SUM(BC130:BC139),0)=0,0,MAX(+BC160,-SUM(BC127:BC128)-SUM(BC130:BC139))) * Inputs!$L$102</f>
        <v>0</v>
      </c>
      <c r="BD140" s="427">
        <f>IF(ROUND(SUM(BD127:BD128)+SUM(BD130:BD139),0)=0,0,MAX(+BD160,-SUM(BD127:BD128)-SUM(BD130:BD139))) * Inputs!$L$102</f>
        <v>0</v>
      </c>
      <c r="BE140" s="427">
        <f>IF(ROUND(SUM(BE127:BE128)+SUM(BE130:BE139),0)=0,0,MAX(+BE160,-SUM(BE127:BE128)-SUM(BE130:BE139))) * Inputs!$L$102</f>
        <v>0</v>
      </c>
      <c r="BF140" s="427">
        <f>IF(ROUND(SUM(BF127:BF128)+SUM(BF130:BF139),0)=0,0,MAX(+BF160,-SUM(BF127:BF128)-SUM(BF130:BF139))) * Inputs!$L$102</f>
        <v>0</v>
      </c>
      <c r="BG140" s="427">
        <f>IF(ROUND(SUM(BG127:BG128)+SUM(BG130:BG139),0)=0,0,MAX(+BG160,-SUM(BG127:BG128)-SUM(BG130:BG139))) * Inputs!$L$102</f>
        <v>0</v>
      </c>
      <c r="BH140" s="427">
        <f>IF(ROUND(SUM(BH127:BH128)+SUM(BH130:BH139),0)=0,0,MAX(+BH160,-SUM(BH127:BH128)-SUM(BH130:BH139))) * Inputs!$L$102</f>
        <v>0</v>
      </c>
      <c r="BI140" s="427">
        <f>IF(ROUND(SUM(BI127:BI128)+SUM(BI130:BI139),0)=0,0,MAX(+BI160,-SUM(BI127:BI128)-SUM(BI130:BI139))) * Inputs!$L$102</f>
        <v>0</v>
      </c>
      <c r="BJ140" s="427">
        <f>IF(ROUND(SUM(BJ127:BJ128)+SUM(BJ130:BJ139),0)=0,0,MAX(+BJ160,-SUM(BJ127:BJ128)-SUM(BJ130:BJ139))) * Inputs!$L$102</f>
        <v>0</v>
      </c>
      <c r="BK140" s="427"/>
      <c r="BL140" s="427"/>
      <c r="BM140" s="427"/>
      <c r="BN140" s="427"/>
      <c r="BO140" s="427"/>
      <c r="BP140" s="427"/>
      <c r="BQ140" s="427"/>
      <c r="BR140" s="427"/>
      <c r="BS140" s="427"/>
      <c r="BT140" s="427"/>
      <c r="BU140" s="427"/>
    </row>
    <row r="141" spans="1:73" x14ac:dyDescent="0.2">
      <c r="A141" s="299"/>
      <c r="B141" s="299"/>
      <c r="C141" s="299" t="s">
        <v>88</v>
      </c>
      <c r="D141" s="299"/>
      <c r="E141" s="299"/>
      <c r="F141" s="299"/>
      <c r="G141" s="299"/>
      <c r="H141" s="299"/>
      <c r="I141" s="299"/>
      <c r="J141" s="299"/>
      <c r="K141" s="410"/>
      <c r="L141" s="299"/>
      <c r="M141" s="299"/>
      <c r="N141" s="464">
        <f>IF(ROUND(SUM(N128:N140),0)&lt;&gt;0,1,0)</f>
        <v>0</v>
      </c>
      <c r="O141" s="299"/>
      <c r="P141" s="299"/>
      <c r="Q141" s="417"/>
      <c r="R141" s="417">
        <f t="shared" ref="R141:AW141" si="209">SUM(R127:R128)+SUM(R130:R140)</f>
        <v>793974.41311090544</v>
      </c>
      <c r="S141" s="417">
        <f t="shared" si="209"/>
        <v>830267.58695475885</v>
      </c>
      <c r="T141" s="417">
        <f t="shared" si="209"/>
        <v>848464.7640623427</v>
      </c>
      <c r="U141" s="417">
        <f t="shared" si="209"/>
        <v>848464.7640623427</v>
      </c>
      <c r="V141" s="417">
        <f t="shared" si="209"/>
        <v>848464.7640623427</v>
      </c>
      <c r="W141" s="417">
        <f t="shared" si="209"/>
        <v>848464.7640623427</v>
      </c>
      <c r="X141" s="417">
        <f t="shared" si="209"/>
        <v>848464.7640623427</v>
      </c>
      <c r="Y141" s="417">
        <f t="shared" si="209"/>
        <v>846174.92142661195</v>
      </c>
      <c r="Z141" s="417">
        <f t="shared" si="209"/>
        <v>833112.42706605885</v>
      </c>
      <c r="AA141" s="417">
        <f t="shared" si="209"/>
        <v>819895.44188792841</v>
      </c>
      <c r="AB141" s="417">
        <f t="shared" si="209"/>
        <v>810499.99060885748</v>
      </c>
      <c r="AC141" s="417">
        <f t="shared" si="209"/>
        <v>804978.96341491456</v>
      </c>
      <c r="AD141" s="417">
        <f t="shared" si="209"/>
        <v>803370.33929621731</v>
      </c>
      <c r="AE141" s="417">
        <f t="shared" si="209"/>
        <v>803370.33929621731</v>
      </c>
      <c r="AF141" s="417">
        <f t="shared" si="209"/>
        <v>788649.92373204324</v>
      </c>
      <c r="AG141" s="417">
        <f t="shared" si="209"/>
        <v>765903.7554099171</v>
      </c>
      <c r="AH141" s="417">
        <f t="shared" si="209"/>
        <v>732996.40503215184</v>
      </c>
      <c r="AI141" s="417">
        <f t="shared" si="209"/>
        <v>677953.11984879617</v>
      </c>
      <c r="AJ141" s="417">
        <f t="shared" si="209"/>
        <v>598595.63973717042</v>
      </c>
      <c r="AK141" s="417">
        <f t="shared" si="209"/>
        <v>502477.08961138193</v>
      </c>
      <c r="AL141" s="417">
        <f t="shared" si="209"/>
        <v>386236.30660620419</v>
      </c>
      <c r="AM141" s="417">
        <f t="shared" si="209"/>
        <v>206679.78529836063</v>
      </c>
      <c r="AN141" s="417">
        <f t="shared" si="209"/>
        <v>0</v>
      </c>
      <c r="AO141" s="417">
        <f t="shared" si="209"/>
        <v>0</v>
      </c>
      <c r="AP141" s="417">
        <f t="shared" si="209"/>
        <v>0</v>
      </c>
      <c r="AQ141" s="417">
        <f t="shared" si="209"/>
        <v>0</v>
      </c>
      <c r="AR141" s="417">
        <f t="shared" si="209"/>
        <v>0</v>
      </c>
      <c r="AS141" s="417">
        <f t="shared" si="209"/>
        <v>0</v>
      </c>
      <c r="AT141" s="417">
        <f t="shared" si="209"/>
        <v>0</v>
      </c>
      <c r="AU141" s="417">
        <f t="shared" si="209"/>
        <v>0</v>
      </c>
      <c r="AV141" s="417">
        <f t="shared" si="209"/>
        <v>0</v>
      </c>
      <c r="AW141" s="417">
        <f t="shared" si="209"/>
        <v>0</v>
      </c>
      <c r="AX141" s="417">
        <f t="shared" ref="AX141:BJ141" si="210">SUM(AX127:AX128)+SUM(AX130:AX140)</f>
        <v>0</v>
      </c>
      <c r="AY141" s="417">
        <f t="shared" si="210"/>
        <v>0</v>
      </c>
      <c r="AZ141" s="417">
        <f t="shared" si="210"/>
        <v>0</v>
      </c>
      <c r="BA141" s="417">
        <f t="shared" si="210"/>
        <v>0</v>
      </c>
      <c r="BB141" s="417">
        <f t="shared" si="210"/>
        <v>0</v>
      </c>
      <c r="BC141" s="417">
        <f t="shared" si="210"/>
        <v>0</v>
      </c>
      <c r="BD141" s="417">
        <f t="shared" si="210"/>
        <v>0</v>
      </c>
      <c r="BE141" s="417">
        <f t="shared" si="210"/>
        <v>0</v>
      </c>
      <c r="BF141" s="417">
        <f t="shared" si="210"/>
        <v>0</v>
      </c>
      <c r="BG141" s="417">
        <f t="shared" si="210"/>
        <v>0</v>
      </c>
      <c r="BH141" s="417">
        <f t="shared" si="210"/>
        <v>0</v>
      </c>
      <c r="BI141" s="417">
        <f t="shared" si="210"/>
        <v>0</v>
      </c>
      <c r="BJ141" s="417">
        <f t="shared" si="210"/>
        <v>0</v>
      </c>
      <c r="BK141" s="417"/>
      <c r="BL141" s="417"/>
      <c r="BM141" s="417"/>
      <c r="BN141" s="417"/>
      <c r="BO141" s="417"/>
      <c r="BP141" s="417"/>
      <c r="BQ141" s="417"/>
      <c r="BR141" s="417"/>
      <c r="BS141" s="417"/>
      <c r="BT141" s="417"/>
      <c r="BU141" s="417"/>
    </row>
    <row r="142" spans="1:73" x14ac:dyDescent="0.2">
      <c r="A142" s="299"/>
      <c r="B142" s="299"/>
      <c r="C142" s="299"/>
      <c r="D142" s="299"/>
      <c r="E142" s="299"/>
      <c r="F142" s="299"/>
      <c r="G142" s="299"/>
      <c r="H142" s="299"/>
      <c r="I142" s="299"/>
      <c r="J142" s="299"/>
      <c r="K142" s="410"/>
      <c r="L142" s="299"/>
      <c r="M142" s="299"/>
      <c r="N142" s="299"/>
      <c r="O142" s="299"/>
      <c r="P142" s="299"/>
      <c r="Q142" s="299"/>
      <c r="R142" s="299"/>
      <c r="S142" s="299"/>
      <c r="T142" s="299"/>
      <c r="U142" s="299"/>
      <c r="V142" s="299"/>
      <c r="W142" s="299"/>
      <c r="X142" s="417"/>
      <c r="Y142" s="417"/>
      <c r="Z142" s="417"/>
      <c r="AA142" s="417"/>
      <c r="AB142" s="417"/>
      <c r="AC142" s="417"/>
      <c r="AD142" s="417"/>
      <c r="AE142" s="417"/>
      <c r="AF142" s="417"/>
      <c r="AG142" s="417"/>
      <c r="AH142" s="417"/>
      <c r="AI142" s="417"/>
      <c r="AJ142" s="417"/>
      <c r="AK142" s="417"/>
      <c r="AL142" s="417"/>
      <c r="AM142" s="417"/>
      <c r="AN142" s="417"/>
      <c r="AO142" s="417"/>
      <c r="AP142" s="417"/>
      <c r="AQ142" s="417"/>
      <c r="AR142" s="299"/>
      <c r="AS142" s="299"/>
      <c r="AT142" s="299"/>
      <c r="AU142" s="299"/>
      <c r="AV142" s="299"/>
      <c r="AW142" s="299"/>
      <c r="AX142" s="299"/>
      <c r="AY142" s="299"/>
      <c r="AZ142" s="299"/>
      <c r="BA142" s="299"/>
      <c r="BB142" s="299"/>
      <c r="BC142" s="299"/>
      <c r="BD142" s="299"/>
      <c r="BE142" s="299"/>
      <c r="BF142" s="299"/>
      <c r="BG142" s="299"/>
      <c r="BH142" s="299"/>
      <c r="BI142" s="299"/>
      <c r="BJ142" s="299"/>
      <c r="BK142" s="299"/>
      <c r="BL142" s="299"/>
      <c r="BM142" s="299"/>
      <c r="BN142" s="299"/>
      <c r="BO142" s="299"/>
      <c r="BP142" s="299"/>
      <c r="BQ142" s="299"/>
      <c r="BR142" s="299"/>
      <c r="BS142" s="299"/>
      <c r="BT142" s="299"/>
      <c r="BU142" s="299"/>
    </row>
    <row r="143" spans="1:73" x14ac:dyDescent="0.2">
      <c r="A143" s="299"/>
      <c r="B143" s="299"/>
      <c r="C143" s="299" t="s">
        <v>191</v>
      </c>
      <c r="D143" s="299"/>
      <c r="E143" s="299"/>
      <c r="F143" s="299"/>
      <c r="G143" s="299"/>
      <c r="H143" s="299"/>
      <c r="I143" s="299"/>
      <c r="J143" s="299"/>
      <c r="K143" s="410" t="s">
        <v>50</v>
      </c>
      <c r="L143" s="299"/>
      <c r="M143" s="299"/>
      <c r="N143" s="413"/>
      <c r="O143" s="299"/>
      <c r="P143" s="299"/>
      <c r="Q143" s="414"/>
      <c r="R143" s="414">
        <f t="shared" ref="R143:AO143" si="211">+IF(AND(ROUND(Q141,0)&gt;0,ROUND(R141,0)=0), 1,0)</f>
        <v>0</v>
      </c>
      <c r="S143" s="414">
        <f t="shared" si="211"/>
        <v>0</v>
      </c>
      <c r="T143" s="414">
        <f t="shared" si="211"/>
        <v>0</v>
      </c>
      <c r="U143" s="414">
        <f t="shared" si="211"/>
        <v>0</v>
      </c>
      <c r="V143" s="414">
        <f t="shared" si="211"/>
        <v>0</v>
      </c>
      <c r="W143" s="414">
        <f t="shared" si="211"/>
        <v>0</v>
      </c>
      <c r="X143" s="414">
        <f t="shared" si="211"/>
        <v>0</v>
      </c>
      <c r="Y143" s="414">
        <f t="shared" si="211"/>
        <v>0</v>
      </c>
      <c r="Z143" s="414">
        <f t="shared" si="211"/>
        <v>0</v>
      </c>
      <c r="AA143" s="414">
        <f t="shared" si="211"/>
        <v>0</v>
      </c>
      <c r="AB143" s="414">
        <f t="shared" si="211"/>
        <v>0</v>
      </c>
      <c r="AC143" s="414">
        <f t="shared" si="211"/>
        <v>0</v>
      </c>
      <c r="AD143" s="414">
        <f t="shared" si="211"/>
        <v>0</v>
      </c>
      <c r="AE143" s="414">
        <f t="shared" si="211"/>
        <v>0</v>
      </c>
      <c r="AF143" s="414">
        <f t="shared" si="211"/>
        <v>0</v>
      </c>
      <c r="AG143" s="414">
        <f t="shared" si="211"/>
        <v>0</v>
      </c>
      <c r="AH143" s="414">
        <f t="shared" si="211"/>
        <v>0</v>
      </c>
      <c r="AI143" s="414">
        <f t="shared" si="211"/>
        <v>0</v>
      </c>
      <c r="AJ143" s="414">
        <f t="shared" si="211"/>
        <v>0</v>
      </c>
      <c r="AK143" s="414">
        <f t="shared" si="211"/>
        <v>0</v>
      </c>
      <c r="AL143" s="414">
        <f t="shared" si="211"/>
        <v>0</v>
      </c>
      <c r="AM143" s="414">
        <f t="shared" si="211"/>
        <v>0</v>
      </c>
      <c r="AN143" s="414">
        <f t="shared" si="211"/>
        <v>1</v>
      </c>
      <c r="AO143" s="414">
        <f t="shared" si="211"/>
        <v>0</v>
      </c>
      <c r="AP143" s="414">
        <f t="shared" ref="AP143:BJ143" si="212">+IF(AND(ROUND(AO141,0)&gt;0,ROUND(AP141,0)=0), 1,0)</f>
        <v>0</v>
      </c>
      <c r="AQ143" s="414">
        <f t="shared" si="212"/>
        <v>0</v>
      </c>
      <c r="AR143" s="414">
        <f t="shared" si="212"/>
        <v>0</v>
      </c>
      <c r="AS143" s="414">
        <f t="shared" si="212"/>
        <v>0</v>
      </c>
      <c r="AT143" s="414">
        <f t="shared" si="212"/>
        <v>0</v>
      </c>
      <c r="AU143" s="414">
        <f t="shared" si="212"/>
        <v>0</v>
      </c>
      <c r="AV143" s="414">
        <f t="shared" si="212"/>
        <v>0</v>
      </c>
      <c r="AW143" s="414">
        <f t="shared" si="212"/>
        <v>0</v>
      </c>
      <c r="AX143" s="414">
        <f t="shared" si="212"/>
        <v>0</v>
      </c>
      <c r="AY143" s="414">
        <f t="shared" si="212"/>
        <v>0</v>
      </c>
      <c r="AZ143" s="414">
        <f t="shared" si="212"/>
        <v>0</v>
      </c>
      <c r="BA143" s="414">
        <f t="shared" si="212"/>
        <v>0</v>
      </c>
      <c r="BB143" s="414">
        <f t="shared" si="212"/>
        <v>0</v>
      </c>
      <c r="BC143" s="414">
        <f t="shared" si="212"/>
        <v>0</v>
      </c>
      <c r="BD143" s="414">
        <f t="shared" si="212"/>
        <v>0</v>
      </c>
      <c r="BE143" s="414">
        <f t="shared" si="212"/>
        <v>0</v>
      </c>
      <c r="BF143" s="414">
        <f t="shared" si="212"/>
        <v>0</v>
      </c>
      <c r="BG143" s="414">
        <f t="shared" si="212"/>
        <v>0</v>
      </c>
      <c r="BH143" s="414">
        <f t="shared" si="212"/>
        <v>0</v>
      </c>
      <c r="BI143" s="414">
        <f t="shared" si="212"/>
        <v>0</v>
      </c>
      <c r="BJ143" s="414">
        <f t="shared" si="212"/>
        <v>0</v>
      </c>
      <c r="BK143" s="414"/>
      <c r="BL143" s="414"/>
      <c r="BM143" s="414"/>
      <c r="BN143" s="414"/>
      <c r="BO143" s="414"/>
      <c r="BP143" s="414"/>
      <c r="BQ143" s="414"/>
      <c r="BR143" s="414"/>
      <c r="BS143" s="414"/>
      <c r="BT143" s="414"/>
      <c r="BU143" s="414"/>
    </row>
    <row r="144" spans="1:73" x14ac:dyDescent="0.2">
      <c r="A144" s="299"/>
      <c r="B144" s="299"/>
      <c r="C144" s="299"/>
      <c r="D144" s="299"/>
      <c r="E144" s="299"/>
      <c r="F144" s="299"/>
      <c r="G144" s="299"/>
      <c r="H144" s="299"/>
      <c r="I144" s="299"/>
      <c r="J144" s="299"/>
      <c r="K144" s="410"/>
      <c r="L144" s="299"/>
      <c r="M144" s="299"/>
      <c r="N144" s="413"/>
      <c r="O144" s="299"/>
      <c r="P144" s="299"/>
      <c r="Q144" s="414"/>
      <c r="R144" s="414"/>
      <c r="S144" s="465"/>
      <c r="T144" s="414"/>
      <c r="U144" s="414"/>
      <c r="V144" s="414"/>
      <c r="W144" s="414"/>
      <c r="X144" s="414"/>
      <c r="Y144" s="414"/>
      <c r="Z144" s="414"/>
      <c r="AA144" s="414"/>
      <c r="AB144" s="414"/>
      <c r="AC144" s="414"/>
      <c r="AD144" s="414"/>
      <c r="AE144" s="414"/>
      <c r="AF144" s="414"/>
      <c r="AG144" s="414"/>
      <c r="AH144" s="414"/>
      <c r="AI144" s="414"/>
      <c r="AJ144" s="414"/>
      <c r="AK144" s="414"/>
      <c r="AL144" s="414"/>
      <c r="AM144" s="414"/>
      <c r="AN144" s="414"/>
      <c r="AO144" s="414"/>
      <c r="AP144" s="414"/>
      <c r="AQ144" s="414"/>
      <c r="AR144" s="414"/>
      <c r="AS144" s="414"/>
      <c r="AT144" s="414"/>
      <c r="AU144" s="414"/>
      <c r="AV144" s="414"/>
      <c r="AW144" s="414"/>
      <c r="AX144" s="414"/>
      <c r="AY144" s="414"/>
      <c r="AZ144" s="414"/>
      <c r="BA144" s="414"/>
      <c r="BB144" s="414"/>
      <c r="BC144" s="414"/>
      <c r="BD144" s="414"/>
      <c r="BE144" s="414"/>
      <c r="BF144" s="414"/>
      <c r="BG144" s="414"/>
      <c r="BH144" s="414"/>
      <c r="BI144" s="414"/>
      <c r="BJ144" s="414"/>
      <c r="BK144" s="414"/>
      <c r="BL144" s="414"/>
      <c r="BM144" s="414"/>
      <c r="BN144" s="414"/>
      <c r="BO144" s="414"/>
      <c r="BP144" s="414"/>
      <c r="BQ144" s="414"/>
      <c r="BR144" s="414"/>
      <c r="BS144" s="414"/>
      <c r="BT144" s="414"/>
      <c r="BU144" s="414"/>
    </row>
    <row r="145" spans="1:74" s="308" customFormat="1" x14ac:dyDescent="0.2">
      <c r="A145" s="215"/>
      <c r="B145" s="215"/>
      <c r="C145" s="215"/>
      <c r="D145" s="215" t="s">
        <v>192</v>
      </c>
      <c r="E145" s="215"/>
      <c r="F145" s="215"/>
      <c r="G145" s="215"/>
      <c r="H145" s="215"/>
      <c r="I145" s="215"/>
      <c r="J145" s="215"/>
      <c r="K145" s="636" t="s">
        <v>20</v>
      </c>
      <c r="L145" s="215"/>
      <c r="M145" s="215"/>
      <c r="N145" s="215"/>
      <c r="O145" s="215"/>
      <c r="P145" s="215"/>
      <c r="Q145" s="575"/>
      <c r="R145" s="575">
        <v>0</v>
      </c>
      <c r="S145" s="575">
        <v>0</v>
      </c>
      <c r="T145" s="575">
        <v>1999.7439999999999</v>
      </c>
      <c r="U145" s="575">
        <v>5484.7839999999997</v>
      </c>
      <c r="V145" s="575">
        <v>8469.7929999999997</v>
      </c>
      <c r="W145" s="575">
        <v>9950.030999999999</v>
      </c>
      <c r="X145" s="575">
        <v>9949.83</v>
      </c>
      <c r="Y145" s="575">
        <v>9950.030999999999</v>
      </c>
      <c r="Z145" s="575">
        <v>9950.030999999999</v>
      </c>
      <c r="AA145" s="575">
        <v>9950.030999999999</v>
      </c>
      <c r="AB145" s="575">
        <v>9950.0299999999988</v>
      </c>
      <c r="AC145" s="575">
        <v>9950.030999999999</v>
      </c>
      <c r="AD145" s="575">
        <v>9950.030999999999</v>
      </c>
      <c r="AE145" s="575">
        <v>9950.030999999999</v>
      </c>
      <c r="AF145" s="575">
        <v>9950.0299999999988</v>
      </c>
      <c r="AG145" s="575">
        <v>9950.030999999999</v>
      </c>
      <c r="AH145" s="575">
        <v>9950.030999999999</v>
      </c>
      <c r="AI145" s="575">
        <v>9950.030999999999</v>
      </c>
      <c r="AJ145" s="575">
        <v>9865.1260000000002</v>
      </c>
      <c r="AK145" s="575">
        <v>9752.0479999999989</v>
      </c>
      <c r="AL145" s="575">
        <v>9639.0489999999991</v>
      </c>
      <c r="AM145" s="575">
        <v>9526.0479999999989</v>
      </c>
      <c r="AN145" s="575">
        <v>22546.274999999998</v>
      </c>
      <c r="AO145" s="575">
        <v>33560.519</v>
      </c>
      <c r="AP145" s="575">
        <v>30563.018</v>
      </c>
      <c r="AQ145" s="575">
        <v>27428.498</v>
      </c>
      <c r="AR145" s="575">
        <v>24153.004999999997</v>
      </c>
      <c r="AS145" s="575">
        <v>20723.065999999999</v>
      </c>
      <c r="AT145" s="575"/>
      <c r="AU145" s="575"/>
      <c r="AV145" s="575"/>
      <c r="AW145" s="575"/>
      <c r="AX145" s="575"/>
      <c r="AY145" s="575"/>
      <c r="AZ145" s="575"/>
      <c r="BA145" s="575"/>
      <c r="BB145" s="575"/>
      <c r="BC145" s="575"/>
      <c r="BD145" s="575"/>
      <c r="BE145" s="575"/>
      <c r="BF145" s="575"/>
      <c r="BG145" s="575"/>
      <c r="BH145" s="575"/>
      <c r="BI145" s="575"/>
      <c r="BJ145" s="575"/>
      <c r="BK145" s="575"/>
      <c r="BL145" s="575"/>
      <c r="BM145" s="575"/>
      <c r="BN145" s="575"/>
      <c r="BO145" s="575"/>
      <c r="BP145" s="575"/>
      <c r="BQ145" s="575"/>
      <c r="BR145" s="575"/>
      <c r="BS145" s="575"/>
      <c r="BT145" s="575"/>
      <c r="BU145" s="575"/>
      <c r="BV145" s="379"/>
    </row>
    <row r="146" spans="1:74" s="308" customFormat="1" x14ac:dyDescent="0.2">
      <c r="A146" s="215"/>
      <c r="B146" s="215"/>
      <c r="C146" s="215"/>
      <c r="D146" s="215" t="s">
        <v>157</v>
      </c>
      <c r="E146" s="215"/>
      <c r="F146" s="215"/>
      <c r="G146" s="215"/>
      <c r="H146" s="215"/>
      <c r="I146" s="215"/>
      <c r="J146" s="215"/>
      <c r="K146" s="636" t="s">
        <v>62</v>
      </c>
      <c r="L146" s="215"/>
      <c r="M146" s="215"/>
      <c r="N146" s="467">
        <f t="shared" ref="N146" si="213">SUM(Q146:BJ146)</f>
        <v>-90000</v>
      </c>
      <c r="O146" s="215"/>
      <c r="P146" s="215"/>
      <c r="Q146" s="416"/>
      <c r="R146" s="416">
        <v>0</v>
      </c>
      <c r="S146" s="416">
        <v>0</v>
      </c>
      <c r="T146" s="416">
        <v>0</v>
      </c>
      <c r="U146" s="416">
        <v>0</v>
      </c>
      <c r="V146" s="416">
        <v>0</v>
      </c>
      <c r="W146" s="416">
        <v>0</v>
      </c>
      <c r="X146" s="416">
        <v>0</v>
      </c>
      <c r="Y146" s="416">
        <v>0</v>
      </c>
      <c r="Z146" s="416">
        <v>0</v>
      </c>
      <c r="AA146" s="416">
        <v>0</v>
      </c>
      <c r="AB146" s="416">
        <v>0</v>
      </c>
      <c r="AC146" s="416">
        <v>0</v>
      </c>
      <c r="AD146" s="416">
        <v>0</v>
      </c>
      <c r="AE146" s="416">
        <v>0</v>
      </c>
      <c r="AF146" s="416">
        <v>0</v>
      </c>
      <c r="AG146" s="416">
        <v>0</v>
      </c>
      <c r="AH146" s="416">
        <v>0</v>
      </c>
      <c r="AI146" s="416">
        <v>-5000</v>
      </c>
      <c r="AJ146" s="416">
        <v>-10000</v>
      </c>
      <c r="AK146" s="416">
        <v>-10000</v>
      </c>
      <c r="AL146" s="416">
        <v>-10000</v>
      </c>
      <c r="AM146" s="416">
        <v>-30000</v>
      </c>
      <c r="AN146" s="416">
        <v>-25000</v>
      </c>
      <c r="AO146" s="416">
        <v>0</v>
      </c>
      <c r="AP146" s="416">
        <v>0</v>
      </c>
      <c r="AQ146" s="416">
        <v>0</v>
      </c>
      <c r="AR146" s="416">
        <v>0</v>
      </c>
      <c r="AS146" s="416">
        <v>0</v>
      </c>
      <c r="AT146" s="416">
        <v>0</v>
      </c>
      <c r="AU146" s="416">
        <v>0</v>
      </c>
      <c r="AV146" s="416">
        <v>0</v>
      </c>
      <c r="AW146" s="416">
        <v>0</v>
      </c>
      <c r="AX146" s="416">
        <v>0</v>
      </c>
      <c r="AY146" s="416">
        <v>0</v>
      </c>
      <c r="AZ146" s="416">
        <v>0</v>
      </c>
      <c r="BA146" s="416">
        <v>0</v>
      </c>
      <c r="BB146" s="416">
        <v>0</v>
      </c>
      <c r="BC146" s="416">
        <v>0</v>
      </c>
      <c r="BD146" s="416">
        <v>0</v>
      </c>
      <c r="BE146" s="416">
        <v>0</v>
      </c>
      <c r="BF146" s="416">
        <v>0</v>
      </c>
      <c r="BG146" s="416">
        <v>0</v>
      </c>
      <c r="BH146" s="416">
        <v>0</v>
      </c>
      <c r="BI146" s="416">
        <v>0</v>
      </c>
      <c r="BJ146" s="416">
        <v>0</v>
      </c>
      <c r="BK146" s="416"/>
      <c r="BL146" s="416"/>
      <c r="BM146" s="416"/>
      <c r="BN146" s="416"/>
      <c r="BO146" s="416"/>
      <c r="BP146" s="416"/>
      <c r="BQ146" s="416"/>
      <c r="BR146" s="416"/>
      <c r="BS146" s="416"/>
      <c r="BT146" s="416"/>
      <c r="BU146" s="416"/>
      <c r="BV146" s="379"/>
    </row>
    <row r="147" spans="1:74" x14ac:dyDescent="0.2">
      <c r="A147" s="215"/>
      <c r="B147" s="215"/>
      <c r="C147" s="215"/>
      <c r="D147" s="215"/>
      <c r="E147" s="215"/>
      <c r="F147" s="215"/>
      <c r="G147" s="215"/>
      <c r="H147" s="215"/>
      <c r="I147" s="215"/>
      <c r="J147" s="215"/>
      <c r="K147" s="636"/>
      <c r="L147" s="215"/>
      <c r="M147" s="215"/>
      <c r="N147" s="467"/>
      <c r="O147" s="215"/>
      <c r="P147" s="215"/>
      <c r="Q147" s="467"/>
      <c r="R147" s="467"/>
      <c r="S147" s="467"/>
      <c r="T147" s="467"/>
      <c r="U147" s="467"/>
      <c r="V147" s="467"/>
      <c r="W147" s="467"/>
      <c r="X147" s="467"/>
      <c r="Y147" s="467"/>
      <c r="Z147" s="467"/>
      <c r="AA147" s="467"/>
      <c r="AB147" s="467"/>
      <c r="AC147" s="467"/>
      <c r="AD147" s="467"/>
      <c r="AE147" s="467"/>
      <c r="AF147" s="467"/>
      <c r="AG147" s="467"/>
      <c r="AH147" s="467"/>
      <c r="AI147" s="467"/>
      <c r="AJ147" s="467"/>
      <c r="AK147" s="467"/>
      <c r="AL147" s="467"/>
      <c r="AM147" s="467"/>
      <c r="AN147" s="467"/>
      <c r="AO147" s="467"/>
      <c r="AP147" s="467"/>
      <c r="AQ147" s="467"/>
      <c r="AR147" s="467"/>
      <c r="AS147" s="467"/>
      <c r="AT147" s="467"/>
      <c r="AU147" s="467"/>
      <c r="AV147" s="467"/>
      <c r="AW147" s="467"/>
      <c r="AX147" s="467"/>
      <c r="AY147" s="467"/>
      <c r="AZ147" s="467"/>
      <c r="BA147" s="467"/>
      <c r="BB147" s="467"/>
      <c r="BC147" s="467"/>
      <c r="BD147" s="467"/>
      <c r="BE147" s="467"/>
      <c r="BF147" s="467"/>
      <c r="BG147" s="467"/>
      <c r="BH147" s="467"/>
      <c r="BI147" s="467"/>
      <c r="BJ147" s="467"/>
      <c r="BK147" s="467"/>
      <c r="BL147" s="467"/>
      <c r="BM147" s="467"/>
      <c r="BN147" s="467"/>
      <c r="BO147" s="467"/>
      <c r="BP147" s="467"/>
      <c r="BQ147" s="467"/>
      <c r="BR147" s="467"/>
      <c r="BS147" s="467"/>
      <c r="BT147" s="467"/>
      <c r="BU147" s="467"/>
      <c r="BV147" s="380"/>
    </row>
    <row r="148" spans="1:74" ht="15" x14ac:dyDescent="0.25">
      <c r="A148" s="299"/>
      <c r="B148" s="468"/>
      <c r="C148" s="469" t="s">
        <v>155</v>
      </c>
      <c r="D148" s="470"/>
      <c r="E148" s="471"/>
      <c r="F148" s="471"/>
      <c r="G148" s="472"/>
      <c r="H148" s="472"/>
      <c r="I148" s="472"/>
      <c r="J148" s="472"/>
      <c r="K148" s="637"/>
      <c r="L148" s="473"/>
      <c r="M148" s="474"/>
      <c r="N148" s="474"/>
      <c r="O148" s="474"/>
      <c r="P148" s="474"/>
      <c r="Q148" s="474"/>
      <c r="R148" s="474"/>
      <c r="S148" s="475"/>
      <c r="T148" s="475"/>
      <c r="U148" s="475"/>
      <c r="V148" s="475"/>
      <c r="W148" s="475"/>
      <c r="X148" s="475"/>
      <c r="Y148" s="475"/>
      <c r="Z148" s="475"/>
      <c r="AA148" s="475"/>
      <c r="AB148" s="475"/>
      <c r="AC148" s="475"/>
      <c r="AD148" s="475"/>
      <c r="AE148" s="475"/>
      <c r="AF148" s="475"/>
      <c r="AG148" s="475"/>
      <c r="AH148" s="475"/>
      <c r="AI148" s="475"/>
      <c r="AJ148" s="475"/>
      <c r="AK148" s="475"/>
      <c r="AL148" s="475"/>
      <c r="AM148" s="475"/>
      <c r="AN148" s="475"/>
      <c r="AO148" s="475"/>
      <c r="AP148" s="475"/>
      <c r="AQ148" s="475"/>
      <c r="AR148" s="475"/>
      <c r="AS148" s="475"/>
      <c r="AT148" s="475"/>
      <c r="AU148" s="475"/>
      <c r="AV148" s="475"/>
      <c r="AW148" s="475"/>
      <c r="AX148" s="475"/>
      <c r="AY148" s="475"/>
      <c r="AZ148" s="475"/>
      <c r="BA148" s="475"/>
      <c r="BB148" s="475"/>
      <c r="BC148" s="475"/>
      <c r="BD148" s="475"/>
      <c r="BE148" s="475"/>
      <c r="BF148" s="475"/>
      <c r="BG148" s="475"/>
      <c r="BH148" s="475"/>
      <c r="BI148" s="475"/>
      <c r="BJ148" s="475"/>
      <c r="BK148" s="475"/>
      <c r="BL148" s="475"/>
      <c r="BM148" s="475"/>
      <c r="BN148" s="475"/>
      <c r="BO148" s="475"/>
      <c r="BP148" s="475"/>
      <c r="BQ148" s="475"/>
      <c r="BR148" s="475"/>
      <c r="BS148" s="475"/>
      <c r="BT148" s="475"/>
      <c r="BU148" s="475"/>
      <c r="BV148" s="380"/>
    </row>
    <row r="149" spans="1:74" x14ac:dyDescent="0.2">
      <c r="A149" s="299"/>
      <c r="B149" s="299"/>
      <c r="C149" s="476"/>
      <c r="D149" s="474"/>
      <c r="E149" s="474"/>
      <c r="F149" s="474"/>
      <c r="G149" s="474"/>
      <c r="H149" s="474"/>
      <c r="I149" s="474"/>
      <c r="J149" s="474"/>
      <c r="K149" s="638"/>
      <c r="L149" s="474"/>
      <c r="M149" s="474"/>
      <c r="N149" s="474"/>
      <c r="O149" s="474"/>
      <c r="P149" s="474"/>
      <c r="Q149" s="474"/>
      <c r="R149" s="474"/>
      <c r="S149" s="474"/>
      <c r="T149" s="474"/>
      <c r="U149" s="474"/>
      <c r="V149" s="474"/>
      <c r="W149" s="474"/>
      <c r="X149" s="474"/>
      <c r="Y149" s="474"/>
      <c r="Z149" s="474"/>
      <c r="AA149" s="474"/>
      <c r="AB149" s="474"/>
      <c r="AC149" s="474"/>
      <c r="AD149" s="474"/>
      <c r="AE149" s="474"/>
      <c r="AF149" s="474"/>
      <c r="AG149" s="474"/>
      <c r="AH149" s="474"/>
      <c r="AI149" s="474"/>
      <c r="AJ149" s="474"/>
      <c r="AK149" s="474"/>
      <c r="AL149" s="474"/>
      <c r="AM149" s="474"/>
      <c r="AN149" s="474"/>
      <c r="AO149" s="474"/>
      <c r="AP149" s="474"/>
      <c r="AQ149" s="474"/>
      <c r="AR149" s="474"/>
      <c r="AS149" s="474"/>
      <c r="AT149" s="474"/>
      <c r="AU149" s="474"/>
      <c r="AV149" s="474"/>
      <c r="AW149" s="474"/>
      <c r="AX149" s="474"/>
      <c r="AY149" s="474"/>
      <c r="AZ149" s="474"/>
      <c r="BA149" s="474"/>
      <c r="BB149" s="474"/>
      <c r="BC149" s="474"/>
      <c r="BD149" s="474"/>
      <c r="BE149" s="474"/>
      <c r="BF149" s="474"/>
      <c r="BG149" s="474"/>
      <c r="BH149" s="474"/>
      <c r="BI149" s="474"/>
      <c r="BJ149" s="474"/>
      <c r="BK149" s="474"/>
      <c r="BL149" s="474"/>
      <c r="BM149" s="474"/>
      <c r="BN149" s="474"/>
      <c r="BO149" s="474"/>
      <c r="BP149" s="474"/>
      <c r="BQ149" s="474"/>
      <c r="BR149" s="474"/>
      <c r="BS149" s="474"/>
      <c r="BT149" s="474"/>
      <c r="BU149" s="474"/>
      <c r="BV149" s="380"/>
    </row>
    <row r="150" spans="1:74" x14ac:dyDescent="0.2">
      <c r="A150" s="215"/>
      <c r="B150" s="215"/>
      <c r="C150" s="215"/>
      <c r="D150" s="215" t="s">
        <v>468</v>
      </c>
      <c r="E150" s="215"/>
      <c r="F150" s="215"/>
      <c r="G150" s="215"/>
      <c r="H150" s="215"/>
      <c r="I150" s="215"/>
      <c r="J150" s="215"/>
      <c r="K150" s="636" t="s">
        <v>62</v>
      </c>
      <c r="L150" s="215"/>
      <c r="M150" s="215"/>
      <c r="N150" s="467">
        <f t="shared" ref="N150" si="214">SUM(Q150:BJ150)</f>
        <v>10038550.728758493</v>
      </c>
      <c r="O150" s="215"/>
      <c r="P150" s="215"/>
      <c r="Q150" s="416"/>
      <c r="R150" s="716">
        <v>89048.21031764771</v>
      </c>
      <c r="S150" s="716">
        <v>98709.260959164705</v>
      </c>
      <c r="T150" s="716">
        <v>102980.88566311092</v>
      </c>
      <c r="U150" s="716">
        <v>106715.9230358092</v>
      </c>
      <c r="V150" s="716">
        <v>111256.42997856067</v>
      </c>
      <c r="W150" s="716">
        <v>115869.41785981291</v>
      </c>
      <c r="X150" s="716">
        <v>120555.22556933324</v>
      </c>
      <c r="Y150" s="716">
        <v>125314.19199688893</v>
      </c>
      <c r="Z150" s="716">
        <v>125390.6784567962</v>
      </c>
      <c r="AA150" s="716">
        <v>133673.2150380598</v>
      </c>
      <c r="AB150" s="716">
        <v>142088.79793954012</v>
      </c>
      <c r="AC150" s="716">
        <v>150638.04247701875</v>
      </c>
      <c r="AD150" s="716">
        <v>159321.56396627752</v>
      </c>
      <c r="AE150" s="716">
        <v>167797.53377661511</v>
      </c>
      <c r="AF150" s="716">
        <v>164054.71072258175</v>
      </c>
      <c r="AG150" s="716">
        <v>171950.75731870637</v>
      </c>
      <c r="AH150" s="716">
        <v>179704.98739959617</v>
      </c>
      <c r="AI150" s="716">
        <v>187555.05498167145</v>
      </c>
      <c r="AJ150" s="716">
        <v>195524.74776874835</v>
      </c>
      <c r="AK150" s="716">
        <v>203614.06576082675</v>
      </c>
      <c r="AL150" s="716">
        <v>211823.00895790657</v>
      </c>
      <c r="AM150" s="716">
        <v>220151.57735998795</v>
      </c>
      <c r="AN150" s="716">
        <v>228433.78601055988</v>
      </c>
      <c r="AO150" s="716">
        <v>236809.23093250114</v>
      </c>
      <c r="AP150" s="716">
        <v>245302.46046848089</v>
      </c>
      <c r="AQ150" s="716">
        <v>253831.99320788239</v>
      </c>
      <c r="AR150" s="716">
        <v>262079.67424372458</v>
      </c>
      <c r="AS150" s="716">
        <v>270153.9932962677</v>
      </c>
      <c r="AT150" s="716">
        <v>278218.11169944797</v>
      </c>
      <c r="AU150" s="716">
        <v>285339.27508779854</v>
      </c>
      <c r="AV150" s="716">
        <v>291507.89251536859</v>
      </c>
      <c r="AW150" s="716">
        <v>297606.55754223804</v>
      </c>
      <c r="AX150" s="716">
        <v>303712.58678437537</v>
      </c>
      <c r="AY150" s="716">
        <v>309881.25791615626</v>
      </c>
      <c r="AZ150" s="716">
        <v>314667.77792253683</v>
      </c>
      <c r="BA150" s="716">
        <v>319485.31115943048</v>
      </c>
      <c r="BB150" s="716">
        <v>323140.00947178737</v>
      </c>
      <c r="BC150" s="716">
        <v>326678.15471354959</v>
      </c>
      <c r="BD150" s="716">
        <v>330257.19447245385</v>
      </c>
      <c r="BE150" s="716">
        <v>333649.32521531999</v>
      </c>
      <c r="BF150" s="716">
        <v>337282.19593310921</v>
      </c>
      <c r="BG150" s="716">
        <v>340479.83824544487</v>
      </c>
      <c r="BH150" s="716">
        <v>344047.17232753354</v>
      </c>
      <c r="BI150" s="716">
        <v>347008.72998892626</v>
      </c>
      <c r="BJ150" s="716">
        <v>175239.91229894044</v>
      </c>
      <c r="BK150" s="460"/>
      <c r="BL150" s="460"/>
      <c r="BM150" s="460"/>
      <c r="BN150" s="460"/>
      <c r="BO150" s="460"/>
      <c r="BP150" s="460"/>
      <c r="BQ150" s="460"/>
      <c r="BR150" s="460"/>
      <c r="BS150" s="460"/>
      <c r="BT150" s="460"/>
      <c r="BU150" s="460"/>
      <c r="BV150" s="380"/>
    </row>
    <row r="151" spans="1:74" s="308" customFormat="1" x14ac:dyDescent="0.2">
      <c r="A151" s="215"/>
      <c r="B151" s="215"/>
      <c r="C151" s="215"/>
      <c r="D151" s="215" t="s">
        <v>327</v>
      </c>
      <c r="E151" s="215"/>
      <c r="F151" s="215"/>
      <c r="G151" s="215"/>
      <c r="H151" s="215"/>
      <c r="I151" s="215"/>
      <c r="J151" s="215"/>
      <c r="K151" s="636"/>
      <c r="L151" s="215"/>
      <c r="M151" s="215"/>
      <c r="N151" s="467"/>
      <c r="O151" s="215"/>
      <c r="P151" s="215"/>
      <c r="Q151" s="477"/>
      <c r="R151" s="477">
        <f>Oper!R26</f>
        <v>1.1726611830964475</v>
      </c>
      <c r="S151" s="477">
        <f>Oper!S26</f>
        <v>1.1990460597161174</v>
      </c>
      <c r="T151" s="477">
        <f>Oper!T26</f>
        <v>1.22602459605973</v>
      </c>
      <c r="U151" s="477">
        <f>Oper!U26</f>
        <v>1.2536101494710739</v>
      </c>
      <c r="V151" s="477">
        <f>Oper!V26</f>
        <v>1.2818163778341729</v>
      </c>
      <c r="W151" s="477">
        <f>Oper!W26</f>
        <v>1.3112981545243587</v>
      </c>
      <c r="X151" s="477">
        <f>Oper!X26</f>
        <v>1.3414580120784187</v>
      </c>
      <c r="Y151" s="477">
        <f>Oper!Y26</f>
        <v>1.3723115463562223</v>
      </c>
      <c r="Z151" s="477">
        <f>Oper!Z26</f>
        <v>1.4038747119224153</v>
      </c>
      <c r="AA151" s="477">
        <f>Oper!AA26</f>
        <v>1.4361638302966306</v>
      </c>
      <c r="AB151" s="477">
        <f>Oper!AB26</f>
        <v>1.469195598393453</v>
      </c>
      <c r="AC151" s="477">
        <f>Oper!AC26</f>
        <v>1.5029870971565022</v>
      </c>
      <c r="AD151" s="477">
        <f>Oper!AD26</f>
        <v>1.5375558003911016</v>
      </c>
      <c r="AE151" s="477">
        <f>Oper!AE26</f>
        <v>1.5729195838000969</v>
      </c>
      <c r="AF151" s="477">
        <f>Oper!AF26</f>
        <v>1.6090967342274989</v>
      </c>
      <c r="AG151" s="477">
        <f>Oper!AG26</f>
        <v>1.6461059591147311</v>
      </c>
      <c r="AH151" s="477">
        <f>Oper!AH26</f>
        <v>1.6839663961743698</v>
      </c>
      <c r="AI151" s="477">
        <f>Oper!AI26</f>
        <v>1.7226976232863802</v>
      </c>
      <c r="AJ151" s="477">
        <f>Oper!AJ26</f>
        <v>1.7623196686219669</v>
      </c>
      <c r="AK151" s="477">
        <f>Oper!AK26</f>
        <v>1.802853021000272</v>
      </c>
      <c r="AL151" s="477">
        <f>Oper!AL26</f>
        <v>1.8443186404832781</v>
      </c>
      <c r="AM151" s="477">
        <f>Oper!AM26</f>
        <v>1.8867379692143933</v>
      </c>
      <c r="AN151" s="477">
        <f>Oper!AN26</f>
        <v>1.9301329425063243</v>
      </c>
      <c r="AO151" s="477">
        <f>Oper!AO26</f>
        <v>1.9745260001839695</v>
      </c>
      <c r="AP151" s="477">
        <f>Oper!AP26</f>
        <v>2.0199400981882007</v>
      </c>
      <c r="AQ151" s="477">
        <f>Oper!AQ26</f>
        <v>2.0663987204465291</v>
      </c>
      <c r="AR151" s="477">
        <f>Oper!AR26</f>
        <v>2.1139258910167991</v>
      </c>
      <c r="AS151" s="477">
        <f>Oper!AS26</f>
        <v>2.1625461865101854</v>
      </c>
      <c r="AT151" s="477">
        <f>Oper!AT26</f>
        <v>2.2122847487999193</v>
      </c>
      <c r="AU151" s="477">
        <f>Oper!AU26</f>
        <v>2.2631672980223172</v>
      </c>
      <c r="AV151" s="477">
        <f>Oper!AV26</f>
        <v>2.3152201458768302</v>
      </c>
      <c r="AW151" s="477">
        <f>Oper!AW26</f>
        <v>2.3684702092319969</v>
      </c>
      <c r="AX151" s="477">
        <f>Oper!AX26</f>
        <v>2.4229450240443327</v>
      </c>
      <c r="AY151" s="477">
        <f>Oper!AY26</f>
        <v>2.4786727595973521</v>
      </c>
      <c r="AZ151" s="477">
        <f>Oper!AZ26</f>
        <v>2.535682233068091</v>
      </c>
      <c r="BA151" s="477">
        <f>Oper!BA26</f>
        <v>2.5940029244286569</v>
      </c>
      <c r="BB151" s="477">
        <f>Oper!BB26</f>
        <v>2.653664991690516</v>
      </c>
      <c r="BC151" s="477">
        <f>Oper!BC26</f>
        <v>2.7146992864993975</v>
      </c>
      <c r="BD151" s="477">
        <f>Oper!BD26</f>
        <v>2.7771373700888833</v>
      </c>
      <c r="BE151" s="477">
        <f>Oper!BE26</f>
        <v>2.8410115296009275</v>
      </c>
      <c r="BF151" s="477">
        <f>Oper!BF26</f>
        <v>2.9063547947817487</v>
      </c>
      <c r="BG151" s="477">
        <f>Oper!BG26</f>
        <v>2.9732009550617287</v>
      </c>
      <c r="BH151" s="477">
        <f>Oper!BH26</f>
        <v>3.0415845770281482</v>
      </c>
      <c r="BI151" s="477">
        <f>Oper!BI26</f>
        <v>3.1115410222997952</v>
      </c>
      <c r="BJ151" s="477">
        <f>Oper!BJ26</f>
        <v>3.1831064658126902</v>
      </c>
      <c r="BK151" s="477"/>
      <c r="BL151" s="477"/>
      <c r="BM151" s="477"/>
      <c r="BN151" s="477"/>
      <c r="BO151" s="477"/>
      <c r="BP151" s="477"/>
      <c r="BQ151" s="477"/>
      <c r="BR151" s="477"/>
      <c r="BS151" s="477"/>
      <c r="BT151" s="477"/>
      <c r="BU151" s="477"/>
      <c r="BV151" s="379"/>
    </row>
    <row r="152" spans="1:74" x14ac:dyDescent="0.2">
      <c r="A152" s="215"/>
      <c r="B152" s="215"/>
      <c r="C152" s="215"/>
      <c r="D152" s="215" t="s">
        <v>322</v>
      </c>
      <c r="E152" s="215"/>
      <c r="F152" s="215"/>
      <c r="G152" s="215"/>
      <c r="H152" s="215"/>
      <c r="I152" s="215"/>
      <c r="J152" s="215"/>
      <c r="K152" s="636" t="s">
        <v>62</v>
      </c>
      <c r="L152" s="215"/>
      <c r="M152" s="215"/>
      <c r="N152" s="467">
        <f t="shared" ref="N152:N153" si="215">SUM(Q152:BJ152)</f>
        <v>22237956.604509123</v>
      </c>
      <c r="O152" s="215"/>
      <c r="P152" s="215"/>
      <c r="Q152" s="382"/>
      <c r="R152" s="382">
        <f t="shared" ref="R152:BJ152" si="216">R150*R151</f>
        <v>104423.37966371405</v>
      </c>
      <c r="S152" s="382">
        <f t="shared" si="216"/>
        <v>118356.95041057642</v>
      </c>
      <c r="T152" s="382">
        <f t="shared" si="216"/>
        <v>126257.09874698881</v>
      </c>
      <c r="U152" s="382">
        <f t="shared" si="216"/>
        <v>133780.16422786438</v>
      </c>
      <c r="V152" s="382">
        <f t="shared" si="216"/>
        <v>142610.31408587992</v>
      </c>
      <c r="W152" s="382">
        <f t="shared" si="216"/>
        <v>151939.35380538442</v>
      </c>
      <c r="X152" s="382">
        <f t="shared" si="216"/>
        <v>161719.77323790314</v>
      </c>
      <c r="Y152" s="382">
        <f t="shared" si="216"/>
        <v>171970.11259963119</v>
      </c>
      <c r="Z152" s="382">
        <f t="shared" si="216"/>
        <v>176032.80259629097</v>
      </c>
      <c r="AA152" s="382">
        <f t="shared" si="216"/>
        <v>191976.63651712512</v>
      </c>
      <c r="AB152" s="382">
        <f t="shared" si="216"/>
        <v>208756.23651378907</v>
      </c>
      <c r="AC152" s="382">
        <f t="shared" si="216"/>
        <v>226407.03418387231</v>
      </c>
      <c r="AD152" s="382">
        <f t="shared" si="216"/>
        <v>244965.79480373193</v>
      </c>
      <c r="AE152" s="382">
        <f t="shared" si="216"/>
        <v>263932.02699059615</v>
      </c>
      <c r="AF152" s="382">
        <f t="shared" si="216"/>
        <v>263979.89925834333</v>
      </c>
      <c r="AG152" s="382">
        <f t="shared" si="216"/>
        <v>283049.16629661352</v>
      </c>
      <c r="AH152" s="382">
        <f t="shared" si="216"/>
        <v>302617.16000585852</v>
      </c>
      <c r="AI152" s="382">
        <f t="shared" si="216"/>
        <v>323100.64745227178</v>
      </c>
      <c r="AJ152" s="382">
        <f t="shared" si="216"/>
        <v>344577.10869521427</v>
      </c>
      <c r="AK152" s="382">
        <f t="shared" si="216"/>
        <v>367086.23357505456</v>
      </c>
      <c r="AL152" s="382">
        <f t="shared" si="216"/>
        <v>390669.1239043235</v>
      </c>
      <c r="AM152" s="382">
        <f t="shared" si="216"/>
        <v>415368.33998752903</v>
      </c>
      <c r="AN152" s="382">
        <f t="shared" si="216"/>
        <v>440907.57556042197</v>
      </c>
      <c r="AO152" s="382">
        <f t="shared" si="216"/>
        <v>467585.98355979344</v>
      </c>
      <c r="AP152" s="382">
        <f t="shared" si="216"/>
        <v>495496.27608451049</v>
      </c>
      <c r="AQ152" s="382">
        <f t="shared" si="216"/>
        <v>524518.10597316024</v>
      </c>
      <c r="AR152" s="382">
        <f t="shared" si="216"/>
        <v>554017.00889305794</v>
      </c>
      <c r="AS152" s="382">
        <f t="shared" si="216"/>
        <v>584220.48797334195</v>
      </c>
      <c r="AT152" s="382">
        <f t="shared" si="216"/>
        <v>615497.68535260111</v>
      </c>
      <c r="AU152" s="382">
        <f t="shared" si="216"/>
        <v>645770.51622009976</v>
      </c>
      <c r="AV152" s="382">
        <f t="shared" si="216"/>
        <v>674904.94543367904</v>
      </c>
      <c r="AW152" s="382">
        <f t="shared" si="216"/>
        <v>704872.26561087882</v>
      </c>
      <c r="AX152" s="382">
        <f t="shared" si="216"/>
        <v>735878.90088883485</v>
      </c>
      <c r="AY152" s="382">
        <f t="shared" si="216"/>
        <v>768094.23270653782</v>
      </c>
      <c r="AZ152" s="382">
        <f t="shared" si="216"/>
        <v>797897.49379719235</v>
      </c>
      <c r="BA152" s="382">
        <f t="shared" si="216"/>
        <v>828745.83145956206</v>
      </c>
      <c r="BB152" s="382">
        <f t="shared" si="216"/>
        <v>857505.33054982394</v>
      </c>
      <c r="BC152" s="382">
        <f t="shared" si="216"/>
        <v>886832.95351581287</v>
      </c>
      <c r="BD152" s="382">
        <f t="shared" si="216"/>
        <v>917169.59651016339</v>
      </c>
      <c r="BE152" s="382">
        <f t="shared" si="216"/>
        <v>947901.57978029351</v>
      </c>
      <c r="BF152" s="382">
        <f t="shared" si="216"/>
        <v>980261.72734470922</v>
      </c>
      <c r="BG152" s="382">
        <f t="shared" si="216"/>
        <v>1012314.9802506196</v>
      </c>
      <c r="BH152" s="382">
        <f t="shared" si="216"/>
        <v>1046448.5731215716</v>
      </c>
      <c r="BI152" s="382">
        <f t="shared" si="216"/>
        <v>1079731.8984566974</v>
      </c>
      <c r="BJ152" s="382">
        <f t="shared" si="216"/>
        <v>557807.29790720611</v>
      </c>
      <c r="BK152" s="382"/>
      <c r="BL152" s="382"/>
      <c r="BM152" s="382"/>
      <c r="BN152" s="382"/>
      <c r="BO152" s="382"/>
      <c r="BP152" s="382"/>
      <c r="BQ152" s="382"/>
      <c r="BR152" s="382"/>
      <c r="BS152" s="382"/>
      <c r="BT152" s="382"/>
      <c r="BU152" s="382"/>
      <c r="BV152" s="380"/>
    </row>
    <row r="153" spans="1:74" x14ac:dyDescent="0.2">
      <c r="A153" s="215"/>
      <c r="B153" s="215"/>
      <c r="C153" s="215"/>
      <c r="D153" s="215" t="s">
        <v>323</v>
      </c>
      <c r="E153" s="215"/>
      <c r="F153" s="215"/>
      <c r="G153" s="215"/>
      <c r="H153" s="215"/>
      <c r="I153" s="215"/>
      <c r="J153" s="215"/>
      <c r="K153" s="636" t="s">
        <v>62</v>
      </c>
      <c r="L153" s="215"/>
      <c r="M153" s="215"/>
      <c r="N153" s="467">
        <f t="shared" si="215"/>
        <v>31617619.88418154</v>
      </c>
      <c r="O153" s="215"/>
      <c r="P153" s="215"/>
      <c r="Q153" s="467"/>
      <c r="R153" s="467">
        <f>+Oper!R16</f>
        <v>0</v>
      </c>
      <c r="S153" s="467">
        <f>+Oper!S16</f>
        <v>99995.383361491404</v>
      </c>
      <c r="T153" s="467">
        <f>+Oper!T16</f>
        <v>110892.63499175895</v>
      </c>
      <c r="U153" s="467">
        <f>+Oper!U16</f>
        <v>122977.44237811655</v>
      </c>
      <c r="V153" s="467">
        <f>+Oper!V16</f>
        <v>136379.22243426612</v>
      </c>
      <c r="W153" s="467">
        <f>+Oper!W16</f>
        <v>147989.64874127222</v>
      </c>
      <c r="X153" s="467">
        <f>+Oper!X16</f>
        <v>160588.51006516948</v>
      </c>
      <c r="Y153" s="467">
        <f>+Oper!Y16</f>
        <v>174259.95523536199</v>
      </c>
      <c r="Z153" s="467">
        <f>+Oper!Z16</f>
        <v>189095.29695684407</v>
      </c>
      <c r="AA153" s="467">
        <f>+Oper!AA16</f>
        <v>205193.6216952556</v>
      </c>
      <c r="AB153" s="467">
        <f>+Oper!AB16</f>
        <v>218151.68779285997</v>
      </c>
      <c r="AC153" s="467">
        <f>+Oper!AC16</f>
        <v>231928.06137781523</v>
      </c>
      <c r="AD153" s="467">
        <f>+Oper!AD16</f>
        <v>246574.41892242918</v>
      </c>
      <c r="AE153" s="467">
        <f>+Oper!AE16</f>
        <v>262145.70029062143</v>
      </c>
      <c r="AF153" s="467">
        <f>+Oper!AF16</f>
        <v>278700.31482251739</v>
      </c>
      <c r="AG153" s="467">
        <f>+Oper!AG16</f>
        <v>305795.33461873961</v>
      </c>
      <c r="AH153" s="467">
        <f>+Oper!AH16</f>
        <v>335524.51038362371</v>
      </c>
      <c r="AI153" s="467">
        <f>+Oper!AI16</f>
        <v>368143.9326356274</v>
      </c>
      <c r="AJ153" s="467">
        <f>+Oper!AJ16</f>
        <v>403934.58880684001</v>
      </c>
      <c r="AK153" s="467">
        <f>+Oper!AK16</f>
        <v>443204.78370084305</v>
      </c>
      <c r="AL153" s="467">
        <f>+Oper!AL16</f>
        <v>486909.90690950124</v>
      </c>
      <c r="AM153" s="467">
        <f>+Oper!AM16</f>
        <v>534924.8612953726</v>
      </c>
      <c r="AN153" s="467">
        <f>+Oper!AN16</f>
        <v>587674.64611283329</v>
      </c>
      <c r="AO153" s="467">
        <f>+Oper!AO16</f>
        <v>645626.17046348774</v>
      </c>
      <c r="AP153" s="467">
        <f>+Oper!AP16</f>
        <v>709292.3860923493</v>
      </c>
      <c r="AQ153" s="467">
        <f>+Oper!AQ16</f>
        <v>750382.9050056797</v>
      </c>
      <c r="AR153" s="467">
        <f>+Oper!AR16</f>
        <v>793853.86783420376</v>
      </c>
      <c r="AS153" s="467">
        <f>+Oper!AS16</f>
        <v>839843.17775810137</v>
      </c>
      <c r="AT153" s="467">
        <f>+Oper!AT16</f>
        <v>888496.72692422429</v>
      </c>
      <c r="AU153" s="467">
        <f>+Oper!AU16</f>
        <v>939968.8592605762</v>
      </c>
      <c r="AV153" s="467">
        <f>+Oper!AV16</f>
        <v>993784.81824656378</v>
      </c>
      <c r="AW153" s="467">
        <f>+Oper!AW16</f>
        <v>1050681.8978601643</v>
      </c>
      <c r="AX153" s="467">
        <f>+Oper!AX16</f>
        <v>1110836.5012446234</v>
      </c>
      <c r="AY153" s="467">
        <f>+Oper!AY16</f>
        <v>1174435.131137687</v>
      </c>
      <c r="AZ153" s="467">
        <f>+Oper!AZ16</f>
        <v>1241674.9681028472</v>
      </c>
      <c r="BA153" s="467">
        <f>+Oper!BA16</f>
        <v>1299492.443952414</v>
      </c>
      <c r="BB153" s="467">
        <f>+Oper!BB16</f>
        <v>1360002.1384578201</v>
      </c>
      <c r="BC153" s="467">
        <f>+Oper!BC16</f>
        <v>1423329.4123544544</v>
      </c>
      <c r="BD153" s="467">
        <f>+Oper!BD16</f>
        <v>1489605.4636873708</v>
      </c>
      <c r="BE153" s="467">
        <f>+Oper!BE16</f>
        <v>1558967.5996203499</v>
      </c>
      <c r="BF153" s="467">
        <f>+Oper!BF16</f>
        <v>1616727.695374218</v>
      </c>
      <c r="BG153" s="467">
        <f>+Oper!BG16</f>
        <v>1676627.8155021067</v>
      </c>
      <c r="BH153" s="467">
        <f>+Oper!BH16</f>
        <v>1738747.248382292</v>
      </c>
      <c r="BI153" s="467">
        <f>+Oper!BI16</f>
        <v>1803168.2200450725</v>
      </c>
      <c r="BJ153" s="467">
        <f>+Oper!BJ16</f>
        <v>461089.97334577679</v>
      </c>
      <c r="BK153" s="467"/>
      <c r="BL153" s="467"/>
      <c r="BM153" s="467"/>
      <c r="BN153" s="467"/>
      <c r="BO153" s="467"/>
      <c r="BP153" s="467"/>
      <c r="BQ153" s="467"/>
      <c r="BR153" s="467"/>
      <c r="BS153" s="467"/>
      <c r="BT153" s="467"/>
      <c r="BU153" s="467"/>
      <c r="BV153" s="380"/>
    </row>
    <row r="154" spans="1:74" x14ac:dyDescent="0.2">
      <c r="A154" s="215"/>
      <c r="B154" s="215"/>
      <c r="C154" s="215"/>
      <c r="D154" s="215"/>
      <c r="E154" s="215"/>
      <c r="F154" s="215"/>
      <c r="G154" s="215"/>
      <c r="H154" s="215"/>
      <c r="I154" s="215"/>
      <c r="J154" s="215"/>
      <c r="K154" s="636"/>
      <c r="L154" s="215"/>
      <c r="M154" s="215"/>
      <c r="N154" s="215"/>
      <c r="O154" s="215"/>
      <c r="P154" s="215"/>
      <c r="Q154" s="478"/>
      <c r="R154" s="215"/>
      <c r="S154" s="215"/>
      <c r="T154" s="215"/>
      <c r="U154" s="215"/>
      <c r="V154" s="215"/>
      <c r="W154" s="467"/>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215"/>
      <c r="BJ154" s="215"/>
      <c r="BK154" s="215"/>
      <c r="BL154" s="215"/>
      <c r="BM154" s="215"/>
      <c r="BN154" s="215"/>
      <c r="BO154" s="215"/>
      <c r="BP154" s="215"/>
      <c r="BQ154" s="215"/>
      <c r="BR154" s="215"/>
      <c r="BS154" s="215"/>
      <c r="BT154" s="215"/>
      <c r="BU154" s="215"/>
      <c r="BV154" s="380"/>
    </row>
    <row r="155" spans="1:74" x14ac:dyDescent="0.2">
      <c r="A155" s="215"/>
      <c r="B155" s="215"/>
      <c r="C155" s="215"/>
      <c r="D155" s="215" t="s">
        <v>194</v>
      </c>
      <c r="E155" s="215"/>
      <c r="F155" s="215"/>
      <c r="G155" s="215"/>
      <c r="H155" s="215"/>
      <c r="I155" s="215"/>
      <c r="J155" s="215"/>
      <c r="K155" s="636" t="s">
        <v>20</v>
      </c>
      <c r="L155" s="479">
        <f>+Inputs!$L$101</f>
        <v>0.5</v>
      </c>
      <c r="M155" s="215"/>
      <c r="N155" s="215"/>
      <c r="O155" s="215"/>
      <c r="P155" s="215"/>
      <c r="Q155" s="215"/>
      <c r="R155" s="467"/>
      <c r="S155" s="480"/>
      <c r="T155" s="215"/>
      <c r="U155" s="215"/>
      <c r="V155" s="215"/>
      <c r="W155" s="467"/>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c r="AW155" s="215"/>
      <c r="AX155" s="215"/>
      <c r="AY155" s="215"/>
      <c r="AZ155" s="215"/>
      <c r="BA155" s="215"/>
      <c r="BB155" s="215"/>
      <c r="BC155" s="215"/>
      <c r="BD155" s="215"/>
      <c r="BE155" s="215"/>
      <c r="BF155" s="215"/>
      <c r="BG155" s="215"/>
      <c r="BH155" s="215"/>
      <c r="BI155" s="215"/>
      <c r="BJ155" s="215"/>
      <c r="BK155" s="215"/>
      <c r="BL155" s="215"/>
      <c r="BM155" s="215"/>
      <c r="BN155" s="215"/>
      <c r="BO155" s="215"/>
      <c r="BP155" s="215"/>
      <c r="BQ155" s="215"/>
      <c r="BR155" s="215"/>
      <c r="BS155" s="215"/>
      <c r="BT155" s="215"/>
      <c r="BU155" s="215"/>
      <c r="BV155" s="380"/>
    </row>
    <row r="156" spans="1:74" x14ac:dyDescent="0.2">
      <c r="A156" s="215"/>
      <c r="B156" s="215"/>
      <c r="C156" s="215"/>
      <c r="D156" s="215"/>
      <c r="E156" s="215"/>
      <c r="F156" s="215"/>
      <c r="G156" s="215"/>
      <c r="H156" s="215"/>
      <c r="I156" s="215"/>
      <c r="J156" s="215"/>
      <c r="K156" s="636"/>
      <c r="L156" s="215"/>
      <c r="M156" s="215"/>
      <c r="N156" s="215"/>
      <c r="O156" s="215"/>
      <c r="P156" s="215"/>
      <c r="Q156" s="215"/>
      <c r="R156" s="467"/>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215"/>
      <c r="AV156" s="215"/>
      <c r="AW156" s="215"/>
      <c r="AX156" s="215"/>
      <c r="AY156" s="215"/>
      <c r="AZ156" s="215"/>
      <c r="BA156" s="215"/>
      <c r="BB156" s="215"/>
      <c r="BC156" s="215"/>
      <c r="BD156" s="215"/>
      <c r="BE156" s="215"/>
      <c r="BF156" s="215"/>
      <c r="BG156" s="215"/>
      <c r="BH156" s="215"/>
      <c r="BI156" s="215"/>
      <c r="BJ156" s="215"/>
      <c r="BK156" s="215"/>
      <c r="BL156" s="215"/>
      <c r="BM156" s="215"/>
      <c r="BN156" s="215"/>
      <c r="BO156" s="215"/>
      <c r="BP156" s="215"/>
      <c r="BQ156" s="215"/>
      <c r="BR156" s="215"/>
      <c r="BS156" s="215"/>
      <c r="BT156" s="215"/>
      <c r="BU156" s="215"/>
      <c r="BV156" s="380"/>
    </row>
    <row r="157" spans="1:74" x14ac:dyDescent="0.2">
      <c r="A157" s="215"/>
      <c r="B157" s="215"/>
      <c r="C157" s="215"/>
      <c r="D157" s="215" t="s">
        <v>195</v>
      </c>
      <c r="E157" s="215"/>
      <c r="F157" s="215"/>
      <c r="G157" s="215"/>
      <c r="H157" s="215"/>
      <c r="I157" s="215"/>
      <c r="J157" s="215"/>
      <c r="K157" s="636" t="s">
        <v>62</v>
      </c>
      <c r="L157" s="215"/>
      <c r="M157" s="215"/>
      <c r="N157" s="467">
        <f t="shared" ref="N157:N159" si="217">SUM(Q157:BJ157)</f>
        <v>24809313.160395604</v>
      </c>
      <c r="O157" s="215"/>
      <c r="P157" s="215"/>
      <c r="Q157" s="467"/>
      <c r="R157" s="467">
        <f>+CF!R51</f>
        <v>0</v>
      </c>
      <c r="S157" s="467">
        <f>+CF!S51</f>
        <v>0</v>
      </c>
      <c r="T157" s="467">
        <f>+CF!T51</f>
        <v>207234.50432853866</v>
      </c>
      <c r="U157" s="467">
        <f>+CF!U51</f>
        <v>34432.077035664392</v>
      </c>
      <c r="V157" s="467">
        <f>+CF!V51</f>
        <v>52614.671873702144</v>
      </c>
      <c r="W157" s="467">
        <f>+CF!W51</f>
        <v>64711.348397522699</v>
      </c>
      <c r="X157" s="467">
        <f>+CF!X51</f>
        <v>76226.223390791885</v>
      </c>
      <c r="Y157" s="467">
        <f>+CF!Y51</f>
        <v>88727.537335895409</v>
      </c>
      <c r="Z157" s="467">
        <f>+CF!Z51</f>
        <v>102020.10024563194</v>
      </c>
      <c r="AA157" s="467">
        <f>+CF!AA51</f>
        <v>117218.37893817326</v>
      </c>
      <c r="AB157" s="467">
        <f>+CF!AB51</f>
        <v>128892.25375766546</v>
      </c>
      <c r="AC157" s="467">
        <f>+CF!AC51</f>
        <v>141385.87399830358</v>
      </c>
      <c r="AD157" s="467">
        <f>+CF!AD51</f>
        <v>153884.43437198672</v>
      </c>
      <c r="AE157" s="467">
        <f>+CF!AE51</f>
        <v>163893.53866740924</v>
      </c>
      <c r="AF157" s="467">
        <f>+CF!AF51</f>
        <v>181191.54653672103</v>
      </c>
      <c r="AG157" s="467">
        <f>+CF!AG51</f>
        <v>205409.47262052793</v>
      </c>
      <c r="AH157" s="467">
        <f>+CF!AH51</f>
        <v>231774.47291989741</v>
      </c>
      <c r="AI157" s="467">
        <f>+CF!AI51</f>
        <v>260154.93525207887</v>
      </c>
      <c r="AJ157" s="467">
        <f>+CF!AJ51</f>
        <v>291167.49409084721</v>
      </c>
      <c r="AK157" s="467">
        <f>+CF!AK51</f>
        <v>325768.64901303669</v>
      </c>
      <c r="AL157" s="467">
        <f>+CF!AL51</f>
        <v>363855.46835512907</v>
      </c>
      <c r="AM157" s="467">
        <f>+CF!AM51</f>
        <v>390908.84603987617</v>
      </c>
      <c r="AN157" s="467">
        <f>+CF!AN51</f>
        <v>477329.83465508278</v>
      </c>
      <c r="AO157" s="467">
        <f>+CF!AO51</f>
        <v>518211.75895344769</v>
      </c>
      <c r="AP157" s="467">
        <f>+CF!AP51</f>
        <v>583399.04240526201</v>
      </c>
      <c r="AQ157" s="467">
        <f>+CF!AQ51</f>
        <v>620711.64546357875</v>
      </c>
      <c r="AR157" s="467">
        <f>+CF!AR51</f>
        <v>659812.96914061205</v>
      </c>
      <c r="AS157" s="467">
        <f>+CF!AS51</f>
        <v>701349.95831846655</v>
      </c>
      <c r="AT157" s="467">
        <f>+CF!AT51</f>
        <v>635752.4145601684</v>
      </c>
      <c r="AU157" s="467">
        <f>+CF!AU51</f>
        <v>683696.85681325768</v>
      </c>
      <c r="AV157" s="467">
        <f>+CF!AV51</f>
        <v>730581.25522877916</v>
      </c>
      <c r="AW157" s="467">
        <f>+CF!AW51</f>
        <v>775838.13647581427</v>
      </c>
      <c r="AX157" s="467">
        <f>+CF!AX51</f>
        <v>817143.37023925502</v>
      </c>
      <c r="AY157" s="467">
        <f>+CF!AY51</f>
        <v>879297.58436259429</v>
      </c>
      <c r="AZ157" s="467">
        <f>+CF!AZ51</f>
        <v>944189.52262140682</v>
      </c>
      <c r="BA157" s="467">
        <f>+CF!BA51</f>
        <v>999584.70123630413</v>
      </c>
      <c r="BB157" s="467">
        <f>+CF!BB51</f>
        <v>1053910.6078956781</v>
      </c>
      <c r="BC157" s="467">
        <f>+CF!BC51</f>
        <v>1086080.2769720163</v>
      </c>
      <c r="BD157" s="467">
        <f>+CF!BD51</f>
        <v>1396843.1980425587</v>
      </c>
      <c r="BE157" s="467">
        <f>+CF!BE51</f>
        <v>1270005.7518513093</v>
      </c>
      <c r="BF157" s="467">
        <f>+CF!BF51</f>
        <v>1479620.2625882474</v>
      </c>
      <c r="BG157" s="467">
        <f>+CF!BG51</f>
        <v>1534181.2648705142</v>
      </c>
      <c r="BH157" s="467">
        <f>+CF!BH51</f>
        <v>1590368.8850572105</v>
      </c>
      <c r="BI157" s="467">
        <f>+CF!BI51</f>
        <v>1510143.6007841963</v>
      </c>
      <c r="BJ157" s="467">
        <f>+CF!BJ51</f>
        <v>279788.43469044275</v>
      </c>
      <c r="BK157" s="467"/>
      <c r="BL157" s="467"/>
      <c r="BM157" s="467"/>
      <c r="BN157" s="467"/>
      <c r="BO157" s="467"/>
      <c r="BP157" s="467"/>
      <c r="BQ157" s="467"/>
      <c r="BR157" s="467"/>
      <c r="BS157" s="467"/>
      <c r="BT157" s="467"/>
      <c r="BU157" s="467"/>
      <c r="BV157" s="380"/>
    </row>
    <row r="158" spans="1:74" x14ac:dyDescent="0.2">
      <c r="A158" s="215"/>
      <c r="B158" s="215"/>
      <c r="C158" s="215"/>
      <c r="D158" s="215" t="s">
        <v>196</v>
      </c>
      <c r="E158" s="215"/>
      <c r="F158" s="215"/>
      <c r="G158" s="215"/>
      <c r="H158" s="215"/>
      <c r="I158" s="215"/>
      <c r="J158" s="215"/>
      <c r="K158" s="636" t="s">
        <v>62</v>
      </c>
      <c r="L158" s="215"/>
      <c r="M158" s="215"/>
      <c r="N158" s="467">
        <f t="shared" si="217"/>
        <v>-1689278.5920082047</v>
      </c>
      <c r="O158" s="215"/>
      <c r="P158" s="215"/>
      <c r="Q158" s="467"/>
      <c r="R158" s="467">
        <f>IF(R143=1,(((MAX(R153-R152,0))) *- $L$155),(IF(R107=0,0,-MIN(MAX(0,R157),MAX(0,(R153-R152)) * $L$155))) * (IF(AND(Q107=0,R107=1),((R9-Inputs!$L$100)/365),1)))</f>
        <v>0</v>
      </c>
      <c r="S158" s="467">
        <f>IF(S143=1,(((MAX(S153-S152,0))) *- $L$155),(IF(S107=0,0,-MIN(MAX(0,S157),MAX(0,(S153-S152)) * $L$155))) * (IF(AND(R107=0,S107=1),((S9-Inputs!$L$100)/365),1)))</f>
        <v>0</v>
      </c>
      <c r="T158" s="467">
        <f>IF(T143=1,(((MAX(T153-T152,0))) *- $L$155),(IF(T107=0,0,-MIN(MAX(0,T157),MAX(0,(T153-T152)) * $L$155))) * (IF(AND(S107=0,T107=1),((T9-Inputs!$L$100)/365),1)))</f>
        <v>0</v>
      </c>
      <c r="U158" s="467">
        <f>IF(U143=1,(((MAX(U153-U152,0))) *- $L$155),(IF(U107=0,0,-MIN(MAX(0,U157),MAX(0,(U153-U152)) * $L$155))) * (IF(AND(T107=0,U107=1),((U9-Inputs!$L$100)/365),1)))</f>
        <v>0</v>
      </c>
      <c r="V158" s="467">
        <f>IF(V143=1,(((MAX(V153-V152,0))) *- $L$155),(IF(V107=0,0,-MIN(MAX(0,V157),MAX(0,(V153-V152)) * $L$155))) * (IF(AND(U107=0,V107=1),((V9-Inputs!$L$100)/365),1)))</f>
        <v>0</v>
      </c>
      <c r="W158" s="467">
        <f>IF(W143=1,(((MAX(W153-W152,0))) *- $L$155),(IF(W107=0,0,-MIN(MAX(0,W157),MAX(0,(W153-W152)) * $L$155))) * (IF(AND(V107=0,W107=1),((W9-Inputs!$L$100)/365),1)))</f>
        <v>0</v>
      </c>
      <c r="X158" s="467">
        <f>IF(X143=1,(((MAX(X153-X152,0))) *- $L$155),(IF(X107=0,0,-MIN(MAX(0,X157),MAX(0,(X153-X152)) * $L$155))) * (IF(AND(W107=0,X107=1),((X9-Inputs!$L$100)/365),1)))</f>
        <v>0</v>
      </c>
      <c r="Y158" s="467">
        <f>IF(Y143=1,(((MAX(Y153-Y152,0))) *- $L$155),(IF(Y107=0,0,-MIN(MAX(0,Y157),MAX(0,(Y153-Y152)) * $L$155))) * (IF(AND(X107=0,Y107=1),((Y9-Inputs!$L$100)/365),1)))</f>
        <v>-1144.9213178654027</v>
      </c>
      <c r="Z158" s="467">
        <f>IF(Z143=1,(((MAX(Z153-Z152,0))) *- $L$155),(IF(Z107=0,0,-MIN(MAX(0,Z157),MAX(0,(Z153-Z152)) * $L$155))) * (IF(AND(Y107=0,Z107=1),((Z9-Inputs!$L$100)/365),1)))</f>
        <v>-6531.2471802765504</v>
      </c>
      <c r="AA158" s="467">
        <f>IF(AA143=1,(((MAX(AA153-AA152,0))) *- $L$155),(IF(AA107=0,0,-MIN(MAX(0,AA157),MAX(0,(AA153-AA152)) * $L$155))) * (IF(AND(Z107=0,AA107=1),((AA9-Inputs!$L$100)/365),1)))</f>
        <v>-6608.4925890652376</v>
      </c>
      <c r="AB158" s="467">
        <f>IF(AB143=1,(((MAX(AB153-AB152,0))) *- $L$155),(IF(AB107=0,0,-MIN(MAX(0,AB157),MAX(0,(AB153-AB152)) * $L$155))) * (IF(AND(AA107=0,AB107=1),((AB9-Inputs!$L$100)/365),1)))</f>
        <v>-4697.7256395354489</v>
      </c>
      <c r="AC158" s="467">
        <f>IF(AC143=1,(((MAX(AC153-AC152,0))) *- $L$155),(IF(AC107=0,0,-MIN(MAX(0,AC157),MAX(0,(AC153-AC152)) * $L$155))) * (IF(AND(AB107=0,AC107=1),((AC9-Inputs!$L$100)/365),1)))</f>
        <v>-2760.5135969714611</v>
      </c>
      <c r="AD158" s="467">
        <f>IF(AD143=1,(((MAX(AD153-AD152,0))) *- $L$155),(IF(AD107=0,0,-MIN(MAX(0,AD157),MAX(0,(AD153-AD152)) * $L$155))) * (IF(AND(AC107=0,AD107=1),((AD9-Inputs!$L$100)/365),1)))</f>
        <v>-804.31205934862373</v>
      </c>
      <c r="AE158" s="467">
        <f>IF(AE143=1,(((MAX(AE153-AE152,0))) *- $L$155),(IF(AE107=0,0,-MIN(MAX(0,AE157),MAX(0,(AE153-AE152)) * $L$155))) * (IF(AND(AD107=0,AE107=1),((AE9-Inputs!$L$100)/365),1)))</f>
        <v>0</v>
      </c>
      <c r="AF158" s="467">
        <f>IF(AF143=1,(((MAX(AF153-AF152,0))) *- $L$155),(IF(AF107=0,0,-MIN(MAX(0,AF157),MAX(0,(AF153-AF152)) * $L$155))) * (IF(AND(AE107=0,AF107=1),((AF9-Inputs!$L$100)/365),1)))</f>
        <v>-7360.2077820870327</v>
      </c>
      <c r="AG158" s="467">
        <f>IF(AG143=1,(((MAX(AG153-AG152,0))) *- $L$155),(IF(AG107=0,0,-MIN(MAX(0,AG157),MAX(0,(AG153-AG152)) * $L$155))) * (IF(AND(AF107=0,AG107=1),((AG9-Inputs!$L$100)/365),1)))</f>
        <v>-11373.084161063045</v>
      </c>
      <c r="AH158" s="467">
        <f>IF(AH143=1,(((MAX(AH153-AH152,0))) *- $L$155),(IF(AH107=0,0,-MIN(MAX(0,AH157),MAX(0,(AH153-AH152)) * $L$155))) * (IF(AND(AG107=0,AH107=1),((AH9-Inputs!$L$100)/365),1)))</f>
        <v>-16453.675188882597</v>
      </c>
      <c r="AI158" s="467">
        <f>IF(AI143=1,(((MAX(AI153-AI152,0))) *- $L$155),(IF(AI107=0,0,-MIN(MAX(0,AI157),MAX(0,(AI153-AI152)) * $L$155))) * (IF(AND(AH107=0,AI107=1),((AI9-Inputs!$L$100)/365),1)))</f>
        <v>-22521.64259167781</v>
      </c>
      <c r="AJ158" s="467">
        <f>IF(AJ143=1,(((MAX(AJ153-AJ152,0))) *- $L$155),(IF(AJ107=0,0,-MIN(MAX(0,AJ157),MAX(0,(AJ153-AJ152)) * $L$155))) * (IF(AND(AI107=0,AJ107=1),((AJ9-Inputs!$L$100)/365),1)))</f>
        <v>-29678.740055812872</v>
      </c>
      <c r="AK158" s="467">
        <f>IF(AK143=1,(((MAX(AK153-AK152,0))) *- $L$155),(IF(AK107=0,0,-MIN(MAX(0,AK157),MAX(0,(AK153-AK152)) * $L$155))) * (IF(AND(AJ107=0,AK107=1),((AK9-Inputs!$L$100)/365),1)))</f>
        <v>-38059.275062894245</v>
      </c>
      <c r="AL158" s="467">
        <f>IF(AL143=1,(((MAX(AL153-AL152,0))) *- $L$155),(IF(AL107=0,0,-MIN(MAX(0,AL157),MAX(0,(AL153-AL152)) * $L$155))) * (IF(AND(AK107=0,AL107=1),((AL9-Inputs!$L$100)/365),1)))</f>
        <v>-48120.391502588871</v>
      </c>
      <c r="AM158" s="467">
        <f>IF(AM143=1,(((MAX(AM153-AM152,0))) *- $L$155),(IF(AM107=0,0,-MIN(MAX(0,AM157),MAX(0,(AM153-AM152)) * $L$155))) * (IF(AND(AL107=0,AM107=1),((AM9-Inputs!$L$100)/365),1)))</f>
        <v>-59778.260653921781</v>
      </c>
      <c r="AN158" s="467">
        <f>IF(AN143=1,(((MAX(AN153-AN152,0))) *- $L$155),(IF(AN107=0,0,-MIN(MAX(0,AN157),MAX(0,(AN153-AN152)) * $L$155))) * (IF(AND(AM107=0,AN107=1),((AN9-Inputs!$L$100)/365),1)))</f>
        <v>-73383.535276205657</v>
      </c>
      <c r="AO158" s="467">
        <f>IF(AO143=1,(((MAX(AO153-AO152,0))) *- $L$155),(IF(AO107=0,0,-MIN(MAX(0,AO157),MAX(0,(AO153-AO152)) * $L$155))) * (IF(AND(AN107=0,AO107=1),((AO9-Inputs!$L$100)/365),1)))</f>
        <v>-89020.093451847148</v>
      </c>
      <c r="AP158" s="467">
        <f>IF(AP143=1,(((MAX(AP153-AP152,0))) *- $L$155),(IF(AP107=0,0,-MIN(MAX(0,AP157),MAX(0,(AP153-AP152)) * $L$155))) * (IF(AND(AO107=0,AP107=1),((AP9-Inputs!$L$100)/365),1)))</f>
        <v>-106898.05500391941</v>
      </c>
      <c r="AQ158" s="467">
        <f>IF(AQ143=1,(((MAX(AQ153-AQ152,0))) *- $L$155),(IF(AQ107=0,0,-MIN(MAX(0,AQ157),MAX(0,(AQ153-AQ152)) * $L$155))) * (IF(AND(AP107=0,AQ107=1),((AQ9-Inputs!$L$100)/365),1)))</f>
        <v>-112932.39951625973</v>
      </c>
      <c r="AR158" s="467">
        <f>IF(AR143=1,(((MAX(AR153-AR152,0))) *- $L$155),(IF(AR107=0,0,-MIN(MAX(0,AR157),MAX(0,(AR153-AR152)) * $L$155))) * (IF(AND(AQ107=0,AR107=1),((AR9-Inputs!$L$100)/365),1)))</f>
        <v>-119918.42947057291</v>
      </c>
      <c r="AS158" s="467">
        <f>IF(AS143=1,(((MAX(AS153-AS152,0))) *- $L$155),(IF(AS107=0,0,-MIN(MAX(0,AS157),MAX(0,(AS153-AS152)) * $L$155))) * (IF(AND(AR107=0,AS107=1),((AS9-Inputs!$L$100)/365),1)))</f>
        <v>-127811.34489237971</v>
      </c>
      <c r="AT158" s="467">
        <f>IF(AT143=1,(((MAX(AT153-AT152,0))) *- $L$155),(IF(AT107=0,0,-MIN(MAX(0,AT157),MAX(0,(AT153-AT152)) * $L$155))) * (IF(AND(AS107=0,AT107=1),((AT9-Inputs!$L$100)/365),1)))</f>
        <v>-136499.52078581159</v>
      </c>
      <c r="AU158" s="467">
        <f>IF(AU143=1,(((MAX(AU153-AU152,0))) *- $L$155),(IF(AU107=0,0,-MIN(MAX(0,AU157),MAX(0,(AU153-AU152)) * $L$155))) * (IF(AND(AT107=0,AU107=1),((AU9-Inputs!$L$100)/365),1)))</f>
        <v>-147099.17152023822</v>
      </c>
      <c r="AV158" s="467">
        <f>IF(AV143=1,(((MAX(AV153-AV152,0))) *- $L$155),(IF(AV107=0,0,-MIN(MAX(0,AV157),MAX(0,(AV153-AV152)) * $L$155))) * (IF(AND(AU107=0,AV107=1),((AV9-Inputs!$L$100)/365),1)))</f>
        <v>-159439.93640644237</v>
      </c>
      <c r="AW158" s="467">
        <f>IF(AW143=1,(((MAX(AW153-AW152,0))) *- $L$155),(IF(AW107=0,0,-MIN(MAX(0,AW157),MAX(0,(AW153-AW152)) * $L$155))) * (IF(AND(AV107=0,AW107=1),((AW9-Inputs!$L$100)/365),1)))</f>
        <v>-172904.81612464273</v>
      </c>
      <c r="AX158" s="467">
        <f>IF(AX143=1,(((MAX(AX153-AX152,0))) *- $L$155),(IF(AX107=0,0,-MIN(MAX(0,AX157),MAX(0,(AX153-AX152)) * $L$155))) * (IF(AND(AW107=0,AX107=1),((AX9-Inputs!$L$100)/365),1)))</f>
        <v>-187478.8001778943</v>
      </c>
      <c r="AY158" s="467">
        <f>IF(AY143=1,(((MAX(AY153-AY152,0))) *- $L$155),(IF(AY107=0,0,-MIN(MAX(0,AY157),MAX(0,(AY153-AY152)) * $L$155))) * (IF(AND(AX107=0,AY107=1),((AY9-Inputs!$L$100)/365),1)))</f>
        <v>0</v>
      </c>
      <c r="AZ158" s="467">
        <f>IF(AZ143=1,(((MAX(AZ153-AZ152,0))) *- $L$155),(IF(AZ107=0,0,-MIN(MAX(0,AZ157),MAX(0,(AZ153-AZ152)) * $L$155))) * (IF(AND(AY107=0,AZ107=1),((AZ9-Inputs!$L$100)/365),1)))</f>
        <v>0</v>
      </c>
      <c r="BA158" s="467">
        <f>IF(BA143=1,(((MAX(BA153-BA152,0))) *- $L$155),(IF(BA107=0,0,-MIN(MAX(0,BA157),MAX(0,(BA153-BA152)) * $L$155))) * (IF(AND(AZ107=0,BA107=1),((BA9-Inputs!$L$100)/365),1)))</f>
        <v>0</v>
      </c>
      <c r="BB158" s="467">
        <f>IF(BB143=1,(((MAX(BB153-BB152,0))) *- $L$155),(IF(BB107=0,0,-MIN(MAX(0,BB157),MAX(0,(BB153-BB152)) * $L$155))) * (IF(AND(BA107=0,BB107=1),((BB9-Inputs!$L$100)/365),1)))</f>
        <v>0</v>
      </c>
      <c r="BC158" s="467">
        <f>IF(BC143=1,(((MAX(BC153-BC152,0))) *- $L$155),(IF(BC107=0,0,-MIN(MAX(0,BC157),MAX(0,(BC153-BC152)) * $L$155))) * (IF(AND(BB107=0,BC107=1),((BC9-Inputs!$L$100)/365),1)))</f>
        <v>0</v>
      </c>
      <c r="BD158" s="467">
        <f>IF(BD143=1,(((MAX(BD153-BD152,0))) *- $L$155),(IF(BD107=0,0,-MIN(MAX(0,BD157),MAX(0,(BD153-BD152)) * $L$155))) * (IF(AND(BC107=0,BD107=1),((BD9-Inputs!$L$100)/365),1)))</f>
        <v>0</v>
      </c>
      <c r="BE158" s="467">
        <f>IF(BE143=1,(((MAX(BE153-BE152,0))) *- $L$155),(IF(BE107=0,0,-MIN(MAX(0,BE157),MAX(0,(BE153-BE152)) * $L$155))) * (IF(AND(BD107=0,BE107=1),((BE9-Inputs!$L$100)/365),1)))</f>
        <v>0</v>
      </c>
      <c r="BF158" s="467">
        <f>IF(BF143=1,(((MAX(BF153-BF152,0))) *- $L$155),(IF(BF107=0,0,-MIN(MAX(0,BF157),MAX(0,(BF153-BF152)) * $L$155))) * (IF(AND(BE107=0,BF107=1),((BF9-Inputs!$L$100)/365),1)))</f>
        <v>0</v>
      </c>
      <c r="BG158" s="467">
        <f>IF(BG143=1,(((MAX(BG153-BG152,0))) *- $L$155),(IF(BG107=0,0,-MIN(MAX(0,BG157),MAX(0,(BG153-BG152)) * $L$155))) * (IF(AND(BF107=0,BG107=1),((BG9-Inputs!$L$100)/365),1)))</f>
        <v>0</v>
      </c>
      <c r="BH158" s="467">
        <f>IF(BH143=1,(((MAX(BH153-BH152,0))) *- $L$155),(IF(BH107=0,0,-MIN(MAX(0,BH157),MAX(0,(BH153-BH152)) * $L$155))) * (IF(AND(BG107=0,BH107=1),((BH9-Inputs!$L$100)/365),1)))</f>
        <v>0</v>
      </c>
      <c r="BI158" s="467">
        <f>IF(BI143=1,(((MAX(BI153-BI152,0))) *- $L$155),(IF(BI107=0,0,-MIN(MAX(0,BI157),MAX(0,(BI153-BI152)) * $L$155))) * (IF(AND(BH107=0,BI107=1),((BI9-Inputs!$L$100)/365),1)))</f>
        <v>0</v>
      </c>
      <c r="BJ158" s="467">
        <f>IF(BJ143=1,(((MAX(BJ153-BJ152,0))) *- $L$155),(IF(BJ107=0,0,-MIN(MAX(0,BJ157),MAX(0,(BJ153-BJ152)) * $L$155))) * (IF(AND(BI107=0,BJ107=1),((BJ9-Inputs!$L$100)/365),1)))</f>
        <v>0</v>
      </c>
      <c r="BK158" s="467"/>
      <c r="BL158" s="467"/>
      <c r="BM158" s="467"/>
      <c r="BN158" s="467"/>
      <c r="BO158" s="467"/>
      <c r="BP158" s="467"/>
      <c r="BQ158" s="467"/>
      <c r="BR158" s="467"/>
      <c r="BS158" s="467"/>
      <c r="BT158" s="467"/>
      <c r="BU158" s="467"/>
      <c r="BV158" s="380"/>
    </row>
    <row r="159" spans="1:74" x14ac:dyDescent="0.2">
      <c r="A159" s="215"/>
      <c r="B159" s="215"/>
      <c r="C159" s="215"/>
      <c r="D159" s="217" t="s">
        <v>197</v>
      </c>
      <c r="E159" s="215"/>
      <c r="F159" s="215"/>
      <c r="G159" s="215"/>
      <c r="H159" s="215"/>
      <c r="I159" s="215"/>
      <c r="J159" s="215"/>
      <c r="K159" s="636" t="s">
        <v>62</v>
      </c>
      <c r="L159" s="215"/>
      <c r="M159" s="215"/>
      <c r="N159" s="467">
        <f t="shared" si="217"/>
        <v>-329276.02465819661</v>
      </c>
      <c r="O159" s="215"/>
      <c r="P159" s="215"/>
      <c r="Q159" s="467"/>
      <c r="R159" s="467">
        <f t="shared" ref="R159:AO159" si="218">IF(-MIN(-SUM(R158:R158),SUM(R127:R128)+SUM(R130:R137))&gt;0,0, -MIN(-SUM(R158:R158),SUM(R127:R128)+SUM(R130:R137)))</f>
        <v>0</v>
      </c>
      <c r="S159" s="467">
        <f t="shared" si="218"/>
        <v>0</v>
      </c>
      <c r="T159" s="467">
        <f t="shared" si="218"/>
        <v>0</v>
      </c>
      <c r="U159" s="467">
        <f t="shared" si="218"/>
        <v>0</v>
      </c>
      <c r="V159" s="467">
        <f t="shared" si="218"/>
        <v>0</v>
      </c>
      <c r="W159" s="467">
        <f t="shared" si="218"/>
        <v>0</v>
      </c>
      <c r="X159" s="467">
        <f t="shared" si="218"/>
        <v>0</v>
      </c>
      <c r="Y159" s="467">
        <f t="shared" si="218"/>
        <v>-1144.9213178654027</v>
      </c>
      <c r="Z159" s="467">
        <f t="shared" si="218"/>
        <v>-6531.2471802765504</v>
      </c>
      <c r="AA159" s="467">
        <f t="shared" si="218"/>
        <v>-6608.4925890652376</v>
      </c>
      <c r="AB159" s="467">
        <f t="shared" si="218"/>
        <v>-4697.7256395354489</v>
      </c>
      <c r="AC159" s="467">
        <f t="shared" si="218"/>
        <v>-2760.5135969714611</v>
      </c>
      <c r="AD159" s="467">
        <f t="shared" si="218"/>
        <v>-804.31205934862373</v>
      </c>
      <c r="AE159" s="467">
        <f t="shared" si="218"/>
        <v>0</v>
      </c>
      <c r="AF159" s="467">
        <f t="shared" si="218"/>
        <v>-7360.2077820870327</v>
      </c>
      <c r="AG159" s="467">
        <f t="shared" si="218"/>
        <v>-11373.084161063045</v>
      </c>
      <c r="AH159" s="467">
        <f t="shared" si="218"/>
        <v>-16453.675188882597</v>
      </c>
      <c r="AI159" s="467">
        <f t="shared" si="218"/>
        <v>-22521.64259167781</v>
      </c>
      <c r="AJ159" s="467">
        <f t="shared" si="218"/>
        <v>-29678.740055812872</v>
      </c>
      <c r="AK159" s="467">
        <f t="shared" si="218"/>
        <v>-38059.275062894245</v>
      </c>
      <c r="AL159" s="467">
        <f t="shared" si="218"/>
        <v>-48120.391502588871</v>
      </c>
      <c r="AM159" s="467">
        <f t="shared" si="218"/>
        <v>-59778.260653921781</v>
      </c>
      <c r="AN159" s="467">
        <f t="shared" si="218"/>
        <v>-73383.535276205657</v>
      </c>
      <c r="AO159" s="467">
        <f t="shared" si="218"/>
        <v>0</v>
      </c>
      <c r="AP159" s="467">
        <f t="shared" ref="AP159:BJ159" si="219">IF(-MIN(-SUM(AP158:AP158),SUM(AP127:AP128)+SUM(AP130:AP137))&gt;0,0, -MIN(-SUM(AP158:AP158),SUM(AP127:AP128)+SUM(AP130:AP137)))</f>
        <v>0</v>
      </c>
      <c r="AQ159" s="467">
        <f t="shared" si="219"/>
        <v>0</v>
      </c>
      <c r="AR159" s="467">
        <f t="shared" si="219"/>
        <v>0</v>
      </c>
      <c r="AS159" s="467">
        <f t="shared" si="219"/>
        <v>0</v>
      </c>
      <c r="AT159" s="467">
        <f t="shared" si="219"/>
        <v>0</v>
      </c>
      <c r="AU159" s="467">
        <f t="shared" si="219"/>
        <v>0</v>
      </c>
      <c r="AV159" s="467">
        <f t="shared" si="219"/>
        <v>0</v>
      </c>
      <c r="AW159" s="467">
        <f t="shared" si="219"/>
        <v>0</v>
      </c>
      <c r="AX159" s="467">
        <f t="shared" si="219"/>
        <v>0</v>
      </c>
      <c r="AY159" s="467">
        <f t="shared" si="219"/>
        <v>0</v>
      </c>
      <c r="AZ159" s="467">
        <f t="shared" si="219"/>
        <v>0</v>
      </c>
      <c r="BA159" s="467">
        <f t="shared" si="219"/>
        <v>0</v>
      </c>
      <c r="BB159" s="467">
        <f t="shared" si="219"/>
        <v>0</v>
      </c>
      <c r="BC159" s="467">
        <f t="shared" si="219"/>
        <v>0</v>
      </c>
      <c r="BD159" s="467">
        <f t="shared" si="219"/>
        <v>0</v>
      </c>
      <c r="BE159" s="467">
        <f t="shared" si="219"/>
        <v>0</v>
      </c>
      <c r="BF159" s="467">
        <f t="shared" si="219"/>
        <v>0</v>
      </c>
      <c r="BG159" s="467">
        <f t="shared" si="219"/>
        <v>0</v>
      </c>
      <c r="BH159" s="467">
        <f t="shared" si="219"/>
        <v>0</v>
      </c>
      <c r="BI159" s="467">
        <f t="shared" si="219"/>
        <v>0</v>
      </c>
      <c r="BJ159" s="467">
        <f t="shared" si="219"/>
        <v>0</v>
      </c>
      <c r="BK159" s="467"/>
      <c r="BL159" s="467"/>
      <c r="BM159" s="467"/>
      <c r="BN159" s="467"/>
      <c r="BO159" s="467"/>
      <c r="BP159" s="467"/>
      <c r="BQ159" s="467"/>
      <c r="BR159" s="467"/>
      <c r="BS159" s="467"/>
      <c r="BT159" s="467"/>
      <c r="BU159" s="467"/>
      <c r="BV159" s="380"/>
    </row>
    <row r="160" spans="1:74" x14ac:dyDescent="0.2">
      <c r="A160" s="215"/>
      <c r="B160" s="481"/>
      <c r="C160" s="215"/>
      <c r="D160" s="482" t="s">
        <v>198</v>
      </c>
      <c r="E160" s="482"/>
      <c r="F160" s="482"/>
      <c r="G160" s="482"/>
      <c r="H160" s="482"/>
      <c r="I160" s="482"/>
      <c r="J160" s="482"/>
      <c r="K160" s="639" t="s">
        <v>62</v>
      </c>
      <c r="L160" s="482"/>
      <c r="M160" s="482"/>
      <c r="N160" s="717">
        <f>SUM(Q160:BU160)</f>
        <v>-329276.02465819661</v>
      </c>
      <c r="O160" s="482"/>
      <c r="P160" s="482"/>
      <c r="Q160" s="483"/>
      <c r="R160" s="717">
        <f>-Mac!R31</f>
        <v>0</v>
      </c>
      <c r="S160" s="717">
        <f>-Mac!S31</f>
        <v>0</v>
      </c>
      <c r="T160" s="717">
        <f>-Mac!T31</f>
        <v>0</v>
      </c>
      <c r="U160" s="717">
        <f>-Mac!U31</f>
        <v>0</v>
      </c>
      <c r="V160" s="717">
        <f>-Mac!V31</f>
        <v>0</v>
      </c>
      <c r="W160" s="717">
        <f>-Mac!W31</f>
        <v>0</v>
      </c>
      <c r="X160" s="717">
        <f>-Mac!X31</f>
        <v>0</v>
      </c>
      <c r="Y160" s="717">
        <f>-Mac!Y31</f>
        <v>-1144.9213178654027</v>
      </c>
      <c r="Z160" s="717">
        <f>-Mac!Z31</f>
        <v>-6531.2471802765504</v>
      </c>
      <c r="AA160" s="717">
        <f>-Mac!AA31</f>
        <v>-6608.4925890652376</v>
      </c>
      <c r="AB160" s="717">
        <f>-Mac!AB31</f>
        <v>-4697.7256395354489</v>
      </c>
      <c r="AC160" s="717">
        <f>-Mac!AC31</f>
        <v>-2760.5135969714611</v>
      </c>
      <c r="AD160" s="717">
        <f>-Mac!AD31</f>
        <v>-804.31205934862373</v>
      </c>
      <c r="AE160" s="717">
        <f>-Mac!AE31</f>
        <v>0</v>
      </c>
      <c r="AF160" s="717">
        <f>-Mac!AF31</f>
        <v>-7360.2077820870327</v>
      </c>
      <c r="AG160" s="717">
        <f>-Mac!AG31</f>
        <v>-11373.084161063045</v>
      </c>
      <c r="AH160" s="717">
        <f>-Mac!AH31</f>
        <v>-16453.675188882597</v>
      </c>
      <c r="AI160" s="717">
        <f>-Mac!AI31</f>
        <v>-22521.64259167781</v>
      </c>
      <c r="AJ160" s="717">
        <f>-Mac!AJ31</f>
        <v>-29678.740055812872</v>
      </c>
      <c r="AK160" s="717">
        <f>-Mac!AK31</f>
        <v>-38059.275062894245</v>
      </c>
      <c r="AL160" s="717">
        <f>-Mac!AL31</f>
        <v>-48120.391502588871</v>
      </c>
      <c r="AM160" s="717">
        <f>-Mac!AM31</f>
        <v>-59778.260653921781</v>
      </c>
      <c r="AN160" s="717">
        <f>-Mac!AN31</f>
        <v>-73383.535276205657</v>
      </c>
      <c r="AO160" s="717">
        <f>-Mac!AO31</f>
        <v>0</v>
      </c>
      <c r="AP160" s="717">
        <f>-Mac!AP31</f>
        <v>0</v>
      </c>
      <c r="AQ160" s="717">
        <f>-Mac!AQ31</f>
        <v>0</v>
      </c>
      <c r="AR160" s="717">
        <f>-Mac!AR31</f>
        <v>0</v>
      </c>
      <c r="AS160" s="717">
        <f>-Mac!AS31</f>
        <v>0</v>
      </c>
      <c r="AT160" s="717">
        <f>-Mac!AT31</f>
        <v>0</v>
      </c>
      <c r="AU160" s="717">
        <f>-Mac!AU31</f>
        <v>0</v>
      </c>
      <c r="AV160" s="717">
        <f>-Mac!AV31</f>
        <v>0</v>
      </c>
      <c r="AW160" s="717">
        <f>-Mac!AW31</f>
        <v>0</v>
      </c>
      <c r="AX160" s="717">
        <f>-Mac!AX31</f>
        <v>0</v>
      </c>
      <c r="AY160" s="717">
        <f>-Mac!AY31</f>
        <v>0</v>
      </c>
      <c r="AZ160" s="717">
        <f>-Mac!AZ31</f>
        <v>0</v>
      </c>
      <c r="BA160" s="717">
        <f>-Mac!BA31</f>
        <v>0</v>
      </c>
      <c r="BB160" s="717">
        <f>-Mac!BB31</f>
        <v>0</v>
      </c>
      <c r="BC160" s="717">
        <f>-Mac!BC31</f>
        <v>0</v>
      </c>
      <c r="BD160" s="717">
        <f>-Mac!BD31</f>
        <v>0</v>
      </c>
      <c r="BE160" s="717">
        <f>-Mac!BE31</f>
        <v>0</v>
      </c>
      <c r="BF160" s="717">
        <f>-Mac!BF31</f>
        <v>0</v>
      </c>
      <c r="BG160" s="717">
        <f>-Mac!BG31</f>
        <v>0</v>
      </c>
      <c r="BH160" s="717">
        <f>-Mac!BH31</f>
        <v>0</v>
      </c>
      <c r="BI160" s="717">
        <f>-Mac!BI31</f>
        <v>0</v>
      </c>
      <c r="BJ160" s="717">
        <f>-Mac!BJ31</f>
        <v>0</v>
      </c>
      <c r="BK160" s="483"/>
      <c r="BL160" s="483"/>
      <c r="BM160" s="483"/>
      <c r="BN160" s="483"/>
      <c r="BO160" s="483"/>
      <c r="BP160" s="483"/>
      <c r="BQ160" s="483"/>
      <c r="BR160" s="483"/>
      <c r="BS160" s="483"/>
      <c r="BT160" s="483"/>
      <c r="BU160" s="483"/>
      <c r="BV160" s="380"/>
    </row>
    <row r="161" spans="1:74" x14ac:dyDescent="0.2">
      <c r="A161" s="299"/>
      <c r="B161" s="484"/>
      <c r="C161" s="454"/>
      <c r="D161" s="454"/>
      <c r="E161" s="454"/>
      <c r="F161" s="454"/>
      <c r="G161" s="454"/>
      <c r="H161" s="454"/>
      <c r="I161" s="454"/>
      <c r="J161" s="454"/>
      <c r="K161" s="640"/>
      <c r="L161" s="454"/>
      <c r="M161" s="454"/>
      <c r="N161" s="454"/>
      <c r="O161" s="454"/>
      <c r="P161" s="454"/>
      <c r="Q161" s="454"/>
      <c r="R161" s="454"/>
      <c r="S161" s="454"/>
      <c r="T161" s="454"/>
      <c r="U161" s="454"/>
      <c r="V161" s="454"/>
      <c r="W161" s="454"/>
      <c r="X161" s="454"/>
      <c r="Y161" s="454"/>
      <c r="Z161" s="454"/>
      <c r="AA161" s="454"/>
      <c r="AB161" s="454"/>
      <c r="AC161" s="454"/>
      <c r="AD161" s="454"/>
      <c r="AE161" s="454"/>
      <c r="AF161" s="454"/>
      <c r="AG161" s="454"/>
      <c r="AH161" s="454"/>
      <c r="AI161" s="454"/>
      <c r="AJ161" s="454"/>
      <c r="AK161" s="454"/>
      <c r="AL161" s="454"/>
      <c r="AM161" s="454"/>
      <c r="AN161" s="454"/>
      <c r="AO161" s="454"/>
      <c r="AP161" s="454"/>
      <c r="AQ161" s="454"/>
      <c r="AR161" s="454"/>
      <c r="AS161" s="454"/>
      <c r="AT161" s="454"/>
      <c r="AU161" s="454"/>
      <c r="AV161" s="454"/>
      <c r="AW161" s="454"/>
      <c r="AX161" s="454"/>
      <c r="AY161" s="454"/>
      <c r="AZ161" s="454"/>
      <c r="BA161" s="454"/>
      <c r="BB161" s="454"/>
      <c r="BC161" s="454"/>
      <c r="BD161" s="454"/>
      <c r="BE161" s="454"/>
      <c r="BF161" s="454"/>
      <c r="BG161" s="454"/>
      <c r="BH161" s="454"/>
      <c r="BI161" s="454"/>
      <c r="BJ161" s="454"/>
      <c r="BK161" s="454"/>
      <c r="BL161" s="454"/>
      <c r="BM161" s="454"/>
      <c r="BN161" s="454"/>
      <c r="BO161" s="454"/>
      <c r="BP161" s="454"/>
      <c r="BQ161" s="454"/>
      <c r="BR161" s="454"/>
      <c r="BS161" s="454"/>
      <c r="BT161" s="454"/>
      <c r="BU161" s="454"/>
      <c r="BV161" s="380"/>
    </row>
    <row r="162" spans="1:74" ht="15.75" x14ac:dyDescent="0.25">
      <c r="A162" s="418"/>
      <c r="B162" s="418" t="s">
        <v>27</v>
      </c>
      <c r="C162" s="418"/>
      <c r="D162" s="418"/>
      <c r="E162" s="418"/>
      <c r="F162" s="418"/>
      <c r="G162" s="418"/>
      <c r="H162" s="418"/>
      <c r="I162" s="418"/>
      <c r="J162" s="418"/>
      <c r="K162" s="628"/>
      <c r="L162" s="418"/>
      <c r="M162" s="418"/>
      <c r="N162" s="418"/>
      <c r="O162" s="419"/>
      <c r="P162" s="485"/>
      <c r="Q162" s="485"/>
      <c r="R162" s="485"/>
      <c r="S162" s="485"/>
      <c r="T162" s="485"/>
      <c r="U162" s="485"/>
      <c r="V162" s="485"/>
      <c r="W162" s="485"/>
      <c r="X162" s="485"/>
      <c r="Y162" s="485"/>
      <c r="Z162" s="485"/>
      <c r="AA162" s="485"/>
      <c r="AB162" s="485"/>
      <c r="AC162" s="485"/>
      <c r="AD162" s="485"/>
      <c r="AE162" s="485"/>
      <c r="AF162" s="485"/>
      <c r="AG162" s="485"/>
      <c r="AH162" s="485"/>
      <c r="AI162" s="485"/>
      <c r="AJ162" s="485"/>
      <c r="AK162" s="485"/>
      <c r="AL162" s="485"/>
      <c r="AM162" s="485"/>
      <c r="AN162" s="485"/>
      <c r="AO162" s="485"/>
      <c r="AP162" s="485"/>
      <c r="AQ162" s="485"/>
      <c r="AR162" s="485"/>
      <c r="AS162" s="485"/>
      <c r="AT162" s="485"/>
      <c r="AU162" s="485"/>
      <c r="AV162" s="485"/>
      <c r="AW162" s="485"/>
      <c r="AX162" s="485"/>
      <c r="AY162" s="485"/>
      <c r="AZ162" s="485"/>
      <c r="BA162" s="485"/>
      <c r="BB162" s="485"/>
      <c r="BC162" s="485"/>
      <c r="BD162" s="485"/>
      <c r="BE162" s="485"/>
      <c r="BF162" s="485"/>
      <c r="BG162" s="485"/>
      <c r="BH162" s="485"/>
      <c r="BI162" s="485"/>
      <c r="BJ162" s="421"/>
      <c r="BK162" s="420"/>
      <c r="BL162" s="420"/>
      <c r="BM162" s="420"/>
      <c r="BN162" s="420"/>
      <c r="BO162" s="420"/>
      <c r="BP162" s="420"/>
      <c r="BQ162" s="420"/>
      <c r="BR162" s="420"/>
      <c r="BS162" s="420"/>
      <c r="BT162" s="420"/>
      <c r="BU162" s="420"/>
    </row>
    <row r="163" spans="1:74" ht="15.75" x14ac:dyDescent="0.25">
      <c r="A163" s="350"/>
      <c r="B163" s="350"/>
      <c r="C163" s="350"/>
      <c r="D163" s="350"/>
      <c r="E163" s="350"/>
      <c r="F163" s="350"/>
      <c r="G163" s="350"/>
      <c r="H163" s="350"/>
      <c r="I163" s="350"/>
      <c r="J163" s="350"/>
      <c r="K163" s="641"/>
      <c r="L163" s="350"/>
      <c r="M163" s="350"/>
      <c r="N163" s="350"/>
      <c r="O163" s="350"/>
      <c r="P163" s="486"/>
      <c r="Q163" s="486"/>
      <c r="R163" s="486"/>
      <c r="S163" s="486"/>
      <c r="T163" s="486"/>
      <c r="U163" s="486"/>
      <c r="V163" s="486"/>
      <c r="W163" s="486"/>
      <c r="X163" s="486"/>
      <c r="Y163" s="486"/>
      <c r="Z163" s="486"/>
      <c r="AA163" s="486"/>
      <c r="AB163" s="486"/>
      <c r="AC163" s="486"/>
      <c r="AD163" s="486"/>
      <c r="AE163" s="486"/>
      <c r="AF163" s="486"/>
      <c r="AG163" s="486"/>
      <c r="AH163" s="486"/>
      <c r="AI163" s="486"/>
      <c r="AJ163" s="486"/>
      <c r="AK163" s="486"/>
      <c r="AL163" s="486"/>
      <c r="AM163" s="486"/>
      <c r="AN163" s="486"/>
      <c r="AO163" s="486"/>
      <c r="AP163" s="486"/>
      <c r="AQ163" s="486"/>
      <c r="AR163" s="486"/>
      <c r="AS163" s="486"/>
      <c r="AT163" s="486"/>
      <c r="AU163" s="486"/>
      <c r="AV163" s="486"/>
      <c r="AW163" s="486"/>
      <c r="AX163" s="486"/>
      <c r="AY163" s="486"/>
      <c r="AZ163" s="486"/>
      <c r="BA163" s="486"/>
      <c r="BB163" s="486"/>
      <c r="BC163" s="486"/>
      <c r="BD163" s="486"/>
      <c r="BE163" s="486"/>
      <c r="BF163" s="486"/>
      <c r="BG163" s="486"/>
      <c r="BH163" s="486"/>
      <c r="BI163" s="486"/>
      <c r="BJ163" s="486"/>
      <c r="BK163" s="486"/>
      <c r="BL163" s="486"/>
      <c r="BM163" s="486"/>
      <c r="BN163" s="486"/>
      <c r="BO163" s="486"/>
      <c r="BP163" s="486"/>
      <c r="BQ163" s="486"/>
      <c r="BR163" s="486"/>
      <c r="BS163" s="486"/>
      <c r="BT163" s="486"/>
      <c r="BU163" s="486"/>
    </row>
    <row r="164" spans="1:74" x14ac:dyDescent="0.2">
      <c r="A164" s="299"/>
      <c r="B164" s="439" t="s">
        <v>168</v>
      </c>
      <c r="C164" s="299"/>
      <c r="D164" s="299"/>
      <c r="E164" s="299"/>
      <c r="F164" s="299"/>
      <c r="G164" s="299"/>
      <c r="H164" s="299"/>
      <c r="I164" s="299"/>
      <c r="J164" s="299"/>
      <c r="K164" s="410"/>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299"/>
      <c r="AP164" s="299"/>
      <c r="AQ164" s="299"/>
      <c r="AR164" s="299"/>
      <c r="AS164" s="299"/>
      <c r="AT164" s="299"/>
      <c r="AU164" s="299"/>
      <c r="AV164" s="299"/>
      <c r="AW164" s="299"/>
      <c r="AX164" s="299"/>
      <c r="AY164" s="299"/>
      <c r="AZ164" s="299"/>
      <c r="BA164" s="299"/>
      <c r="BB164" s="299"/>
      <c r="BC164" s="299"/>
      <c r="BD164" s="299"/>
      <c r="BE164" s="299"/>
      <c r="BF164" s="299"/>
      <c r="BG164" s="299"/>
      <c r="BH164" s="299"/>
      <c r="BI164" s="299"/>
      <c r="BJ164" s="299"/>
      <c r="BK164" s="299"/>
      <c r="BL164" s="299"/>
      <c r="BM164" s="299"/>
      <c r="BN164" s="299"/>
      <c r="BO164" s="299"/>
      <c r="BP164" s="299"/>
      <c r="BQ164" s="299"/>
      <c r="BR164" s="299"/>
      <c r="BS164" s="299"/>
      <c r="BT164" s="299"/>
      <c r="BU164" s="299"/>
    </row>
    <row r="165" spans="1:74" x14ac:dyDescent="0.2">
      <c r="A165" s="299"/>
      <c r="B165" s="299"/>
      <c r="C165" s="299" t="s">
        <v>130</v>
      </c>
      <c r="D165" s="299"/>
      <c r="E165" s="299"/>
      <c r="F165" s="299"/>
      <c r="G165" s="299"/>
      <c r="H165" s="299"/>
      <c r="I165" s="299"/>
      <c r="J165" s="299"/>
      <c r="K165" s="410" t="s">
        <v>131</v>
      </c>
      <c r="L165" s="487">
        <f>+Inputs!L134</f>
        <v>1</v>
      </c>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299"/>
      <c r="AZ165" s="299"/>
      <c r="BA165" s="299"/>
      <c r="BB165" s="299"/>
      <c r="BC165" s="299"/>
      <c r="BD165" s="299"/>
      <c r="BE165" s="299"/>
      <c r="BF165" s="299"/>
      <c r="BG165" s="299"/>
      <c r="BH165" s="299"/>
      <c r="BI165" s="299"/>
      <c r="BJ165" s="299"/>
      <c r="BK165" s="299"/>
      <c r="BL165" s="299"/>
      <c r="BM165" s="299"/>
      <c r="BN165" s="299"/>
      <c r="BO165" s="299"/>
      <c r="BP165" s="299"/>
      <c r="BQ165" s="299"/>
      <c r="BR165" s="299"/>
      <c r="BS165" s="299"/>
      <c r="BT165" s="299"/>
      <c r="BU165" s="299"/>
    </row>
    <row r="166" spans="1:74" x14ac:dyDescent="0.2">
      <c r="A166" s="299"/>
      <c r="B166" s="299"/>
      <c r="C166" s="299" t="s">
        <v>199</v>
      </c>
      <c r="D166" s="299"/>
      <c r="E166" s="299"/>
      <c r="F166" s="299"/>
      <c r="G166" s="299"/>
      <c r="H166" s="299"/>
      <c r="I166" s="299"/>
      <c r="J166" s="299"/>
      <c r="K166" s="410" t="s">
        <v>50</v>
      </c>
      <c r="L166" s="413">
        <f>+Inputs!L135</f>
        <v>43830</v>
      </c>
      <c r="M166" s="413"/>
      <c r="N166" s="299"/>
      <c r="O166" s="299"/>
      <c r="P166" s="299"/>
      <c r="Q166" s="414"/>
      <c r="R166" s="414">
        <f t="shared" ref="R166:BJ166" si="220" xml:space="preserve"> ($L$166 &lt;= R9) * ($L$166 &gt;=R8) * $L$165</f>
        <v>0</v>
      </c>
      <c r="S166" s="414">
        <f t="shared" si="220"/>
        <v>0</v>
      </c>
      <c r="T166" s="414">
        <f t="shared" si="220"/>
        <v>1</v>
      </c>
      <c r="U166" s="414">
        <f t="shared" si="220"/>
        <v>0</v>
      </c>
      <c r="V166" s="414">
        <f t="shared" si="220"/>
        <v>0</v>
      </c>
      <c r="W166" s="414">
        <f t="shared" si="220"/>
        <v>0</v>
      </c>
      <c r="X166" s="414">
        <f t="shared" si="220"/>
        <v>0</v>
      </c>
      <c r="Y166" s="414">
        <f t="shared" si="220"/>
        <v>0</v>
      </c>
      <c r="Z166" s="414">
        <f t="shared" si="220"/>
        <v>0</v>
      </c>
      <c r="AA166" s="414">
        <f t="shared" si="220"/>
        <v>0</v>
      </c>
      <c r="AB166" s="414">
        <f t="shared" si="220"/>
        <v>0</v>
      </c>
      <c r="AC166" s="414">
        <f t="shared" si="220"/>
        <v>0</v>
      </c>
      <c r="AD166" s="414">
        <f t="shared" si="220"/>
        <v>0</v>
      </c>
      <c r="AE166" s="414">
        <f t="shared" si="220"/>
        <v>0</v>
      </c>
      <c r="AF166" s="414">
        <f t="shared" si="220"/>
        <v>0</v>
      </c>
      <c r="AG166" s="414">
        <f t="shared" si="220"/>
        <v>0</v>
      </c>
      <c r="AH166" s="414">
        <f t="shared" si="220"/>
        <v>0</v>
      </c>
      <c r="AI166" s="414">
        <f t="shared" si="220"/>
        <v>0</v>
      </c>
      <c r="AJ166" s="414">
        <f t="shared" si="220"/>
        <v>0</v>
      </c>
      <c r="AK166" s="414">
        <f t="shared" si="220"/>
        <v>0</v>
      </c>
      <c r="AL166" s="414">
        <f t="shared" si="220"/>
        <v>0</v>
      </c>
      <c r="AM166" s="414">
        <f t="shared" si="220"/>
        <v>0</v>
      </c>
      <c r="AN166" s="414">
        <f t="shared" si="220"/>
        <v>0</v>
      </c>
      <c r="AO166" s="414">
        <f t="shared" si="220"/>
        <v>0</v>
      </c>
      <c r="AP166" s="414">
        <f t="shared" si="220"/>
        <v>0</v>
      </c>
      <c r="AQ166" s="414">
        <f t="shared" si="220"/>
        <v>0</v>
      </c>
      <c r="AR166" s="414">
        <f t="shared" si="220"/>
        <v>0</v>
      </c>
      <c r="AS166" s="414">
        <f t="shared" si="220"/>
        <v>0</v>
      </c>
      <c r="AT166" s="414">
        <f t="shared" si="220"/>
        <v>0</v>
      </c>
      <c r="AU166" s="414">
        <f t="shared" si="220"/>
        <v>0</v>
      </c>
      <c r="AV166" s="414">
        <f t="shared" si="220"/>
        <v>0</v>
      </c>
      <c r="AW166" s="414">
        <f t="shared" si="220"/>
        <v>0</v>
      </c>
      <c r="AX166" s="414">
        <f t="shared" si="220"/>
        <v>0</v>
      </c>
      <c r="AY166" s="414">
        <f t="shared" si="220"/>
        <v>0</v>
      </c>
      <c r="AZ166" s="414">
        <f t="shared" si="220"/>
        <v>0</v>
      </c>
      <c r="BA166" s="414">
        <f t="shared" si="220"/>
        <v>0</v>
      </c>
      <c r="BB166" s="414">
        <f t="shared" si="220"/>
        <v>0</v>
      </c>
      <c r="BC166" s="414">
        <f t="shared" si="220"/>
        <v>0</v>
      </c>
      <c r="BD166" s="414">
        <f t="shared" si="220"/>
        <v>0</v>
      </c>
      <c r="BE166" s="414">
        <f t="shared" si="220"/>
        <v>0</v>
      </c>
      <c r="BF166" s="414">
        <f t="shared" si="220"/>
        <v>0</v>
      </c>
      <c r="BG166" s="414">
        <f t="shared" si="220"/>
        <v>0</v>
      </c>
      <c r="BH166" s="414">
        <f t="shared" si="220"/>
        <v>0</v>
      </c>
      <c r="BI166" s="414">
        <f t="shared" si="220"/>
        <v>0</v>
      </c>
      <c r="BJ166" s="414">
        <f t="shared" si="220"/>
        <v>0</v>
      </c>
      <c r="BK166" s="414"/>
      <c r="BL166" s="414"/>
      <c r="BM166" s="414"/>
      <c r="BN166" s="414"/>
      <c r="BO166" s="414"/>
      <c r="BP166" s="414"/>
      <c r="BQ166" s="414"/>
      <c r="BR166" s="414"/>
      <c r="BS166" s="414"/>
      <c r="BT166" s="414"/>
      <c r="BU166" s="414"/>
    </row>
    <row r="167" spans="1:74" x14ac:dyDescent="0.2">
      <c r="C167" s="210" t="s">
        <v>279</v>
      </c>
      <c r="K167" s="632" t="s">
        <v>29</v>
      </c>
      <c r="L167" s="413">
        <f>+Inputs!L136</f>
        <v>56979</v>
      </c>
    </row>
    <row r="168" spans="1:74" x14ac:dyDescent="0.2">
      <c r="A168" s="299"/>
      <c r="B168" s="299"/>
      <c r="C168" s="299" t="s">
        <v>200</v>
      </c>
      <c r="D168" s="299"/>
      <c r="E168" s="299"/>
      <c r="F168" s="299"/>
      <c r="G168" s="299"/>
      <c r="H168" s="299"/>
      <c r="I168" s="299"/>
      <c r="J168" s="299"/>
      <c r="K168" s="410" t="s">
        <v>173</v>
      </c>
      <c r="L168" s="413"/>
      <c r="M168" s="413"/>
      <c r="N168" s="299"/>
      <c r="O168" s="299"/>
      <c r="P168" s="299"/>
      <c r="Q168" s="417"/>
      <c r="R168" s="417">
        <f t="shared" ref="R168:BJ168" si="221">+R14</f>
        <v>45</v>
      </c>
      <c r="S168" s="417">
        <f t="shared" si="221"/>
        <v>44</v>
      </c>
      <c r="T168" s="417">
        <f t="shared" si="221"/>
        <v>43</v>
      </c>
      <c r="U168" s="417">
        <f t="shared" si="221"/>
        <v>42</v>
      </c>
      <c r="V168" s="417">
        <f t="shared" si="221"/>
        <v>41</v>
      </c>
      <c r="W168" s="417">
        <f t="shared" si="221"/>
        <v>40</v>
      </c>
      <c r="X168" s="417">
        <f t="shared" si="221"/>
        <v>39</v>
      </c>
      <c r="Y168" s="417">
        <f t="shared" si="221"/>
        <v>38</v>
      </c>
      <c r="Z168" s="417">
        <f t="shared" si="221"/>
        <v>37</v>
      </c>
      <c r="AA168" s="417">
        <f t="shared" si="221"/>
        <v>36</v>
      </c>
      <c r="AB168" s="417">
        <f t="shared" si="221"/>
        <v>35</v>
      </c>
      <c r="AC168" s="417">
        <f t="shared" si="221"/>
        <v>34</v>
      </c>
      <c r="AD168" s="417">
        <f t="shared" si="221"/>
        <v>33</v>
      </c>
      <c r="AE168" s="417">
        <f t="shared" si="221"/>
        <v>32</v>
      </c>
      <c r="AF168" s="417">
        <f t="shared" si="221"/>
        <v>31</v>
      </c>
      <c r="AG168" s="417">
        <f t="shared" si="221"/>
        <v>30</v>
      </c>
      <c r="AH168" s="417">
        <f t="shared" si="221"/>
        <v>29</v>
      </c>
      <c r="AI168" s="417">
        <f t="shared" si="221"/>
        <v>28</v>
      </c>
      <c r="AJ168" s="417">
        <f t="shared" si="221"/>
        <v>27</v>
      </c>
      <c r="AK168" s="417">
        <f t="shared" si="221"/>
        <v>26</v>
      </c>
      <c r="AL168" s="417">
        <f t="shared" si="221"/>
        <v>25</v>
      </c>
      <c r="AM168" s="417">
        <f t="shared" si="221"/>
        <v>24</v>
      </c>
      <c r="AN168" s="417">
        <f t="shared" si="221"/>
        <v>23</v>
      </c>
      <c r="AO168" s="417">
        <f t="shared" si="221"/>
        <v>22</v>
      </c>
      <c r="AP168" s="417">
        <f t="shared" si="221"/>
        <v>21</v>
      </c>
      <c r="AQ168" s="417">
        <f t="shared" si="221"/>
        <v>20</v>
      </c>
      <c r="AR168" s="417">
        <f t="shared" si="221"/>
        <v>19</v>
      </c>
      <c r="AS168" s="417">
        <f t="shared" si="221"/>
        <v>18</v>
      </c>
      <c r="AT168" s="417">
        <f t="shared" si="221"/>
        <v>17</v>
      </c>
      <c r="AU168" s="417">
        <f t="shared" si="221"/>
        <v>16</v>
      </c>
      <c r="AV168" s="417">
        <f t="shared" si="221"/>
        <v>15</v>
      </c>
      <c r="AW168" s="417">
        <f t="shared" si="221"/>
        <v>14</v>
      </c>
      <c r="AX168" s="417">
        <f t="shared" si="221"/>
        <v>13</v>
      </c>
      <c r="AY168" s="417">
        <f t="shared" si="221"/>
        <v>12</v>
      </c>
      <c r="AZ168" s="417">
        <f t="shared" si="221"/>
        <v>11</v>
      </c>
      <c r="BA168" s="417">
        <f t="shared" si="221"/>
        <v>10</v>
      </c>
      <c r="BB168" s="417">
        <f t="shared" si="221"/>
        <v>9</v>
      </c>
      <c r="BC168" s="417">
        <f t="shared" si="221"/>
        <v>8</v>
      </c>
      <c r="BD168" s="417">
        <f t="shared" si="221"/>
        <v>7</v>
      </c>
      <c r="BE168" s="417">
        <f t="shared" si="221"/>
        <v>6</v>
      </c>
      <c r="BF168" s="417">
        <f t="shared" si="221"/>
        <v>5</v>
      </c>
      <c r="BG168" s="417">
        <f t="shared" si="221"/>
        <v>4</v>
      </c>
      <c r="BH168" s="417">
        <f t="shared" si="221"/>
        <v>3</v>
      </c>
      <c r="BI168" s="417">
        <f t="shared" si="221"/>
        <v>2</v>
      </c>
      <c r="BJ168" s="417">
        <f t="shared" si="221"/>
        <v>1</v>
      </c>
      <c r="BK168" s="417"/>
      <c r="BL168" s="417"/>
      <c r="BM168" s="417"/>
      <c r="BN168" s="417"/>
      <c r="BO168" s="417"/>
      <c r="BP168" s="417"/>
      <c r="BQ168" s="417"/>
      <c r="BR168" s="417"/>
      <c r="BS168" s="417"/>
      <c r="BT168" s="417"/>
      <c r="BU168" s="417"/>
    </row>
    <row r="169" spans="1:74" x14ac:dyDescent="0.2">
      <c r="A169" s="299"/>
      <c r="B169" s="299"/>
      <c r="C169" s="299" t="s">
        <v>201</v>
      </c>
      <c r="D169" s="299"/>
      <c r="E169" s="299"/>
      <c r="F169" s="299"/>
      <c r="G169" s="299"/>
      <c r="H169" s="299"/>
      <c r="I169" s="299"/>
      <c r="J169" s="299"/>
      <c r="K169" s="410" t="s">
        <v>124</v>
      </c>
      <c r="L169" s="300">
        <f>+Inputs!L137</f>
        <v>6</v>
      </c>
      <c r="M169" s="413"/>
      <c r="N169" s="299"/>
      <c r="O169" s="299"/>
      <c r="P169" s="299"/>
      <c r="Q169" s="414"/>
      <c r="R169" s="414">
        <f t="shared" ref="R169:BJ169" si="222">(($L$169 ) &gt;= R168) * R$13</f>
        <v>0</v>
      </c>
      <c r="S169" s="414">
        <f t="shared" si="222"/>
        <v>0</v>
      </c>
      <c r="T169" s="414">
        <f t="shared" si="222"/>
        <v>0</v>
      </c>
      <c r="U169" s="414">
        <f t="shared" si="222"/>
        <v>0</v>
      </c>
      <c r="V169" s="414">
        <f t="shared" si="222"/>
        <v>0</v>
      </c>
      <c r="W169" s="414">
        <f t="shared" si="222"/>
        <v>0</v>
      </c>
      <c r="X169" s="414">
        <f t="shared" si="222"/>
        <v>0</v>
      </c>
      <c r="Y169" s="414">
        <f t="shared" si="222"/>
        <v>0</v>
      </c>
      <c r="Z169" s="414">
        <f t="shared" si="222"/>
        <v>0</v>
      </c>
      <c r="AA169" s="414">
        <f t="shared" si="222"/>
        <v>0</v>
      </c>
      <c r="AB169" s="414">
        <f t="shared" si="222"/>
        <v>0</v>
      </c>
      <c r="AC169" s="414">
        <f t="shared" si="222"/>
        <v>0</v>
      </c>
      <c r="AD169" s="414">
        <f t="shared" si="222"/>
        <v>0</v>
      </c>
      <c r="AE169" s="414">
        <f t="shared" si="222"/>
        <v>0</v>
      </c>
      <c r="AF169" s="414">
        <f t="shared" si="222"/>
        <v>0</v>
      </c>
      <c r="AG169" s="414">
        <f t="shared" si="222"/>
        <v>0</v>
      </c>
      <c r="AH169" s="414">
        <f t="shared" si="222"/>
        <v>0</v>
      </c>
      <c r="AI169" s="414">
        <f t="shared" si="222"/>
        <v>0</v>
      </c>
      <c r="AJ169" s="414">
        <f t="shared" si="222"/>
        <v>0</v>
      </c>
      <c r="AK169" s="414">
        <f t="shared" si="222"/>
        <v>0</v>
      </c>
      <c r="AL169" s="414">
        <f t="shared" si="222"/>
        <v>0</v>
      </c>
      <c r="AM169" s="414">
        <f t="shared" si="222"/>
        <v>0</v>
      </c>
      <c r="AN169" s="414">
        <f t="shared" si="222"/>
        <v>0</v>
      </c>
      <c r="AO169" s="414">
        <f t="shared" si="222"/>
        <v>0</v>
      </c>
      <c r="AP169" s="414">
        <f t="shared" si="222"/>
        <v>0</v>
      </c>
      <c r="AQ169" s="414">
        <f t="shared" si="222"/>
        <v>0</v>
      </c>
      <c r="AR169" s="414">
        <f t="shared" si="222"/>
        <v>0</v>
      </c>
      <c r="AS169" s="414">
        <f t="shared" si="222"/>
        <v>0</v>
      </c>
      <c r="AT169" s="414">
        <f t="shared" si="222"/>
        <v>0</v>
      </c>
      <c r="AU169" s="414">
        <f t="shared" si="222"/>
        <v>0</v>
      </c>
      <c r="AV169" s="414">
        <f t="shared" si="222"/>
        <v>0</v>
      </c>
      <c r="AW169" s="414">
        <f t="shared" si="222"/>
        <v>0</v>
      </c>
      <c r="AX169" s="414">
        <f t="shared" si="222"/>
        <v>0</v>
      </c>
      <c r="AY169" s="414">
        <f t="shared" si="222"/>
        <v>0</v>
      </c>
      <c r="AZ169" s="414">
        <f t="shared" si="222"/>
        <v>0</v>
      </c>
      <c r="BA169" s="414">
        <f t="shared" si="222"/>
        <v>0</v>
      </c>
      <c r="BB169" s="414">
        <f t="shared" si="222"/>
        <v>0</v>
      </c>
      <c r="BC169" s="414">
        <f t="shared" si="222"/>
        <v>0</v>
      </c>
      <c r="BD169" s="414">
        <f t="shared" si="222"/>
        <v>0</v>
      </c>
      <c r="BE169" s="414">
        <f t="shared" si="222"/>
        <v>1</v>
      </c>
      <c r="BF169" s="414">
        <f t="shared" si="222"/>
        <v>1</v>
      </c>
      <c r="BG169" s="414">
        <f t="shared" si="222"/>
        <v>1</v>
      </c>
      <c r="BH169" s="414">
        <f t="shared" si="222"/>
        <v>1</v>
      </c>
      <c r="BI169" s="414">
        <f t="shared" si="222"/>
        <v>1</v>
      </c>
      <c r="BJ169" s="414">
        <f t="shared" si="222"/>
        <v>1</v>
      </c>
      <c r="BK169" s="414"/>
      <c r="BL169" s="414"/>
      <c r="BM169" s="414"/>
      <c r="BN169" s="414"/>
      <c r="BO169" s="414"/>
      <c r="BP169" s="414"/>
      <c r="BQ169" s="414"/>
      <c r="BR169" s="414"/>
      <c r="BS169" s="414"/>
      <c r="BT169" s="414"/>
      <c r="BU169" s="414"/>
    </row>
    <row r="170" spans="1:74" x14ac:dyDescent="0.2">
      <c r="A170" s="299"/>
      <c r="B170" s="299"/>
      <c r="C170" s="299" t="s">
        <v>140</v>
      </c>
      <c r="D170" s="299"/>
      <c r="E170" s="299"/>
      <c r="F170" s="299"/>
      <c r="G170" s="299"/>
      <c r="H170" s="299"/>
      <c r="I170" s="299"/>
      <c r="J170" s="299"/>
      <c r="K170" s="410" t="s">
        <v>124</v>
      </c>
      <c r="L170" s="488">
        <f>+Inputs!L138</f>
        <v>10</v>
      </c>
      <c r="M170" s="413"/>
      <c r="N170" s="417">
        <f>SUM(Q170:BU170)</f>
        <v>10</v>
      </c>
      <c r="O170" s="299"/>
      <c r="P170" s="299"/>
      <c r="Q170" s="414"/>
      <c r="R170" s="414">
        <f t="shared" ref="R170:AW170" si="223">(($L$170 + $L$169) &gt;= R$168) * (1 - R$169) * R$13</f>
        <v>0</v>
      </c>
      <c r="S170" s="414">
        <f t="shared" si="223"/>
        <v>0</v>
      </c>
      <c r="T170" s="414">
        <f t="shared" si="223"/>
        <v>0</v>
      </c>
      <c r="U170" s="414">
        <f t="shared" si="223"/>
        <v>0</v>
      </c>
      <c r="V170" s="414">
        <f t="shared" si="223"/>
        <v>0</v>
      </c>
      <c r="W170" s="414">
        <f t="shared" si="223"/>
        <v>0</v>
      </c>
      <c r="X170" s="414">
        <f t="shared" si="223"/>
        <v>0</v>
      </c>
      <c r="Y170" s="414">
        <f t="shared" si="223"/>
        <v>0</v>
      </c>
      <c r="Z170" s="414">
        <f t="shared" si="223"/>
        <v>0</v>
      </c>
      <c r="AA170" s="414">
        <f t="shared" si="223"/>
        <v>0</v>
      </c>
      <c r="AB170" s="414">
        <f t="shared" si="223"/>
        <v>0</v>
      </c>
      <c r="AC170" s="414">
        <f t="shared" si="223"/>
        <v>0</v>
      </c>
      <c r="AD170" s="414">
        <f t="shared" si="223"/>
        <v>0</v>
      </c>
      <c r="AE170" s="414">
        <f t="shared" si="223"/>
        <v>0</v>
      </c>
      <c r="AF170" s="414">
        <f t="shared" si="223"/>
        <v>0</v>
      </c>
      <c r="AG170" s="414">
        <f t="shared" si="223"/>
        <v>0</v>
      </c>
      <c r="AH170" s="414">
        <f t="shared" si="223"/>
        <v>0</v>
      </c>
      <c r="AI170" s="414">
        <f t="shared" si="223"/>
        <v>0</v>
      </c>
      <c r="AJ170" s="414">
        <f t="shared" si="223"/>
        <v>0</v>
      </c>
      <c r="AK170" s="414">
        <f t="shared" si="223"/>
        <v>0</v>
      </c>
      <c r="AL170" s="414">
        <f t="shared" si="223"/>
        <v>0</v>
      </c>
      <c r="AM170" s="414">
        <f t="shared" si="223"/>
        <v>0</v>
      </c>
      <c r="AN170" s="414">
        <f t="shared" si="223"/>
        <v>0</v>
      </c>
      <c r="AO170" s="414">
        <f t="shared" si="223"/>
        <v>0</v>
      </c>
      <c r="AP170" s="414">
        <f t="shared" si="223"/>
        <v>0</v>
      </c>
      <c r="AQ170" s="414">
        <f t="shared" si="223"/>
        <v>0</v>
      </c>
      <c r="AR170" s="414">
        <f t="shared" si="223"/>
        <v>0</v>
      </c>
      <c r="AS170" s="414">
        <f t="shared" si="223"/>
        <v>0</v>
      </c>
      <c r="AT170" s="414">
        <f t="shared" si="223"/>
        <v>0</v>
      </c>
      <c r="AU170" s="414">
        <f t="shared" si="223"/>
        <v>1</v>
      </c>
      <c r="AV170" s="414">
        <f t="shared" si="223"/>
        <v>1</v>
      </c>
      <c r="AW170" s="414">
        <f t="shared" si="223"/>
        <v>1</v>
      </c>
      <c r="AX170" s="414">
        <f t="shared" ref="AX170:BJ170" si="224">(($L$170 + $L$169) &gt;= AX$168) * (1 - AX$169) * AX$13</f>
        <v>1</v>
      </c>
      <c r="AY170" s="414">
        <f t="shared" si="224"/>
        <v>1</v>
      </c>
      <c r="AZ170" s="414">
        <f t="shared" si="224"/>
        <v>1</v>
      </c>
      <c r="BA170" s="414">
        <f t="shared" si="224"/>
        <v>1</v>
      </c>
      <c r="BB170" s="414">
        <f t="shared" si="224"/>
        <v>1</v>
      </c>
      <c r="BC170" s="414">
        <f t="shared" si="224"/>
        <v>1</v>
      </c>
      <c r="BD170" s="414">
        <f t="shared" si="224"/>
        <v>1</v>
      </c>
      <c r="BE170" s="414">
        <f t="shared" si="224"/>
        <v>0</v>
      </c>
      <c r="BF170" s="414">
        <f t="shared" si="224"/>
        <v>0</v>
      </c>
      <c r="BG170" s="414">
        <f t="shared" si="224"/>
        <v>0</v>
      </c>
      <c r="BH170" s="414">
        <f t="shared" si="224"/>
        <v>0</v>
      </c>
      <c r="BI170" s="414">
        <f t="shared" si="224"/>
        <v>0</v>
      </c>
      <c r="BJ170" s="414">
        <f t="shared" si="224"/>
        <v>0</v>
      </c>
      <c r="BK170" s="414"/>
      <c r="BL170" s="414"/>
      <c r="BM170" s="414"/>
      <c r="BN170" s="414"/>
      <c r="BO170" s="414"/>
      <c r="BP170" s="414"/>
      <c r="BQ170" s="414"/>
      <c r="BR170" s="414"/>
      <c r="BS170" s="414"/>
      <c r="BT170" s="414"/>
      <c r="BU170" s="414"/>
    </row>
    <row r="171" spans="1:74" x14ac:dyDescent="0.2">
      <c r="A171" s="299"/>
      <c r="B171" s="299"/>
      <c r="C171" s="299" t="s">
        <v>172</v>
      </c>
      <c r="D171" s="299"/>
      <c r="E171" s="299"/>
      <c r="F171" s="299"/>
      <c r="G171" s="299"/>
      <c r="H171" s="299"/>
      <c r="I171" s="299"/>
      <c r="J171" s="299"/>
      <c r="K171" s="410" t="s">
        <v>173</v>
      </c>
      <c r="L171" s="413"/>
      <c r="M171" s="413"/>
      <c r="N171" s="417"/>
      <c r="O171" s="299"/>
      <c r="P171" s="299"/>
      <c r="Q171" s="417"/>
      <c r="R171" s="417">
        <f t="shared" ref="R171:AO171" si="225">IF(R170,Q171 + R170,0)</f>
        <v>0</v>
      </c>
      <c r="S171" s="417">
        <f t="shared" si="225"/>
        <v>0</v>
      </c>
      <c r="T171" s="417">
        <f t="shared" si="225"/>
        <v>0</v>
      </c>
      <c r="U171" s="417">
        <f t="shared" si="225"/>
        <v>0</v>
      </c>
      <c r="V171" s="417">
        <f t="shared" si="225"/>
        <v>0</v>
      </c>
      <c r="W171" s="417">
        <f t="shared" si="225"/>
        <v>0</v>
      </c>
      <c r="X171" s="417">
        <f t="shared" si="225"/>
        <v>0</v>
      </c>
      <c r="Y171" s="417">
        <f t="shared" si="225"/>
        <v>0</v>
      </c>
      <c r="Z171" s="417">
        <f t="shared" si="225"/>
        <v>0</v>
      </c>
      <c r="AA171" s="417">
        <f t="shared" si="225"/>
        <v>0</v>
      </c>
      <c r="AB171" s="417">
        <f t="shared" si="225"/>
        <v>0</v>
      </c>
      <c r="AC171" s="417">
        <f t="shared" si="225"/>
        <v>0</v>
      </c>
      <c r="AD171" s="417">
        <f t="shared" si="225"/>
        <v>0</v>
      </c>
      <c r="AE171" s="417">
        <f t="shared" si="225"/>
        <v>0</v>
      </c>
      <c r="AF171" s="417">
        <f t="shared" si="225"/>
        <v>0</v>
      </c>
      <c r="AG171" s="417">
        <f t="shared" si="225"/>
        <v>0</v>
      </c>
      <c r="AH171" s="417">
        <f t="shared" si="225"/>
        <v>0</v>
      </c>
      <c r="AI171" s="417">
        <f t="shared" si="225"/>
        <v>0</v>
      </c>
      <c r="AJ171" s="417">
        <f t="shared" si="225"/>
        <v>0</v>
      </c>
      <c r="AK171" s="417">
        <f t="shared" si="225"/>
        <v>0</v>
      </c>
      <c r="AL171" s="417">
        <f t="shared" si="225"/>
        <v>0</v>
      </c>
      <c r="AM171" s="417">
        <f t="shared" si="225"/>
        <v>0</v>
      </c>
      <c r="AN171" s="417">
        <f t="shared" si="225"/>
        <v>0</v>
      </c>
      <c r="AO171" s="417">
        <f t="shared" si="225"/>
        <v>0</v>
      </c>
      <c r="AP171" s="417">
        <f t="shared" ref="AP171:BJ171" si="226">IF(AP170,AO171 + AP170,0)</f>
        <v>0</v>
      </c>
      <c r="AQ171" s="417">
        <f t="shared" si="226"/>
        <v>0</v>
      </c>
      <c r="AR171" s="417">
        <f t="shared" si="226"/>
        <v>0</v>
      </c>
      <c r="AS171" s="417">
        <f t="shared" si="226"/>
        <v>0</v>
      </c>
      <c r="AT171" s="417">
        <f t="shared" si="226"/>
        <v>0</v>
      </c>
      <c r="AU171" s="417">
        <f t="shared" si="226"/>
        <v>1</v>
      </c>
      <c r="AV171" s="417">
        <f t="shared" si="226"/>
        <v>2</v>
      </c>
      <c r="AW171" s="417">
        <f t="shared" si="226"/>
        <v>3</v>
      </c>
      <c r="AX171" s="417">
        <f t="shared" si="226"/>
        <v>4</v>
      </c>
      <c r="AY171" s="417">
        <f t="shared" si="226"/>
        <v>5</v>
      </c>
      <c r="AZ171" s="417">
        <f t="shared" si="226"/>
        <v>6</v>
      </c>
      <c r="BA171" s="417">
        <f t="shared" si="226"/>
        <v>7</v>
      </c>
      <c r="BB171" s="417">
        <f t="shared" si="226"/>
        <v>8</v>
      </c>
      <c r="BC171" s="417">
        <f t="shared" si="226"/>
        <v>9</v>
      </c>
      <c r="BD171" s="417">
        <f t="shared" si="226"/>
        <v>10</v>
      </c>
      <c r="BE171" s="417">
        <f t="shared" si="226"/>
        <v>0</v>
      </c>
      <c r="BF171" s="417">
        <f t="shared" si="226"/>
        <v>0</v>
      </c>
      <c r="BG171" s="417">
        <f t="shared" si="226"/>
        <v>0</v>
      </c>
      <c r="BH171" s="417">
        <f t="shared" si="226"/>
        <v>0</v>
      </c>
      <c r="BI171" s="417">
        <f t="shared" si="226"/>
        <v>0</v>
      </c>
      <c r="BJ171" s="417">
        <f t="shared" si="226"/>
        <v>0</v>
      </c>
      <c r="BK171" s="417"/>
      <c r="BL171" s="417"/>
      <c r="BM171" s="417"/>
      <c r="BN171" s="417"/>
      <c r="BO171" s="417"/>
      <c r="BP171" s="417"/>
      <c r="BQ171" s="417"/>
      <c r="BR171" s="417"/>
      <c r="BS171" s="417"/>
      <c r="BT171" s="417"/>
      <c r="BU171" s="417"/>
    </row>
    <row r="172" spans="1:74" x14ac:dyDescent="0.2">
      <c r="A172" s="299"/>
      <c r="B172" s="299"/>
      <c r="C172" s="299"/>
      <c r="D172" s="299"/>
      <c r="E172" s="299"/>
      <c r="F172" s="299"/>
      <c r="G172" s="299"/>
      <c r="H172" s="299"/>
      <c r="I172" s="299"/>
      <c r="J172" s="299"/>
      <c r="K172" s="410"/>
      <c r="L172" s="413"/>
      <c r="M172" s="413"/>
      <c r="N172" s="417"/>
      <c r="O172" s="299"/>
      <c r="P172" s="299"/>
      <c r="Q172" s="417"/>
      <c r="R172" s="417"/>
      <c r="S172" s="417"/>
      <c r="T172" s="417"/>
      <c r="U172" s="417"/>
      <c r="V172" s="417"/>
      <c r="W172" s="417"/>
      <c r="X172" s="417"/>
      <c r="Y172" s="417"/>
      <c r="Z172" s="417"/>
      <c r="AA172" s="417"/>
      <c r="AB172" s="417"/>
      <c r="AC172" s="417"/>
      <c r="AD172" s="417"/>
      <c r="AE172" s="417"/>
      <c r="AF172" s="417"/>
      <c r="AG172" s="417"/>
      <c r="AH172" s="417"/>
      <c r="AI172" s="417"/>
      <c r="AJ172" s="417"/>
      <c r="AK172" s="417"/>
      <c r="AL172" s="417"/>
      <c r="AM172" s="417"/>
      <c r="AN172" s="417"/>
      <c r="AO172" s="417"/>
      <c r="AP172" s="417"/>
      <c r="AQ172" s="417"/>
      <c r="AR172" s="417"/>
      <c r="AS172" s="417"/>
      <c r="AT172" s="417"/>
      <c r="AU172" s="417"/>
      <c r="AV172" s="417"/>
      <c r="AW172" s="417"/>
      <c r="AX172" s="417"/>
      <c r="AY172" s="417"/>
      <c r="AZ172" s="417"/>
      <c r="BA172" s="417"/>
      <c r="BB172" s="417"/>
      <c r="BC172" s="417"/>
      <c r="BD172" s="417"/>
      <c r="BE172" s="417"/>
      <c r="BF172" s="417"/>
      <c r="BG172" s="417"/>
      <c r="BH172" s="417"/>
      <c r="BI172" s="417"/>
      <c r="BJ172" s="417"/>
      <c r="BK172" s="417"/>
      <c r="BL172" s="417"/>
      <c r="BM172" s="417"/>
      <c r="BN172" s="417"/>
      <c r="BO172" s="417"/>
      <c r="BP172" s="417"/>
      <c r="BQ172" s="417"/>
      <c r="BR172" s="417"/>
      <c r="BS172" s="417"/>
      <c r="BT172" s="417"/>
      <c r="BU172" s="417"/>
    </row>
    <row r="173" spans="1:74" x14ac:dyDescent="0.2">
      <c r="A173" s="299"/>
      <c r="B173" s="299"/>
      <c r="C173" s="299" t="s">
        <v>326</v>
      </c>
      <c r="D173" s="299"/>
      <c r="E173" s="299"/>
      <c r="F173" s="299"/>
      <c r="G173" s="299"/>
      <c r="H173" s="299"/>
      <c r="I173" s="299"/>
      <c r="J173" s="299"/>
      <c r="K173" s="410"/>
      <c r="L173" s="413"/>
      <c r="M173" s="413"/>
      <c r="N173" s="417"/>
      <c r="O173" s="299"/>
      <c r="P173" s="299"/>
      <c r="Q173" s="456"/>
      <c r="R173" s="456">
        <f t="shared" ref="R173:BJ173" si="227">1-R82</f>
        <v>0</v>
      </c>
      <c r="S173" s="456">
        <f t="shared" si="227"/>
        <v>0</v>
      </c>
      <c r="T173" s="456">
        <f t="shared" si="227"/>
        <v>0</v>
      </c>
      <c r="U173" s="456">
        <f t="shared" si="227"/>
        <v>1</v>
      </c>
      <c r="V173" s="456">
        <f t="shared" si="227"/>
        <v>1</v>
      </c>
      <c r="W173" s="456">
        <f t="shared" si="227"/>
        <v>1</v>
      </c>
      <c r="X173" s="456">
        <f t="shared" si="227"/>
        <v>1</v>
      </c>
      <c r="Y173" s="456">
        <f t="shared" si="227"/>
        <v>1</v>
      </c>
      <c r="Z173" s="456">
        <f t="shared" si="227"/>
        <v>1</v>
      </c>
      <c r="AA173" s="456">
        <f t="shared" si="227"/>
        <v>1</v>
      </c>
      <c r="AB173" s="456">
        <f t="shared" si="227"/>
        <v>1</v>
      </c>
      <c r="AC173" s="456">
        <f t="shared" si="227"/>
        <v>1</v>
      </c>
      <c r="AD173" s="456">
        <f t="shared" si="227"/>
        <v>1</v>
      </c>
      <c r="AE173" s="456">
        <f t="shared" si="227"/>
        <v>1</v>
      </c>
      <c r="AF173" s="456">
        <f t="shared" si="227"/>
        <v>1</v>
      </c>
      <c r="AG173" s="456">
        <f t="shared" si="227"/>
        <v>1</v>
      </c>
      <c r="AH173" s="456">
        <f t="shared" si="227"/>
        <v>1</v>
      </c>
      <c r="AI173" s="456">
        <f t="shared" si="227"/>
        <v>1</v>
      </c>
      <c r="AJ173" s="456">
        <f t="shared" si="227"/>
        <v>1</v>
      </c>
      <c r="AK173" s="456">
        <f t="shared" si="227"/>
        <v>1</v>
      </c>
      <c r="AL173" s="456">
        <f t="shared" si="227"/>
        <v>1</v>
      </c>
      <c r="AM173" s="456">
        <f t="shared" si="227"/>
        <v>1</v>
      </c>
      <c r="AN173" s="456">
        <f t="shared" si="227"/>
        <v>1</v>
      </c>
      <c r="AO173" s="456">
        <f t="shared" si="227"/>
        <v>1</v>
      </c>
      <c r="AP173" s="456">
        <f t="shared" si="227"/>
        <v>1</v>
      </c>
      <c r="AQ173" s="456">
        <f t="shared" si="227"/>
        <v>1</v>
      </c>
      <c r="AR173" s="456">
        <f t="shared" si="227"/>
        <v>1</v>
      </c>
      <c r="AS173" s="456">
        <f t="shared" si="227"/>
        <v>1</v>
      </c>
      <c r="AT173" s="456">
        <f t="shared" si="227"/>
        <v>1</v>
      </c>
      <c r="AU173" s="456">
        <f t="shared" si="227"/>
        <v>1</v>
      </c>
      <c r="AV173" s="456">
        <f t="shared" si="227"/>
        <v>1</v>
      </c>
      <c r="AW173" s="456">
        <f t="shared" si="227"/>
        <v>1</v>
      </c>
      <c r="AX173" s="456">
        <f t="shared" si="227"/>
        <v>1</v>
      </c>
      <c r="AY173" s="456">
        <f t="shared" si="227"/>
        <v>1</v>
      </c>
      <c r="AZ173" s="456">
        <f t="shared" si="227"/>
        <v>1</v>
      </c>
      <c r="BA173" s="456">
        <f t="shared" si="227"/>
        <v>1</v>
      </c>
      <c r="BB173" s="456">
        <f t="shared" si="227"/>
        <v>1</v>
      </c>
      <c r="BC173" s="456">
        <f t="shared" si="227"/>
        <v>1</v>
      </c>
      <c r="BD173" s="456">
        <f t="shared" si="227"/>
        <v>1</v>
      </c>
      <c r="BE173" s="456">
        <f t="shared" si="227"/>
        <v>1</v>
      </c>
      <c r="BF173" s="456">
        <f t="shared" si="227"/>
        <v>1</v>
      </c>
      <c r="BG173" s="456">
        <f t="shared" si="227"/>
        <v>1</v>
      </c>
      <c r="BH173" s="456">
        <f t="shared" si="227"/>
        <v>1</v>
      </c>
      <c r="BI173" s="456">
        <f t="shared" si="227"/>
        <v>1</v>
      </c>
      <c r="BJ173" s="456">
        <f t="shared" si="227"/>
        <v>1</v>
      </c>
      <c r="BK173" s="456"/>
      <c r="BL173" s="456"/>
      <c r="BM173" s="456"/>
      <c r="BN173" s="456"/>
      <c r="BO173" s="456"/>
      <c r="BP173" s="456"/>
      <c r="BQ173" s="456"/>
      <c r="BR173" s="456"/>
      <c r="BS173" s="456"/>
      <c r="BT173" s="456"/>
      <c r="BU173" s="456"/>
    </row>
    <row r="174" spans="1:74" x14ac:dyDescent="0.2">
      <c r="A174" s="299"/>
      <c r="B174" s="299"/>
      <c r="C174" s="299"/>
      <c r="D174" s="299"/>
      <c r="E174" s="299"/>
      <c r="F174" s="299"/>
      <c r="G174" s="299"/>
      <c r="H174" s="299"/>
      <c r="I174" s="299"/>
      <c r="J174" s="299"/>
      <c r="K174" s="410"/>
      <c r="L174" s="413"/>
      <c r="M174" s="413"/>
      <c r="N174" s="417"/>
      <c r="O174" s="299"/>
      <c r="P174" s="299"/>
      <c r="Q174" s="417"/>
      <c r="R174" s="417"/>
      <c r="S174" s="417"/>
      <c r="T174" s="414"/>
      <c r="U174" s="414"/>
      <c r="V174" s="414"/>
      <c r="W174" s="414"/>
      <c r="X174" s="414"/>
      <c r="Y174" s="414"/>
      <c r="Z174" s="414"/>
      <c r="AA174" s="414"/>
      <c r="AB174" s="414"/>
      <c r="AC174" s="414"/>
      <c r="AD174" s="414"/>
      <c r="AE174" s="414"/>
      <c r="AF174" s="414"/>
      <c r="AG174" s="414"/>
      <c r="AH174" s="414"/>
      <c r="AI174" s="414"/>
      <c r="AJ174" s="414"/>
      <c r="AK174" s="414"/>
      <c r="AL174" s="414"/>
      <c r="AM174" s="414"/>
      <c r="AN174" s="414"/>
      <c r="AO174" s="414"/>
      <c r="AP174" s="414"/>
      <c r="AQ174" s="414"/>
      <c r="AR174" s="414"/>
      <c r="AS174" s="414"/>
      <c r="AT174" s="414"/>
      <c r="AU174" s="414"/>
      <c r="AV174" s="414"/>
      <c r="AW174" s="414"/>
      <c r="AX174" s="414"/>
      <c r="AY174" s="414"/>
      <c r="AZ174" s="414"/>
      <c r="BA174" s="414"/>
      <c r="BB174" s="414"/>
      <c r="BC174" s="414"/>
      <c r="BD174" s="414"/>
      <c r="BE174" s="414"/>
      <c r="BF174" s="414"/>
      <c r="BG174" s="414"/>
      <c r="BH174" s="414"/>
      <c r="BI174" s="414"/>
      <c r="BJ174" s="414"/>
      <c r="BK174" s="414"/>
      <c r="BL174" s="414"/>
      <c r="BM174" s="414"/>
      <c r="BN174" s="414"/>
      <c r="BO174" s="414"/>
      <c r="BP174" s="414"/>
      <c r="BQ174" s="414"/>
      <c r="BR174" s="414"/>
      <c r="BS174" s="414"/>
      <c r="BT174" s="414"/>
      <c r="BU174" s="414"/>
    </row>
    <row r="175" spans="1:74" x14ac:dyDescent="0.2">
      <c r="A175" s="299"/>
      <c r="B175" s="439" t="s">
        <v>174</v>
      </c>
      <c r="C175" s="299"/>
      <c r="D175" s="299"/>
      <c r="E175" s="299"/>
      <c r="F175" s="299"/>
      <c r="G175" s="299"/>
      <c r="H175" s="299"/>
      <c r="I175" s="299"/>
      <c r="J175" s="299"/>
      <c r="K175" s="410"/>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299"/>
      <c r="AP175" s="299"/>
      <c r="AQ175" s="299"/>
      <c r="AR175" s="299"/>
      <c r="AS175" s="299"/>
      <c r="AT175" s="299"/>
      <c r="AU175" s="299"/>
      <c r="AV175" s="299"/>
      <c r="AW175" s="299"/>
      <c r="AX175" s="299"/>
      <c r="AY175" s="299"/>
      <c r="AZ175" s="299"/>
      <c r="BA175" s="299"/>
      <c r="BB175" s="299"/>
      <c r="BC175" s="299"/>
      <c r="BD175" s="299"/>
      <c r="BE175" s="299"/>
      <c r="BF175" s="299"/>
      <c r="BG175" s="299"/>
      <c r="BH175" s="299"/>
      <c r="BI175" s="299"/>
      <c r="BJ175" s="299"/>
      <c r="BK175" s="299"/>
      <c r="BL175" s="299"/>
      <c r="BM175" s="299"/>
      <c r="BN175" s="299"/>
      <c r="BO175" s="299"/>
      <c r="BP175" s="299"/>
      <c r="BQ175" s="299"/>
      <c r="BR175" s="299"/>
      <c r="BS175" s="299"/>
      <c r="BT175" s="299"/>
      <c r="BU175" s="299"/>
    </row>
    <row r="176" spans="1:74" x14ac:dyDescent="0.2">
      <c r="A176" s="299"/>
      <c r="B176" s="299"/>
      <c r="C176" s="299" t="s">
        <v>9</v>
      </c>
      <c r="D176" s="299"/>
      <c r="E176" s="299"/>
      <c r="F176" s="299"/>
      <c r="G176" s="299"/>
      <c r="H176" s="299"/>
      <c r="I176" s="299"/>
      <c r="J176" s="299"/>
      <c r="K176" s="410" t="s">
        <v>20</v>
      </c>
      <c r="L176" s="311"/>
      <c r="M176" s="299"/>
      <c r="N176" s="299"/>
      <c r="O176" s="299"/>
      <c r="P176" s="299"/>
      <c r="Q176" s="311"/>
      <c r="R176" s="311">
        <f>+Inputs!$L$140</f>
        <v>5.2499999999999998E-2</v>
      </c>
      <c r="S176" s="311">
        <f>+Inputs!$L$140</f>
        <v>5.2499999999999998E-2</v>
      </c>
      <c r="T176" s="311">
        <f>+Inputs!$L$140</f>
        <v>5.2499999999999998E-2</v>
      </c>
      <c r="U176" s="311">
        <f>+Inputs!$L$140</f>
        <v>5.2499999999999998E-2</v>
      </c>
      <c r="V176" s="311">
        <f>+Inputs!$L$140</f>
        <v>5.2499999999999998E-2</v>
      </c>
      <c r="W176" s="311">
        <f>+Inputs!$L$140</f>
        <v>5.2499999999999998E-2</v>
      </c>
      <c r="X176" s="311">
        <f>+Inputs!$L$140</f>
        <v>5.2499999999999998E-2</v>
      </c>
      <c r="Y176" s="311">
        <f>+Inputs!$L$140</f>
        <v>5.2499999999999998E-2</v>
      </c>
      <c r="Z176" s="311">
        <f>+Inputs!$L$140</f>
        <v>5.2499999999999998E-2</v>
      </c>
      <c r="AA176" s="311">
        <f>+Inputs!$L$140</f>
        <v>5.2499999999999998E-2</v>
      </c>
      <c r="AB176" s="311">
        <f>+Inputs!$L$140</f>
        <v>5.2499999999999998E-2</v>
      </c>
      <c r="AC176" s="311">
        <f>+Inputs!$L$140</f>
        <v>5.2499999999999998E-2</v>
      </c>
      <c r="AD176" s="311">
        <f>+Inputs!$L$140</f>
        <v>5.2499999999999998E-2</v>
      </c>
      <c r="AE176" s="311">
        <f>+Inputs!$L$140</f>
        <v>5.2499999999999998E-2</v>
      </c>
      <c r="AF176" s="311">
        <f>+Inputs!$L$140</f>
        <v>5.2499999999999998E-2</v>
      </c>
      <c r="AG176" s="311">
        <f>+Inputs!$L$140</f>
        <v>5.2499999999999998E-2</v>
      </c>
      <c r="AH176" s="311">
        <f>+Inputs!$L$140</f>
        <v>5.2499999999999998E-2</v>
      </c>
      <c r="AI176" s="311">
        <f>+Inputs!$L$140</f>
        <v>5.2499999999999998E-2</v>
      </c>
      <c r="AJ176" s="311">
        <f>+Inputs!$L$140</f>
        <v>5.2499999999999998E-2</v>
      </c>
      <c r="AK176" s="311">
        <f>+Inputs!$L$140</f>
        <v>5.2499999999999998E-2</v>
      </c>
      <c r="AL176" s="311">
        <f>+Inputs!$L$140</f>
        <v>5.2499999999999998E-2</v>
      </c>
      <c r="AM176" s="311">
        <f>+Inputs!$L$140</f>
        <v>5.2499999999999998E-2</v>
      </c>
      <c r="AN176" s="311">
        <f>+Inputs!$L$140</f>
        <v>5.2499999999999998E-2</v>
      </c>
      <c r="AO176" s="311">
        <f>+Inputs!$L$140</f>
        <v>5.2499999999999998E-2</v>
      </c>
      <c r="AP176" s="311">
        <f>+Inputs!$L$140</f>
        <v>5.2499999999999998E-2</v>
      </c>
      <c r="AQ176" s="311">
        <f>+Inputs!$L$140</f>
        <v>5.2499999999999998E-2</v>
      </c>
      <c r="AR176" s="311">
        <f>+Inputs!$L$140</f>
        <v>5.2499999999999998E-2</v>
      </c>
      <c r="AS176" s="311">
        <f>+Inputs!$L$140</f>
        <v>5.2499999999999998E-2</v>
      </c>
      <c r="AT176" s="311">
        <f>+Inputs!$L$140</f>
        <v>5.2499999999999998E-2</v>
      </c>
      <c r="AU176" s="311">
        <f>+Inputs!$L$140</f>
        <v>5.2499999999999998E-2</v>
      </c>
      <c r="AV176" s="311">
        <f>+Inputs!$L$140</f>
        <v>5.2499999999999998E-2</v>
      </c>
      <c r="AW176" s="311">
        <f>+Inputs!$L$140</f>
        <v>5.2499999999999998E-2</v>
      </c>
      <c r="AX176" s="311">
        <f>+Inputs!$L$140</f>
        <v>5.2499999999999998E-2</v>
      </c>
      <c r="AY176" s="311">
        <f>+Inputs!$L$140</f>
        <v>5.2499999999999998E-2</v>
      </c>
      <c r="AZ176" s="311">
        <f>+Inputs!$L$140</f>
        <v>5.2499999999999998E-2</v>
      </c>
      <c r="BA176" s="311">
        <f>+Inputs!$L$140</f>
        <v>5.2499999999999998E-2</v>
      </c>
      <c r="BB176" s="311">
        <f>+Inputs!$L$140</f>
        <v>5.2499999999999998E-2</v>
      </c>
      <c r="BC176" s="311">
        <f>+Inputs!$L$140</f>
        <v>5.2499999999999998E-2</v>
      </c>
      <c r="BD176" s="311">
        <f>+Inputs!$L$140</f>
        <v>5.2499999999999998E-2</v>
      </c>
      <c r="BE176" s="311">
        <f>+Inputs!$L$140</f>
        <v>5.2499999999999998E-2</v>
      </c>
      <c r="BF176" s="311">
        <f>+Inputs!$L$140</f>
        <v>5.2499999999999998E-2</v>
      </c>
      <c r="BG176" s="311">
        <f>+Inputs!$L$140</f>
        <v>5.2499999999999998E-2</v>
      </c>
      <c r="BH176" s="311">
        <f>+Inputs!$L$140</f>
        <v>5.2499999999999998E-2</v>
      </c>
      <c r="BI176" s="311">
        <f>+Inputs!$L$140</f>
        <v>5.2499999999999998E-2</v>
      </c>
      <c r="BJ176" s="311">
        <f>+Inputs!$L$140</f>
        <v>5.2499999999999998E-2</v>
      </c>
      <c r="BK176" s="311"/>
      <c r="BL176" s="311"/>
      <c r="BM176" s="311"/>
      <c r="BN176" s="311"/>
      <c r="BO176" s="311"/>
      <c r="BP176" s="311"/>
      <c r="BQ176" s="311"/>
      <c r="BR176" s="311"/>
      <c r="BS176" s="311"/>
      <c r="BT176" s="311"/>
      <c r="BU176" s="311"/>
    </row>
    <row r="177" spans="1:73" x14ac:dyDescent="0.2">
      <c r="A177" s="299"/>
      <c r="B177" s="299"/>
      <c r="C177" s="299" t="s">
        <v>10</v>
      </c>
      <c r="D177" s="299"/>
      <c r="E177" s="299"/>
      <c r="F177" s="299"/>
      <c r="G177" s="299"/>
      <c r="H177" s="299"/>
      <c r="I177" s="299"/>
      <c r="J177" s="299"/>
      <c r="K177" s="410" t="s">
        <v>20</v>
      </c>
      <c r="L177" s="299"/>
      <c r="M177" s="299"/>
      <c r="N177" s="299"/>
      <c r="O177" s="299"/>
      <c r="P177" s="299"/>
      <c r="Q177" s="311"/>
      <c r="R177" s="311">
        <f>+Inputs!$L$141</f>
        <v>0</v>
      </c>
      <c r="S177" s="311">
        <f>+Inputs!$L$141</f>
        <v>0</v>
      </c>
      <c r="T177" s="311">
        <f>+Inputs!$L$141</f>
        <v>0</v>
      </c>
      <c r="U177" s="311">
        <f>+Inputs!$L$141</f>
        <v>0</v>
      </c>
      <c r="V177" s="311">
        <f>+Inputs!$L$141</f>
        <v>0</v>
      </c>
      <c r="W177" s="311">
        <f>+Inputs!$L$141</f>
        <v>0</v>
      </c>
      <c r="X177" s="311">
        <f>+Inputs!$L$141</f>
        <v>0</v>
      </c>
      <c r="Y177" s="311">
        <f>+Inputs!$L$141</f>
        <v>0</v>
      </c>
      <c r="Z177" s="311">
        <f>+Inputs!$L$141</f>
        <v>0</v>
      </c>
      <c r="AA177" s="311">
        <f>+Inputs!$L$141</f>
        <v>0</v>
      </c>
      <c r="AB177" s="311">
        <f>+Inputs!$L$141</f>
        <v>0</v>
      </c>
      <c r="AC177" s="311">
        <f>+Inputs!$L$141</f>
        <v>0</v>
      </c>
      <c r="AD177" s="311">
        <f>+Inputs!$L$141</f>
        <v>0</v>
      </c>
      <c r="AE177" s="311">
        <f>+Inputs!$L$141</f>
        <v>0</v>
      </c>
      <c r="AF177" s="311">
        <f>+Inputs!$L$141</f>
        <v>0</v>
      </c>
      <c r="AG177" s="311">
        <f>+Inputs!$L$141</f>
        <v>0</v>
      </c>
      <c r="AH177" s="311">
        <f>+Inputs!$L$141</f>
        <v>0</v>
      </c>
      <c r="AI177" s="311">
        <f>+Inputs!$L$141</f>
        <v>0</v>
      </c>
      <c r="AJ177" s="311">
        <f>+Inputs!$L$141</f>
        <v>0</v>
      </c>
      <c r="AK177" s="311">
        <f>+Inputs!$L$141</f>
        <v>0</v>
      </c>
      <c r="AL177" s="311">
        <f>+Inputs!$L$141</f>
        <v>0</v>
      </c>
      <c r="AM177" s="311">
        <f>+Inputs!$L$141</f>
        <v>0</v>
      </c>
      <c r="AN177" s="311">
        <f>+Inputs!$L$141</f>
        <v>0</v>
      </c>
      <c r="AO177" s="311">
        <f>+Inputs!$L$141</f>
        <v>0</v>
      </c>
      <c r="AP177" s="311">
        <f>+Inputs!$L$141</f>
        <v>0</v>
      </c>
      <c r="AQ177" s="311">
        <f>+Inputs!$L$141</f>
        <v>0</v>
      </c>
      <c r="AR177" s="311">
        <f>+Inputs!$L$141</f>
        <v>0</v>
      </c>
      <c r="AS177" s="311">
        <f>+Inputs!$L$141</f>
        <v>0</v>
      </c>
      <c r="AT177" s="311">
        <f>+Inputs!$L$141</f>
        <v>0</v>
      </c>
      <c r="AU177" s="311">
        <f>+Inputs!$L$141</f>
        <v>0</v>
      </c>
      <c r="AV177" s="311">
        <f>+Inputs!$L$141</f>
        <v>0</v>
      </c>
      <c r="AW177" s="311">
        <f>+Inputs!$L$141</f>
        <v>0</v>
      </c>
      <c r="AX177" s="311">
        <f>+Inputs!$L$141</f>
        <v>0</v>
      </c>
      <c r="AY177" s="311">
        <f>+Inputs!$L$141</f>
        <v>0</v>
      </c>
      <c r="AZ177" s="311">
        <f>+Inputs!$L$141</f>
        <v>0</v>
      </c>
      <c r="BA177" s="311">
        <f>+Inputs!$L$141</f>
        <v>0</v>
      </c>
      <c r="BB177" s="311">
        <f>+Inputs!$L$141</f>
        <v>0</v>
      </c>
      <c r="BC177" s="311">
        <f>+Inputs!$L$141</f>
        <v>0</v>
      </c>
      <c r="BD177" s="311">
        <f>+Inputs!$L$141</f>
        <v>0</v>
      </c>
      <c r="BE177" s="311">
        <f>+Inputs!$L$141</f>
        <v>0</v>
      </c>
      <c r="BF177" s="311">
        <f>+Inputs!$L$141</f>
        <v>0</v>
      </c>
      <c r="BG177" s="311">
        <f>+Inputs!$L$141</f>
        <v>0</v>
      </c>
      <c r="BH177" s="311">
        <f>+Inputs!$L$141</f>
        <v>0</v>
      </c>
      <c r="BI177" s="311">
        <f>+Inputs!$L$141</f>
        <v>0</v>
      </c>
      <c r="BJ177" s="311">
        <f>+Inputs!$L$141</f>
        <v>0</v>
      </c>
      <c r="BK177" s="311"/>
      <c r="BL177" s="311"/>
      <c r="BM177" s="311"/>
      <c r="BN177" s="311"/>
      <c r="BO177" s="311"/>
      <c r="BP177" s="311"/>
      <c r="BQ177" s="311"/>
      <c r="BR177" s="311"/>
      <c r="BS177" s="311"/>
      <c r="BT177" s="311"/>
      <c r="BU177" s="311"/>
    </row>
    <row r="178" spans="1:73" x14ac:dyDescent="0.2">
      <c r="A178" s="299"/>
      <c r="B178" s="299"/>
      <c r="C178" s="299" t="s">
        <v>12</v>
      </c>
      <c r="D178" s="299"/>
      <c r="E178" s="299"/>
      <c r="F178" s="299"/>
      <c r="G178" s="299"/>
      <c r="H178" s="299"/>
      <c r="I178" s="299"/>
      <c r="J178" s="299"/>
      <c r="K178" s="410"/>
      <c r="L178" s="299"/>
      <c r="M178" s="299"/>
      <c r="N178" s="299"/>
      <c r="O178" s="299"/>
      <c r="P178" s="299"/>
      <c r="Q178" s="311"/>
      <c r="R178" s="311">
        <f>+Inputs!$L$142</f>
        <v>0</v>
      </c>
      <c r="S178" s="311">
        <f>+Inputs!$L$142</f>
        <v>0</v>
      </c>
      <c r="T178" s="311">
        <f>+Inputs!$L$142</f>
        <v>0</v>
      </c>
      <c r="U178" s="311">
        <f>+Inputs!$L$142</f>
        <v>0</v>
      </c>
      <c r="V178" s="311">
        <f>+Inputs!$L$142</f>
        <v>0</v>
      </c>
      <c r="W178" s="311">
        <f>+Inputs!$L$142</f>
        <v>0</v>
      </c>
      <c r="X178" s="311">
        <f>+Inputs!$L$142</f>
        <v>0</v>
      </c>
      <c r="Y178" s="311">
        <f>+Inputs!$L$142</f>
        <v>0</v>
      </c>
      <c r="Z178" s="311">
        <f>+Inputs!$L$142</f>
        <v>0</v>
      </c>
      <c r="AA178" s="311">
        <f>+Inputs!$L$142</f>
        <v>0</v>
      </c>
      <c r="AB178" s="311">
        <f>+Inputs!$L$142</f>
        <v>0</v>
      </c>
      <c r="AC178" s="311">
        <f>+Inputs!$L$142</f>
        <v>0</v>
      </c>
      <c r="AD178" s="311">
        <f>+Inputs!$L$142</f>
        <v>0</v>
      </c>
      <c r="AE178" s="311">
        <f>+Inputs!$L$142</f>
        <v>0</v>
      </c>
      <c r="AF178" s="311">
        <f>+Inputs!$L$142</f>
        <v>0</v>
      </c>
      <c r="AG178" s="311">
        <f>+Inputs!$L$142</f>
        <v>0</v>
      </c>
      <c r="AH178" s="311">
        <f>+Inputs!$L$142</f>
        <v>0</v>
      </c>
      <c r="AI178" s="311">
        <f>+Inputs!$L$142</f>
        <v>0</v>
      </c>
      <c r="AJ178" s="311">
        <f>+Inputs!$L$142</f>
        <v>0</v>
      </c>
      <c r="AK178" s="311">
        <f>+Inputs!$L$142</f>
        <v>0</v>
      </c>
      <c r="AL178" s="311">
        <f>+Inputs!$L$142</f>
        <v>0</v>
      </c>
      <c r="AM178" s="311">
        <f>+Inputs!$L$142</f>
        <v>0</v>
      </c>
      <c r="AN178" s="311">
        <f>+Inputs!$L$142</f>
        <v>0</v>
      </c>
      <c r="AO178" s="311">
        <f>+Inputs!$L$142</f>
        <v>0</v>
      </c>
      <c r="AP178" s="311">
        <f>+Inputs!$L$142</f>
        <v>0</v>
      </c>
      <c r="AQ178" s="311">
        <f>+Inputs!$L$142</f>
        <v>0</v>
      </c>
      <c r="AR178" s="311">
        <f>+Inputs!$L$142</f>
        <v>0</v>
      </c>
      <c r="AS178" s="311">
        <f>+Inputs!$L$142</f>
        <v>0</v>
      </c>
      <c r="AT178" s="311">
        <f>+Inputs!$L$142</f>
        <v>0</v>
      </c>
      <c r="AU178" s="311">
        <f>+Inputs!$L$142</f>
        <v>0</v>
      </c>
      <c r="AV178" s="311">
        <f>+Inputs!$L$142</f>
        <v>0</v>
      </c>
      <c r="AW178" s="311">
        <f>+Inputs!$L$142</f>
        <v>0</v>
      </c>
      <c r="AX178" s="311">
        <f>+Inputs!$L$142</f>
        <v>0</v>
      </c>
      <c r="AY178" s="311">
        <f>+Inputs!$L$142</f>
        <v>0</v>
      </c>
      <c r="AZ178" s="311">
        <f>+Inputs!$L$142</f>
        <v>0</v>
      </c>
      <c r="BA178" s="311">
        <f>+Inputs!$L$142</f>
        <v>0</v>
      </c>
      <c r="BB178" s="311">
        <f>+Inputs!$L$142</f>
        <v>0</v>
      </c>
      <c r="BC178" s="311">
        <f>+Inputs!$L$142</f>
        <v>0</v>
      </c>
      <c r="BD178" s="311">
        <f>+Inputs!$L$142</f>
        <v>0</v>
      </c>
      <c r="BE178" s="311">
        <f>+Inputs!$L$142</f>
        <v>0</v>
      </c>
      <c r="BF178" s="311">
        <f>+Inputs!$L$142</f>
        <v>0</v>
      </c>
      <c r="BG178" s="311">
        <f>+Inputs!$L$142</f>
        <v>0</v>
      </c>
      <c r="BH178" s="311">
        <f>+Inputs!$L$142</f>
        <v>0</v>
      </c>
      <c r="BI178" s="311">
        <f>+Inputs!$L$142</f>
        <v>0</v>
      </c>
      <c r="BJ178" s="311">
        <f>+Inputs!$L$142</f>
        <v>0</v>
      </c>
      <c r="BK178" s="311"/>
      <c r="BL178" s="311"/>
      <c r="BM178" s="311"/>
      <c r="BN178" s="311"/>
      <c r="BO178" s="311"/>
      <c r="BP178" s="311"/>
      <c r="BQ178" s="311"/>
      <c r="BR178" s="311"/>
      <c r="BS178" s="311"/>
      <c r="BT178" s="311"/>
      <c r="BU178" s="311"/>
    </row>
    <row r="179" spans="1:73" x14ac:dyDescent="0.2">
      <c r="A179" s="299"/>
      <c r="B179" s="299"/>
      <c r="C179" s="443" t="s">
        <v>175</v>
      </c>
      <c r="D179" s="444"/>
      <c r="E179" s="444"/>
      <c r="F179" s="444"/>
      <c r="G179" s="444"/>
      <c r="H179" s="444"/>
      <c r="I179" s="444"/>
      <c r="J179" s="444"/>
      <c r="K179" s="634" t="s">
        <v>20</v>
      </c>
      <c r="L179" s="444"/>
      <c r="M179" s="444"/>
      <c r="N179" s="444"/>
      <c r="O179" s="445"/>
      <c r="P179" s="443"/>
      <c r="Q179" s="459"/>
      <c r="R179" s="459">
        <f t="shared" ref="R179:AO179" si="228">(R176 + R177 + R178)</f>
        <v>5.2499999999999998E-2</v>
      </c>
      <c r="S179" s="459">
        <f t="shared" si="228"/>
        <v>5.2499999999999998E-2</v>
      </c>
      <c r="T179" s="459">
        <f t="shared" si="228"/>
        <v>5.2499999999999998E-2</v>
      </c>
      <c r="U179" s="459">
        <f t="shared" si="228"/>
        <v>5.2499999999999998E-2</v>
      </c>
      <c r="V179" s="459">
        <f t="shared" si="228"/>
        <v>5.2499999999999998E-2</v>
      </c>
      <c r="W179" s="459">
        <f t="shared" si="228"/>
        <v>5.2499999999999998E-2</v>
      </c>
      <c r="X179" s="459">
        <f t="shared" si="228"/>
        <v>5.2499999999999998E-2</v>
      </c>
      <c r="Y179" s="459">
        <f t="shared" si="228"/>
        <v>5.2499999999999998E-2</v>
      </c>
      <c r="Z179" s="459">
        <f t="shared" si="228"/>
        <v>5.2499999999999998E-2</v>
      </c>
      <c r="AA179" s="459">
        <f t="shared" si="228"/>
        <v>5.2499999999999998E-2</v>
      </c>
      <c r="AB179" s="459">
        <f t="shared" si="228"/>
        <v>5.2499999999999998E-2</v>
      </c>
      <c r="AC179" s="459">
        <f t="shared" si="228"/>
        <v>5.2499999999999998E-2</v>
      </c>
      <c r="AD179" s="459">
        <f t="shared" si="228"/>
        <v>5.2499999999999998E-2</v>
      </c>
      <c r="AE179" s="459">
        <f t="shared" si="228"/>
        <v>5.2499999999999998E-2</v>
      </c>
      <c r="AF179" s="459">
        <f t="shared" si="228"/>
        <v>5.2499999999999998E-2</v>
      </c>
      <c r="AG179" s="459">
        <f t="shared" si="228"/>
        <v>5.2499999999999998E-2</v>
      </c>
      <c r="AH179" s="459">
        <f t="shared" si="228"/>
        <v>5.2499999999999998E-2</v>
      </c>
      <c r="AI179" s="459">
        <f t="shared" si="228"/>
        <v>5.2499999999999998E-2</v>
      </c>
      <c r="AJ179" s="459">
        <f t="shared" si="228"/>
        <v>5.2499999999999998E-2</v>
      </c>
      <c r="AK179" s="459">
        <f t="shared" si="228"/>
        <v>5.2499999999999998E-2</v>
      </c>
      <c r="AL179" s="459">
        <f t="shared" si="228"/>
        <v>5.2499999999999998E-2</v>
      </c>
      <c r="AM179" s="459">
        <f t="shared" si="228"/>
        <v>5.2499999999999998E-2</v>
      </c>
      <c r="AN179" s="459">
        <f t="shared" si="228"/>
        <v>5.2499999999999998E-2</v>
      </c>
      <c r="AO179" s="459">
        <f t="shared" si="228"/>
        <v>5.2499999999999998E-2</v>
      </c>
      <c r="AP179" s="459">
        <f t="shared" ref="AP179:BJ179" si="229">(AP176 + AP177 + AP178)</f>
        <v>5.2499999999999998E-2</v>
      </c>
      <c r="AQ179" s="459">
        <f t="shared" si="229"/>
        <v>5.2499999999999998E-2</v>
      </c>
      <c r="AR179" s="459">
        <f t="shared" si="229"/>
        <v>5.2499999999999998E-2</v>
      </c>
      <c r="AS179" s="459">
        <f t="shared" si="229"/>
        <v>5.2499999999999998E-2</v>
      </c>
      <c r="AT179" s="459">
        <f t="shared" si="229"/>
        <v>5.2499999999999998E-2</v>
      </c>
      <c r="AU179" s="459">
        <f t="shared" si="229"/>
        <v>5.2499999999999998E-2</v>
      </c>
      <c r="AV179" s="459">
        <f t="shared" si="229"/>
        <v>5.2499999999999998E-2</v>
      </c>
      <c r="AW179" s="459">
        <f t="shared" si="229"/>
        <v>5.2499999999999998E-2</v>
      </c>
      <c r="AX179" s="459">
        <f t="shared" si="229"/>
        <v>5.2499999999999998E-2</v>
      </c>
      <c r="AY179" s="459">
        <f t="shared" si="229"/>
        <v>5.2499999999999998E-2</v>
      </c>
      <c r="AZ179" s="459">
        <f t="shared" si="229"/>
        <v>5.2499999999999998E-2</v>
      </c>
      <c r="BA179" s="459">
        <f t="shared" si="229"/>
        <v>5.2499999999999998E-2</v>
      </c>
      <c r="BB179" s="459">
        <f t="shared" si="229"/>
        <v>5.2499999999999998E-2</v>
      </c>
      <c r="BC179" s="459">
        <f t="shared" si="229"/>
        <v>5.2499999999999998E-2</v>
      </c>
      <c r="BD179" s="459">
        <f t="shared" si="229"/>
        <v>5.2499999999999998E-2</v>
      </c>
      <c r="BE179" s="459">
        <f t="shared" si="229"/>
        <v>5.2499999999999998E-2</v>
      </c>
      <c r="BF179" s="459">
        <f t="shared" si="229"/>
        <v>5.2499999999999998E-2</v>
      </c>
      <c r="BG179" s="459">
        <f t="shared" si="229"/>
        <v>5.2499999999999998E-2</v>
      </c>
      <c r="BH179" s="459">
        <f t="shared" si="229"/>
        <v>5.2499999999999998E-2</v>
      </c>
      <c r="BI179" s="459">
        <f t="shared" si="229"/>
        <v>5.2499999999999998E-2</v>
      </c>
      <c r="BJ179" s="459">
        <f t="shared" si="229"/>
        <v>5.2499999999999998E-2</v>
      </c>
      <c r="BK179" s="459"/>
      <c r="BL179" s="459"/>
      <c r="BM179" s="459"/>
      <c r="BN179" s="459"/>
      <c r="BO179" s="459"/>
      <c r="BP179" s="459"/>
      <c r="BQ179" s="459"/>
      <c r="BR179" s="459"/>
      <c r="BS179" s="459"/>
      <c r="BT179" s="459"/>
      <c r="BU179" s="459"/>
    </row>
    <row r="180" spans="1:73" x14ac:dyDescent="0.2">
      <c r="A180" s="299"/>
      <c r="B180" s="299"/>
      <c r="C180" s="299"/>
      <c r="D180" s="299"/>
      <c r="E180" s="448"/>
      <c r="F180" s="448"/>
      <c r="G180" s="299"/>
      <c r="H180" s="299"/>
      <c r="I180" s="449"/>
      <c r="J180" s="449"/>
      <c r="K180" s="449"/>
      <c r="L180" s="449"/>
      <c r="M180" s="449"/>
      <c r="N180" s="449"/>
      <c r="O180" s="449"/>
      <c r="P180" s="449"/>
      <c r="Q180" s="450"/>
      <c r="R180" s="450"/>
      <c r="S180" s="450"/>
      <c r="T180" s="450"/>
      <c r="U180" s="450"/>
      <c r="V180" s="450"/>
      <c r="W180" s="450"/>
      <c r="X180" s="450"/>
      <c r="Y180" s="450"/>
      <c r="Z180" s="450"/>
      <c r="AA180" s="450"/>
      <c r="AB180" s="450"/>
      <c r="AC180" s="450"/>
      <c r="AD180" s="450"/>
      <c r="AE180" s="450"/>
      <c r="AF180" s="450"/>
      <c r="AG180" s="450"/>
      <c r="AH180" s="450"/>
      <c r="AI180" s="450"/>
      <c r="AJ180" s="450"/>
      <c r="AK180" s="450"/>
      <c r="AL180" s="450"/>
      <c r="AM180" s="450"/>
      <c r="AN180" s="450"/>
      <c r="AO180" s="450"/>
      <c r="AP180" s="450"/>
      <c r="AQ180" s="450"/>
      <c r="AR180" s="450"/>
      <c r="AS180" s="450"/>
      <c r="AT180" s="450"/>
      <c r="AU180" s="450"/>
      <c r="AV180" s="450"/>
      <c r="AW180" s="450"/>
      <c r="AX180" s="450"/>
      <c r="AY180" s="450"/>
      <c r="AZ180" s="450"/>
      <c r="BA180" s="450"/>
      <c r="BB180" s="450"/>
      <c r="BC180" s="450"/>
      <c r="BD180" s="450"/>
      <c r="BE180" s="450"/>
      <c r="BF180" s="450"/>
      <c r="BG180" s="450"/>
      <c r="BH180" s="450"/>
      <c r="BI180" s="450"/>
      <c r="BJ180" s="450"/>
      <c r="BK180" s="450"/>
      <c r="BL180" s="450"/>
      <c r="BM180" s="450"/>
      <c r="BN180" s="450"/>
      <c r="BO180" s="450"/>
      <c r="BP180" s="450"/>
      <c r="BQ180" s="450"/>
      <c r="BR180" s="450"/>
      <c r="BS180" s="450"/>
      <c r="BT180" s="450"/>
      <c r="BU180" s="450"/>
    </row>
    <row r="181" spans="1:73" x14ac:dyDescent="0.2">
      <c r="A181" s="299"/>
      <c r="B181" s="439" t="s">
        <v>133</v>
      </c>
      <c r="C181" s="299"/>
      <c r="D181" s="299"/>
      <c r="E181" s="299"/>
      <c r="F181" s="299"/>
      <c r="G181" s="299"/>
      <c r="H181" s="299"/>
      <c r="I181" s="299"/>
      <c r="J181" s="299"/>
      <c r="K181" s="410"/>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99"/>
      <c r="AP181" s="299"/>
      <c r="AQ181" s="299"/>
      <c r="AR181" s="299"/>
      <c r="AS181" s="299"/>
      <c r="AT181" s="299"/>
      <c r="AU181" s="299"/>
      <c r="AV181" s="299"/>
      <c r="AW181" s="299"/>
      <c r="AX181" s="299"/>
      <c r="AY181" s="299"/>
      <c r="AZ181" s="299"/>
      <c r="BA181" s="299"/>
      <c r="BB181" s="299"/>
      <c r="BC181" s="299"/>
      <c r="BD181" s="299"/>
      <c r="BE181" s="299"/>
      <c r="BF181" s="299"/>
      <c r="BG181" s="299"/>
      <c r="BH181" s="299"/>
      <c r="BI181" s="299"/>
      <c r="BJ181" s="299"/>
      <c r="BK181" s="299"/>
      <c r="BL181" s="299"/>
      <c r="BM181" s="299"/>
      <c r="BN181" s="299"/>
      <c r="BO181" s="299"/>
      <c r="BP181" s="299"/>
      <c r="BQ181" s="299"/>
      <c r="BR181" s="299"/>
      <c r="BS181" s="299"/>
      <c r="BT181" s="299"/>
      <c r="BU181" s="299"/>
    </row>
    <row r="182" spans="1:73" x14ac:dyDescent="0.2">
      <c r="A182" s="299"/>
      <c r="B182" s="299"/>
      <c r="C182" s="299" t="s">
        <v>87</v>
      </c>
      <c r="D182" s="299"/>
      <c r="E182" s="299"/>
      <c r="F182" s="299"/>
      <c r="G182" s="299"/>
      <c r="H182" s="299"/>
      <c r="I182" s="299"/>
      <c r="J182" s="299"/>
      <c r="K182" s="410" t="s">
        <v>62</v>
      </c>
      <c r="L182" s="299"/>
      <c r="M182" s="299"/>
      <c r="N182" s="299"/>
      <c r="O182" s="299"/>
      <c r="P182" s="299"/>
      <c r="Q182" s="417"/>
      <c r="R182" s="417">
        <f t="shared" ref="R182:AO182" si="230">Q190</f>
        <v>0</v>
      </c>
      <c r="S182" s="417">
        <f t="shared" si="230"/>
        <v>0</v>
      </c>
      <c r="T182" s="417">
        <f t="shared" si="230"/>
        <v>0</v>
      </c>
      <c r="U182" s="417">
        <f t="shared" si="230"/>
        <v>400000</v>
      </c>
      <c r="V182" s="417">
        <f t="shared" si="230"/>
        <v>400000</v>
      </c>
      <c r="W182" s="417">
        <f t="shared" si="230"/>
        <v>400000</v>
      </c>
      <c r="X182" s="417">
        <f t="shared" si="230"/>
        <v>400000</v>
      </c>
      <c r="Y182" s="417">
        <f t="shared" si="230"/>
        <v>400000</v>
      </c>
      <c r="Z182" s="417">
        <f t="shared" si="230"/>
        <v>402289.84263573081</v>
      </c>
      <c r="AA182" s="417">
        <f t="shared" si="230"/>
        <v>415352.33699628391</v>
      </c>
      <c r="AB182" s="417">
        <f t="shared" si="230"/>
        <v>428569.32217441441</v>
      </c>
      <c r="AC182" s="417">
        <f t="shared" si="230"/>
        <v>437964.77345348534</v>
      </c>
      <c r="AD182" s="417">
        <f t="shared" si="230"/>
        <v>443485.80064742826</v>
      </c>
      <c r="AE182" s="417">
        <f t="shared" si="230"/>
        <v>505326.8864343742</v>
      </c>
      <c r="AF182" s="417">
        <f t="shared" si="230"/>
        <v>505326.88643437426</v>
      </c>
      <c r="AG182" s="417">
        <f t="shared" si="230"/>
        <v>520047.30199854833</v>
      </c>
      <c r="AH182" s="417">
        <f t="shared" si="230"/>
        <v>542793.47032067436</v>
      </c>
      <c r="AI182" s="417">
        <f t="shared" si="230"/>
        <v>575700.82069843961</v>
      </c>
      <c r="AJ182" s="417">
        <f t="shared" si="230"/>
        <v>630744.10588179529</v>
      </c>
      <c r="AK182" s="417">
        <f t="shared" si="230"/>
        <v>710101.58599342103</v>
      </c>
      <c r="AL182" s="417">
        <f t="shared" si="230"/>
        <v>806220.13611920946</v>
      </c>
      <c r="AM182" s="417">
        <f t="shared" si="230"/>
        <v>922460.9191243872</v>
      </c>
      <c r="AN182" s="417">
        <f t="shared" si="230"/>
        <v>1102017.4404322307</v>
      </c>
      <c r="AO182" s="417">
        <f t="shared" si="230"/>
        <v>1406086.5980707521</v>
      </c>
      <c r="AP182" s="417">
        <f t="shared" ref="AP182:BJ182" si="231">AO190</f>
        <v>1406086.5980707521</v>
      </c>
      <c r="AQ182" s="417">
        <f t="shared" si="231"/>
        <v>1406086.5980707521</v>
      </c>
      <c r="AR182" s="417">
        <f t="shared" si="231"/>
        <v>1406086.5980707521</v>
      </c>
      <c r="AS182" s="417">
        <f t="shared" si="231"/>
        <v>1406086.5980707521</v>
      </c>
      <c r="AT182" s="417">
        <f t="shared" si="231"/>
        <v>1406086.5980707521</v>
      </c>
      <c r="AU182" s="417">
        <f t="shared" si="231"/>
        <v>1406086.5980707521</v>
      </c>
      <c r="AV182" s="417">
        <f t="shared" si="231"/>
        <v>1295594.1768520905</v>
      </c>
      <c r="AW182" s="417">
        <f t="shared" si="231"/>
        <v>1179300.9035194491</v>
      </c>
      <c r="AX182" s="417">
        <f t="shared" si="231"/>
        <v>1056902.233336844</v>
      </c>
      <c r="AY182" s="417">
        <f t="shared" si="231"/>
        <v>1029318.9316395134</v>
      </c>
      <c r="AZ182" s="417">
        <f t="shared" si="231"/>
        <v>878940.14966923581</v>
      </c>
      <c r="BA182" s="417">
        <f t="shared" si="231"/>
        <v>720666.4816455188</v>
      </c>
      <c r="BB182" s="417">
        <f t="shared" si="231"/>
        <v>554083.44605055649</v>
      </c>
      <c r="BC182" s="417">
        <f t="shared" si="231"/>
        <v>378754.80108685879</v>
      </c>
      <c r="BD182" s="417">
        <f t="shared" si="231"/>
        <v>194221.40226256705</v>
      </c>
      <c r="BE182" s="417">
        <f t="shared" si="231"/>
        <v>0</v>
      </c>
      <c r="BF182" s="417">
        <f t="shared" si="231"/>
        <v>0</v>
      </c>
      <c r="BG182" s="417">
        <f t="shared" si="231"/>
        <v>0</v>
      </c>
      <c r="BH182" s="417">
        <f t="shared" si="231"/>
        <v>0</v>
      </c>
      <c r="BI182" s="417">
        <f t="shared" si="231"/>
        <v>0</v>
      </c>
      <c r="BJ182" s="417">
        <f t="shared" si="231"/>
        <v>0</v>
      </c>
      <c r="BK182" s="417"/>
      <c r="BL182" s="417"/>
      <c r="BM182" s="417"/>
      <c r="BN182" s="417"/>
      <c r="BO182" s="417"/>
      <c r="BP182" s="417"/>
      <c r="BQ182" s="417"/>
      <c r="BR182" s="417"/>
      <c r="BS182" s="417"/>
      <c r="BT182" s="417"/>
      <c r="BU182" s="417"/>
    </row>
    <row r="183" spans="1:73" x14ac:dyDescent="0.2">
      <c r="A183" s="299"/>
      <c r="B183" s="299"/>
      <c r="C183" s="299" t="s">
        <v>202</v>
      </c>
      <c r="D183" s="299"/>
      <c r="E183" s="299"/>
      <c r="F183" s="299"/>
      <c r="G183" s="299"/>
      <c r="H183" s="299"/>
      <c r="I183" s="299"/>
      <c r="J183" s="299"/>
      <c r="K183" s="410" t="s">
        <v>62</v>
      </c>
      <c r="L183" s="299"/>
      <c r="M183" s="299"/>
      <c r="N183" s="417">
        <f t="shared" ref="N183:N189" si="232">SUM(Q183:BJ183)</f>
        <v>400000</v>
      </c>
      <c r="O183" s="299"/>
      <c r="P183" s="299"/>
      <c r="Q183" s="417"/>
      <c r="R183" s="417">
        <f>-R92  * R$80 * $L$165</f>
        <v>0</v>
      </c>
      <c r="S183" s="417">
        <f t="shared" ref="S183:BJ183" si="233">-S92  * S$80 * $L$165</f>
        <v>0</v>
      </c>
      <c r="T183" s="417">
        <f t="shared" si="233"/>
        <v>400000</v>
      </c>
      <c r="U183" s="417">
        <f t="shared" si="233"/>
        <v>0</v>
      </c>
      <c r="V183" s="417">
        <f t="shared" si="233"/>
        <v>0</v>
      </c>
      <c r="W183" s="417">
        <f t="shared" si="233"/>
        <v>0</v>
      </c>
      <c r="X183" s="417">
        <f t="shared" si="233"/>
        <v>0</v>
      </c>
      <c r="Y183" s="417">
        <f t="shared" si="233"/>
        <v>0</v>
      </c>
      <c r="Z183" s="417">
        <f t="shared" si="233"/>
        <v>0</v>
      </c>
      <c r="AA183" s="417">
        <f t="shared" si="233"/>
        <v>0</v>
      </c>
      <c r="AB183" s="417">
        <f t="shared" si="233"/>
        <v>0</v>
      </c>
      <c r="AC183" s="417">
        <f t="shared" si="233"/>
        <v>0</v>
      </c>
      <c r="AD183" s="417">
        <f t="shared" si="233"/>
        <v>0</v>
      </c>
      <c r="AE183" s="417">
        <f t="shared" si="233"/>
        <v>0</v>
      </c>
      <c r="AF183" s="417">
        <f t="shared" si="233"/>
        <v>0</v>
      </c>
      <c r="AG183" s="417">
        <f t="shared" si="233"/>
        <v>0</v>
      </c>
      <c r="AH183" s="417">
        <f t="shared" si="233"/>
        <v>0</v>
      </c>
      <c r="AI183" s="417">
        <f t="shared" si="233"/>
        <v>0</v>
      </c>
      <c r="AJ183" s="417">
        <f t="shared" si="233"/>
        <v>0</v>
      </c>
      <c r="AK183" s="417">
        <f t="shared" si="233"/>
        <v>0</v>
      </c>
      <c r="AL183" s="417">
        <f t="shared" si="233"/>
        <v>0</v>
      </c>
      <c r="AM183" s="417">
        <f t="shared" si="233"/>
        <v>0</v>
      </c>
      <c r="AN183" s="417">
        <f t="shared" si="233"/>
        <v>0</v>
      </c>
      <c r="AO183" s="417">
        <f t="shared" si="233"/>
        <v>0</v>
      </c>
      <c r="AP183" s="417">
        <f t="shared" si="233"/>
        <v>0</v>
      </c>
      <c r="AQ183" s="417">
        <f t="shared" si="233"/>
        <v>0</v>
      </c>
      <c r="AR183" s="417">
        <f t="shared" si="233"/>
        <v>0</v>
      </c>
      <c r="AS183" s="417">
        <f t="shared" si="233"/>
        <v>0</v>
      </c>
      <c r="AT183" s="417">
        <f t="shared" si="233"/>
        <v>0</v>
      </c>
      <c r="AU183" s="417">
        <f t="shared" si="233"/>
        <v>0</v>
      </c>
      <c r="AV183" s="417">
        <f t="shared" si="233"/>
        <v>0</v>
      </c>
      <c r="AW183" s="417">
        <f t="shared" si="233"/>
        <v>0</v>
      </c>
      <c r="AX183" s="417">
        <f t="shared" si="233"/>
        <v>0</v>
      </c>
      <c r="AY183" s="417">
        <f t="shared" si="233"/>
        <v>0</v>
      </c>
      <c r="AZ183" s="417">
        <f t="shared" si="233"/>
        <v>0</v>
      </c>
      <c r="BA183" s="417">
        <f t="shared" si="233"/>
        <v>0</v>
      </c>
      <c r="BB183" s="417">
        <f t="shared" si="233"/>
        <v>0</v>
      </c>
      <c r="BC183" s="417">
        <f t="shared" si="233"/>
        <v>0</v>
      </c>
      <c r="BD183" s="417">
        <f t="shared" si="233"/>
        <v>0</v>
      </c>
      <c r="BE183" s="417">
        <f t="shared" si="233"/>
        <v>0</v>
      </c>
      <c r="BF183" s="417">
        <f t="shared" si="233"/>
        <v>0</v>
      </c>
      <c r="BG183" s="417">
        <f t="shared" si="233"/>
        <v>0</v>
      </c>
      <c r="BH183" s="417">
        <f t="shared" si="233"/>
        <v>0</v>
      </c>
      <c r="BI183" s="417">
        <f t="shared" si="233"/>
        <v>0</v>
      </c>
      <c r="BJ183" s="417">
        <f t="shared" si="233"/>
        <v>0</v>
      </c>
      <c r="BK183" s="417"/>
      <c r="BL183" s="417"/>
      <c r="BM183" s="417"/>
      <c r="BN183" s="417"/>
      <c r="BO183" s="417"/>
      <c r="BP183" s="417"/>
      <c r="BQ183" s="417"/>
      <c r="BR183" s="417"/>
      <c r="BS183" s="417"/>
      <c r="BT183" s="417"/>
      <c r="BU183" s="417"/>
    </row>
    <row r="184" spans="1:73" x14ac:dyDescent="0.2">
      <c r="A184" s="299"/>
      <c r="B184" s="299"/>
      <c r="C184" s="299" t="s">
        <v>203</v>
      </c>
      <c r="D184" s="299"/>
      <c r="E184" s="299"/>
      <c r="F184" s="299"/>
      <c r="G184" s="299"/>
      <c r="H184" s="299"/>
      <c r="I184" s="299"/>
      <c r="J184" s="299"/>
      <c r="K184" s="410" t="s">
        <v>62</v>
      </c>
      <c r="L184" s="299"/>
      <c r="M184" s="299"/>
      <c r="N184" s="417">
        <f t="shared" si="232"/>
        <v>258863.13267827081</v>
      </c>
      <c r="O184" s="299"/>
      <c r="P184" s="299"/>
      <c r="Q184" s="417"/>
      <c r="R184" s="417">
        <f t="shared" ref="R184:AD184" si="234">-((R215))</f>
        <v>0</v>
      </c>
      <c r="S184" s="417">
        <f t="shared" si="234"/>
        <v>0</v>
      </c>
      <c r="T184" s="417">
        <f t="shared" si="234"/>
        <v>0</v>
      </c>
      <c r="U184" s="417">
        <f t="shared" si="234"/>
        <v>0</v>
      </c>
      <c r="V184" s="417">
        <f t="shared" si="234"/>
        <v>0</v>
      </c>
      <c r="W184" s="417">
        <f t="shared" si="234"/>
        <v>0</v>
      </c>
      <c r="X184" s="417">
        <f t="shared" si="234"/>
        <v>0</v>
      </c>
      <c r="Y184" s="417">
        <f t="shared" si="234"/>
        <v>0</v>
      </c>
      <c r="Z184" s="417">
        <f t="shared" si="234"/>
        <v>0</v>
      </c>
      <c r="AA184" s="417">
        <f t="shared" si="234"/>
        <v>0</v>
      </c>
      <c r="AB184" s="417">
        <f t="shared" si="234"/>
        <v>0</v>
      </c>
      <c r="AC184" s="417">
        <f t="shared" si="234"/>
        <v>0</v>
      </c>
      <c r="AD184" s="417">
        <f t="shared" si="234"/>
        <v>60232.461668248776</v>
      </c>
      <c r="AE184" s="417">
        <f>-((AE215))</f>
        <v>0</v>
      </c>
      <c r="AF184" s="417">
        <f t="shared" ref="AF184:BJ184" si="235">-((AF215))</f>
        <v>0</v>
      </c>
      <c r="AG184" s="417">
        <f t="shared" si="235"/>
        <v>0</v>
      </c>
      <c r="AH184" s="417">
        <f t="shared" si="235"/>
        <v>0</v>
      </c>
      <c r="AI184" s="417">
        <f t="shared" si="235"/>
        <v>0</v>
      </c>
      <c r="AJ184" s="417">
        <f t="shared" si="235"/>
        <v>0</v>
      </c>
      <c r="AK184" s="417">
        <f t="shared" si="235"/>
        <v>0</v>
      </c>
      <c r="AL184" s="417">
        <f t="shared" si="235"/>
        <v>0</v>
      </c>
      <c r="AM184" s="417">
        <f t="shared" si="235"/>
        <v>0</v>
      </c>
      <c r="AN184" s="417">
        <f t="shared" si="235"/>
        <v>97389.372340160786</v>
      </c>
      <c r="AO184" s="417">
        <f t="shared" si="235"/>
        <v>0</v>
      </c>
      <c r="AP184" s="417">
        <f t="shared" si="235"/>
        <v>0</v>
      </c>
      <c r="AQ184" s="417">
        <f t="shared" si="235"/>
        <v>0</v>
      </c>
      <c r="AR184" s="417">
        <f t="shared" si="235"/>
        <v>0</v>
      </c>
      <c r="AS184" s="417">
        <f t="shared" si="235"/>
        <v>0</v>
      </c>
      <c r="AT184" s="417">
        <f t="shared" si="235"/>
        <v>0</v>
      </c>
      <c r="AU184" s="417">
        <f t="shared" si="235"/>
        <v>0</v>
      </c>
      <c r="AV184" s="417">
        <f t="shared" si="235"/>
        <v>0</v>
      </c>
      <c r="AW184" s="417">
        <f t="shared" si="235"/>
        <v>0</v>
      </c>
      <c r="AX184" s="417">
        <f t="shared" si="235"/>
        <v>101241.29866986125</v>
      </c>
      <c r="AY184" s="417">
        <f t="shared" si="235"/>
        <v>0</v>
      </c>
      <c r="AZ184" s="417">
        <f t="shared" si="235"/>
        <v>0</v>
      </c>
      <c r="BA184" s="417">
        <f t="shared" si="235"/>
        <v>0</v>
      </c>
      <c r="BB184" s="417">
        <f t="shared" si="235"/>
        <v>0</v>
      </c>
      <c r="BC184" s="417">
        <f t="shared" si="235"/>
        <v>0</v>
      </c>
      <c r="BD184" s="417">
        <f t="shared" si="235"/>
        <v>0</v>
      </c>
      <c r="BE184" s="417">
        <f t="shared" si="235"/>
        <v>0</v>
      </c>
      <c r="BF184" s="417">
        <f t="shared" si="235"/>
        <v>0</v>
      </c>
      <c r="BG184" s="417">
        <f t="shared" si="235"/>
        <v>0</v>
      </c>
      <c r="BH184" s="417">
        <f t="shared" si="235"/>
        <v>0</v>
      </c>
      <c r="BI184" s="417">
        <f t="shared" si="235"/>
        <v>0</v>
      </c>
      <c r="BJ184" s="417">
        <f t="shared" si="235"/>
        <v>0</v>
      </c>
      <c r="BK184" s="417"/>
      <c r="BL184" s="417"/>
      <c r="BM184" s="417"/>
      <c r="BN184" s="417"/>
      <c r="BO184" s="417"/>
      <c r="BP184" s="417"/>
      <c r="BQ184" s="417"/>
      <c r="BR184" s="417"/>
      <c r="BS184" s="417"/>
      <c r="BT184" s="417"/>
      <c r="BU184" s="417"/>
    </row>
    <row r="185" spans="1:73" x14ac:dyDescent="0.2">
      <c r="A185" s="299"/>
      <c r="B185" s="299"/>
      <c r="C185" s="299" t="s">
        <v>204</v>
      </c>
      <c r="D185" s="299"/>
      <c r="E185" s="299"/>
      <c r="F185" s="299"/>
      <c r="G185" s="299"/>
      <c r="H185" s="299"/>
      <c r="I185" s="299"/>
      <c r="J185" s="299"/>
      <c r="K185" s="410" t="s">
        <v>62</v>
      </c>
      <c r="L185" s="299"/>
      <c r="M185" s="299"/>
      <c r="N185" s="417">
        <f t="shared" si="232"/>
        <v>209833.40663602043</v>
      </c>
      <c r="O185" s="299"/>
      <c r="P185" s="299"/>
      <c r="Q185" s="417"/>
      <c r="R185" s="417">
        <f>(( - SUM(R134:R135)  * Inputs!$L$102/Inputs!$L$103 )) * $L$165</f>
        <v>0</v>
      </c>
      <c r="S185" s="417">
        <f>(( - SUM(S134:S135)  * Inputs!$L$102/Inputs!$L$103 )) * $L$165</f>
        <v>0</v>
      </c>
      <c r="T185" s="417">
        <f>(( - SUM(T134:T135)  * Inputs!$L$102/Inputs!$L$103 )) * $L$165</f>
        <v>0</v>
      </c>
      <c r="U185" s="417">
        <f>(( - SUM(U134:U135)  * Inputs!$L$102/Inputs!$L$103 )) * $L$165</f>
        <v>0</v>
      </c>
      <c r="V185" s="417">
        <f>(( - SUM(V134:V135)  * Inputs!$L$102/Inputs!$L$103 )) * $L$165</f>
        <v>0</v>
      </c>
      <c r="W185" s="417">
        <f>(( - SUM(W134:W135)  * Inputs!$L$102/Inputs!$L$103 )) * $L$165</f>
        <v>0</v>
      </c>
      <c r="X185" s="417">
        <f>(( - SUM(X134:X135)  * Inputs!$L$102/Inputs!$L$103 )) * $L$165</f>
        <v>0</v>
      </c>
      <c r="Y185" s="417">
        <f>(( - SUM(Y134:Y135)  * Inputs!$L$102/Inputs!$L$103 )) * $L$165</f>
        <v>0</v>
      </c>
      <c r="Z185" s="417">
        <f>(( - SUM(Z134:Z135)  * Inputs!$L$102/Inputs!$L$103 )) * $L$165</f>
        <v>0</v>
      </c>
      <c r="AA185" s="417">
        <f>(( - SUM(AA134:AA135)  * Inputs!$L$102/Inputs!$L$103 )) * $L$165</f>
        <v>0</v>
      </c>
      <c r="AB185" s="417">
        <f>(( - SUM(AB134:AB135)  * Inputs!$L$102/Inputs!$L$103 )) * $L$165</f>
        <v>0</v>
      </c>
      <c r="AC185" s="417">
        <f>(( - SUM(AC134:AC135)  * Inputs!$L$102/Inputs!$L$103 )) * $L$165</f>
        <v>0</v>
      </c>
      <c r="AD185" s="417">
        <f>(( - SUM(AD134:AD135)  * Inputs!$L$102/Inputs!$L$103 )) * $L$165</f>
        <v>0</v>
      </c>
      <c r="AE185" s="417">
        <f>(( - SUM(AE134:AE135)  * Inputs!$L$102/Inputs!$L$103 )) * $L$165</f>
        <v>0</v>
      </c>
      <c r="AF185" s="417">
        <f>(( - SUM(AF134:AF135)  * Inputs!$L$102/Inputs!$L$103 )) * $L$165</f>
        <v>0</v>
      </c>
      <c r="AG185" s="417">
        <f>(( - SUM(AG134:AG135)  * Inputs!$L$102/Inputs!$L$103 )) * $L$165</f>
        <v>0</v>
      </c>
      <c r="AH185" s="417">
        <f>(( - SUM(AH134:AH135)  * Inputs!$L$102/Inputs!$L$103 )) * $L$165</f>
        <v>0</v>
      </c>
      <c r="AI185" s="417">
        <f>(( - SUM(AI134:AI135)  * Inputs!$L$102/Inputs!$L$103 )) * $L$165</f>
        <v>10000</v>
      </c>
      <c r="AJ185" s="417">
        <f>(( - SUM(AJ134:AJ135)  * Inputs!$L$102/Inputs!$L$103 )) * $L$165</f>
        <v>20000</v>
      </c>
      <c r="AK185" s="417">
        <f>(( - SUM(AK134:AK135)  * Inputs!$L$102/Inputs!$L$103 )) * $L$165</f>
        <v>20000</v>
      </c>
      <c r="AL185" s="417">
        <f>(( - SUM(AL134:AL135)  * Inputs!$L$102/Inputs!$L$103 )) * $L$165</f>
        <v>20000</v>
      </c>
      <c r="AM185" s="417">
        <f>(( - SUM(AM134:AM135)  * Inputs!$L$102/Inputs!$L$103 )) * $L$165</f>
        <v>60000</v>
      </c>
      <c r="AN185" s="417">
        <f>(( - SUM(AN134:AN135)  * Inputs!$L$102/Inputs!$L$103 )) * $L$165</f>
        <v>79833.406636020431</v>
      </c>
      <c r="AO185" s="417">
        <f>(( - SUM(AO134:AO135)  * Inputs!$L$102/Inputs!$L$103 )) * $L$165</f>
        <v>0</v>
      </c>
      <c r="AP185" s="417">
        <f>(( - SUM(AP134:AP135)  * Inputs!$L$102/Inputs!$L$103 )) * $L$165</f>
        <v>0</v>
      </c>
      <c r="AQ185" s="417">
        <f>(( - SUM(AQ134:AQ135)  * Inputs!$L$102/Inputs!$L$103 )) * $L$165</f>
        <v>0</v>
      </c>
      <c r="AR185" s="417">
        <f>(( - SUM(AR134:AR135)  * Inputs!$L$102/Inputs!$L$103 )) * $L$165</f>
        <v>0</v>
      </c>
      <c r="AS185" s="417">
        <f>(( - SUM(AS134:AS135)  * Inputs!$L$102/Inputs!$L$103 )) * $L$165</f>
        <v>0</v>
      </c>
      <c r="AT185" s="417">
        <f>(( - SUM(AT134:AT135)  * Inputs!$L$102/Inputs!$L$103 )) * $L$165</f>
        <v>0</v>
      </c>
      <c r="AU185" s="417">
        <f>(( - SUM(AU134:AU135)  * Inputs!$L$102/Inputs!$L$103 )) * $L$165</f>
        <v>0</v>
      </c>
      <c r="AV185" s="417">
        <f>(( - SUM(AV134:AV135)  * Inputs!$L$102/Inputs!$L$103 )) * $L$165</f>
        <v>0</v>
      </c>
      <c r="AW185" s="417">
        <f>(( - SUM(AW134:AW135)  * Inputs!$L$102/Inputs!$L$103 )) * $L$165</f>
        <v>0</v>
      </c>
      <c r="AX185" s="417">
        <f>(( - SUM(AX134:AX135)  * Inputs!$L$102/Inputs!$L$103 )) * $L$165</f>
        <v>0</v>
      </c>
      <c r="AY185" s="417">
        <f>(( - SUM(AY134:AY135)  * Inputs!$L$102/Inputs!$L$103 )) * $L$165</f>
        <v>0</v>
      </c>
      <c r="AZ185" s="417">
        <f>(( - SUM(AZ134:AZ135)  * Inputs!$L$102/Inputs!$L$103 )) * $L$165</f>
        <v>0</v>
      </c>
      <c r="BA185" s="417">
        <f>(( - SUM(BA134:BA135)  * Inputs!$L$102/Inputs!$L$103 )) * $L$165</f>
        <v>0</v>
      </c>
      <c r="BB185" s="417">
        <f>(( - SUM(BB134:BB135)  * Inputs!$L$102/Inputs!$L$103 )) * $L$165</f>
        <v>0</v>
      </c>
      <c r="BC185" s="417">
        <f>(( - SUM(BC134:BC135)  * Inputs!$L$102/Inputs!$L$103 )) * $L$165</f>
        <v>0</v>
      </c>
      <c r="BD185" s="417">
        <f>(( - SUM(BD134:BD135)  * Inputs!$L$102/Inputs!$L$103 )) * $L$165</f>
        <v>0</v>
      </c>
      <c r="BE185" s="417">
        <f>(( - SUM(BE134:BE135)  * Inputs!$L$102/Inputs!$L$103 )) * $L$165</f>
        <v>0</v>
      </c>
      <c r="BF185" s="417">
        <f>(( - SUM(BF134:BF135)  * Inputs!$L$102/Inputs!$L$103 )) * $L$165</f>
        <v>0</v>
      </c>
      <c r="BG185" s="417">
        <f>(( - SUM(BG134:BG135)  * Inputs!$L$102/Inputs!$L$103 )) * $L$165</f>
        <v>0</v>
      </c>
      <c r="BH185" s="417">
        <f>(( - SUM(BH134:BH135)  * Inputs!$L$102/Inputs!$L$103 )) * $L$165</f>
        <v>0</v>
      </c>
      <c r="BI185" s="417">
        <f>(( - SUM(BI134:BI135)  * Inputs!$L$102/Inputs!$L$103 )) * $L$165</f>
        <v>0</v>
      </c>
      <c r="BJ185" s="417">
        <f>(( - SUM(BJ134:BJ135)  * Inputs!$L$102/Inputs!$L$103 )) * $L$165</f>
        <v>0</v>
      </c>
      <c r="BK185" s="417"/>
      <c r="BL185" s="417"/>
      <c r="BM185" s="417"/>
      <c r="BN185" s="417"/>
      <c r="BO185" s="417"/>
      <c r="BP185" s="417"/>
      <c r="BQ185" s="417"/>
      <c r="BR185" s="417"/>
      <c r="BS185" s="417"/>
      <c r="BT185" s="417"/>
      <c r="BU185" s="417"/>
    </row>
    <row r="186" spans="1:73" x14ac:dyDescent="0.2">
      <c r="A186" s="299"/>
      <c r="B186" s="299"/>
      <c r="C186" s="299" t="s">
        <v>205</v>
      </c>
      <c r="D186" s="299"/>
      <c r="E186" s="299"/>
      <c r="F186" s="299"/>
      <c r="G186" s="299"/>
      <c r="H186" s="299"/>
      <c r="I186" s="299"/>
      <c r="J186" s="299"/>
      <c r="K186" s="410" t="s">
        <v>62</v>
      </c>
      <c r="L186" s="299"/>
      <c r="M186" s="299"/>
      <c r="N186" s="417">
        <f t="shared" si="232"/>
        <v>638631.35742632218</v>
      </c>
      <c r="O186" s="299"/>
      <c r="P186" s="299"/>
      <c r="Q186" s="417"/>
      <c r="R186" s="417">
        <f>-SUM(R139:R140) * $L$165*Inputs!$L$102</f>
        <v>0</v>
      </c>
      <c r="S186" s="417">
        <f>-SUM(S139:S140) * $L$165*Inputs!$L$102</f>
        <v>0</v>
      </c>
      <c r="T186" s="417">
        <f>-SUM(T139:T140) * $L$165*Inputs!$L$102</f>
        <v>0</v>
      </c>
      <c r="U186" s="417">
        <f>-SUM(U139:U140) * $L$165*Inputs!$L$102</f>
        <v>0</v>
      </c>
      <c r="V186" s="417">
        <f>-SUM(V139:V140) * $L$165*Inputs!$L$102</f>
        <v>0</v>
      </c>
      <c r="W186" s="417">
        <f>-SUM(W139:W140) * $L$165*Inputs!$L$102</f>
        <v>0</v>
      </c>
      <c r="X186" s="417">
        <f>-SUM(X139:X140) * $L$165*Inputs!$L$102</f>
        <v>0</v>
      </c>
      <c r="Y186" s="417">
        <f>-SUM(Y139:Y140) * $L$165*Inputs!$L$102</f>
        <v>2289.8426357308053</v>
      </c>
      <c r="Z186" s="417">
        <f>-SUM(Z139:Z140) * $L$165*Inputs!$L$102</f>
        <v>13062.494360553101</v>
      </c>
      <c r="AA186" s="417">
        <f>-SUM(AA139:AA140) * $L$165*Inputs!$L$102</f>
        <v>13216.985178130475</v>
      </c>
      <c r="AB186" s="417">
        <f>-SUM(AB139:AB140) * $L$165*Inputs!$L$102</f>
        <v>9395.4512790708977</v>
      </c>
      <c r="AC186" s="417">
        <f>-SUM(AC139:AC140) * $L$165*Inputs!$L$102</f>
        <v>5521.0271939429222</v>
      </c>
      <c r="AD186" s="417">
        <f>-SUM(AD139:AD140) * $L$165*Inputs!$L$102</f>
        <v>1608.6241186972475</v>
      </c>
      <c r="AE186" s="417">
        <f>-SUM(AE139:AE140) * $L$165*Inputs!$L$102</f>
        <v>0</v>
      </c>
      <c r="AF186" s="417">
        <f>-SUM(AF139:AF140) * $L$165*Inputs!$L$102</f>
        <v>14720.415564174065</v>
      </c>
      <c r="AG186" s="417">
        <f>-SUM(AG139:AG140) * $L$165*Inputs!$L$102</f>
        <v>22746.16832212609</v>
      </c>
      <c r="AH186" s="417">
        <f>-SUM(AH139:AH140) * $L$165*Inputs!$L$102</f>
        <v>32907.350377765193</v>
      </c>
      <c r="AI186" s="417">
        <f>-SUM(AI139:AI140) * $L$165*Inputs!$L$102</f>
        <v>45043.28518335562</v>
      </c>
      <c r="AJ186" s="417">
        <f>-SUM(AJ139:AJ140) * $L$165*Inputs!$L$102</f>
        <v>59357.480111625744</v>
      </c>
      <c r="AK186" s="417">
        <f>-SUM(AK139:AK140) * $L$165*Inputs!$L$102</f>
        <v>76118.55012578849</v>
      </c>
      <c r="AL186" s="417">
        <f>-SUM(AL139:AL140) * $L$165*Inputs!$L$102</f>
        <v>96240.783005177742</v>
      </c>
      <c r="AM186" s="417">
        <f>-SUM(AM139:AM140) * $L$165*Inputs!$L$102</f>
        <v>119556.52130784356</v>
      </c>
      <c r="AN186" s="417">
        <f>-SUM(AN139:AN140) * $L$165*Inputs!$L$102</f>
        <v>126846.3786623402</v>
      </c>
      <c r="AO186" s="417">
        <f>-SUM(AO139:AO140) * $L$165*Inputs!$L$102</f>
        <v>0</v>
      </c>
      <c r="AP186" s="417">
        <f>-SUM(AP139:AP140) * $L$165*Inputs!$L$102</f>
        <v>0</v>
      </c>
      <c r="AQ186" s="417">
        <f>-SUM(AQ139:AQ140) * $L$165*Inputs!$L$102</f>
        <v>0</v>
      </c>
      <c r="AR186" s="417">
        <f>-SUM(AR139:AR140) * $L$165*Inputs!$L$102</f>
        <v>0</v>
      </c>
      <c r="AS186" s="417">
        <f>-SUM(AS139:AS140) * $L$165*Inputs!$L$102</f>
        <v>0</v>
      </c>
      <c r="AT186" s="417">
        <f>-SUM(AT139:AT140) * $L$165*Inputs!$L$102</f>
        <v>0</v>
      </c>
      <c r="AU186" s="417">
        <f>-SUM(AU139:AU140) * $L$165*Inputs!$L$102</f>
        <v>0</v>
      </c>
      <c r="AV186" s="417">
        <f>-SUM(AV139:AV140) * $L$165*Inputs!$L$102</f>
        <v>0</v>
      </c>
      <c r="AW186" s="417">
        <f>-SUM(AW139:AW140) * $L$165*Inputs!$L$102</f>
        <v>0</v>
      </c>
      <c r="AX186" s="417">
        <f>-SUM(AX139:AX140) * $L$165*Inputs!$L$102</f>
        <v>0</v>
      </c>
      <c r="AY186" s="417">
        <f>-SUM(AY139:AY140) * $L$165*Inputs!$L$102</f>
        <v>0</v>
      </c>
      <c r="AZ186" s="417">
        <f>-SUM(AZ139:AZ140) * $L$165*Inputs!$L$102</f>
        <v>0</v>
      </c>
      <c r="BA186" s="417">
        <f>-SUM(BA139:BA140) * $L$165*Inputs!$L$102</f>
        <v>0</v>
      </c>
      <c r="BB186" s="417">
        <f>-SUM(BB139:BB140) * $L$165*Inputs!$L$102</f>
        <v>0</v>
      </c>
      <c r="BC186" s="417">
        <f>-SUM(BC139:BC140) * $L$165*Inputs!$L$102</f>
        <v>0</v>
      </c>
      <c r="BD186" s="417">
        <f>-SUM(BD139:BD140) * $L$165*Inputs!$L$102</f>
        <v>0</v>
      </c>
      <c r="BE186" s="417">
        <f>-SUM(BE139:BE140) * $L$165*Inputs!$L$102</f>
        <v>0</v>
      </c>
      <c r="BF186" s="417">
        <f>-SUM(BF139:BF140) * $L$165*Inputs!$L$102</f>
        <v>0</v>
      </c>
      <c r="BG186" s="417">
        <f>-SUM(BG139:BG140) * $L$165*Inputs!$L$102</f>
        <v>0</v>
      </c>
      <c r="BH186" s="417">
        <f>-SUM(BH139:BH140) * $L$165*Inputs!$L$102</f>
        <v>0</v>
      </c>
      <c r="BI186" s="417">
        <f>-SUM(BI139:BI140) * $L$165*Inputs!$L$102</f>
        <v>0</v>
      </c>
      <c r="BJ186" s="417">
        <f>-SUM(BJ139:BJ140) * $L$165*Inputs!$L$102</f>
        <v>0</v>
      </c>
      <c r="BK186" s="417"/>
      <c r="BL186" s="417"/>
      <c r="BM186" s="417"/>
      <c r="BN186" s="417"/>
      <c r="BO186" s="417"/>
      <c r="BP186" s="417"/>
      <c r="BQ186" s="417"/>
      <c r="BR186" s="417"/>
      <c r="BS186" s="417"/>
      <c r="BT186" s="417"/>
      <c r="BU186" s="417"/>
    </row>
    <row r="187" spans="1:73" x14ac:dyDescent="0.2">
      <c r="A187" s="299"/>
      <c r="B187" s="299"/>
      <c r="C187" s="299" t="s">
        <v>150</v>
      </c>
      <c r="D187" s="299"/>
      <c r="E187" s="299"/>
      <c r="F187" s="299"/>
      <c r="G187" s="299"/>
      <c r="H187" s="299"/>
      <c r="I187" s="299"/>
      <c r="J187" s="299"/>
      <c r="K187" s="410" t="s">
        <v>62</v>
      </c>
      <c r="L187" s="299"/>
      <c r="M187" s="299"/>
      <c r="N187" s="417">
        <f t="shared" si="232"/>
        <v>1486884.1300324327</v>
      </c>
      <c r="O187" s="299"/>
      <c r="P187" s="299"/>
      <c r="Q187" s="417"/>
      <c r="R187" s="417">
        <f>+R13*(R182+R183+R184/2+R185/4+R186/4+R189/4)*R179*YEARFRAC(R9,Q9,2)*R173</f>
        <v>0</v>
      </c>
      <c r="S187" s="417">
        <f>+S13*(S182+S183+S184/2+S185/4+S186/4+S189/4)*S179*YEARFRAC(S9,R9,2)*S173</f>
        <v>0</v>
      </c>
      <c r="T187" s="417">
        <f>+T13*(T182+T183+T184/2+T185/4+T186/4+T189/4)*T179*YEARFRAC(T9,S9,2)*T173</f>
        <v>0</v>
      </c>
      <c r="U187" s="417">
        <f t="shared" ref="U187:BJ187" si="236">+U13*(U182+U183+U185/4+U186/4+U189/4)*U179*YEARFRAC(U9,T9,2)*U173</f>
        <v>21350</v>
      </c>
      <c r="V187" s="417">
        <f t="shared" si="236"/>
        <v>21291.666666666664</v>
      </c>
      <c r="W187" s="417">
        <f t="shared" si="236"/>
        <v>21291.666666666664</v>
      </c>
      <c r="X187" s="417">
        <f t="shared" si="236"/>
        <v>21291.666666666664</v>
      </c>
      <c r="Y187" s="417">
        <f t="shared" si="236"/>
        <v>21380.555087670531</v>
      </c>
      <c r="Z187" s="417">
        <f t="shared" si="236"/>
        <v>21587.379504314489</v>
      </c>
      <c r="AA187" s="417">
        <f t="shared" si="236"/>
        <v>22284.741048084084</v>
      </c>
      <c r="AB187" s="417">
        <f t="shared" si="236"/>
        <v>22937.415888752817</v>
      </c>
      <c r="AC187" s="417">
        <f t="shared" si="236"/>
        <v>23450.040989698955</v>
      </c>
      <c r="AD187" s="417">
        <f t="shared" si="236"/>
        <v>23627.786027291608</v>
      </c>
      <c r="AE187" s="417">
        <f t="shared" si="236"/>
        <v>26898.129059163042</v>
      </c>
      <c r="AF187" s="417">
        <f t="shared" si="236"/>
        <v>27094.017922530049</v>
      </c>
      <c r="AG187" s="417">
        <f t="shared" si="236"/>
        <v>28061.043927720882</v>
      </c>
      <c r="AH187" s="417">
        <f t="shared" si="236"/>
        <v>29330.351806731673</v>
      </c>
      <c r="AI187" s="417">
        <f t="shared" si="236"/>
        <v>31376.551985320446</v>
      </c>
      <c r="AJ187" s="417">
        <f t="shared" si="236"/>
        <v>34630.016269776825</v>
      </c>
      <c r="AK187" s="417">
        <f t="shared" si="236"/>
        <v>39184.254055639831</v>
      </c>
      <c r="AL187" s="417">
        <f t="shared" si="236"/>
        <v>44461.275998523699</v>
      </c>
      <c r="AM187" s="417">
        <f t="shared" si="236"/>
        <v>51491.237007254043</v>
      </c>
      <c r="AN187" s="417">
        <f t="shared" si="236"/>
        <v>61409.818190909937</v>
      </c>
      <c r="AO187" s="417">
        <f t="shared" si="236"/>
        <v>75049.872172026386</v>
      </c>
      <c r="AP187" s="417">
        <f t="shared" si="236"/>
        <v>74844.817876474393</v>
      </c>
      <c r="AQ187" s="417">
        <f t="shared" si="236"/>
        <v>74844.817876474393</v>
      </c>
      <c r="AR187" s="417">
        <f t="shared" si="236"/>
        <v>74844.817876474393</v>
      </c>
      <c r="AS187" s="417">
        <f t="shared" si="236"/>
        <v>75049.872172026386</v>
      </c>
      <c r="AT187" s="417">
        <f t="shared" si="236"/>
        <v>74844.817876474393</v>
      </c>
      <c r="AU187" s="417">
        <f t="shared" si="236"/>
        <v>73374.463000361488</v>
      </c>
      <c r="AV187" s="417">
        <f t="shared" si="236"/>
        <v>67415.849864913878</v>
      </c>
      <c r="AW187" s="417">
        <f t="shared" si="236"/>
        <v>61311.928470101448</v>
      </c>
      <c r="AX187" s="417">
        <f t="shared" si="236"/>
        <v>54543.718597731095</v>
      </c>
      <c r="AY187" s="417">
        <f t="shared" si="236"/>
        <v>52788.654653238365</v>
      </c>
      <c r="AZ187" s="417">
        <f t="shared" si="236"/>
        <v>44679.057853223916</v>
      </c>
      <c r="BA187" s="417">
        <f t="shared" si="236"/>
        <v>36242.731076609285</v>
      </c>
      <c r="BB187" s="417">
        <f t="shared" si="236"/>
        <v>27160.250681012705</v>
      </c>
      <c r="BC187" s="417">
        <f t="shared" si="236"/>
        <v>17705.162672456412</v>
      </c>
      <c r="BD187" s="417">
        <f t="shared" si="236"/>
        <v>7753.6825434509183</v>
      </c>
      <c r="BE187" s="417">
        <f t="shared" si="236"/>
        <v>0</v>
      </c>
      <c r="BF187" s="417">
        <f t="shared" si="236"/>
        <v>0</v>
      </c>
      <c r="BG187" s="417">
        <f t="shared" si="236"/>
        <v>0</v>
      </c>
      <c r="BH187" s="417">
        <f t="shared" si="236"/>
        <v>0</v>
      </c>
      <c r="BI187" s="417">
        <f t="shared" si="236"/>
        <v>0</v>
      </c>
      <c r="BJ187" s="417">
        <f t="shared" si="236"/>
        <v>0</v>
      </c>
      <c r="BK187" s="417"/>
      <c r="BL187" s="417"/>
      <c r="BM187" s="417"/>
      <c r="BN187" s="417"/>
      <c r="BO187" s="417"/>
      <c r="BP187" s="417"/>
      <c r="BQ187" s="417"/>
      <c r="BR187" s="417"/>
      <c r="BS187" s="417"/>
      <c r="BT187" s="417"/>
      <c r="BU187" s="417"/>
    </row>
    <row r="188" spans="1:73" x14ac:dyDescent="0.2">
      <c r="A188" s="299"/>
      <c r="B188" s="299"/>
      <c r="C188" s="299" t="s">
        <v>120</v>
      </c>
      <c r="D188" s="299"/>
      <c r="E188" s="299"/>
      <c r="F188" s="299"/>
      <c r="G188" s="299"/>
      <c r="H188" s="299"/>
      <c r="I188" s="299"/>
      <c r="J188" s="299"/>
      <c r="K188" s="410" t="s">
        <v>62</v>
      </c>
      <c r="L188" s="299"/>
      <c r="M188" s="299"/>
      <c r="N188" s="417">
        <f t="shared" si="232"/>
        <v>-1486884.1300324327</v>
      </c>
      <c r="O188" s="299"/>
      <c r="P188" s="299"/>
      <c r="Q188" s="417"/>
      <c r="R188" s="417">
        <f t="shared" ref="R188:AO188" si="237">-R187</f>
        <v>0</v>
      </c>
      <c r="S188" s="417">
        <f t="shared" si="237"/>
        <v>0</v>
      </c>
      <c r="T188" s="417">
        <f t="shared" si="237"/>
        <v>0</v>
      </c>
      <c r="U188" s="417">
        <f t="shared" si="237"/>
        <v>-21350</v>
      </c>
      <c r="V188" s="417">
        <f t="shared" si="237"/>
        <v>-21291.666666666664</v>
      </c>
      <c r="W188" s="417">
        <f t="shared" si="237"/>
        <v>-21291.666666666664</v>
      </c>
      <c r="X188" s="417">
        <f t="shared" si="237"/>
        <v>-21291.666666666664</v>
      </c>
      <c r="Y188" s="417">
        <f t="shared" si="237"/>
        <v>-21380.555087670531</v>
      </c>
      <c r="Z188" s="417">
        <f t="shared" si="237"/>
        <v>-21587.379504314489</v>
      </c>
      <c r="AA188" s="417">
        <f t="shared" si="237"/>
        <v>-22284.741048084084</v>
      </c>
      <c r="AB188" s="417">
        <f t="shared" si="237"/>
        <v>-22937.415888752817</v>
      </c>
      <c r="AC188" s="417">
        <f t="shared" si="237"/>
        <v>-23450.040989698955</v>
      </c>
      <c r="AD188" s="417">
        <f t="shared" si="237"/>
        <v>-23627.786027291608</v>
      </c>
      <c r="AE188" s="417">
        <f t="shared" si="237"/>
        <v>-26898.129059163042</v>
      </c>
      <c r="AF188" s="417">
        <f t="shared" si="237"/>
        <v>-27094.017922530049</v>
      </c>
      <c r="AG188" s="417">
        <f t="shared" si="237"/>
        <v>-28061.043927720882</v>
      </c>
      <c r="AH188" s="417">
        <f t="shared" si="237"/>
        <v>-29330.351806731673</v>
      </c>
      <c r="AI188" s="417">
        <f t="shared" si="237"/>
        <v>-31376.551985320446</v>
      </c>
      <c r="AJ188" s="417">
        <f t="shared" si="237"/>
        <v>-34630.016269776825</v>
      </c>
      <c r="AK188" s="417">
        <f t="shared" si="237"/>
        <v>-39184.254055639831</v>
      </c>
      <c r="AL188" s="417">
        <f t="shared" si="237"/>
        <v>-44461.275998523699</v>
      </c>
      <c r="AM188" s="417">
        <f t="shared" si="237"/>
        <v>-51491.237007254043</v>
      </c>
      <c r="AN188" s="417">
        <f t="shared" si="237"/>
        <v>-61409.818190909937</v>
      </c>
      <c r="AO188" s="417">
        <f t="shared" si="237"/>
        <v>-75049.872172026386</v>
      </c>
      <c r="AP188" s="417">
        <f t="shared" ref="AP188:BJ188" si="238">-AP187</f>
        <v>-74844.817876474393</v>
      </c>
      <c r="AQ188" s="417">
        <f t="shared" si="238"/>
        <v>-74844.817876474393</v>
      </c>
      <c r="AR188" s="417">
        <f t="shared" si="238"/>
        <v>-74844.817876474393</v>
      </c>
      <c r="AS188" s="417">
        <f t="shared" si="238"/>
        <v>-75049.872172026386</v>
      </c>
      <c r="AT188" s="417">
        <f t="shared" si="238"/>
        <v>-74844.817876474393</v>
      </c>
      <c r="AU188" s="417">
        <f t="shared" si="238"/>
        <v>-73374.463000361488</v>
      </c>
      <c r="AV188" s="417">
        <f t="shared" si="238"/>
        <v>-67415.849864913878</v>
      </c>
      <c r="AW188" s="417">
        <f t="shared" si="238"/>
        <v>-61311.928470101448</v>
      </c>
      <c r="AX188" s="417">
        <f t="shared" si="238"/>
        <v>-54543.718597731095</v>
      </c>
      <c r="AY188" s="417">
        <f t="shared" si="238"/>
        <v>-52788.654653238365</v>
      </c>
      <c r="AZ188" s="417">
        <f t="shared" si="238"/>
        <v>-44679.057853223916</v>
      </c>
      <c r="BA188" s="417">
        <f t="shared" si="238"/>
        <v>-36242.731076609285</v>
      </c>
      <c r="BB188" s="417">
        <f t="shared" si="238"/>
        <v>-27160.250681012705</v>
      </c>
      <c r="BC188" s="417">
        <f t="shared" si="238"/>
        <v>-17705.162672456412</v>
      </c>
      <c r="BD188" s="417">
        <f t="shared" si="238"/>
        <v>-7753.6825434509183</v>
      </c>
      <c r="BE188" s="417">
        <f t="shared" si="238"/>
        <v>0</v>
      </c>
      <c r="BF188" s="417">
        <f t="shared" si="238"/>
        <v>0</v>
      </c>
      <c r="BG188" s="417">
        <f t="shared" si="238"/>
        <v>0</v>
      </c>
      <c r="BH188" s="417">
        <f t="shared" si="238"/>
        <v>0</v>
      </c>
      <c r="BI188" s="417">
        <f t="shared" si="238"/>
        <v>0</v>
      </c>
      <c r="BJ188" s="417">
        <f t="shared" si="238"/>
        <v>0</v>
      </c>
      <c r="BK188" s="417"/>
      <c r="BL188" s="417"/>
      <c r="BM188" s="417"/>
      <c r="BN188" s="417"/>
      <c r="BO188" s="417"/>
      <c r="BP188" s="417"/>
      <c r="BQ188" s="417"/>
      <c r="BR188" s="417"/>
      <c r="BS188" s="417"/>
      <c r="BT188" s="417"/>
      <c r="BU188" s="417"/>
    </row>
    <row r="189" spans="1:73" ht="13.5" thickBot="1" x14ac:dyDescent="0.25">
      <c r="A189" s="299"/>
      <c r="B189" s="299"/>
      <c r="C189" s="426" t="s">
        <v>181</v>
      </c>
      <c r="D189" s="426"/>
      <c r="E189" s="426"/>
      <c r="F189" s="426"/>
      <c r="G189" s="426"/>
      <c r="H189" s="426"/>
      <c r="I189" s="426"/>
      <c r="J189" s="426"/>
      <c r="K189" s="630" t="s">
        <v>62</v>
      </c>
      <c r="L189" s="426"/>
      <c r="M189" s="426"/>
      <c r="N189" s="427">
        <f t="shared" si="232"/>
        <v>-1507327.8967406133</v>
      </c>
      <c r="O189" s="426"/>
      <c r="P189" s="426"/>
      <c r="Q189" s="489"/>
      <c r="R189" s="427">
        <f t="shared" ref="R189:BJ189" si="239">IF(R9&lt;$L$167, - IF(R170,0 - PPMT(R179,1,$N170 - Q171,R182,0),0),-Q190)</f>
        <v>0</v>
      </c>
      <c r="S189" s="427">
        <f t="shared" si="239"/>
        <v>0</v>
      </c>
      <c r="T189" s="427">
        <f t="shared" si="239"/>
        <v>0</v>
      </c>
      <c r="U189" s="427">
        <f t="shared" si="239"/>
        <v>0</v>
      </c>
      <c r="V189" s="427">
        <f t="shared" si="239"/>
        <v>0</v>
      </c>
      <c r="W189" s="427">
        <f t="shared" si="239"/>
        <v>0</v>
      </c>
      <c r="X189" s="427">
        <f t="shared" si="239"/>
        <v>0</v>
      </c>
      <c r="Y189" s="427">
        <f t="shared" si="239"/>
        <v>0</v>
      </c>
      <c r="Z189" s="427">
        <f t="shared" si="239"/>
        <v>0</v>
      </c>
      <c r="AA189" s="427">
        <f t="shared" si="239"/>
        <v>0</v>
      </c>
      <c r="AB189" s="427">
        <f t="shared" si="239"/>
        <v>0</v>
      </c>
      <c r="AC189" s="427">
        <f t="shared" si="239"/>
        <v>0</v>
      </c>
      <c r="AD189" s="427">
        <f t="shared" si="239"/>
        <v>0</v>
      </c>
      <c r="AE189" s="427">
        <f t="shared" si="239"/>
        <v>0</v>
      </c>
      <c r="AF189" s="427">
        <f t="shared" si="239"/>
        <v>0</v>
      </c>
      <c r="AG189" s="427">
        <f t="shared" si="239"/>
        <v>0</v>
      </c>
      <c r="AH189" s="427">
        <f t="shared" si="239"/>
        <v>0</v>
      </c>
      <c r="AI189" s="427">
        <f t="shared" si="239"/>
        <v>0</v>
      </c>
      <c r="AJ189" s="427">
        <f t="shared" si="239"/>
        <v>0</v>
      </c>
      <c r="AK189" s="427">
        <f t="shared" si="239"/>
        <v>0</v>
      </c>
      <c r="AL189" s="427">
        <f t="shared" si="239"/>
        <v>0</v>
      </c>
      <c r="AM189" s="427">
        <f t="shared" si="239"/>
        <v>0</v>
      </c>
      <c r="AN189" s="427">
        <f t="shared" si="239"/>
        <v>0</v>
      </c>
      <c r="AO189" s="427">
        <f t="shared" si="239"/>
        <v>0</v>
      </c>
      <c r="AP189" s="427">
        <f t="shared" si="239"/>
        <v>0</v>
      </c>
      <c r="AQ189" s="427">
        <f t="shared" si="239"/>
        <v>0</v>
      </c>
      <c r="AR189" s="427">
        <f t="shared" si="239"/>
        <v>0</v>
      </c>
      <c r="AS189" s="427">
        <f t="shared" si="239"/>
        <v>0</v>
      </c>
      <c r="AT189" s="427">
        <f t="shared" si="239"/>
        <v>0</v>
      </c>
      <c r="AU189" s="427">
        <f t="shared" si="239"/>
        <v>-110492.42121866169</v>
      </c>
      <c r="AV189" s="427">
        <f t="shared" si="239"/>
        <v>-116293.2733326414</v>
      </c>
      <c r="AW189" s="427">
        <f t="shared" si="239"/>
        <v>-122398.67018260507</v>
      </c>
      <c r="AX189" s="427">
        <f t="shared" si="239"/>
        <v>-128824.60036719183</v>
      </c>
      <c r="AY189" s="427">
        <f t="shared" si="239"/>
        <v>-150378.78197027749</v>
      </c>
      <c r="AZ189" s="427">
        <f t="shared" si="239"/>
        <v>-158273.66802371704</v>
      </c>
      <c r="BA189" s="427">
        <f t="shared" si="239"/>
        <v>-166583.03559496219</v>
      </c>
      <c r="BB189" s="427">
        <f t="shared" si="239"/>
        <v>-175328.6449636977</v>
      </c>
      <c r="BC189" s="427">
        <f t="shared" si="239"/>
        <v>-184533.39882429174</v>
      </c>
      <c r="BD189" s="427">
        <f t="shared" si="239"/>
        <v>-194221.40226256705</v>
      </c>
      <c r="BE189" s="427">
        <f t="shared" si="239"/>
        <v>0</v>
      </c>
      <c r="BF189" s="427">
        <f t="shared" si="239"/>
        <v>0</v>
      </c>
      <c r="BG189" s="427">
        <f t="shared" si="239"/>
        <v>0</v>
      </c>
      <c r="BH189" s="427">
        <f t="shared" si="239"/>
        <v>0</v>
      </c>
      <c r="BI189" s="427">
        <f t="shared" si="239"/>
        <v>0</v>
      </c>
      <c r="BJ189" s="427">
        <f t="shared" si="239"/>
        <v>0</v>
      </c>
      <c r="BK189" s="427"/>
      <c r="BL189" s="427"/>
      <c r="BM189" s="427"/>
      <c r="BN189" s="427"/>
      <c r="BO189" s="427"/>
      <c r="BP189" s="427"/>
      <c r="BQ189" s="427"/>
      <c r="BR189" s="427"/>
      <c r="BS189" s="427"/>
      <c r="BT189" s="427"/>
      <c r="BU189" s="427"/>
    </row>
    <row r="190" spans="1:73" ht="13.5" thickBot="1" x14ac:dyDescent="0.25">
      <c r="A190" s="299"/>
      <c r="B190" s="299"/>
      <c r="C190" s="299" t="s">
        <v>88</v>
      </c>
      <c r="D190" s="299"/>
      <c r="E190" s="299"/>
      <c r="F190" s="299"/>
      <c r="G190" s="299"/>
      <c r="H190" s="299"/>
      <c r="I190" s="299"/>
      <c r="J190" s="299"/>
      <c r="K190" s="410" t="s">
        <v>62</v>
      </c>
      <c r="L190" s="299"/>
      <c r="M190" s="299"/>
      <c r="N190" s="428">
        <f>IF(ROUND(SUM(N183:N189),0)&lt;&gt;0,1,0)</f>
        <v>0</v>
      </c>
      <c r="O190" s="299"/>
      <c r="P190" s="299"/>
      <c r="Q190" s="417"/>
      <c r="R190" s="417">
        <f t="shared" ref="R190:AO190" si="240">SUM(R182:R189)</f>
        <v>0</v>
      </c>
      <c r="S190" s="417">
        <f t="shared" si="240"/>
        <v>0</v>
      </c>
      <c r="T190" s="417">
        <f t="shared" si="240"/>
        <v>400000</v>
      </c>
      <c r="U190" s="417">
        <f t="shared" si="240"/>
        <v>400000</v>
      </c>
      <c r="V190" s="417">
        <f t="shared" si="240"/>
        <v>400000</v>
      </c>
      <c r="W190" s="417">
        <f t="shared" si="240"/>
        <v>400000</v>
      </c>
      <c r="X190" s="417">
        <f t="shared" si="240"/>
        <v>400000</v>
      </c>
      <c r="Y190" s="417">
        <f t="shared" si="240"/>
        <v>402289.84263573081</v>
      </c>
      <c r="Z190" s="417">
        <f t="shared" si="240"/>
        <v>415352.33699628391</v>
      </c>
      <c r="AA190" s="417">
        <f t="shared" si="240"/>
        <v>428569.32217441441</v>
      </c>
      <c r="AB190" s="417">
        <f t="shared" si="240"/>
        <v>437964.77345348534</v>
      </c>
      <c r="AC190" s="417">
        <f t="shared" si="240"/>
        <v>443485.80064742826</v>
      </c>
      <c r="AD190" s="417">
        <f t="shared" si="240"/>
        <v>505326.8864343742</v>
      </c>
      <c r="AE190" s="417">
        <f t="shared" si="240"/>
        <v>505326.88643437426</v>
      </c>
      <c r="AF190" s="417">
        <f t="shared" si="240"/>
        <v>520047.30199854833</v>
      </c>
      <c r="AG190" s="417">
        <f t="shared" si="240"/>
        <v>542793.47032067436</v>
      </c>
      <c r="AH190" s="417">
        <f t="shared" si="240"/>
        <v>575700.82069843961</v>
      </c>
      <c r="AI190" s="417">
        <f t="shared" si="240"/>
        <v>630744.10588179529</v>
      </c>
      <c r="AJ190" s="417">
        <f t="shared" si="240"/>
        <v>710101.58599342103</v>
      </c>
      <c r="AK190" s="417">
        <f t="shared" si="240"/>
        <v>806220.13611920946</v>
      </c>
      <c r="AL190" s="417">
        <f t="shared" si="240"/>
        <v>922460.9191243872</v>
      </c>
      <c r="AM190" s="417">
        <f t="shared" si="240"/>
        <v>1102017.4404322307</v>
      </c>
      <c r="AN190" s="417">
        <f t="shared" si="240"/>
        <v>1406086.5980707521</v>
      </c>
      <c r="AO190" s="417">
        <f t="shared" si="240"/>
        <v>1406086.5980707521</v>
      </c>
      <c r="AP190" s="417">
        <f t="shared" ref="AP190:BJ190" si="241">SUM(AP182:AP189)</f>
        <v>1406086.5980707521</v>
      </c>
      <c r="AQ190" s="417">
        <f t="shared" si="241"/>
        <v>1406086.5980707521</v>
      </c>
      <c r="AR190" s="417">
        <f t="shared" si="241"/>
        <v>1406086.5980707521</v>
      </c>
      <c r="AS190" s="417">
        <f t="shared" si="241"/>
        <v>1406086.5980707521</v>
      </c>
      <c r="AT190" s="417">
        <f t="shared" si="241"/>
        <v>1406086.5980707521</v>
      </c>
      <c r="AU190" s="417">
        <f t="shared" si="241"/>
        <v>1295594.1768520905</v>
      </c>
      <c r="AV190" s="417">
        <f t="shared" si="241"/>
        <v>1179300.9035194491</v>
      </c>
      <c r="AW190" s="417">
        <f t="shared" si="241"/>
        <v>1056902.233336844</v>
      </c>
      <c r="AX190" s="417">
        <f t="shared" si="241"/>
        <v>1029318.9316395134</v>
      </c>
      <c r="AY190" s="417">
        <f t="shared" si="241"/>
        <v>878940.14966923581</v>
      </c>
      <c r="AZ190" s="417">
        <f t="shared" si="241"/>
        <v>720666.4816455188</v>
      </c>
      <c r="BA190" s="417">
        <f t="shared" si="241"/>
        <v>554083.44605055649</v>
      </c>
      <c r="BB190" s="417">
        <f t="shared" si="241"/>
        <v>378754.80108685879</v>
      </c>
      <c r="BC190" s="417">
        <f t="shared" si="241"/>
        <v>194221.40226256705</v>
      </c>
      <c r="BD190" s="417">
        <f t="shared" si="241"/>
        <v>0</v>
      </c>
      <c r="BE190" s="417">
        <f t="shared" si="241"/>
        <v>0</v>
      </c>
      <c r="BF190" s="417">
        <f t="shared" si="241"/>
        <v>0</v>
      </c>
      <c r="BG190" s="417">
        <f t="shared" si="241"/>
        <v>0</v>
      </c>
      <c r="BH190" s="417">
        <f t="shared" si="241"/>
        <v>0</v>
      </c>
      <c r="BI190" s="417">
        <f t="shared" si="241"/>
        <v>0</v>
      </c>
      <c r="BJ190" s="417">
        <f t="shared" si="241"/>
        <v>0</v>
      </c>
      <c r="BK190" s="417"/>
      <c r="BL190" s="417"/>
      <c r="BM190" s="417"/>
      <c r="BN190" s="417"/>
      <c r="BO190" s="417"/>
      <c r="BP190" s="417"/>
      <c r="BQ190" s="417"/>
      <c r="BR190" s="417"/>
      <c r="BS190" s="417"/>
      <c r="BT190" s="417"/>
      <c r="BU190" s="417"/>
    </row>
    <row r="191" spans="1:73" x14ac:dyDescent="0.2">
      <c r="A191" s="299"/>
      <c r="B191" s="299"/>
      <c r="C191" s="299"/>
      <c r="D191" s="299"/>
      <c r="E191" s="299"/>
      <c r="F191" s="299"/>
      <c r="G191" s="299"/>
      <c r="H191" s="299"/>
      <c r="I191" s="299"/>
      <c r="J191" s="299"/>
      <c r="K191" s="410"/>
      <c r="L191" s="299"/>
      <c r="M191" s="299"/>
      <c r="N191" s="299"/>
      <c r="O191" s="299"/>
      <c r="P191" s="299"/>
      <c r="Q191" s="417"/>
      <c r="R191" s="417"/>
      <c r="S191" s="417"/>
      <c r="T191" s="417"/>
      <c r="U191" s="417"/>
      <c r="V191" s="417"/>
      <c r="W191" s="417"/>
      <c r="X191" s="417"/>
      <c r="Y191" s="417"/>
      <c r="Z191" s="417"/>
      <c r="AA191" s="417"/>
      <c r="AB191" s="417"/>
      <c r="AC191" s="417"/>
      <c r="AD191" s="417"/>
      <c r="AE191" s="417"/>
      <c r="AF191" s="417"/>
      <c r="AG191" s="417"/>
      <c r="AH191" s="417"/>
      <c r="AI191" s="417"/>
      <c r="AJ191" s="417"/>
      <c r="AK191" s="417"/>
      <c r="AL191" s="417"/>
      <c r="AM191" s="417"/>
      <c r="AN191" s="417"/>
      <c r="AO191" s="417"/>
      <c r="AP191" s="417"/>
      <c r="AQ191" s="417"/>
      <c r="AR191" s="417"/>
      <c r="AS191" s="417"/>
      <c r="AT191" s="417"/>
      <c r="AU191" s="417"/>
      <c r="AV191" s="417"/>
      <c r="AW191" s="417"/>
      <c r="AX191" s="417"/>
      <c r="AY191" s="417"/>
      <c r="AZ191" s="417"/>
      <c r="BA191" s="417"/>
      <c r="BB191" s="417"/>
      <c r="BC191" s="417"/>
      <c r="BD191" s="417"/>
      <c r="BE191" s="417"/>
      <c r="BF191" s="417"/>
      <c r="BG191" s="417"/>
      <c r="BH191" s="417"/>
      <c r="BI191" s="417"/>
      <c r="BJ191" s="417"/>
      <c r="BK191" s="417"/>
      <c r="BL191" s="417"/>
      <c r="BM191" s="417"/>
      <c r="BN191" s="417"/>
      <c r="BO191" s="417"/>
      <c r="BP191" s="417"/>
      <c r="BQ191" s="417"/>
      <c r="BR191" s="417"/>
      <c r="BS191" s="417"/>
      <c r="BT191" s="417"/>
      <c r="BU191" s="417"/>
    </row>
    <row r="192" spans="1:73" x14ac:dyDescent="0.2">
      <c r="A192" s="299"/>
      <c r="B192" s="439" t="s">
        <v>163</v>
      </c>
      <c r="C192" s="299"/>
      <c r="D192" s="299"/>
      <c r="E192" s="299"/>
      <c r="F192" s="299"/>
      <c r="G192" s="299"/>
      <c r="H192" s="299"/>
      <c r="I192" s="299"/>
      <c r="J192" s="299"/>
      <c r="K192" s="410"/>
      <c r="L192" s="299"/>
      <c r="M192" s="299"/>
      <c r="N192" s="299"/>
      <c r="O192" s="299"/>
      <c r="P192" s="299"/>
      <c r="Q192" s="299"/>
      <c r="R192" s="299"/>
      <c r="S192" s="299"/>
      <c r="T192" s="299"/>
      <c r="U192" s="299"/>
      <c r="V192" s="299"/>
      <c r="W192" s="299"/>
      <c r="X192" s="299"/>
      <c r="Y192" s="299"/>
      <c r="Z192" s="299"/>
      <c r="AA192" s="299"/>
      <c r="AB192" s="299"/>
      <c r="AC192" s="299"/>
      <c r="AD192" s="299"/>
      <c r="AE192" s="299"/>
      <c r="AF192" s="299"/>
      <c r="AG192" s="299"/>
      <c r="AH192" s="299"/>
      <c r="AI192" s="299"/>
      <c r="AJ192" s="299"/>
      <c r="AK192" s="299"/>
      <c r="AL192" s="299"/>
      <c r="AM192" s="299"/>
      <c r="AN192" s="299"/>
      <c r="AO192" s="299"/>
      <c r="AP192" s="299"/>
      <c r="AQ192" s="299"/>
      <c r="AR192" s="299"/>
      <c r="AS192" s="299"/>
      <c r="AT192" s="299"/>
      <c r="AU192" s="490"/>
      <c r="AV192" s="299"/>
      <c r="AW192" s="299"/>
      <c r="AX192" s="299"/>
      <c r="AY192" s="299"/>
      <c r="AZ192" s="299"/>
      <c r="BA192" s="299"/>
      <c r="BB192" s="299"/>
      <c r="BC192" s="299"/>
      <c r="BD192" s="299"/>
      <c r="BE192" s="299"/>
      <c r="BF192" s="299"/>
      <c r="BG192" s="299"/>
      <c r="BH192" s="299"/>
      <c r="BI192" s="299"/>
      <c r="BJ192" s="299"/>
      <c r="BK192" s="299"/>
      <c r="BL192" s="299"/>
      <c r="BM192" s="299"/>
      <c r="BN192" s="299"/>
      <c r="BO192" s="299"/>
      <c r="BP192" s="299"/>
      <c r="BQ192" s="299"/>
      <c r="BR192" s="299"/>
      <c r="BS192" s="299"/>
      <c r="BT192" s="299"/>
      <c r="BU192" s="299"/>
    </row>
    <row r="193" spans="1:73" x14ac:dyDescent="0.2">
      <c r="A193" s="299"/>
      <c r="B193" s="299"/>
      <c r="C193" s="299" t="s">
        <v>17</v>
      </c>
      <c r="D193" s="299"/>
      <c r="E193" s="299"/>
      <c r="F193" s="299"/>
      <c r="G193" s="299"/>
      <c r="H193" s="299"/>
      <c r="I193" s="299"/>
      <c r="J193" s="299"/>
      <c r="K193" s="410" t="s">
        <v>62</v>
      </c>
      <c r="L193" s="311"/>
      <c r="M193" s="311"/>
      <c r="N193" s="417">
        <f t="shared" ref="N193" si="242">SUM(Q193:BJ193)</f>
        <v>15073.278967406135</v>
      </c>
      <c r="O193" s="299"/>
      <c r="P193" s="299"/>
      <c r="Q193" s="417"/>
      <c r="R193" s="417">
        <f>+(SUM(R183:R186))*Inputs!$L$139</f>
        <v>0</v>
      </c>
      <c r="S193" s="417">
        <f>+(SUM(S183:S186))*Inputs!$L$139</f>
        <v>0</v>
      </c>
      <c r="T193" s="417">
        <f>+(SUM(T183:T186))*Inputs!$L$139</f>
        <v>4000</v>
      </c>
      <c r="U193" s="417">
        <f>+(SUM(U183:U186))*Inputs!$L$139</f>
        <v>0</v>
      </c>
      <c r="V193" s="417">
        <f>+(SUM(V183:V186))*Inputs!$L$139</f>
        <v>0</v>
      </c>
      <c r="W193" s="417">
        <f>+(SUM(W183:W186))*Inputs!$L$139</f>
        <v>0</v>
      </c>
      <c r="X193" s="417">
        <f>+(SUM(X183:X186))*Inputs!$L$139</f>
        <v>0</v>
      </c>
      <c r="Y193" s="417">
        <f>+(SUM(Y183:Y186))*Inputs!$L$139</f>
        <v>22.898426357308054</v>
      </c>
      <c r="Z193" s="417">
        <f>+(SUM(Z183:Z186))*Inputs!$L$139</f>
        <v>130.624943605531</v>
      </c>
      <c r="AA193" s="417">
        <f>+(SUM(AA183:AA186))*Inputs!$L$139</f>
        <v>132.16985178130474</v>
      </c>
      <c r="AB193" s="417">
        <f>+(SUM(AB183:AB186))*Inputs!$L$139</f>
        <v>93.954512790708975</v>
      </c>
      <c r="AC193" s="417">
        <f>+(SUM(AC183:AC186))*Inputs!$L$139</f>
        <v>55.210271939429219</v>
      </c>
      <c r="AD193" s="417">
        <f>+(SUM(AD183:AD186))*Inputs!$L$139</f>
        <v>618.4108578694603</v>
      </c>
      <c r="AE193" s="417">
        <f>+(SUM(AE183:AE186))*Inputs!$L$139</f>
        <v>0</v>
      </c>
      <c r="AF193" s="417">
        <f>+(SUM(AF183:AF186))*Inputs!$L$139</f>
        <v>147.20415564174067</v>
      </c>
      <c r="AG193" s="417">
        <f>+(SUM(AG183:AG186))*Inputs!$L$139</f>
        <v>227.4616832212609</v>
      </c>
      <c r="AH193" s="417">
        <f>+(SUM(AH183:AH186))*Inputs!$L$139</f>
        <v>329.07350377765192</v>
      </c>
      <c r="AI193" s="417">
        <f>+(SUM(AI183:AI186))*Inputs!$L$139</f>
        <v>550.43285183355624</v>
      </c>
      <c r="AJ193" s="417">
        <f>+(SUM(AJ183:AJ186))*Inputs!$L$139</f>
        <v>793.5748011162575</v>
      </c>
      <c r="AK193" s="417">
        <f>+(SUM(AK183:AK186))*Inputs!$L$139</f>
        <v>961.18550125788488</v>
      </c>
      <c r="AL193" s="417">
        <f>+(SUM(AL183:AL186))*Inputs!$L$139</f>
        <v>1162.4078300517774</v>
      </c>
      <c r="AM193" s="417">
        <f>+(SUM(AM183:AM186))*Inputs!$L$139</f>
        <v>1795.5652130784356</v>
      </c>
      <c r="AN193" s="417">
        <f>+(SUM(AN183:AN186))*Inputs!$L$139</f>
        <v>3040.6915763852139</v>
      </c>
      <c r="AO193" s="417">
        <f>+(SUM(AO183:AO186))*Inputs!$L$139</f>
        <v>0</v>
      </c>
      <c r="AP193" s="417">
        <f>+(SUM(AP183:AP186))*Inputs!$L$139</f>
        <v>0</v>
      </c>
      <c r="AQ193" s="417">
        <f>+(SUM(AQ183:AQ186))*Inputs!$L$139</f>
        <v>0</v>
      </c>
      <c r="AR193" s="417">
        <f>+(SUM(AR183:AR186))*Inputs!$L$139</f>
        <v>0</v>
      </c>
      <c r="AS193" s="417">
        <f>+(SUM(AS183:AS186))*Inputs!$L$139</f>
        <v>0</v>
      </c>
      <c r="AT193" s="417">
        <f>+(SUM(AT183:AT186))*Inputs!$L$139</f>
        <v>0</v>
      </c>
      <c r="AU193" s="417">
        <f>+(SUM(AU183:AU186))*Inputs!$L$139</f>
        <v>0</v>
      </c>
      <c r="AV193" s="417">
        <f>+(SUM(AV183:AV186))*Inputs!$L$139</f>
        <v>0</v>
      </c>
      <c r="AW193" s="417">
        <f>+(SUM(AW183:AW186))*Inputs!$L$139</f>
        <v>0</v>
      </c>
      <c r="AX193" s="417">
        <f>+(SUM(AX183:AX186))*Inputs!$L$139</f>
        <v>1012.4129866986125</v>
      </c>
      <c r="AY193" s="417">
        <f>+(SUM(AY183:AY186))*Inputs!$L$139</f>
        <v>0</v>
      </c>
      <c r="AZ193" s="417">
        <f>+(SUM(AZ183:AZ186))*Inputs!$L$139</f>
        <v>0</v>
      </c>
      <c r="BA193" s="417">
        <f>+(SUM(BA183:BA186))*Inputs!$L$139</f>
        <v>0</v>
      </c>
      <c r="BB193" s="417">
        <f>+(SUM(BB183:BB186))*Inputs!$L$139</f>
        <v>0</v>
      </c>
      <c r="BC193" s="417">
        <f>+(SUM(BC183:BC186))*Inputs!$L$139</f>
        <v>0</v>
      </c>
      <c r="BD193" s="417">
        <f>+(SUM(BD183:BD186))*Inputs!$L$139</f>
        <v>0</v>
      </c>
      <c r="BE193" s="417">
        <f>+(SUM(BE183:BE186))*Inputs!$L$139</f>
        <v>0</v>
      </c>
      <c r="BF193" s="417">
        <f>+(SUM(BF183:BF186))*Inputs!$L$139</f>
        <v>0</v>
      </c>
      <c r="BG193" s="417">
        <f>+(SUM(BG183:BG186))*Inputs!$L$139</f>
        <v>0</v>
      </c>
      <c r="BH193" s="417">
        <f>+(SUM(BH183:BH186))*Inputs!$L$139</f>
        <v>0</v>
      </c>
      <c r="BI193" s="417">
        <f>+(SUM(BI183:BI186))*Inputs!$L$139</f>
        <v>0</v>
      </c>
      <c r="BJ193" s="417">
        <f>+(SUM(BJ183:BJ186))*Inputs!$L$139</f>
        <v>0</v>
      </c>
      <c r="BK193" s="417"/>
      <c r="BL193" s="417"/>
      <c r="BM193" s="417"/>
      <c r="BN193" s="417"/>
      <c r="BO193" s="417"/>
      <c r="BP193" s="417"/>
      <c r="BQ193" s="417"/>
      <c r="BR193" s="417"/>
      <c r="BS193" s="417"/>
      <c r="BT193" s="417"/>
      <c r="BU193" s="417"/>
    </row>
    <row r="194" spans="1:73" x14ac:dyDescent="0.2">
      <c r="A194" s="299"/>
      <c r="B194" s="299"/>
      <c r="C194" s="299"/>
      <c r="D194" s="299"/>
      <c r="E194" s="299"/>
      <c r="F194" s="299"/>
      <c r="G194" s="299"/>
      <c r="H194" s="299"/>
      <c r="I194" s="299"/>
      <c r="J194" s="299"/>
      <c r="K194" s="410"/>
      <c r="L194" s="299"/>
      <c r="M194" s="299"/>
      <c r="N194" s="299"/>
      <c r="O194" s="299"/>
      <c r="P194" s="299"/>
      <c r="Q194" s="299"/>
      <c r="R194" s="299"/>
      <c r="S194" s="299"/>
      <c r="T194" s="299"/>
      <c r="U194" s="299"/>
      <c r="V194" s="299"/>
      <c r="W194" s="299"/>
      <c r="X194" s="299"/>
      <c r="Y194" s="299"/>
      <c r="Z194" s="299"/>
      <c r="AA194" s="299"/>
      <c r="AB194" s="299"/>
      <c r="AC194" s="299"/>
      <c r="AD194" s="299"/>
      <c r="AE194" s="299"/>
      <c r="AF194" s="299"/>
      <c r="AG194" s="299"/>
      <c r="AH194" s="299"/>
      <c r="AI194" s="299"/>
      <c r="AJ194" s="299"/>
      <c r="AK194" s="299"/>
      <c r="AL194" s="299"/>
      <c r="AM194" s="299"/>
      <c r="AN194" s="299"/>
      <c r="AO194" s="299"/>
      <c r="AP194" s="299"/>
      <c r="AQ194" s="299"/>
      <c r="AR194" s="299"/>
      <c r="AS194" s="299"/>
      <c r="AT194" s="299"/>
      <c r="AU194" s="299"/>
      <c r="AV194" s="299"/>
      <c r="AW194" s="299"/>
      <c r="AX194" s="299"/>
      <c r="AY194" s="299"/>
      <c r="AZ194" s="299"/>
      <c r="BA194" s="299"/>
      <c r="BB194" s="299"/>
      <c r="BC194" s="299"/>
      <c r="BD194" s="299"/>
      <c r="BE194" s="299"/>
      <c r="BF194" s="299"/>
      <c r="BG194" s="299"/>
      <c r="BH194" s="299"/>
      <c r="BI194" s="299"/>
      <c r="BJ194" s="299"/>
      <c r="BK194" s="299"/>
      <c r="BL194" s="299"/>
      <c r="BM194" s="299"/>
      <c r="BN194" s="299"/>
      <c r="BO194" s="299"/>
      <c r="BP194" s="299"/>
      <c r="BQ194" s="299"/>
      <c r="BR194" s="299"/>
      <c r="BS194" s="299"/>
      <c r="BT194" s="299"/>
      <c r="BU194" s="299"/>
    </row>
    <row r="195" spans="1:73" x14ac:dyDescent="0.2">
      <c r="A195" s="299"/>
      <c r="B195" s="299" t="s">
        <v>279</v>
      </c>
      <c r="C195" s="299"/>
      <c r="D195" s="299"/>
      <c r="E195" s="299"/>
      <c r="F195" s="299"/>
      <c r="G195" s="299"/>
      <c r="H195" s="299"/>
      <c r="I195" s="299"/>
      <c r="J195" s="299"/>
      <c r="K195" s="410"/>
      <c r="L195" s="413">
        <f t="array" ref="L195">MIN(U195:BU195)</f>
        <v>56979</v>
      </c>
      <c r="M195" s="299"/>
      <c r="N195" s="299"/>
      <c r="O195" s="299"/>
      <c r="P195" s="299"/>
      <c r="Q195" s="413"/>
      <c r="R195" s="413"/>
      <c r="S195" s="413"/>
      <c r="T195" s="413"/>
      <c r="U195" s="413" t="str">
        <f t="shared" ref="U195:BJ195" si="243">IF(U190=0,U9,"")</f>
        <v/>
      </c>
      <c r="V195" s="413" t="str">
        <f t="shared" si="243"/>
        <v/>
      </c>
      <c r="W195" s="413" t="str">
        <f t="shared" si="243"/>
        <v/>
      </c>
      <c r="X195" s="413" t="str">
        <f t="shared" si="243"/>
        <v/>
      </c>
      <c r="Y195" s="413" t="str">
        <f t="shared" si="243"/>
        <v/>
      </c>
      <c r="Z195" s="413" t="str">
        <f t="shared" si="243"/>
        <v/>
      </c>
      <c r="AA195" s="413" t="str">
        <f t="shared" si="243"/>
        <v/>
      </c>
      <c r="AB195" s="413" t="str">
        <f t="shared" si="243"/>
        <v/>
      </c>
      <c r="AC195" s="413" t="str">
        <f t="shared" si="243"/>
        <v/>
      </c>
      <c r="AD195" s="413" t="str">
        <f t="shared" si="243"/>
        <v/>
      </c>
      <c r="AE195" s="413" t="str">
        <f t="shared" si="243"/>
        <v/>
      </c>
      <c r="AF195" s="413" t="str">
        <f t="shared" si="243"/>
        <v/>
      </c>
      <c r="AG195" s="413" t="str">
        <f t="shared" si="243"/>
        <v/>
      </c>
      <c r="AH195" s="413" t="str">
        <f t="shared" si="243"/>
        <v/>
      </c>
      <c r="AI195" s="413" t="str">
        <f t="shared" si="243"/>
        <v/>
      </c>
      <c r="AJ195" s="413" t="str">
        <f t="shared" si="243"/>
        <v/>
      </c>
      <c r="AK195" s="413" t="str">
        <f t="shared" si="243"/>
        <v/>
      </c>
      <c r="AL195" s="413" t="str">
        <f t="shared" si="243"/>
        <v/>
      </c>
      <c r="AM195" s="413" t="str">
        <f t="shared" si="243"/>
        <v/>
      </c>
      <c r="AN195" s="413" t="str">
        <f t="shared" si="243"/>
        <v/>
      </c>
      <c r="AO195" s="413" t="str">
        <f t="shared" si="243"/>
        <v/>
      </c>
      <c r="AP195" s="413" t="str">
        <f t="shared" si="243"/>
        <v/>
      </c>
      <c r="AQ195" s="413" t="str">
        <f t="shared" si="243"/>
        <v/>
      </c>
      <c r="AR195" s="413" t="str">
        <f t="shared" si="243"/>
        <v/>
      </c>
      <c r="AS195" s="413" t="str">
        <f t="shared" si="243"/>
        <v/>
      </c>
      <c r="AT195" s="413" t="str">
        <f t="shared" si="243"/>
        <v/>
      </c>
      <c r="AU195" s="413" t="str">
        <f t="shared" si="243"/>
        <v/>
      </c>
      <c r="AV195" s="413" t="str">
        <f t="shared" si="243"/>
        <v/>
      </c>
      <c r="AW195" s="413" t="str">
        <f t="shared" si="243"/>
        <v/>
      </c>
      <c r="AX195" s="413" t="str">
        <f t="shared" si="243"/>
        <v/>
      </c>
      <c r="AY195" s="413" t="str">
        <f t="shared" si="243"/>
        <v/>
      </c>
      <c r="AZ195" s="413" t="str">
        <f t="shared" si="243"/>
        <v/>
      </c>
      <c r="BA195" s="413" t="str">
        <f t="shared" si="243"/>
        <v/>
      </c>
      <c r="BB195" s="413" t="str">
        <f t="shared" si="243"/>
        <v/>
      </c>
      <c r="BC195" s="413" t="str">
        <f t="shared" si="243"/>
        <v/>
      </c>
      <c r="BD195" s="413">
        <f t="shared" si="243"/>
        <v>56979</v>
      </c>
      <c r="BE195" s="413">
        <f t="shared" si="243"/>
        <v>57345</v>
      </c>
      <c r="BF195" s="413">
        <f t="shared" si="243"/>
        <v>57710</v>
      </c>
      <c r="BG195" s="413">
        <f t="shared" si="243"/>
        <v>58075</v>
      </c>
      <c r="BH195" s="413">
        <f t="shared" si="243"/>
        <v>58440</v>
      </c>
      <c r="BI195" s="413">
        <f t="shared" si="243"/>
        <v>58806</v>
      </c>
      <c r="BJ195" s="413">
        <f t="shared" si="243"/>
        <v>59171</v>
      </c>
      <c r="BK195" s="413"/>
      <c r="BL195" s="413"/>
      <c r="BM195" s="413"/>
      <c r="BN195" s="413"/>
      <c r="BO195" s="413"/>
      <c r="BP195" s="413"/>
      <c r="BQ195" s="413"/>
      <c r="BR195" s="413"/>
      <c r="BS195" s="413"/>
      <c r="BT195" s="413"/>
      <c r="BU195" s="413"/>
    </row>
    <row r="196" spans="1:73" x14ac:dyDescent="0.2">
      <c r="A196" s="299"/>
      <c r="B196" s="299"/>
      <c r="C196" s="299"/>
      <c r="D196" s="299"/>
      <c r="E196" s="299"/>
      <c r="F196" s="299"/>
      <c r="G196" s="299"/>
      <c r="H196" s="299"/>
      <c r="I196" s="299"/>
      <c r="J196" s="299"/>
      <c r="K196" s="410"/>
      <c r="L196" s="299"/>
      <c r="M196" s="299"/>
      <c r="N196" s="299"/>
      <c r="O196" s="299"/>
      <c r="P196" s="299"/>
      <c r="Q196" s="417"/>
      <c r="R196" s="417"/>
      <c r="S196" s="417"/>
      <c r="T196" s="417"/>
      <c r="U196" s="417"/>
      <c r="V196" s="417"/>
      <c r="W196" s="417"/>
      <c r="X196" s="417"/>
      <c r="Y196" s="417"/>
      <c r="Z196" s="417"/>
      <c r="AA196" s="417"/>
      <c r="AB196" s="417"/>
      <c r="AC196" s="417"/>
      <c r="AD196" s="417"/>
      <c r="AE196" s="417"/>
      <c r="AF196" s="417"/>
      <c r="AG196" s="417"/>
      <c r="AH196" s="417"/>
      <c r="AI196" s="417"/>
      <c r="AJ196" s="417"/>
      <c r="AK196" s="417"/>
      <c r="AL196" s="417"/>
      <c r="AM196" s="417"/>
      <c r="AN196" s="417"/>
      <c r="AO196" s="417"/>
      <c r="AP196" s="417"/>
      <c r="AQ196" s="417"/>
      <c r="AR196" s="417"/>
      <c r="AS196" s="417"/>
      <c r="AT196" s="417"/>
      <c r="AU196" s="417"/>
      <c r="AV196" s="417"/>
      <c r="AW196" s="417"/>
      <c r="AX196" s="417"/>
      <c r="AY196" s="417"/>
      <c r="AZ196" s="417"/>
      <c r="BA196" s="417"/>
      <c r="BB196" s="417"/>
      <c r="BC196" s="417"/>
      <c r="BD196" s="417"/>
      <c r="BE196" s="417"/>
      <c r="BF196" s="417"/>
      <c r="BG196" s="417"/>
      <c r="BH196" s="417"/>
      <c r="BI196" s="417"/>
      <c r="BJ196" s="417"/>
      <c r="BK196" s="417"/>
      <c r="BL196" s="417"/>
      <c r="BM196" s="417"/>
      <c r="BN196" s="417"/>
      <c r="BO196" s="417"/>
      <c r="BP196" s="417"/>
      <c r="BQ196" s="417"/>
      <c r="BR196" s="417"/>
      <c r="BS196" s="417"/>
      <c r="BT196" s="417"/>
      <c r="BU196" s="417"/>
    </row>
    <row r="197" spans="1:73" ht="15.75" x14ac:dyDescent="0.25">
      <c r="A197" s="418"/>
      <c r="B197" s="418" t="s">
        <v>24</v>
      </c>
      <c r="C197" s="418"/>
      <c r="D197" s="418"/>
      <c r="E197" s="418"/>
      <c r="F197" s="418"/>
      <c r="G197" s="418"/>
      <c r="H197" s="418"/>
      <c r="I197" s="418"/>
      <c r="J197" s="418"/>
      <c r="K197" s="628"/>
      <c r="L197" s="418"/>
      <c r="M197" s="418"/>
      <c r="N197" s="418"/>
      <c r="O197" s="419"/>
      <c r="P197" s="420"/>
      <c r="Q197" s="420"/>
      <c r="R197" s="420"/>
      <c r="S197" s="420"/>
      <c r="T197" s="420"/>
      <c r="U197" s="420"/>
      <c r="V197" s="420"/>
      <c r="W197" s="420"/>
      <c r="X197" s="420"/>
      <c r="Y197" s="420"/>
      <c r="Z197" s="420"/>
      <c r="AA197" s="420"/>
      <c r="AB197" s="420"/>
      <c r="AC197" s="420"/>
      <c r="AD197" s="420"/>
      <c r="AE197" s="420"/>
      <c r="AF197" s="420"/>
      <c r="AG197" s="420"/>
      <c r="AH197" s="420"/>
      <c r="AI197" s="420"/>
      <c r="AJ197" s="420"/>
      <c r="AK197" s="420"/>
      <c r="AL197" s="420"/>
      <c r="AM197" s="420"/>
      <c r="AN197" s="420"/>
      <c r="AO197" s="420"/>
      <c r="AP197" s="420"/>
      <c r="AQ197" s="420"/>
      <c r="AR197" s="420"/>
      <c r="AS197" s="420"/>
      <c r="AT197" s="420"/>
      <c r="AU197" s="420"/>
      <c r="AV197" s="420"/>
      <c r="AW197" s="420"/>
      <c r="AX197" s="420"/>
      <c r="AY197" s="420"/>
      <c r="AZ197" s="420"/>
      <c r="BA197" s="420"/>
      <c r="BB197" s="420"/>
      <c r="BC197" s="420"/>
      <c r="BD197" s="420"/>
      <c r="BE197" s="420"/>
      <c r="BF197" s="420"/>
      <c r="BG197" s="420"/>
      <c r="BH197" s="420"/>
      <c r="BI197" s="420"/>
      <c r="BJ197" s="421"/>
      <c r="BK197" s="420"/>
      <c r="BL197" s="420"/>
      <c r="BM197" s="420"/>
      <c r="BN197" s="420"/>
      <c r="BO197" s="420"/>
      <c r="BP197" s="420"/>
      <c r="BQ197" s="420"/>
      <c r="BR197" s="420"/>
      <c r="BS197" s="420"/>
      <c r="BT197" s="420"/>
      <c r="BU197" s="420"/>
    </row>
    <row r="198" spans="1:73" x14ac:dyDescent="0.2">
      <c r="A198" s="299"/>
      <c r="B198" s="299"/>
      <c r="C198" s="299"/>
      <c r="D198" s="299"/>
      <c r="E198" s="299"/>
      <c r="F198" s="299"/>
      <c r="G198" s="299"/>
      <c r="H198" s="299"/>
      <c r="I198" s="299"/>
      <c r="J198" s="299"/>
      <c r="K198" s="410"/>
      <c r="L198" s="299"/>
      <c r="M198" s="299"/>
      <c r="N198" s="299"/>
      <c r="O198" s="299"/>
      <c r="P198" s="299"/>
      <c r="Q198" s="299"/>
      <c r="R198" s="299"/>
      <c r="S198" s="299"/>
      <c r="T198" s="299"/>
      <c r="U198" s="299"/>
      <c r="V198" s="299"/>
      <c r="W198" s="299"/>
      <c r="X198" s="299"/>
      <c r="Y198" s="299"/>
      <c r="Z198" s="299"/>
      <c r="AA198" s="299"/>
      <c r="AB198" s="299"/>
      <c r="AC198" s="299"/>
      <c r="AD198" s="299"/>
      <c r="AE198" s="299"/>
      <c r="AF198" s="299"/>
      <c r="AG198" s="299"/>
      <c r="AH198" s="299"/>
      <c r="AI198" s="299"/>
      <c r="AJ198" s="299"/>
      <c r="AK198" s="299"/>
      <c r="AL198" s="299"/>
      <c r="AM198" s="299"/>
      <c r="AN198" s="299"/>
      <c r="AO198" s="299"/>
      <c r="AP198" s="299"/>
      <c r="AQ198" s="299"/>
      <c r="AR198" s="299"/>
      <c r="AS198" s="299"/>
      <c r="AT198" s="299"/>
      <c r="AU198" s="299"/>
      <c r="AV198" s="299"/>
      <c r="AW198" s="299"/>
      <c r="AX198" s="299"/>
      <c r="AY198" s="299"/>
      <c r="AZ198" s="299"/>
      <c r="BA198" s="299"/>
      <c r="BB198" s="299"/>
      <c r="BC198" s="299"/>
      <c r="BD198" s="299"/>
      <c r="BE198" s="299"/>
      <c r="BF198" s="299"/>
      <c r="BG198" s="299"/>
      <c r="BH198" s="299"/>
      <c r="BI198" s="299"/>
      <c r="BJ198" s="299"/>
      <c r="BK198" s="299"/>
      <c r="BL198" s="299"/>
      <c r="BM198" s="299"/>
      <c r="BN198" s="299"/>
      <c r="BO198" s="299"/>
      <c r="BP198" s="299"/>
      <c r="BQ198" s="299"/>
      <c r="BR198" s="299"/>
      <c r="BS198" s="299"/>
      <c r="BT198" s="299"/>
      <c r="BU198" s="299"/>
    </row>
    <row r="199" spans="1:73" x14ac:dyDescent="0.2">
      <c r="A199" s="299"/>
      <c r="B199" s="439" t="s">
        <v>168</v>
      </c>
      <c r="C199" s="299"/>
      <c r="D199" s="299"/>
      <c r="E199" s="299"/>
      <c r="F199" s="299"/>
      <c r="G199" s="299"/>
      <c r="H199" s="299"/>
      <c r="I199" s="299"/>
      <c r="J199" s="299"/>
      <c r="K199" s="410"/>
      <c r="L199" s="299"/>
      <c r="M199" s="299"/>
      <c r="N199" s="299"/>
      <c r="O199" s="299"/>
      <c r="P199" s="299"/>
      <c r="Q199" s="299"/>
      <c r="R199" s="299"/>
      <c r="S199" s="299"/>
      <c r="T199" s="299"/>
      <c r="U199" s="299"/>
      <c r="V199" s="299"/>
      <c r="W199" s="299"/>
      <c r="X199" s="299"/>
      <c r="Y199" s="299"/>
      <c r="Z199" s="299"/>
      <c r="AA199" s="299"/>
      <c r="AB199" s="299"/>
      <c r="AC199" s="299"/>
      <c r="AD199" s="299"/>
      <c r="AE199" s="299"/>
      <c r="AF199" s="299"/>
      <c r="AG199" s="299"/>
      <c r="AH199" s="299"/>
      <c r="AI199" s="299"/>
      <c r="AJ199" s="299"/>
      <c r="AK199" s="299"/>
      <c r="AL199" s="299"/>
      <c r="AM199" s="299"/>
      <c r="AN199" s="299"/>
      <c r="AO199" s="299"/>
      <c r="AP199" s="299"/>
      <c r="AQ199" s="299"/>
      <c r="AR199" s="299"/>
      <c r="AS199" s="299"/>
      <c r="AT199" s="299"/>
      <c r="AU199" s="299"/>
      <c r="AV199" s="299"/>
      <c r="AW199" s="299"/>
      <c r="AX199" s="299"/>
      <c r="AY199" s="299"/>
      <c r="AZ199" s="299"/>
      <c r="BA199" s="299"/>
      <c r="BB199" s="299"/>
      <c r="BC199" s="299"/>
      <c r="BD199" s="299"/>
      <c r="BE199" s="299"/>
      <c r="BF199" s="299"/>
      <c r="BG199" s="299"/>
      <c r="BH199" s="299"/>
      <c r="BI199" s="299"/>
      <c r="BJ199" s="299"/>
      <c r="BK199" s="299"/>
      <c r="BL199" s="299"/>
      <c r="BM199" s="299"/>
      <c r="BN199" s="299"/>
      <c r="BO199" s="299"/>
      <c r="BP199" s="299"/>
      <c r="BQ199" s="299"/>
      <c r="BR199" s="299"/>
      <c r="BS199" s="299"/>
      <c r="BT199" s="299"/>
      <c r="BU199" s="299"/>
    </row>
    <row r="200" spans="1:73" x14ac:dyDescent="0.2">
      <c r="A200" s="299"/>
      <c r="B200" s="299"/>
      <c r="C200" s="299" t="s">
        <v>169</v>
      </c>
      <c r="D200" s="299"/>
      <c r="E200" s="299"/>
      <c r="F200" s="299"/>
      <c r="G200" s="299"/>
      <c r="H200" s="299"/>
      <c r="I200" s="299"/>
      <c r="J200" s="299"/>
      <c r="K200" s="410" t="s">
        <v>131</v>
      </c>
      <c r="L200" s="348">
        <f>+Inputs!L145</f>
        <v>1</v>
      </c>
      <c r="M200" s="299"/>
      <c r="N200" s="299"/>
      <c r="O200" s="299"/>
      <c r="P200" s="299"/>
      <c r="Q200" s="299"/>
      <c r="R200" s="299"/>
      <c r="S200" s="299"/>
      <c r="T200" s="299"/>
      <c r="U200" s="299"/>
      <c r="V200" s="299"/>
      <c r="W200" s="299"/>
      <c r="X200" s="299"/>
      <c r="Y200" s="299"/>
      <c r="Z200" s="299"/>
      <c r="AA200" s="299"/>
      <c r="AB200" s="299"/>
      <c r="AC200" s="299"/>
      <c r="AD200" s="299"/>
      <c r="AE200" s="299"/>
      <c r="AF200" s="299"/>
      <c r="AG200" s="299"/>
      <c r="AH200" s="299"/>
      <c r="AI200" s="299"/>
      <c r="AJ200" s="299"/>
      <c r="AK200" s="299"/>
      <c r="AL200" s="299"/>
      <c r="AM200" s="299"/>
      <c r="AN200" s="299"/>
      <c r="AO200" s="299"/>
      <c r="AP200" s="299"/>
      <c r="AQ200" s="299"/>
      <c r="AR200" s="299"/>
      <c r="AS200" s="299"/>
      <c r="AT200" s="299"/>
      <c r="AU200" s="299"/>
      <c r="AV200" s="299"/>
      <c r="AW200" s="299"/>
      <c r="AX200" s="299"/>
      <c r="AY200" s="299"/>
      <c r="AZ200" s="299"/>
      <c r="BA200" s="299"/>
      <c r="BB200" s="299"/>
      <c r="BC200" s="299"/>
      <c r="BD200" s="299"/>
      <c r="BE200" s="299"/>
      <c r="BF200" s="299"/>
      <c r="BG200" s="299"/>
      <c r="BH200" s="299"/>
      <c r="BI200" s="299"/>
      <c r="BJ200" s="299"/>
      <c r="BK200" s="299"/>
      <c r="BL200" s="299"/>
      <c r="BM200" s="299"/>
      <c r="BN200" s="299"/>
      <c r="BO200" s="299"/>
      <c r="BP200" s="299"/>
      <c r="BQ200" s="299"/>
      <c r="BR200" s="299"/>
      <c r="BS200" s="299"/>
      <c r="BT200" s="299"/>
      <c r="BU200" s="299"/>
    </row>
    <row r="201" spans="1:73" x14ac:dyDescent="0.2">
      <c r="A201" s="299"/>
      <c r="B201" s="299"/>
      <c r="C201" s="299" t="s">
        <v>421</v>
      </c>
      <c r="D201" s="299"/>
      <c r="E201" s="299"/>
      <c r="F201" s="299"/>
      <c r="G201" s="299"/>
      <c r="H201" s="299"/>
      <c r="I201" s="299"/>
      <c r="J201" s="299"/>
      <c r="K201" s="410"/>
      <c r="L201" s="491">
        <v>2020</v>
      </c>
      <c r="M201" s="299"/>
      <c r="N201" s="299"/>
      <c r="O201" s="299"/>
      <c r="P201" s="299"/>
      <c r="Q201" s="299"/>
      <c r="R201" s="299"/>
      <c r="S201" s="299"/>
      <c r="T201" s="299"/>
      <c r="U201" s="299"/>
      <c r="V201" s="299"/>
      <c r="W201" s="299"/>
      <c r="X201" s="299"/>
      <c r="Y201" s="299"/>
      <c r="Z201" s="299"/>
      <c r="AA201" s="299"/>
      <c r="AB201" s="299"/>
      <c r="AC201" s="299"/>
      <c r="AD201" s="299"/>
      <c r="AE201" s="417"/>
      <c r="AF201" s="299"/>
      <c r="AG201" s="299"/>
      <c r="AH201" s="299"/>
      <c r="AI201" s="299"/>
      <c r="AJ201" s="299"/>
      <c r="AK201" s="299"/>
      <c r="AL201" s="299"/>
      <c r="AM201" s="299"/>
      <c r="AN201" s="299"/>
      <c r="AO201" s="299"/>
      <c r="AP201" s="299"/>
      <c r="AQ201" s="299"/>
      <c r="AR201" s="299"/>
      <c r="AS201" s="299"/>
      <c r="AT201" s="299"/>
      <c r="AU201" s="299"/>
      <c r="AV201" s="299"/>
      <c r="AW201" s="299"/>
      <c r="AX201" s="299"/>
      <c r="AY201" s="299"/>
      <c r="AZ201" s="299"/>
      <c r="BA201" s="299"/>
      <c r="BB201" s="299"/>
      <c r="BC201" s="299"/>
      <c r="BD201" s="299"/>
      <c r="BE201" s="299"/>
      <c r="BF201" s="299"/>
      <c r="BG201" s="299"/>
      <c r="BH201" s="299"/>
      <c r="BI201" s="299"/>
      <c r="BJ201" s="299"/>
      <c r="BK201" s="299"/>
      <c r="BL201" s="299"/>
      <c r="BM201" s="299"/>
      <c r="BN201" s="299"/>
      <c r="BO201" s="299"/>
      <c r="BP201" s="299"/>
      <c r="BQ201" s="299"/>
      <c r="BR201" s="299"/>
      <c r="BS201" s="299"/>
      <c r="BT201" s="299"/>
      <c r="BU201" s="299"/>
    </row>
    <row r="202" spans="1:73" x14ac:dyDescent="0.2">
      <c r="A202" s="299"/>
      <c r="B202" s="299"/>
      <c r="C202" s="299"/>
      <c r="D202" s="299"/>
      <c r="E202" s="299"/>
      <c r="F202" s="299"/>
      <c r="G202" s="299"/>
      <c r="H202" s="299"/>
      <c r="I202" s="299"/>
      <c r="J202" s="299"/>
      <c r="K202" s="410"/>
      <c r="L202" s="491"/>
      <c r="M202" s="299"/>
      <c r="N202" s="299"/>
      <c r="O202" s="299"/>
      <c r="P202" s="299"/>
      <c r="Q202" s="299"/>
      <c r="R202" s="299"/>
      <c r="S202" s="299"/>
      <c r="T202" s="299"/>
      <c r="U202" s="299"/>
      <c r="V202" s="299"/>
      <c r="W202" s="299"/>
      <c r="X202" s="299"/>
      <c r="Y202" s="299"/>
      <c r="Z202" s="299"/>
      <c r="AA202" s="299"/>
      <c r="AB202" s="299"/>
      <c r="AC202" s="299"/>
      <c r="AD202" s="299"/>
      <c r="AE202" s="299"/>
      <c r="AF202" s="299"/>
      <c r="AG202" s="299"/>
      <c r="AH202" s="299"/>
      <c r="AI202" s="299"/>
      <c r="AJ202" s="299"/>
      <c r="AK202" s="299"/>
      <c r="AL202" s="299"/>
      <c r="AM202" s="299"/>
      <c r="AN202" s="299"/>
      <c r="AO202" s="299"/>
      <c r="AP202" s="299"/>
      <c r="AQ202" s="299"/>
      <c r="AR202" s="299"/>
      <c r="AS202" s="299"/>
      <c r="AT202" s="299"/>
      <c r="AU202" s="299"/>
      <c r="AV202" s="299"/>
      <c r="AW202" s="299"/>
      <c r="AX202" s="299"/>
      <c r="AY202" s="299"/>
      <c r="AZ202" s="299"/>
      <c r="BA202" s="299"/>
      <c r="BB202" s="299"/>
      <c r="BC202" s="299"/>
      <c r="BD202" s="299"/>
      <c r="BE202" s="299"/>
      <c r="BF202" s="299"/>
      <c r="BG202" s="299"/>
      <c r="BH202" s="299"/>
      <c r="BI202" s="299"/>
      <c r="BJ202" s="299"/>
      <c r="BK202" s="299"/>
      <c r="BL202" s="299"/>
      <c r="BM202" s="299"/>
      <c r="BN202" s="299"/>
      <c r="BO202" s="299"/>
      <c r="BP202" s="299"/>
      <c r="BQ202" s="299"/>
      <c r="BR202" s="299"/>
      <c r="BS202" s="299"/>
      <c r="BT202" s="299"/>
      <c r="BU202" s="299"/>
    </row>
    <row r="203" spans="1:73" x14ac:dyDescent="0.2">
      <c r="A203" s="299"/>
      <c r="B203" s="299"/>
      <c r="C203" s="299" t="s">
        <v>418</v>
      </c>
      <c r="D203" s="299"/>
      <c r="E203" s="299"/>
      <c r="F203" s="299"/>
      <c r="G203" s="299"/>
      <c r="H203" s="299"/>
      <c r="I203" s="299"/>
      <c r="J203" s="299"/>
      <c r="K203" s="410"/>
      <c r="L203" s="413">
        <f>+Inputs!L149</f>
        <v>55153</v>
      </c>
      <c r="M203" s="299"/>
      <c r="N203" s="299"/>
      <c r="O203" s="299"/>
      <c r="P203" s="299"/>
      <c r="Q203" s="299"/>
      <c r="R203" s="299"/>
      <c r="S203" s="299"/>
      <c r="T203" s="299"/>
      <c r="U203" s="299"/>
      <c r="V203" s="299"/>
      <c r="W203" s="299"/>
      <c r="X203" s="299"/>
      <c r="Y203" s="299"/>
      <c r="Z203" s="299"/>
      <c r="AA203" s="299"/>
      <c r="AB203" s="299"/>
      <c r="AC203" s="299"/>
      <c r="AD203" s="299"/>
      <c r="AE203" s="299"/>
      <c r="AF203" s="299"/>
      <c r="AG203" s="299"/>
      <c r="AH203" s="299"/>
      <c r="AI203" s="299"/>
      <c r="AJ203" s="299"/>
      <c r="AK203" s="299"/>
      <c r="AL203" s="299"/>
      <c r="AM203" s="299"/>
      <c r="AN203" s="299"/>
      <c r="AO203" s="299"/>
      <c r="AP203" s="299"/>
      <c r="AQ203" s="299"/>
      <c r="AR203" s="299"/>
      <c r="AS203" s="299"/>
      <c r="AT203" s="299"/>
      <c r="AU203" s="299"/>
      <c r="AV203" s="299"/>
      <c r="AW203" s="299"/>
      <c r="AX203" s="299"/>
      <c r="AY203" s="299"/>
      <c r="AZ203" s="299"/>
      <c r="BA203" s="299"/>
      <c r="BB203" s="299"/>
      <c r="BC203" s="299"/>
      <c r="BD203" s="299"/>
      <c r="BE203" s="299"/>
      <c r="BF203" s="299"/>
      <c r="BG203" s="299"/>
      <c r="BH203" s="299"/>
      <c r="BI203" s="299"/>
      <c r="BJ203" s="299"/>
      <c r="BK203" s="299"/>
      <c r="BL203" s="299"/>
      <c r="BM203" s="299"/>
      <c r="BN203" s="299"/>
      <c r="BO203" s="299"/>
      <c r="BP203" s="299"/>
      <c r="BQ203" s="299"/>
      <c r="BR203" s="299"/>
      <c r="BS203" s="299"/>
      <c r="BT203" s="299"/>
      <c r="BU203" s="299"/>
    </row>
    <row r="204" spans="1:73" x14ac:dyDescent="0.2">
      <c r="A204" s="452"/>
      <c r="B204" s="452"/>
      <c r="C204" s="492" t="s">
        <v>65</v>
      </c>
      <c r="D204" s="493"/>
      <c r="E204" s="493"/>
      <c r="F204" s="493"/>
      <c r="G204" s="493"/>
      <c r="H204" s="493"/>
      <c r="I204" s="493"/>
      <c r="J204" s="493"/>
      <c r="K204" s="642" t="s">
        <v>62</v>
      </c>
      <c r="L204" s="493"/>
      <c r="M204" s="493"/>
      <c r="N204" s="494">
        <f>SUM(Q204:BU204)</f>
        <v>554873.30688708287</v>
      </c>
      <c r="O204" s="493"/>
      <c r="P204" s="493"/>
      <c r="Q204" s="494"/>
      <c r="R204" s="494">
        <f>+Oper!R50</f>
        <v>0</v>
      </c>
      <c r="S204" s="494">
        <f>+Oper!S50</f>
        <v>1554.0519999999958</v>
      </c>
      <c r="T204" s="494">
        <f>+Oper!T50</f>
        <v>2271.9001843671922</v>
      </c>
      <c r="U204" s="494">
        <f>+Oper!U50</f>
        <v>3321.3370258702384</v>
      </c>
      <c r="V204" s="494">
        <f>+Oper!V50</f>
        <v>4855.5300603970763</v>
      </c>
      <c r="W204" s="494">
        <f>+Oper!W50</f>
        <v>5234.7233595289154</v>
      </c>
      <c r="X204" s="494">
        <f>+Oper!X50</f>
        <v>5643.5298123881421</v>
      </c>
      <c r="Y204" s="494">
        <f>+Oper!Y50</f>
        <v>6084.2620623566136</v>
      </c>
      <c r="Z204" s="494">
        <f>+Oper!Z50</f>
        <v>6559.4133590245247</v>
      </c>
      <c r="AA204" s="494">
        <f>+Oper!AA50</f>
        <v>7071.6716626575071</v>
      </c>
      <c r="AB204" s="494">
        <f>+Oper!AB50</f>
        <v>7112.6761485473016</v>
      </c>
      <c r="AC204" s="494">
        <f>+Oper!AC50</f>
        <v>7153.9183954564542</v>
      </c>
      <c r="AD204" s="494">
        <f>+Oper!AD50</f>
        <v>7195.3997820219884</v>
      </c>
      <c r="AE204" s="494">
        <f>+Oper!AE50</f>
        <v>7237.1216948748361</v>
      </c>
      <c r="AF204" s="494">
        <f>+Oper!AF50</f>
        <v>7279.0855286861879</v>
      </c>
      <c r="AG204" s="494">
        <f>+Oper!AG50</f>
        <v>7825.0840659259275</v>
      </c>
      <c r="AH204" s="494">
        <f>+Oper!AH50</f>
        <v>8412.0375282717268</v>
      </c>
      <c r="AI204" s="494">
        <f>+Oper!AI50</f>
        <v>9043.0179127639458</v>
      </c>
      <c r="AJ204" s="494">
        <f>+Oper!AJ50</f>
        <v>9721.3276445487663</v>
      </c>
      <c r="AK204" s="494">
        <f>+Oper!AK50</f>
        <v>10450.516861110962</v>
      </c>
      <c r="AL204" s="494">
        <f>+Oper!AL50</f>
        <v>11402.936904942444</v>
      </c>
      <c r="AM204" s="494">
        <f>+Oper!AM50</f>
        <v>12442.156860390503</v>
      </c>
      <c r="AN204" s="494">
        <f>+Oper!AN50</f>
        <v>13576.087338645486</v>
      </c>
      <c r="AO204" s="494">
        <f>+Oper!AO50</f>
        <v>14813.35989367567</v>
      </c>
      <c r="AP204" s="494">
        <f>+Oper!AP50</f>
        <v>16163.392726188255</v>
      </c>
      <c r="AQ204" s="494">
        <f>+Oper!AQ50</f>
        <v>14764.028626131159</v>
      </c>
      <c r="AR204" s="494">
        <f>+Oper!AR50</f>
        <v>13485.816063854612</v>
      </c>
      <c r="AS204" s="494">
        <f>+Oper!AS50</f>
        <v>12318.266207248376</v>
      </c>
      <c r="AT204" s="494">
        <f>+Oper!AT50</f>
        <v>11251.798306766013</v>
      </c>
      <c r="AU204" s="494">
        <f>+Oper!AU50</f>
        <v>10277.661077144619</v>
      </c>
      <c r="AV204" s="494">
        <f>+Oper!AV50</f>
        <v>11712.773240383072</v>
      </c>
      <c r="AW204" s="494">
        <f>+Oper!AW50</f>
        <v>13348.276028065735</v>
      </c>
      <c r="AX204" s="494">
        <f>+Oper!AX50</f>
        <v>15212.150808753046</v>
      </c>
      <c r="AY204" s="494">
        <f>+Oper!AY50</f>
        <v>17336.286104789135</v>
      </c>
      <c r="AZ204" s="494">
        <f>+Oper!AZ50</f>
        <v>19757.023164283295</v>
      </c>
      <c r="BA204" s="494">
        <f>+Oper!BA50</f>
        <v>18360.971768753996</v>
      </c>
      <c r="BB204" s="494">
        <f>+Oper!BB50</f>
        <v>17063.566787856769</v>
      </c>
      <c r="BC204" s="494">
        <f>+Oper!BC50</f>
        <v>15857.837765381382</v>
      </c>
      <c r="BD204" s="494">
        <f>+Oper!BD50</f>
        <v>14737.306784658558</v>
      </c>
      <c r="BE204" s="494">
        <f>+Oper!BE50</f>
        <v>13695.953665213941</v>
      </c>
      <c r="BF204" s="494">
        <f>+Oper!BF50</f>
        <v>17217.14575767015</v>
      </c>
      <c r="BG204" s="494">
        <f>+Oper!BG50</f>
        <v>21643.626671558894</v>
      </c>
      <c r="BH204" s="494">
        <f>+Oper!BH50</f>
        <v>27208.143677887198</v>
      </c>
      <c r="BI204" s="494">
        <f>+Oper!BI50</f>
        <v>34203.282732155618</v>
      </c>
      <c r="BJ204" s="494">
        <f>+Oper!BJ50</f>
        <v>42996.852835886602</v>
      </c>
      <c r="BK204" s="494"/>
      <c r="BL204" s="494"/>
      <c r="BM204" s="494"/>
      <c r="BN204" s="494"/>
      <c r="BO204" s="494"/>
      <c r="BP204" s="494"/>
      <c r="BQ204" s="494"/>
      <c r="BR204" s="494"/>
      <c r="BS204" s="494"/>
      <c r="BT204" s="494"/>
      <c r="BU204" s="494"/>
    </row>
    <row r="205" spans="1:73" x14ac:dyDescent="0.2">
      <c r="A205" s="299"/>
      <c r="B205" s="299"/>
      <c r="C205" s="299"/>
      <c r="D205" s="299"/>
      <c r="E205" s="299"/>
      <c r="F205" s="299"/>
      <c r="G205" s="299"/>
      <c r="H205" s="299"/>
      <c r="I205" s="299"/>
      <c r="J205" s="299"/>
      <c r="K205" s="410"/>
      <c r="L205" s="413"/>
      <c r="M205" s="299"/>
      <c r="N205" s="417"/>
      <c r="O205" s="417"/>
      <c r="P205" s="417"/>
      <c r="Q205" s="417"/>
      <c r="R205" s="417"/>
      <c r="S205" s="417"/>
      <c r="T205" s="417"/>
      <c r="U205" s="417"/>
      <c r="V205" s="417"/>
      <c r="W205" s="417"/>
      <c r="X205" s="417"/>
      <c r="Y205" s="417"/>
      <c r="Z205" s="417"/>
      <c r="AA205" s="417"/>
      <c r="AB205" s="417"/>
      <c r="AC205" s="417"/>
      <c r="AD205" s="417"/>
      <c r="AE205" s="417"/>
      <c r="AF205" s="417"/>
      <c r="AG205" s="417"/>
      <c r="AH205" s="417"/>
      <c r="AI205" s="417"/>
      <c r="AJ205" s="417"/>
      <c r="AK205" s="417"/>
      <c r="AL205" s="417"/>
      <c r="AM205" s="417"/>
      <c r="AN205" s="417"/>
      <c r="AO205" s="417"/>
      <c r="AP205" s="417"/>
      <c r="AQ205" s="417"/>
      <c r="AR205" s="417"/>
      <c r="AS205" s="417"/>
      <c r="AT205" s="417"/>
      <c r="AU205" s="417"/>
      <c r="AV205" s="417"/>
      <c r="AW205" s="417"/>
      <c r="AX205" s="417"/>
      <c r="AY205" s="417"/>
      <c r="AZ205" s="417"/>
      <c r="BA205" s="417"/>
      <c r="BB205" s="417"/>
      <c r="BC205" s="417"/>
      <c r="BD205" s="417"/>
      <c r="BE205" s="417"/>
      <c r="BF205" s="417"/>
      <c r="BG205" s="417"/>
      <c r="BH205" s="417"/>
      <c r="BI205" s="417"/>
      <c r="BJ205" s="417"/>
      <c r="BK205" s="417"/>
      <c r="BL205" s="417"/>
      <c r="BM205" s="417"/>
      <c r="BN205" s="417"/>
      <c r="BO205" s="417"/>
      <c r="BP205" s="417"/>
      <c r="BQ205" s="417"/>
      <c r="BR205" s="417"/>
      <c r="BS205" s="417"/>
      <c r="BT205" s="417"/>
      <c r="BU205" s="417"/>
    </row>
    <row r="206" spans="1:73" x14ac:dyDescent="0.2">
      <c r="A206" s="299"/>
      <c r="B206" s="481" t="s">
        <v>417</v>
      </c>
      <c r="C206" s="481"/>
      <c r="D206" s="299"/>
      <c r="E206" s="299"/>
      <c r="F206" s="299"/>
      <c r="G206" s="299"/>
      <c r="H206" s="299"/>
      <c r="I206" s="299"/>
      <c r="J206" s="299"/>
      <c r="K206" s="410"/>
      <c r="L206" s="413"/>
      <c r="M206" s="299"/>
      <c r="N206" s="495"/>
      <c r="O206" s="417"/>
      <c r="P206" s="417"/>
      <c r="Q206" s="416"/>
      <c r="R206" s="460"/>
      <c r="S206" s="460"/>
      <c r="T206" s="460"/>
      <c r="U206" s="716">
        <v>119502.31719872578</v>
      </c>
      <c r="V206" s="716">
        <v>119502.31719872578</v>
      </c>
      <c r="W206" s="716">
        <v>119502.31719872578</v>
      </c>
      <c r="X206" s="716">
        <v>119502.31719872578</v>
      </c>
      <c r="Y206" s="716">
        <v>119502.31719872578</v>
      </c>
      <c r="Z206" s="716">
        <v>119502.31719872578</v>
      </c>
      <c r="AA206" s="716">
        <v>119502.31719872578</v>
      </c>
      <c r="AB206" s="716">
        <v>119502.31719872578</v>
      </c>
      <c r="AC206" s="716">
        <v>119502.31719872578</v>
      </c>
      <c r="AD206" s="716">
        <v>119502.31719872578</v>
      </c>
      <c r="AE206" s="716">
        <v>128038.06758918034</v>
      </c>
      <c r="AF206" s="716">
        <v>128038.06758918034</v>
      </c>
      <c r="AG206" s="716">
        <v>128038.06758918034</v>
      </c>
      <c r="AH206" s="716">
        <v>128038.06758918034</v>
      </c>
      <c r="AI206" s="716">
        <v>128038.06758918034</v>
      </c>
      <c r="AJ206" s="716">
        <v>128038.06758918034</v>
      </c>
      <c r="AK206" s="716">
        <v>128038.06758918034</v>
      </c>
      <c r="AL206" s="716">
        <v>128038.06758918034</v>
      </c>
      <c r="AM206" s="716">
        <v>128038.06758918034</v>
      </c>
      <c r="AN206" s="716">
        <v>128038.06758918034</v>
      </c>
      <c r="AO206" s="716">
        <v>101241.29866986125</v>
      </c>
      <c r="AP206" s="716">
        <v>101241.29866986125</v>
      </c>
      <c r="AQ206" s="716">
        <v>101241.29866986125</v>
      </c>
      <c r="AR206" s="716">
        <v>101241.29866986125</v>
      </c>
      <c r="AS206" s="716">
        <v>101241.29866986125</v>
      </c>
      <c r="AT206" s="716">
        <v>101241.29866986125</v>
      </c>
      <c r="AU206" s="716">
        <v>101241.29866986125</v>
      </c>
      <c r="AV206" s="716">
        <v>101241.29866986125</v>
      </c>
      <c r="AW206" s="716">
        <v>101241.29866986125</v>
      </c>
      <c r="AX206" s="716">
        <v>101241.29866986125</v>
      </c>
      <c r="AY206" s="716">
        <v>0</v>
      </c>
      <c r="AZ206" s="716">
        <v>0</v>
      </c>
      <c r="BA206" s="716">
        <v>0</v>
      </c>
      <c r="BB206" s="716">
        <v>0</v>
      </c>
      <c r="BC206" s="716">
        <v>0</v>
      </c>
      <c r="BD206" s="716">
        <v>0</v>
      </c>
      <c r="BE206" s="716">
        <v>0</v>
      </c>
      <c r="BF206" s="716">
        <v>0</v>
      </c>
      <c r="BG206" s="716">
        <v>0</v>
      </c>
      <c r="BH206" s="716">
        <v>0</v>
      </c>
      <c r="BI206" s="716">
        <v>0</v>
      </c>
      <c r="BJ206" s="716">
        <v>0</v>
      </c>
      <c r="BK206" s="417"/>
      <c r="BL206" s="417"/>
      <c r="BM206" s="417"/>
      <c r="BN206" s="417"/>
      <c r="BO206" s="417"/>
      <c r="BP206" s="417"/>
      <c r="BQ206" s="417"/>
      <c r="BR206" s="417"/>
      <c r="BS206" s="417"/>
      <c r="BT206" s="417"/>
      <c r="BU206" s="417"/>
    </row>
    <row r="207" spans="1:73" x14ac:dyDescent="0.2">
      <c r="A207" s="299"/>
      <c r="B207" s="299"/>
      <c r="C207" s="299"/>
      <c r="D207" s="299"/>
      <c r="E207" s="299"/>
      <c r="F207" s="299"/>
      <c r="G207" s="299"/>
      <c r="H207" s="299"/>
      <c r="I207" s="299"/>
      <c r="J207" s="299"/>
      <c r="K207" s="410"/>
      <c r="L207" s="413"/>
      <c r="M207" s="299"/>
      <c r="N207" s="417"/>
      <c r="O207" s="417"/>
      <c r="P207" s="417"/>
      <c r="Q207" s="417"/>
      <c r="R207" s="417"/>
      <c r="S207" s="417"/>
      <c r="T207" s="417"/>
      <c r="U207" s="417"/>
      <c r="V207" s="417"/>
      <c r="W207" s="417"/>
      <c r="X207" s="417"/>
      <c r="Y207" s="417"/>
      <c r="Z207" s="417"/>
      <c r="AA207" s="417"/>
      <c r="AB207" s="417"/>
      <c r="AC207" s="417"/>
      <c r="AD207" s="417"/>
      <c r="AE207" s="417"/>
      <c r="AF207" s="417"/>
      <c r="AG207" s="417"/>
      <c r="AH207" s="417"/>
      <c r="AI207" s="417"/>
      <c r="AJ207" s="417"/>
      <c r="AK207" s="417"/>
      <c r="AL207" s="417"/>
      <c r="AM207" s="417"/>
      <c r="AN207" s="417"/>
      <c r="AO207" s="417"/>
      <c r="AP207" s="417"/>
      <c r="AQ207" s="417"/>
      <c r="AR207" s="417"/>
      <c r="AS207" s="417"/>
      <c r="AT207" s="417"/>
      <c r="AU207" s="417"/>
      <c r="AV207" s="417"/>
      <c r="AW207" s="417"/>
      <c r="AX207" s="417"/>
      <c r="AY207" s="417"/>
      <c r="AZ207" s="417"/>
      <c r="BA207" s="417"/>
      <c r="BB207" s="417"/>
      <c r="BC207" s="417"/>
      <c r="BD207" s="417"/>
      <c r="BE207" s="417"/>
      <c r="BF207" s="417"/>
      <c r="BG207" s="417"/>
      <c r="BH207" s="417"/>
      <c r="BI207" s="417"/>
      <c r="BJ207" s="417"/>
      <c r="BK207" s="417"/>
      <c r="BL207" s="417"/>
      <c r="BM207" s="417"/>
      <c r="BN207" s="417"/>
      <c r="BO207" s="417"/>
      <c r="BP207" s="417"/>
      <c r="BQ207" s="417"/>
      <c r="BR207" s="417"/>
      <c r="BS207" s="417"/>
      <c r="BT207" s="417"/>
      <c r="BU207" s="417"/>
    </row>
    <row r="208" spans="1:73" x14ac:dyDescent="0.2">
      <c r="A208" s="299"/>
      <c r="B208" s="439" t="s">
        <v>174</v>
      </c>
      <c r="C208" s="299"/>
      <c r="D208" s="299"/>
      <c r="E208" s="299"/>
      <c r="F208" s="299"/>
      <c r="G208" s="299"/>
      <c r="H208" s="299"/>
      <c r="I208" s="299"/>
      <c r="J208" s="299"/>
      <c r="K208" s="410"/>
      <c r="L208" s="413"/>
      <c r="M208" s="299"/>
      <c r="N208" s="417"/>
      <c r="O208" s="417"/>
      <c r="P208" s="417"/>
      <c r="Q208" s="311"/>
      <c r="R208" s="311">
        <f>Inputs!$L$146</f>
        <v>5.2499999999999998E-2</v>
      </c>
      <c r="S208" s="311">
        <f>Inputs!$L$146</f>
        <v>5.2499999999999998E-2</v>
      </c>
      <c r="T208" s="311">
        <f>Inputs!$L$146</f>
        <v>5.2499999999999998E-2</v>
      </c>
      <c r="U208" s="311">
        <f>Inputs!$L$146</f>
        <v>5.2499999999999998E-2</v>
      </c>
      <c r="V208" s="311">
        <f>Inputs!$L$146</f>
        <v>5.2499999999999998E-2</v>
      </c>
      <c r="W208" s="311">
        <f>Inputs!$L$146</f>
        <v>5.2499999999999998E-2</v>
      </c>
      <c r="X208" s="311">
        <f>Inputs!$L$146</f>
        <v>5.2499999999999998E-2</v>
      </c>
      <c r="Y208" s="311">
        <f>Inputs!$L$146</f>
        <v>5.2499999999999998E-2</v>
      </c>
      <c r="Z208" s="311">
        <f>Inputs!$L$146</f>
        <v>5.2499999999999998E-2</v>
      </c>
      <c r="AA208" s="311">
        <f>Inputs!$L$146</f>
        <v>5.2499999999999998E-2</v>
      </c>
      <c r="AB208" s="311">
        <f>Inputs!$L$146</f>
        <v>5.2499999999999998E-2</v>
      </c>
      <c r="AC208" s="311">
        <f>Inputs!$L$146</f>
        <v>5.2499999999999998E-2</v>
      </c>
      <c r="AD208" s="311">
        <f>Inputs!$L$146</f>
        <v>5.2499999999999998E-2</v>
      </c>
      <c r="AE208" s="311">
        <f>Inputs!$L$146</f>
        <v>5.2499999999999998E-2</v>
      </c>
      <c r="AF208" s="311">
        <f>Inputs!$L$146</f>
        <v>5.2499999999999998E-2</v>
      </c>
      <c r="AG208" s="311">
        <f>Inputs!$L$146</f>
        <v>5.2499999999999998E-2</v>
      </c>
      <c r="AH208" s="311">
        <f>Inputs!$L$146</f>
        <v>5.2499999999999998E-2</v>
      </c>
      <c r="AI208" s="311">
        <f>Inputs!$L$146</f>
        <v>5.2499999999999998E-2</v>
      </c>
      <c r="AJ208" s="311">
        <f>Inputs!$L$146</f>
        <v>5.2499999999999998E-2</v>
      </c>
      <c r="AK208" s="311">
        <f>Inputs!$L$146</f>
        <v>5.2499999999999998E-2</v>
      </c>
      <c r="AL208" s="311">
        <f>Inputs!$L$146</f>
        <v>5.2499999999999998E-2</v>
      </c>
      <c r="AM208" s="311">
        <f>Inputs!$L$146</f>
        <v>5.2499999999999998E-2</v>
      </c>
      <c r="AN208" s="311">
        <f>Inputs!$L$146</f>
        <v>5.2499999999999998E-2</v>
      </c>
      <c r="AO208" s="311">
        <f>Inputs!$L$146</f>
        <v>5.2499999999999998E-2</v>
      </c>
      <c r="AP208" s="311">
        <f>Inputs!$L$146</f>
        <v>5.2499999999999998E-2</v>
      </c>
      <c r="AQ208" s="311">
        <f>Inputs!$L$146</f>
        <v>5.2499999999999998E-2</v>
      </c>
      <c r="AR208" s="311">
        <f>Inputs!$L$146</f>
        <v>5.2499999999999998E-2</v>
      </c>
      <c r="AS208" s="311">
        <f>Inputs!$L$146</f>
        <v>5.2499999999999998E-2</v>
      </c>
      <c r="AT208" s="311">
        <f>Inputs!$L$146</f>
        <v>5.2499999999999998E-2</v>
      </c>
      <c r="AU208" s="311">
        <f>Inputs!$L$146</f>
        <v>5.2499999999999998E-2</v>
      </c>
      <c r="AV208" s="311">
        <f>Inputs!$L$146</f>
        <v>5.2499999999999998E-2</v>
      </c>
      <c r="AW208" s="311">
        <f>Inputs!$L$146</f>
        <v>5.2499999999999998E-2</v>
      </c>
      <c r="AX208" s="311">
        <f>Inputs!$L$146</f>
        <v>5.2499999999999998E-2</v>
      </c>
      <c r="AY208" s="311">
        <f>Inputs!$L$146</f>
        <v>5.2499999999999998E-2</v>
      </c>
      <c r="AZ208" s="311">
        <f>Inputs!$L$146</f>
        <v>5.2499999999999998E-2</v>
      </c>
      <c r="BA208" s="311">
        <f>Inputs!$L$146</f>
        <v>5.2499999999999998E-2</v>
      </c>
      <c r="BB208" s="311">
        <f>Inputs!$L$146</f>
        <v>5.2499999999999998E-2</v>
      </c>
      <c r="BC208" s="311">
        <f>Inputs!$L$146</f>
        <v>5.2499999999999998E-2</v>
      </c>
      <c r="BD208" s="311">
        <f>Inputs!$L$146</f>
        <v>5.2499999999999998E-2</v>
      </c>
      <c r="BE208" s="311">
        <f>Inputs!$L$146</f>
        <v>5.2499999999999998E-2</v>
      </c>
      <c r="BF208" s="311">
        <f>Inputs!$L$146</f>
        <v>5.2499999999999998E-2</v>
      </c>
      <c r="BG208" s="311">
        <f>Inputs!$L$146</f>
        <v>5.2499999999999998E-2</v>
      </c>
      <c r="BH208" s="311">
        <f>Inputs!$L$146</f>
        <v>5.2499999999999998E-2</v>
      </c>
      <c r="BI208" s="311">
        <f>Inputs!$L$146</f>
        <v>5.2499999999999998E-2</v>
      </c>
      <c r="BJ208" s="311">
        <f>Inputs!$L$146</f>
        <v>5.2499999999999998E-2</v>
      </c>
      <c r="BK208" s="311"/>
      <c r="BL208" s="311"/>
      <c r="BM208" s="311"/>
      <c r="BN208" s="311"/>
      <c r="BO208" s="311"/>
      <c r="BP208" s="311"/>
      <c r="BQ208" s="311"/>
      <c r="BR208" s="311"/>
      <c r="BS208" s="311"/>
      <c r="BT208" s="311"/>
      <c r="BU208" s="311"/>
    </row>
    <row r="209" spans="1:73" x14ac:dyDescent="0.2">
      <c r="A209" s="299"/>
      <c r="B209" s="299"/>
      <c r="C209" s="299" t="s">
        <v>176</v>
      </c>
      <c r="D209" s="299"/>
      <c r="E209" s="448"/>
      <c r="F209" s="448"/>
      <c r="G209" s="299"/>
      <c r="H209" s="299"/>
      <c r="I209" s="449"/>
      <c r="J209" s="449"/>
      <c r="K209" s="449"/>
      <c r="L209" s="449"/>
      <c r="M209" s="449"/>
      <c r="N209" s="449"/>
      <c r="O209" s="449"/>
      <c r="P209" s="449"/>
      <c r="Q209" s="450"/>
      <c r="R209" s="450">
        <f>+CF!R15</f>
        <v>365</v>
      </c>
      <c r="S209" s="450">
        <f>+CF!S15</f>
        <v>365</v>
      </c>
      <c r="T209" s="450">
        <f>+CF!T15</f>
        <v>365</v>
      </c>
      <c r="U209" s="450">
        <f>+CF!U15</f>
        <v>366</v>
      </c>
      <c r="V209" s="450">
        <f>+CF!V15</f>
        <v>365</v>
      </c>
      <c r="W209" s="450">
        <f>+CF!W15</f>
        <v>365</v>
      </c>
      <c r="X209" s="450">
        <f>+CF!X15</f>
        <v>365</v>
      </c>
      <c r="Y209" s="450">
        <f>+CF!Y15</f>
        <v>366</v>
      </c>
      <c r="Z209" s="450">
        <f>+CF!Z15</f>
        <v>365</v>
      </c>
      <c r="AA209" s="450">
        <f>+CF!AA15</f>
        <v>365</v>
      </c>
      <c r="AB209" s="450">
        <f>+CF!AB15</f>
        <v>365</v>
      </c>
      <c r="AC209" s="450">
        <f>+CF!AC15</f>
        <v>366</v>
      </c>
      <c r="AD209" s="450">
        <f>+CF!AD15</f>
        <v>365</v>
      </c>
      <c r="AE209" s="450">
        <f>+CF!AE15</f>
        <v>365</v>
      </c>
      <c r="AF209" s="450">
        <f>+CF!AF15</f>
        <v>365</v>
      </c>
      <c r="AG209" s="450">
        <f>+CF!AG15</f>
        <v>366</v>
      </c>
      <c r="AH209" s="450">
        <f>+CF!AH15</f>
        <v>365</v>
      </c>
      <c r="AI209" s="450">
        <f>+CF!AI15</f>
        <v>365</v>
      </c>
      <c r="AJ209" s="450">
        <f>+CF!AJ15</f>
        <v>365</v>
      </c>
      <c r="AK209" s="450">
        <f>+CF!AK15</f>
        <v>366</v>
      </c>
      <c r="AL209" s="450">
        <f>+CF!AL15</f>
        <v>365</v>
      </c>
      <c r="AM209" s="450">
        <f>+CF!AM15</f>
        <v>365</v>
      </c>
      <c r="AN209" s="450">
        <f>+CF!AN15</f>
        <v>365</v>
      </c>
      <c r="AO209" s="450">
        <f>+CF!AO15</f>
        <v>366</v>
      </c>
      <c r="AP209" s="450">
        <f>+CF!AP15</f>
        <v>365</v>
      </c>
      <c r="AQ209" s="450">
        <f>+CF!AQ15</f>
        <v>365</v>
      </c>
      <c r="AR209" s="450">
        <f>+CF!AR15</f>
        <v>365</v>
      </c>
      <c r="AS209" s="450">
        <f>+CF!AS15</f>
        <v>366</v>
      </c>
      <c r="AT209" s="450">
        <f>+CF!AT15</f>
        <v>365</v>
      </c>
      <c r="AU209" s="450">
        <f>+CF!AU15</f>
        <v>365</v>
      </c>
      <c r="AV209" s="450">
        <f>+CF!AV15</f>
        <v>365</v>
      </c>
      <c r="AW209" s="450">
        <f>+CF!AW15</f>
        <v>366</v>
      </c>
      <c r="AX209" s="450">
        <f>+CF!AX15</f>
        <v>365</v>
      </c>
      <c r="AY209" s="450">
        <f>+CF!AY15</f>
        <v>365</v>
      </c>
      <c r="AZ209" s="450">
        <f>+CF!AZ15</f>
        <v>365</v>
      </c>
      <c r="BA209" s="450">
        <f>+CF!BA15</f>
        <v>366</v>
      </c>
      <c r="BB209" s="450">
        <f>+CF!BB15</f>
        <v>365</v>
      </c>
      <c r="BC209" s="450">
        <f>+CF!BC15</f>
        <v>365</v>
      </c>
      <c r="BD209" s="450">
        <f>+CF!BD15</f>
        <v>365</v>
      </c>
      <c r="BE209" s="450">
        <f>+CF!BE15</f>
        <v>366</v>
      </c>
      <c r="BF209" s="450">
        <f>+CF!BF15</f>
        <v>365</v>
      </c>
      <c r="BG209" s="450">
        <f>+CF!BG15</f>
        <v>365</v>
      </c>
      <c r="BH209" s="450">
        <f>+CF!BH15</f>
        <v>365</v>
      </c>
      <c r="BI209" s="450">
        <f>+CF!BI15</f>
        <v>366</v>
      </c>
      <c r="BJ209" s="450">
        <f>+CF!BJ15</f>
        <v>365</v>
      </c>
      <c r="BK209" s="450"/>
      <c r="BL209" s="450"/>
      <c r="BM209" s="450"/>
      <c r="BN209" s="450"/>
      <c r="BO209" s="450"/>
      <c r="BP209" s="450"/>
      <c r="BQ209" s="450"/>
      <c r="BR209" s="450"/>
      <c r="BS209" s="450"/>
      <c r="BT209" s="450"/>
      <c r="BU209" s="450"/>
    </row>
    <row r="210" spans="1:73" x14ac:dyDescent="0.2">
      <c r="A210" s="299"/>
      <c r="B210" s="299"/>
      <c r="C210" s="299" t="s">
        <v>420</v>
      </c>
      <c r="D210" s="299"/>
      <c r="E210" s="299"/>
      <c r="F210" s="299"/>
      <c r="G210" s="299"/>
      <c r="H210" s="299"/>
      <c r="I210" s="299"/>
      <c r="J210" s="299"/>
      <c r="K210" s="410"/>
      <c r="L210" s="413"/>
      <c r="M210" s="299"/>
      <c r="N210" s="417"/>
      <c r="O210" s="417"/>
      <c r="P210" s="417"/>
      <c r="Q210" s="417"/>
      <c r="R210" s="417"/>
      <c r="S210" s="417"/>
      <c r="T210" s="417"/>
      <c r="U210" s="417">
        <f>-(U213+U214/4)*U208*U209/360</f>
        <v>-44.319090938955995</v>
      </c>
      <c r="V210" s="417">
        <f>-(V213+V214/4)*V208*V209/360</f>
        <v>-241.40595681618939</v>
      </c>
      <c r="W210" s="417">
        <f t="shared" ref="W210:BJ210" si="244">-(W213+W214/4)*W208*W209/360</f>
        <v>-504.90781148566839</v>
      </c>
      <c r="X210" s="417">
        <f t="shared" si="244"/>
        <v>-788.98788034733946</v>
      </c>
      <c r="Y210" s="417">
        <f t="shared" si="244"/>
        <v>-1098.2539156751623</v>
      </c>
      <c r="Z210" s="417">
        <f t="shared" si="244"/>
        <v>-1425.4363981678987</v>
      </c>
      <c r="AA210" s="417">
        <f t="shared" si="244"/>
        <v>-1781.4052757460909</v>
      </c>
      <c r="AB210" s="417">
        <f t="shared" si="244"/>
        <v>-2158.3701239430084</v>
      </c>
      <c r="AC210" s="417">
        <f t="shared" si="244"/>
        <v>-2544.4728824092385</v>
      </c>
      <c r="AD210" s="417">
        <f t="shared" si="244"/>
        <v>-2918.8698902099159</v>
      </c>
      <c r="AE210" s="417">
        <f t="shared" si="244"/>
        <v>-96.306489220860442</v>
      </c>
      <c r="AF210" s="417">
        <f t="shared" si="244"/>
        <v>-482.09087108028137</v>
      </c>
      <c r="AG210" s="417">
        <f t="shared" si="244"/>
        <v>-879.21852606226878</v>
      </c>
      <c r="AH210" s="417">
        <f t="shared" si="244"/>
        <v>-1301.1497544963067</v>
      </c>
      <c r="AI210" s="417">
        <f t="shared" si="244"/>
        <v>-1757.3121421073208</v>
      </c>
      <c r="AJ210" s="417">
        <f t="shared" si="244"/>
        <v>-2247.6909151966834</v>
      </c>
      <c r="AK210" s="417">
        <f t="shared" si="244"/>
        <v>-2782.4549541348842</v>
      </c>
      <c r="AL210" s="417">
        <f t="shared" si="244"/>
        <v>-3343.7990532599556</v>
      </c>
      <c r="AM210" s="417">
        <f t="shared" si="244"/>
        <v>-3964.5970853155886</v>
      </c>
      <c r="AN210" s="417">
        <f t="shared" si="244"/>
        <v>-4641.972270133987</v>
      </c>
      <c r="AO210" s="417">
        <f t="shared" si="244"/>
        <v>-197.66577108123471</v>
      </c>
      <c r="AP210" s="417">
        <f t="shared" si="244"/>
        <v>-1003.5937840040435</v>
      </c>
      <c r="AQ210" s="417">
        <f t="shared" si="244"/>
        <v>-1845.3359630977832</v>
      </c>
      <c r="AR210" s="417">
        <f t="shared" si="244"/>
        <v>-2614.2033561313451</v>
      </c>
      <c r="AS210" s="417">
        <f t="shared" si="244"/>
        <v>-3325.591496116198</v>
      </c>
      <c r="AT210" s="417">
        <f t="shared" si="244"/>
        <v>-3958.004426138174</v>
      </c>
      <c r="AU210" s="417">
        <f t="shared" si="244"/>
        <v>-4543.9651452708094</v>
      </c>
      <c r="AV210" s="417">
        <f t="shared" si="244"/>
        <v>-5062.9489746756617</v>
      </c>
      <c r="AW210" s="417">
        <f t="shared" si="244"/>
        <v>-5403.7543165038442</v>
      </c>
      <c r="AX210" s="417">
        <f t="shared" si="244"/>
        <v>-5388.9899604478233</v>
      </c>
      <c r="AY210" s="417">
        <f t="shared" si="244"/>
        <v>0</v>
      </c>
      <c r="AZ210" s="417">
        <f t="shared" si="244"/>
        <v>0</v>
      </c>
      <c r="BA210" s="417">
        <f t="shared" si="244"/>
        <v>0</v>
      </c>
      <c r="BB210" s="417">
        <f t="shared" si="244"/>
        <v>0</v>
      </c>
      <c r="BC210" s="417">
        <f t="shared" si="244"/>
        <v>0</v>
      </c>
      <c r="BD210" s="417">
        <f t="shared" si="244"/>
        <v>0</v>
      </c>
      <c r="BE210" s="417">
        <f t="shared" si="244"/>
        <v>0</v>
      </c>
      <c r="BF210" s="417">
        <f t="shared" si="244"/>
        <v>0</v>
      </c>
      <c r="BG210" s="417">
        <f t="shared" si="244"/>
        <v>0</v>
      </c>
      <c r="BH210" s="417">
        <f t="shared" si="244"/>
        <v>0</v>
      </c>
      <c r="BI210" s="417">
        <f t="shared" si="244"/>
        <v>0</v>
      </c>
      <c r="BJ210" s="417">
        <f t="shared" si="244"/>
        <v>0</v>
      </c>
      <c r="BK210" s="417"/>
      <c r="BL210" s="417"/>
      <c r="BM210" s="417"/>
      <c r="BN210" s="417"/>
      <c r="BO210" s="417"/>
      <c r="BP210" s="417"/>
      <c r="BQ210" s="417"/>
      <c r="BR210" s="417"/>
      <c r="BS210" s="417"/>
      <c r="BT210" s="417"/>
      <c r="BU210" s="417"/>
    </row>
    <row r="211" spans="1:73" x14ac:dyDescent="0.2">
      <c r="A211" s="299"/>
      <c r="B211" s="299"/>
      <c r="C211" s="299"/>
      <c r="D211" s="299"/>
      <c r="E211" s="448"/>
      <c r="F211" s="448"/>
      <c r="G211" s="299"/>
      <c r="H211" s="299"/>
      <c r="I211" s="449"/>
      <c r="J211" s="449"/>
      <c r="K211" s="449"/>
      <c r="L211" s="449"/>
      <c r="M211" s="449"/>
      <c r="N211" s="449"/>
      <c r="O211" s="449"/>
      <c r="P211" s="449"/>
      <c r="Q211" s="450"/>
      <c r="R211" s="450"/>
      <c r="S211" s="450"/>
      <c r="T211" s="450"/>
      <c r="U211" s="450"/>
      <c r="V211" s="450"/>
      <c r="W211" s="450"/>
      <c r="X211" s="450"/>
      <c r="Y211" s="450"/>
      <c r="Z211" s="450"/>
      <c r="AA211" s="450"/>
      <c r="AB211" s="450"/>
      <c r="AC211" s="450"/>
      <c r="AD211" s="450"/>
      <c r="AE211" s="450"/>
      <c r="AF211" s="450"/>
      <c r="AG211" s="450"/>
      <c r="AH211" s="450"/>
      <c r="AI211" s="450"/>
      <c r="AJ211" s="450"/>
      <c r="AK211" s="450"/>
      <c r="AL211" s="450"/>
      <c r="AM211" s="450"/>
      <c r="AN211" s="450"/>
      <c r="AO211" s="450"/>
      <c r="AP211" s="450"/>
      <c r="AQ211" s="450"/>
      <c r="AR211" s="450"/>
      <c r="AS211" s="450"/>
      <c r="AT211" s="450"/>
      <c r="AU211" s="450"/>
      <c r="AV211" s="450"/>
      <c r="AW211" s="450"/>
      <c r="AX211" s="450"/>
      <c r="AY211" s="450"/>
      <c r="AZ211" s="450"/>
      <c r="BA211" s="450"/>
      <c r="BB211" s="450"/>
      <c r="BC211" s="450"/>
      <c r="BD211" s="450"/>
      <c r="BE211" s="450"/>
      <c r="BF211" s="450"/>
      <c r="BG211" s="450"/>
      <c r="BH211" s="450"/>
      <c r="BI211" s="450"/>
      <c r="BJ211" s="450"/>
      <c r="BK211" s="450"/>
      <c r="BL211" s="450"/>
      <c r="BM211" s="450"/>
      <c r="BN211" s="450"/>
      <c r="BO211" s="450"/>
      <c r="BP211" s="450"/>
      <c r="BQ211" s="450"/>
      <c r="BR211" s="450"/>
      <c r="BS211" s="450"/>
      <c r="BT211" s="450"/>
      <c r="BU211" s="450"/>
    </row>
    <row r="212" spans="1:73" x14ac:dyDescent="0.2">
      <c r="A212" s="299"/>
      <c r="B212" s="481" t="s">
        <v>419</v>
      </c>
      <c r="C212" s="299"/>
      <c r="D212" s="299"/>
      <c r="E212" s="299"/>
      <c r="F212" s="299"/>
      <c r="G212" s="299"/>
      <c r="H212" s="299"/>
      <c r="I212" s="299"/>
      <c r="J212" s="299"/>
      <c r="K212" s="410"/>
      <c r="L212" s="413"/>
      <c r="M212" s="299"/>
      <c r="N212" s="417"/>
      <c r="O212" s="417"/>
      <c r="P212" s="417"/>
      <c r="Q212" s="417"/>
      <c r="R212" s="417"/>
      <c r="S212" s="417"/>
      <c r="T212" s="417"/>
      <c r="U212" s="417"/>
      <c r="V212" s="417"/>
      <c r="W212" s="417"/>
      <c r="X212" s="417"/>
      <c r="Y212" s="417"/>
      <c r="Z212" s="417"/>
      <c r="AA212" s="417"/>
      <c r="AB212" s="417"/>
      <c r="AC212" s="417"/>
      <c r="AD212" s="417"/>
      <c r="AE212" s="417"/>
      <c r="AF212" s="417"/>
      <c r="AG212" s="417"/>
      <c r="AH212" s="417"/>
      <c r="AI212" s="417"/>
      <c r="AJ212" s="417"/>
      <c r="AK212" s="417"/>
      <c r="AL212" s="417"/>
      <c r="AM212" s="417"/>
      <c r="AN212" s="417"/>
      <c r="AO212" s="417"/>
      <c r="AP212" s="417"/>
      <c r="AQ212" s="417"/>
      <c r="AR212" s="417"/>
      <c r="AS212" s="417"/>
      <c r="AT212" s="417"/>
      <c r="AU212" s="417"/>
      <c r="AV212" s="417"/>
      <c r="AW212" s="417"/>
      <c r="AX212" s="417"/>
      <c r="AY212" s="417"/>
      <c r="AZ212" s="417"/>
      <c r="BA212" s="417"/>
      <c r="BB212" s="417"/>
      <c r="BC212" s="417"/>
      <c r="BD212" s="417"/>
      <c r="BE212" s="417"/>
      <c r="BF212" s="417"/>
      <c r="BG212" s="417"/>
      <c r="BH212" s="417"/>
      <c r="BI212" s="417"/>
      <c r="BJ212" s="417"/>
      <c r="BK212" s="417"/>
      <c r="BL212" s="417"/>
      <c r="BM212" s="417"/>
      <c r="BN212" s="417"/>
      <c r="BO212" s="417"/>
      <c r="BP212" s="417"/>
      <c r="BQ212" s="417"/>
      <c r="BR212" s="417"/>
      <c r="BS212" s="417"/>
      <c r="BT212" s="417"/>
      <c r="BU212" s="417"/>
    </row>
    <row r="213" spans="1:73" x14ac:dyDescent="0.2">
      <c r="A213" s="299"/>
      <c r="B213" s="299"/>
      <c r="C213" s="299" t="s">
        <v>87</v>
      </c>
      <c r="D213" s="299"/>
      <c r="E213" s="299"/>
      <c r="F213" s="299"/>
      <c r="G213" s="299"/>
      <c r="H213" s="299"/>
      <c r="I213" s="299"/>
      <c r="J213" s="299"/>
      <c r="K213" s="410"/>
      <c r="L213" s="413"/>
      <c r="M213" s="299"/>
      <c r="N213" s="417"/>
      <c r="O213" s="417"/>
      <c r="P213" s="417"/>
      <c r="Q213" s="417"/>
      <c r="R213" s="417">
        <f t="shared" ref="R213" si="245">+Q216</f>
        <v>0</v>
      </c>
      <c r="S213" s="417">
        <f t="shared" ref="S213" si="246">+R216</f>
        <v>0</v>
      </c>
      <c r="T213" s="417">
        <f t="shared" ref="T213" si="247">+S216</f>
        <v>0</v>
      </c>
      <c r="U213" s="417">
        <f t="shared" ref="U213:AZ213" si="248">+T216</f>
        <v>0</v>
      </c>
      <c r="V213" s="417">
        <f t="shared" si="248"/>
        <v>3321.3370258702384</v>
      </c>
      <c r="W213" s="417">
        <f t="shared" si="248"/>
        <v>8176.8670862673152</v>
      </c>
      <c r="X213" s="417">
        <f t="shared" si="248"/>
        <v>13411.590445796232</v>
      </c>
      <c r="Y213" s="417">
        <f t="shared" si="248"/>
        <v>19055.120258184375</v>
      </c>
      <c r="Z213" s="417">
        <f t="shared" si="248"/>
        <v>25139.38232054099</v>
      </c>
      <c r="AA213" s="417">
        <f t="shared" si="248"/>
        <v>31698.795679565515</v>
      </c>
      <c r="AB213" s="417">
        <f t="shared" si="248"/>
        <v>38770.467342223026</v>
      </c>
      <c r="AC213" s="417">
        <f t="shared" si="248"/>
        <v>45883.14349077033</v>
      </c>
      <c r="AD213" s="417">
        <f t="shared" si="248"/>
        <v>53037.061886226787</v>
      </c>
      <c r="AE213" s="417">
        <f t="shared" si="248"/>
        <v>0</v>
      </c>
      <c r="AF213" s="417">
        <f t="shared" si="248"/>
        <v>7237.1216948748361</v>
      </c>
      <c r="AG213" s="417">
        <f t="shared" si="248"/>
        <v>14516.207223561025</v>
      </c>
      <c r="AH213" s="417">
        <f t="shared" si="248"/>
        <v>22341.291289486951</v>
      </c>
      <c r="AI213" s="417">
        <f t="shared" si="248"/>
        <v>30753.32881775868</v>
      </c>
      <c r="AJ213" s="417">
        <f t="shared" si="248"/>
        <v>39796.346730522622</v>
      </c>
      <c r="AK213" s="417">
        <f t="shared" si="248"/>
        <v>49517.674375071387</v>
      </c>
      <c r="AL213" s="417">
        <f t="shared" si="248"/>
        <v>59968.191236182349</v>
      </c>
      <c r="AM213" s="417">
        <f t="shared" si="248"/>
        <v>71371.128141124791</v>
      </c>
      <c r="AN213" s="417">
        <f t="shared" si="248"/>
        <v>83813.285001515294</v>
      </c>
      <c r="AO213" s="417">
        <f t="shared" si="248"/>
        <v>0</v>
      </c>
      <c r="AP213" s="417">
        <f t="shared" si="248"/>
        <v>14813.35989367567</v>
      </c>
      <c r="AQ213" s="417">
        <f t="shared" si="248"/>
        <v>30976.752619863924</v>
      </c>
      <c r="AR213" s="417">
        <f t="shared" si="248"/>
        <v>45740.78124599508</v>
      </c>
      <c r="AS213" s="417">
        <f t="shared" si="248"/>
        <v>59226.597309849691</v>
      </c>
      <c r="AT213" s="417">
        <f t="shared" si="248"/>
        <v>71544.863517098071</v>
      </c>
      <c r="AU213" s="417">
        <f t="shared" si="248"/>
        <v>82796.66182386408</v>
      </c>
      <c r="AV213" s="417">
        <f t="shared" si="248"/>
        <v>93074.322901008694</v>
      </c>
      <c r="AW213" s="417">
        <f t="shared" si="248"/>
        <v>101241.29866986125</v>
      </c>
      <c r="AX213" s="417">
        <f t="shared" si="248"/>
        <v>101241.29866986125</v>
      </c>
      <c r="AY213" s="417">
        <f t="shared" si="248"/>
        <v>0</v>
      </c>
      <c r="AZ213" s="417">
        <f t="shared" si="248"/>
        <v>0</v>
      </c>
      <c r="BA213" s="417">
        <f t="shared" ref="BA213:BJ213" si="249">+AZ216</f>
        <v>0</v>
      </c>
      <c r="BB213" s="417">
        <f t="shared" si="249"/>
        <v>0</v>
      </c>
      <c r="BC213" s="417">
        <f t="shared" si="249"/>
        <v>0</v>
      </c>
      <c r="BD213" s="417">
        <f t="shared" si="249"/>
        <v>0</v>
      </c>
      <c r="BE213" s="417">
        <f t="shared" si="249"/>
        <v>0</v>
      </c>
      <c r="BF213" s="417">
        <f t="shared" si="249"/>
        <v>0</v>
      </c>
      <c r="BG213" s="417">
        <f t="shared" si="249"/>
        <v>0</v>
      </c>
      <c r="BH213" s="417">
        <f t="shared" si="249"/>
        <v>0</v>
      </c>
      <c r="BI213" s="417">
        <f t="shared" si="249"/>
        <v>0</v>
      </c>
      <c r="BJ213" s="417">
        <f t="shared" si="249"/>
        <v>0</v>
      </c>
      <c r="BK213" s="417"/>
      <c r="BL213" s="417"/>
      <c r="BM213" s="417"/>
      <c r="BN213" s="417"/>
      <c r="BO213" s="417"/>
      <c r="BP213" s="417"/>
      <c r="BQ213" s="417"/>
      <c r="BR213" s="417"/>
      <c r="BS213" s="417"/>
      <c r="BT213" s="417"/>
      <c r="BU213" s="417"/>
    </row>
    <row r="214" spans="1:73" x14ac:dyDescent="0.2">
      <c r="A214" s="299"/>
      <c r="B214" s="299"/>
      <c r="C214" s="299" t="s">
        <v>177</v>
      </c>
      <c r="D214" s="299"/>
      <c r="E214" s="299"/>
      <c r="F214" s="299"/>
      <c r="G214" s="299"/>
      <c r="H214" s="299"/>
      <c r="I214" s="299"/>
      <c r="J214" s="299"/>
      <c r="K214" s="410"/>
      <c r="L214" s="413"/>
      <c r="M214" s="299"/>
      <c r="N214" s="417">
        <f>+SUM(Q214:BJ214)</f>
        <v>258863.13267827081</v>
      </c>
      <c r="O214" s="417"/>
      <c r="P214" s="417"/>
      <c r="Q214" s="417"/>
      <c r="R214" s="417">
        <f t="shared" ref="R214:BJ214" si="250">+MIN(R204,R206-R213)*$L$200*IF(R7&lt;=YEAR($L$203),1,0)</f>
        <v>0</v>
      </c>
      <c r="S214" s="417">
        <f t="shared" si="250"/>
        <v>0</v>
      </c>
      <c r="T214" s="417">
        <f t="shared" si="250"/>
        <v>0</v>
      </c>
      <c r="U214" s="417">
        <f t="shared" si="250"/>
        <v>3321.3370258702384</v>
      </c>
      <c r="V214" s="417">
        <f t="shared" si="250"/>
        <v>4855.5300603970763</v>
      </c>
      <c r="W214" s="417">
        <f t="shared" si="250"/>
        <v>5234.7233595289154</v>
      </c>
      <c r="X214" s="417">
        <f t="shared" si="250"/>
        <v>5643.5298123881421</v>
      </c>
      <c r="Y214" s="417">
        <f t="shared" si="250"/>
        <v>6084.2620623566136</v>
      </c>
      <c r="Z214" s="417">
        <f t="shared" si="250"/>
        <v>6559.4133590245247</v>
      </c>
      <c r="AA214" s="417">
        <f t="shared" si="250"/>
        <v>7071.6716626575071</v>
      </c>
      <c r="AB214" s="417">
        <f t="shared" si="250"/>
        <v>7112.6761485473016</v>
      </c>
      <c r="AC214" s="417">
        <f t="shared" si="250"/>
        <v>7153.9183954564542</v>
      </c>
      <c r="AD214" s="417">
        <f t="shared" si="250"/>
        <v>7195.3997820219884</v>
      </c>
      <c r="AE214" s="417">
        <f t="shared" si="250"/>
        <v>7237.1216948748361</v>
      </c>
      <c r="AF214" s="417">
        <f t="shared" si="250"/>
        <v>7279.0855286861879</v>
      </c>
      <c r="AG214" s="417">
        <f t="shared" si="250"/>
        <v>7825.0840659259275</v>
      </c>
      <c r="AH214" s="417">
        <f t="shared" si="250"/>
        <v>8412.0375282717268</v>
      </c>
      <c r="AI214" s="417">
        <f t="shared" si="250"/>
        <v>9043.0179127639458</v>
      </c>
      <c r="AJ214" s="417">
        <f t="shared" si="250"/>
        <v>9721.3276445487663</v>
      </c>
      <c r="AK214" s="417">
        <f t="shared" si="250"/>
        <v>10450.516861110962</v>
      </c>
      <c r="AL214" s="417">
        <f t="shared" si="250"/>
        <v>11402.936904942444</v>
      </c>
      <c r="AM214" s="417">
        <f t="shared" si="250"/>
        <v>12442.156860390503</v>
      </c>
      <c r="AN214" s="417">
        <f t="shared" si="250"/>
        <v>13576.087338645486</v>
      </c>
      <c r="AO214" s="417">
        <f t="shared" si="250"/>
        <v>14813.35989367567</v>
      </c>
      <c r="AP214" s="417">
        <f t="shared" si="250"/>
        <v>16163.392726188255</v>
      </c>
      <c r="AQ214" s="417">
        <f t="shared" si="250"/>
        <v>14764.028626131159</v>
      </c>
      <c r="AR214" s="417">
        <f t="shared" si="250"/>
        <v>13485.816063854612</v>
      </c>
      <c r="AS214" s="417">
        <f t="shared" si="250"/>
        <v>12318.266207248376</v>
      </c>
      <c r="AT214" s="417">
        <f t="shared" si="250"/>
        <v>11251.798306766013</v>
      </c>
      <c r="AU214" s="417">
        <f t="shared" si="250"/>
        <v>10277.661077144619</v>
      </c>
      <c r="AV214" s="417">
        <f t="shared" si="250"/>
        <v>8166.9757688525569</v>
      </c>
      <c r="AW214" s="417">
        <f t="shared" si="250"/>
        <v>0</v>
      </c>
      <c r="AX214" s="417">
        <f t="shared" si="250"/>
        <v>0</v>
      </c>
      <c r="AY214" s="417">
        <f t="shared" si="250"/>
        <v>0</v>
      </c>
      <c r="AZ214" s="417">
        <f t="shared" si="250"/>
        <v>0</v>
      </c>
      <c r="BA214" s="417">
        <f t="shared" si="250"/>
        <v>0</v>
      </c>
      <c r="BB214" s="417">
        <f t="shared" si="250"/>
        <v>0</v>
      </c>
      <c r="BC214" s="417">
        <f t="shared" si="250"/>
        <v>0</v>
      </c>
      <c r="BD214" s="417">
        <f t="shared" si="250"/>
        <v>0</v>
      </c>
      <c r="BE214" s="417">
        <f t="shared" si="250"/>
        <v>0</v>
      </c>
      <c r="BF214" s="417">
        <f t="shared" si="250"/>
        <v>0</v>
      </c>
      <c r="BG214" s="417">
        <f t="shared" si="250"/>
        <v>0</v>
      </c>
      <c r="BH214" s="417">
        <f t="shared" si="250"/>
        <v>0</v>
      </c>
      <c r="BI214" s="417">
        <f t="shared" si="250"/>
        <v>0</v>
      </c>
      <c r="BJ214" s="417">
        <f t="shared" si="250"/>
        <v>0</v>
      </c>
      <c r="BK214" s="417"/>
      <c r="BL214" s="417"/>
      <c r="BM214" s="417"/>
      <c r="BN214" s="417"/>
      <c r="BO214" s="417"/>
      <c r="BP214" s="417"/>
      <c r="BQ214" s="417"/>
      <c r="BR214" s="417"/>
      <c r="BS214" s="417"/>
      <c r="BT214" s="417"/>
      <c r="BU214" s="417"/>
    </row>
    <row r="215" spans="1:73" x14ac:dyDescent="0.2">
      <c r="A215" s="299"/>
      <c r="B215" s="299"/>
      <c r="C215" s="299" t="s">
        <v>152</v>
      </c>
      <c r="D215" s="299"/>
      <c r="E215" s="299"/>
      <c r="F215" s="299"/>
      <c r="G215" s="299"/>
      <c r="H215" s="299"/>
      <c r="I215" s="299"/>
      <c r="J215" s="299"/>
      <c r="K215" s="410"/>
      <c r="L215" s="413"/>
      <c r="M215" s="299"/>
      <c r="N215" s="417">
        <f>+SUM(Q215:BJ215)</f>
        <v>-258863.13267827081</v>
      </c>
      <c r="O215" s="417"/>
      <c r="P215" s="417"/>
      <c r="Q215" s="417"/>
      <c r="R215" s="417">
        <f t="shared" ref="R215:BJ215" si="251">+IF(R7&gt;$L$201,IF(S206-R206&lt;&gt;0,-R213-R214,0))*$L$200</f>
        <v>0</v>
      </c>
      <c r="S215" s="417">
        <f t="shared" si="251"/>
        <v>0</v>
      </c>
      <c r="T215" s="417">
        <f t="shared" si="251"/>
        <v>0</v>
      </c>
      <c r="U215" s="417">
        <f t="shared" si="251"/>
        <v>0</v>
      </c>
      <c r="V215" s="417">
        <f t="shared" si="251"/>
        <v>0</v>
      </c>
      <c r="W215" s="417">
        <f t="shared" si="251"/>
        <v>0</v>
      </c>
      <c r="X215" s="417">
        <f t="shared" si="251"/>
        <v>0</v>
      </c>
      <c r="Y215" s="417">
        <f t="shared" si="251"/>
        <v>0</v>
      </c>
      <c r="Z215" s="417">
        <f t="shared" si="251"/>
        <v>0</v>
      </c>
      <c r="AA215" s="417">
        <f t="shared" si="251"/>
        <v>0</v>
      </c>
      <c r="AB215" s="417">
        <f t="shared" si="251"/>
        <v>0</v>
      </c>
      <c r="AC215" s="417">
        <f t="shared" si="251"/>
        <v>0</v>
      </c>
      <c r="AD215" s="417">
        <f t="shared" si="251"/>
        <v>-60232.461668248776</v>
      </c>
      <c r="AE215" s="417">
        <f t="shared" si="251"/>
        <v>0</v>
      </c>
      <c r="AF215" s="417">
        <f t="shared" si="251"/>
        <v>0</v>
      </c>
      <c r="AG215" s="417">
        <f t="shared" si="251"/>
        <v>0</v>
      </c>
      <c r="AH215" s="417">
        <f t="shared" si="251"/>
        <v>0</v>
      </c>
      <c r="AI215" s="417">
        <f t="shared" si="251"/>
        <v>0</v>
      </c>
      <c r="AJ215" s="417">
        <f t="shared" si="251"/>
        <v>0</v>
      </c>
      <c r="AK215" s="417">
        <f t="shared" si="251"/>
        <v>0</v>
      </c>
      <c r="AL215" s="417">
        <f t="shared" si="251"/>
        <v>0</v>
      </c>
      <c r="AM215" s="417">
        <f t="shared" si="251"/>
        <v>0</v>
      </c>
      <c r="AN215" s="417">
        <f t="shared" si="251"/>
        <v>-97389.372340160786</v>
      </c>
      <c r="AO215" s="417">
        <f t="shared" si="251"/>
        <v>0</v>
      </c>
      <c r="AP215" s="417">
        <f t="shared" si="251"/>
        <v>0</v>
      </c>
      <c r="AQ215" s="417">
        <f t="shared" si="251"/>
        <v>0</v>
      </c>
      <c r="AR215" s="417">
        <f t="shared" si="251"/>
        <v>0</v>
      </c>
      <c r="AS215" s="417">
        <f t="shared" si="251"/>
        <v>0</v>
      </c>
      <c r="AT215" s="417">
        <f t="shared" si="251"/>
        <v>0</v>
      </c>
      <c r="AU215" s="417">
        <f t="shared" si="251"/>
        <v>0</v>
      </c>
      <c r="AV215" s="417">
        <f t="shared" si="251"/>
        <v>0</v>
      </c>
      <c r="AW215" s="417">
        <f t="shared" si="251"/>
        <v>0</v>
      </c>
      <c r="AX215" s="417">
        <f t="shared" si="251"/>
        <v>-101241.29866986125</v>
      </c>
      <c r="AY215" s="417">
        <f t="shared" si="251"/>
        <v>0</v>
      </c>
      <c r="AZ215" s="417">
        <f t="shared" si="251"/>
        <v>0</v>
      </c>
      <c r="BA215" s="417">
        <f t="shared" si="251"/>
        <v>0</v>
      </c>
      <c r="BB215" s="417">
        <f t="shared" si="251"/>
        <v>0</v>
      </c>
      <c r="BC215" s="417">
        <f t="shared" si="251"/>
        <v>0</v>
      </c>
      <c r="BD215" s="417">
        <f t="shared" si="251"/>
        <v>0</v>
      </c>
      <c r="BE215" s="417">
        <f t="shared" si="251"/>
        <v>0</v>
      </c>
      <c r="BF215" s="417">
        <f t="shared" si="251"/>
        <v>0</v>
      </c>
      <c r="BG215" s="417">
        <f t="shared" si="251"/>
        <v>0</v>
      </c>
      <c r="BH215" s="417">
        <f t="shared" si="251"/>
        <v>0</v>
      </c>
      <c r="BI215" s="417">
        <f t="shared" si="251"/>
        <v>0</v>
      </c>
      <c r="BJ215" s="417">
        <f t="shared" si="251"/>
        <v>0</v>
      </c>
      <c r="BK215" s="417"/>
      <c r="BL215" s="417"/>
      <c r="BM215" s="417"/>
      <c r="BN215" s="417"/>
      <c r="BO215" s="417"/>
      <c r="BP215" s="417"/>
      <c r="BQ215" s="417"/>
      <c r="BR215" s="417"/>
      <c r="BS215" s="417"/>
      <c r="BT215" s="417"/>
      <c r="BU215" s="417"/>
    </row>
    <row r="216" spans="1:73" x14ac:dyDescent="0.2">
      <c r="A216" s="299"/>
      <c r="B216" s="299"/>
      <c r="C216" s="496" t="s">
        <v>88</v>
      </c>
      <c r="D216" s="496"/>
      <c r="E216" s="496"/>
      <c r="F216" s="496"/>
      <c r="G216" s="496"/>
      <c r="H216" s="496"/>
      <c r="I216" s="496"/>
      <c r="J216" s="496"/>
      <c r="K216" s="643"/>
      <c r="L216" s="497"/>
      <c r="M216" s="496"/>
      <c r="N216" s="498"/>
      <c r="O216" s="498"/>
      <c r="P216" s="498"/>
      <c r="Q216" s="498"/>
      <c r="R216" s="498">
        <f t="shared" ref="R216:T216" si="252">+SUM(R213:R215)</f>
        <v>0</v>
      </c>
      <c r="S216" s="498">
        <f t="shared" si="252"/>
        <v>0</v>
      </c>
      <c r="T216" s="498">
        <f t="shared" si="252"/>
        <v>0</v>
      </c>
      <c r="U216" s="498">
        <f t="shared" ref="U216:AD216" si="253">+SUM(U213:U215)</f>
        <v>3321.3370258702384</v>
      </c>
      <c r="V216" s="498">
        <f t="shared" si="253"/>
        <v>8176.8670862673152</v>
      </c>
      <c r="W216" s="498">
        <f t="shared" si="253"/>
        <v>13411.590445796232</v>
      </c>
      <c r="X216" s="498">
        <f t="shared" si="253"/>
        <v>19055.120258184375</v>
      </c>
      <c r="Y216" s="498">
        <f t="shared" si="253"/>
        <v>25139.38232054099</v>
      </c>
      <c r="Z216" s="498">
        <f t="shared" si="253"/>
        <v>31698.795679565515</v>
      </c>
      <c r="AA216" s="498">
        <f t="shared" si="253"/>
        <v>38770.467342223026</v>
      </c>
      <c r="AB216" s="498">
        <f t="shared" si="253"/>
        <v>45883.14349077033</v>
      </c>
      <c r="AC216" s="498">
        <f t="shared" si="253"/>
        <v>53037.061886226787</v>
      </c>
      <c r="AD216" s="498">
        <f t="shared" si="253"/>
        <v>0</v>
      </c>
      <c r="AE216" s="498">
        <f t="shared" ref="AE216" si="254">+SUM(AE213:AE215)</f>
        <v>7237.1216948748361</v>
      </c>
      <c r="AF216" s="498">
        <f t="shared" ref="AF216" si="255">+SUM(AF213:AF215)</f>
        <v>14516.207223561025</v>
      </c>
      <c r="AG216" s="498">
        <f t="shared" ref="AG216" si="256">+SUM(AG213:AG215)</f>
        <v>22341.291289486951</v>
      </c>
      <c r="AH216" s="498">
        <f t="shared" ref="AH216" si="257">+SUM(AH213:AH215)</f>
        <v>30753.32881775868</v>
      </c>
      <c r="AI216" s="498">
        <f t="shared" ref="AI216" si="258">+SUM(AI213:AI215)</f>
        <v>39796.346730522622</v>
      </c>
      <c r="AJ216" s="498">
        <f t="shared" ref="AJ216" si="259">+SUM(AJ213:AJ215)</f>
        <v>49517.674375071387</v>
      </c>
      <c r="AK216" s="498">
        <f t="shared" ref="AK216" si="260">+SUM(AK213:AK215)</f>
        <v>59968.191236182349</v>
      </c>
      <c r="AL216" s="498">
        <f t="shared" ref="AL216" si="261">+SUM(AL213:AL215)</f>
        <v>71371.128141124791</v>
      </c>
      <c r="AM216" s="498">
        <f t="shared" ref="AM216" si="262">+SUM(AM213:AM215)</f>
        <v>83813.285001515294</v>
      </c>
      <c r="AN216" s="498">
        <f t="shared" ref="AN216" si="263">+SUM(AN213:AN215)</f>
        <v>0</v>
      </c>
      <c r="AO216" s="498">
        <f t="shared" ref="AO216" si="264">+SUM(AO213:AO215)</f>
        <v>14813.35989367567</v>
      </c>
      <c r="AP216" s="498">
        <f t="shared" ref="AP216" si="265">+SUM(AP213:AP215)</f>
        <v>30976.752619863924</v>
      </c>
      <c r="AQ216" s="498">
        <f t="shared" ref="AQ216" si="266">+SUM(AQ213:AQ215)</f>
        <v>45740.78124599508</v>
      </c>
      <c r="AR216" s="498">
        <f t="shared" ref="AR216" si="267">+SUM(AR213:AR215)</f>
        <v>59226.597309849691</v>
      </c>
      <c r="AS216" s="498">
        <f t="shared" ref="AS216" si="268">+SUM(AS213:AS215)</f>
        <v>71544.863517098071</v>
      </c>
      <c r="AT216" s="498">
        <f t="shared" ref="AT216" si="269">+SUM(AT213:AT215)</f>
        <v>82796.66182386408</v>
      </c>
      <c r="AU216" s="498">
        <f t="shared" ref="AU216" si="270">+SUM(AU213:AU215)</f>
        <v>93074.322901008694</v>
      </c>
      <c r="AV216" s="498">
        <f t="shared" ref="AV216" si="271">+SUM(AV213:AV215)</f>
        <v>101241.29866986125</v>
      </c>
      <c r="AW216" s="498">
        <f t="shared" ref="AW216" si="272">+SUM(AW213:AW215)</f>
        <v>101241.29866986125</v>
      </c>
      <c r="AX216" s="498">
        <f t="shared" ref="AX216" si="273">+SUM(AX213:AX215)</f>
        <v>0</v>
      </c>
      <c r="AY216" s="498">
        <f t="shared" ref="AY216" si="274">+SUM(AY213:AY215)</f>
        <v>0</v>
      </c>
      <c r="AZ216" s="498">
        <f t="shared" ref="AZ216" si="275">+SUM(AZ213:AZ215)</f>
        <v>0</v>
      </c>
      <c r="BA216" s="498">
        <f t="shared" ref="BA216" si="276">+SUM(BA213:BA215)</f>
        <v>0</v>
      </c>
      <c r="BB216" s="498">
        <f t="shared" ref="BB216" si="277">+SUM(BB213:BB215)</f>
        <v>0</v>
      </c>
      <c r="BC216" s="498">
        <f t="shared" ref="BC216" si="278">+SUM(BC213:BC215)</f>
        <v>0</v>
      </c>
      <c r="BD216" s="498">
        <f t="shared" ref="BD216" si="279">+SUM(BD213:BD215)</f>
        <v>0</v>
      </c>
      <c r="BE216" s="498">
        <f t="shared" ref="BE216" si="280">+SUM(BE213:BE215)</f>
        <v>0</v>
      </c>
      <c r="BF216" s="498">
        <f t="shared" ref="BF216" si="281">+SUM(BF213:BF215)</f>
        <v>0</v>
      </c>
      <c r="BG216" s="498">
        <f t="shared" ref="BG216" si="282">+SUM(BG213:BG215)</f>
        <v>0</v>
      </c>
      <c r="BH216" s="498">
        <f t="shared" ref="BH216" si="283">+SUM(BH213:BH215)</f>
        <v>0</v>
      </c>
      <c r="BI216" s="498">
        <f t="shared" ref="BI216" si="284">+SUM(BI213:BI215)</f>
        <v>0</v>
      </c>
      <c r="BJ216" s="498">
        <f t="shared" ref="BJ216" si="285">+SUM(BJ213:BJ215)</f>
        <v>0</v>
      </c>
      <c r="BK216" s="498"/>
      <c r="BL216" s="498"/>
      <c r="BM216" s="498"/>
      <c r="BN216" s="498"/>
      <c r="BO216" s="498"/>
      <c r="BP216" s="498"/>
      <c r="BQ216" s="498"/>
      <c r="BR216" s="498"/>
      <c r="BS216" s="498"/>
      <c r="BT216" s="498"/>
      <c r="BU216" s="498"/>
    </row>
    <row r="217" spans="1:73" x14ac:dyDescent="0.2">
      <c r="A217" s="299"/>
      <c r="B217" s="299"/>
      <c r="C217" s="299"/>
      <c r="D217" s="299"/>
      <c r="E217" s="299"/>
      <c r="F217" s="299"/>
      <c r="G217" s="299"/>
      <c r="H217" s="299"/>
      <c r="I217" s="299"/>
      <c r="J217" s="299"/>
      <c r="K217" s="410"/>
      <c r="L217" s="413"/>
      <c r="M217" s="299"/>
      <c r="N217" s="417"/>
      <c r="O217" s="417"/>
      <c r="P217" s="417"/>
      <c r="Q217" s="417"/>
      <c r="R217" s="417"/>
      <c r="S217" s="417"/>
      <c r="T217" s="417"/>
      <c r="U217" s="417"/>
      <c r="V217" s="417"/>
      <c r="W217" s="417"/>
      <c r="X217" s="417"/>
      <c r="Y217" s="417"/>
      <c r="Z217" s="417"/>
      <c r="AA217" s="417"/>
      <c r="AB217" s="417"/>
      <c r="AC217" s="417"/>
      <c r="AD217" s="417"/>
      <c r="AE217" s="417"/>
      <c r="AF217" s="417"/>
      <c r="AG217" s="417"/>
      <c r="AH217" s="417"/>
      <c r="AI217" s="417"/>
      <c r="AJ217" s="417"/>
      <c r="AK217" s="417"/>
      <c r="AL217" s="417"/>
      <c r="AM217" s="417"/>
      <c r="AN217" s="417"/>
      <c r="AO217" s="417"/>
      <c r="AP217" s="417"/>
      <c r="AQ217" s="417"/>
      <c r="AR217" s="417"/>
      <c r="AS217" s="417"/>
      <c r="AT217" s="417"/>
      <c r="AU217" s="417"/>
      <c r="AV217" s="417"/>
      <c r="AW217" s="417"/>
      <c r="AX217" s="417"/>
      <c r="AY217" s="417"/>
      <c r="AZ217" s="417"/>
      <c r="BA217" s="417"/>
      <c r="BB217" s="417"/>
      <c r="BC217" s="417"/>
      <c r="BD217" s="417"/>
      <c r="BE217" s="417"/>
      <c r="BF217" s="417"/>
      <c r="BG217" s="417"/>
      <c r="BH217" s="417"/>
      <c r="BI217" s="417"/>
      <c r="BJ217" s="417"/>
      <c r="BK217" s="417"/>
      <c r="BL217" s="417"/>
      <c r="BM217" s="417"/>
      <c r="BN217" s="417"/>
      <c r="BO217" s="417"/>
      <c r="BP217" s="417"/>
      <c r="BQ217" s="417"/>
      <c r="BR217" s="417"/>
      <c r="BS217" s="417"/>
      <c r="BT217" s="417"/>
      <c r="BU217" s="417"/>
    </row>
    <row r="218" spans="1:73" x14ac:dyDescent="0.2">
      <c r="A218" s="299"/>
      <c r="B218" s="439" t="s">
        <v>163</v>
      </c>
      <c r="C218" s="299"/>
      <c r="D218" s="299"/>
      <c r="E218" s="299"/>
      <c r="F218" s="299"/>
      <c r="G218" s="299"/>
      <c r="H218" s="299"/>
      <c r="I218" s="299"/>
      <c r="J218" s="299"/>
      <c r="K218" s="410"/>
      <c r="L218" s="299"/>
      <c r="M218" s="299"/>
      <c r="N218" s="299"/>
      <c r="O218" s="299"/>
      <c r="P218" s="299"/>
      <c r="Q218" s="299"/>
      <c r="R218" s="299"/>
      <c r="S218" s="299"/>
      <c r="T218" s="299"/>
      <c r="U218" s="299"/>
      <c r="V218" s="299"/>
      <c r="W218" s="299"/>
      <c r="X218" s="299"/>
      <c r="Y218" s="299"/>
      <c r="Z218" s="299"/>
      <c r="AA218" s="299"/>
      <c r="AB218" s="299"/>
      <c r="AC218" s="299"/>
      <c r="AD218" s="299"/>
      <c r="AE218" s="299"/>
      <c r="AF218" s="299"/>
      <c r="AG218" s="299"/>
      <c r="AH218" s="299"/>
      <c r="AI218" s="299"/>
      <c r="AJ218" s="299"/>
      <c r="AK218" s="299"/>
      <c r="AL218" s="299"/>
      <c r="AM218" s="299"/>
      <c r="AN218" s="299"/>
      <c r="AO218" s="299"/>
      <c r="AP218" s="299"/>
      <c r="AQ218" s="299"/>
      <c r="AR218" s="299"/>
      <c r="AS218" s="299"/>
      <c r="AT218" s="299"/>
      <c r="AU218" s="299"/>
      <c r="AV218" s="299"/>
      <c r="AW218" s="299"/>
      <c r="AX218" s="299"/>
      <c r="AY218" s="299"/>
      <c r="AZ218" s="299"/>
      <c r="BA218" s="299"/>
      <c r="BB218" s="299"/>
      <c r="BC218" s="299"/>
      <c r="BD218" s="299"/>
      <c r="BE218" s="299"/>
      <c r="BF218" s="299"/>
      <c r="BG218" s="299"/>
      <c r="BH218" s="299"/>
      <c r="BI218" s="299"/>
      <c r="BJ218" s="299"/>
      <c r="BK218" s="299"/>
      <c r="BL218" s="299"/>
      <c r="BM218" s="299"/>
      <c r="BN218" s="299"/>
      <c r="BO218" s="299"/>
      <c r="BP218" s="299"/>
      <c r="BQ218" s="299"/>
      <c r="BR218" s="299"/>
      <c r="BS218" s="299"/>
      <c r="BT218" s="299"/>
      <c r="BU218" s="299"/>
    </row>
    <row r="219" spans="1:73" x14ac:dyDescent="0.2">
      <c r="A219" s="299"/>
      <c r="B219" s="439"/>
      <c r="C219" s="299" t="s">
        <v>17</v>
      </c>
      <c r="D219" s="299"/>
      <c r="E219" s="299"/>
      <c r="F219" s="299"/>
      <c r="G219" s="299"/>
      <c r="H219" s="299"/>
      <c r="I219" s="299"/>
      <c r="J219" s="299"/>
      <c r="K219" s="410" t="s">
        <v>62</v>
      </c>
      <c r="L219" s="299"/>
      <c r="M219" s="299"/>
      <c r="N219" s="417">
        <f t="shared" ref="N219:N220" si="286">SUM(Q219:BJ219)</f>
        <v>12207.35892102186</v>
      </c>
      <c r="O219" s="299"/>
      <c r="P219" s="299"/>
      <c r="Q219" s="417"/>
      <c r="R219" s="417">
        <f>+IF(R206-Q206&lt;&gt;0,R206* Inputs!$L$153,0)</f>
        <v>0</v>
      </c>
      <c r="S219" s="417">
        <f>+IF(S206-R206&lt;&gt;0,S206* Inputs!$L$153,0)</f>
        <v>0</v>
      </c>
      <c r="T219" s="417">
        <f>+IF(T206-S206&lt;&gt;0,T206* Inputs!$L$153,0)</f>
        <v>0</v>
      </c>
      <c r="U219" s="417">
        <f>+IF(U206-T206&lt;&gt;0,U206* Inputs!$L$153,0)</f>
        <v>4182.581101955403</v>
      </c>
      <c r="V219" s="417">
        <f>+IF(V206-U206&lt;&gt;0,V206* Inputs!$L$153,0)</f>
        <v>0</v>
      </c>
      <c r="W219" s="417">
        <f>+IF(W206-V206&lt;&gt;0,W206* Inputs!$L$153,0)</f>
        <v>0</v>
      </c>
      <c r="X219" s="417">
        <f>+IF(X206-W206&lt;&gt;0,X206* Inputs!$L$153,0)</f>
        <v>0</v>
      </c>
      <c r="Y219" s="417">
        <f>+IF(Y206-X206&lt;&gt;0,Y206* Inputs!$L$153,0)</f>
        <v>0</v>
      </c>
      <c r="Z219" s="417">
        <f>+IF(Z206-Y206&lt;&gt;0,Z206* Inputs!$L$153,0)</f>
        <v>0</v>
      </c>
      <c r="AA219" s="417">
        <f>+IF(AA206-Z206&lt;&gt;0,AA206* Inputs!$L$153,0)</f>
        <v>0</v>
      </c>
      <c r="AB219" s="417">
        <f>+IF(AB206-AA206&lt;&gt;0,AB206* Inputs!$L$153,0)</f>
        <v>0</v>
      </c>
      <c r="AC219" s="417">
        <f>+IF(AC206-AB206&lt;&gt;0,AC206* Inputs!$L$153,0)</f>
        <v>0</v>
      </c>
      <c r="AD219" s="417">
        <f>+IF(AD206-AC206&lt;&gt;0,AD206* Inputs!$L$153,0)</f>
        <v>0</v>
      </c>
      <c r="AE219" s="417">
        <f>+IF(AE206-AD206&lt;&gt;0,AE206* Inputs!$L$153,0)</f>
        <v>4481.3323656213124</v>
      </c>
      <c r="AF219" s="417">
        <f>+IF(AF206-AE206&lt;&gt;0,AF206* Inputs!$L$153,0)</f>
        <v>0</v>
      </c>
      <c r="AG219" s="417">
        <f>+IF(AG206-AF206&lt;&gt;0,AG206* Inputs!$L$153,0)</f>
        <v>0</v>
      </c>
      <c r="AH219" s="417">
        <f>+IF(AH206-AG206&lt;&gt;0,AH206* Inputs!$L$153,0)</f>
        <v>0</v>
      </c>
      <c r="AI219" s="417">
        <f>+IF(AI206-AH206&lt;&gt;0,AI206* Inputs!$L$153,0)</f>
        <v>0</v>
      </c>
      <c r="AJ219" s="417">
        <f>+IF(AJ206-AI206&lt;&gt;0,AJ206* Inputs!$L$153,0)</f>
        <v>0</v>
      </c>
      <c r="AK219" s="417">
        <f>+IF(AK206-AJ206&lt;&gt;0,AK206* Inputs!$L$153,0)</f>
        <v>0</v>
      </c>
      <c r="AL219" s="417">
        <f>+IF(AL206-AK206&lt;&gt;0,AL206* Inputs!$L$153,0)</f>
        <v>0</v>
      </c>
      <c r="AM219" s="417">
        <f>+IF(AM206-AL206&lt;&gt;0,AM206* Inputs!$L$153,0)</f>
        <v>0</v>
      </c>
      <c r="AN219" s="417">
        <f>+IF(AN206-AM206&lt;&gt;0,AN206* Inputs!$L$153,0)</f>
        <v>0</v>
      </c>
      <c r="AO219" s="417">
        <f>+IF(AO206-AN206&lt;&gt;0,AO206* Inputs!$L$153,0)</f>
        <v>3543.4454534451443</v>
      </c>
      <c r="AP219" s="417">
        <f>+IF(AP206-AO206&lt;&gt;0,AP206* Inputs!$L$153,0)</f>
        <v>0</v>
      </c>
      <c r="AQ219" s="417">
        <f>+IF(AQ206-AP206&lt;&gt;0,AQ206* Inputs!$L$153,0)</f>
        <v>0</v>
      </c>
      <c r="AR219" s="417">
        <f>+IF(AR206-AQ206&lt;&gt;0,AR206* Inputs!$L$153,0)</f>
        <v>0</v>
      </c>
      <c r="AS219" s="417">
        <f>+IF(AS206-AR206&lt;&gt;0,AS206* Inputs!$L$153,0)</f>
        <v>0</v>
      </c>
      <c r="AT219" s="417">
        <f>+IF(AT206-AS206&lt;&gt;0,AT206* Inputs!$L$153,0)</f>
        <v>0</v>
      </c>
      <c r="AU219" s="417">
        <f>+IF(AU206-AT206&lt;&gt;0,AU206* Inputs!$L$153,0)</f>
        <v>0</v>
      </c>
      <c r="AV219" s="417">
        <f>+IF(AV206-AU206&lt;&gt;0,AV206* Inputs!$L$153,0)</f>
        <v>0</v>
      </c>
      <c r="AW219" s="417">
        <f>+IF(AW206-AV206&lt;&gt;0,AW206* Inputs!$L$153,0)</f>
        <v>0</v>
      </c>
      <c r="AX219" s="417">
        <f>+IF(AX206-AW206&lt;&gt;0,AX206* Inputs!$L$153,0)</f>
        <v>0</v>
      </c>
      <c r="AY219" s="417">
        <f>+IF(AY206-AX206&lt;&gt;0,AY206* Inputs!$L$153,0)</f>
        <v>0</v>
      </c>
      <c r="AZ219" s="417">
        <f>+IF(AZ206-AY206&lt;&gt;0,AZ206* Inputs!$L$153,0)</f>
        <v>0</v>
      </c>
      <c r="BA219" s="417">
        <f>+IF(BA206-AZ206&lt;&gt;0,BA206* Inputs!$L$153,0)</f>
        <v>0</v>
      </c>
      <c r="BB219" s="417">
        <f>+IF(BB206-BA206&lt;&gt;0,BB206* Inputs!$L$153,0)</f>
        <v>0</v>
      </c>
      <c r="BC219" s="417">
        <f>+IF(BC206-BB206&lt;&gt;0,BC206* Inputs!$L$153,0)</f>
        <v>0</v>
      </c>
      <c r="BD219" s="417">
        <f>+IF(BD206-BC206&lt;&gt;0,BD206* Inputs!$L$153,0)</f>
        <v>0</v>
      </c>
      <c r="BE219" s="417">
        <f>+IF(BE206-BD206&lt;&gt;0,BE206* Inputs!$L$153,0)</f>
        <v>0</v>
      </c>
      <c r="BF219" s="417">
        <f>+IF(BF206-BE206&lt;&gt;0,BF206* Inputs!$L$153,0)</f>
        <v>0</v>
      </c>
      <c r="BG219" s="417">
        <f>+IF(BG206-BF206&lt;&gt;0,BG206* Inputs!$L$153,0)</f>
        <v>0</v>
      </c>
      <c r="BH219" s="417">
        <f>+IF(BH206-BG206&lt;&gt;0,BH206* Inputs!$L$153,0)</f>
        <v>0</v>
      </c>
      <c r="BI219" s="417">
        <f>+IF(BI206-BH206&lt;&gt;0,BI206* Inputs!$L$153,0)</f>
        <v>0</v>
      </c>
      <c r="BJ219" s="417">
        <f>+IF(BJ206-BI206&lt;&gt;0,BJ206* Inputs!$L$153,0)</f>
        <v>0</v>
      </c>
      <c r="BK219" s="417"/>
      <c r="BL219" s="417"/>
      <c r="BM219" s="417"/>
      <c r="BN219" s="417"/>
      <c r="BO219" s="417"/>
      <c r="BP219" s="417"/>
      <c r="BQ219" s="417"/>
      <c r="BR219" s="417"/>
      <c r="BS219" s="417"/>
      <c r="BT219" s="417"/>
      <c r="BU219" s="417"/>
    </row>
    <row r="220" spans="1:73" x14ac:dyDescent="0.2">
      <c r="A220" s="299"/>
      <c r="B220" s="439"/>
      <c r="C220" s="299" t="s">
        <v>178</v>
      </c>
      <c r="D220" s="299"/>
      <c r="E220" s="299"/>
      <c r="F220" s="299"/>
      <c r="G220" s="299"/>
      <c r="H220" s="299"/>
      <c r="I220" s="299"/>
      <c r="J220" s="299"/>
      <c r="K220" s="410" t="s">
        <v>62</v>
      </c>
      <c r="L220" s="311"/>
      <c r="M220" s="311"/>
      <c r="N220" s="417">
        <f t="shared" si="286"/>
        <v>9218.740197231773</v>
      </c>
      <c r="O220" s="299"/>
      <c r="P220" s="299"/>
      <c r="Q220" s="417"/>
      <c r="R220" s="417">
        <f>+IF(R206-Q206=0,(R206-R213)*Inputs!$L$154,0)</f>
        <v>0</v>
      </c>
      <c r="S220" s="417">
        <f>+IF(S206-R206=0,(S206-S213)*Inputs!$L$154,0)</f>
        <v>0</v>
      </c>
      <c r="T220" s="417">
        <f>+IF(T206-S206=0,(T206-T213)*Inputs!$L$154,0)</f>
        <v>0</v>
      </c>
      <c r="U220" s="417">
        <f>+IF(U206-T206=0,(U206-U213)*Inputs!$L$154,0)</f>
        <v>0</v>
      </c>
      <c r="V220" s="417">
        <f>+IF(V206-U206=0,(V206-V213)*Inputs!$L$154,0)</f>
        <v>557.6687048297066</v>
      </c>
      <c r="W220" s="417">
        <f>+IF(W206-V206=0,(W206-W213)*Inputs!$L$154,0)</f>
        <v>534.36216053980058</v>
      </c>
      <c r="X220" s="417">
        <f>+IF(X206-W206=0,(X206-X213)*Inputs!$L$154,0)</f>
        <v>509.23548841406182</v>
      </c>
      <c r="Y220" s="417">
        <f>+IF(Y206-X206=0,(Y206-Y213)*Inputs!$L$154,0)</f>
        <v>482.14654531459877</v>
      </c>
      <c r="Z220" s="417">
        <f>+IF(Z206-Y206=0,(Z206-Z213)*Inputs!$L$154,0)</f>
        <v>452.94208741528695</v>
      </c>
      <c r="AA220" s="417">
        <f>+IF(AA206-Z206=0,(AA206-AA213)*Inputs!$L$154,0)</f>
        <v>421.45690329196924</v>
      </c>
      <c r="AB220" s="417">
        <f>+IF(AB206-AA206=0,(AB206-AB213)*Inputs!$L$154,0)</f>
        <v>387.51287931121317</v>
      </c>
      <c r="AC220" s="417">
        <f>+IF(AC206-AB206=0,(AC206-AC213)*Inputs!$L$154,0)</f>
        <v>353.37203379818618</v>
      </c>
      <c r="AD220" s="417">
        <f>+IF(AD206-AC206=0,(AD206-AD213)*Inputs!$L$154,0)</f>
        <v>319.03322549999513</v>
      </c>
      <c r="AE220" s="417">
        <f>+IF(AE206-AD206=0,(AE206-AE213)*Inputs!$L$154,0)</f>
        <v>0</v>
      </c>
      <c r="AF220" s="417">
        <f>+IF(AF206-AE206=0,(AF206-AF213)*Inputs!$L$154,0)</f>
        <v>579.84454029266635</v>
      </c>
      <c r="AG220" s="417">
        <f>+IF(AG206-AF206=0,(AG206-AG213)*Inputs!$L$154,0)</f>
        <v>544.90492975497261</v>
      </c>
      <c r="AH220" s="417">
        <f>+IF(AH206-AG206=0,(AH206-AH213)*Inputs!$L$154,0)</f>
        <v>507.3445262385282</v>
      </c>
      <c r="AI220" s="417">
        <f>+IF(AI206-AH206=0,(AI206-AI213)*Inputs!$L$154,0)</f>
        <v>466.96674610282395</v>
      </c>
      <c r="AJ220" s="417">
        <f>+IF(AJ206-AI206=0,(AJ206-AJ213)*Inputs!$L$154,0)</f>
        <v>423.56026012155701</v>
      </c>
      <c r="AK220" s="417">
        <f>+IF(AK206-AJ206=0,(AK206-AK213)*Inputs!$L$154,0)</f>
        <v>376.89788742772294</v>
      </c>
      <c r="AL220" s="417">
        <f>+IF(AL206-AK206=0,(AL206-AL213)*Inputs!$L$154,0)</f>
        <v>326.7354064943903</v>
      </c>
      <c r="AM220" s="417">
        <f>+IF(AM206-AL206=0,(AM206-AM213)*Inputs!$L$154,0)</f>
        <v>272.00130935066659</v>
      </c>
      <c r="AN220" s="417">
        <f>+IF(AN206-AM206=0,(AN206-AN213)*Inputs!$L$154,0)</f>
        <v>212.27895642079221</v>
      </c>
      <c r="AO220" s="417">
        <f>+IF(AO206-AN206=0,(AO206-AO213)*Inputs!$L$154,0)</f>
        <v>0</v>
      </c>
      <c r="AP220" s="417">
        <f>+IF(AP206-AO206=0,(AP206-AP213)*Inputs!$L$154,0)</f>
        <v>414.85410612569075</v>
      </c>
      <c r="AQ220" s="417">
        <f>+IF(AQ206-AP206=0,(AQ206-AQ213)*Inputs!$L$154,0)</f>
        <v>337.26982103998716</v>
      </c>
      <c r="AR220" s="417">
        <f>+IF(AR206-AQ206=0,(AR206-AR213)*Inputs!$L$154,0)</f>
        <v>266.4024836345576</v>
      </c>
      <c r="AS220" s="417">
        <f>+IF(AS206-AR206=0,(AS206-AS213)*Inputs!$L$154,0)</f>
        <v>201.67056652805547</v>
      </c>
      <c r="AT220" s="417">
        <f>+IF(AT206-AS206=0,(AT206-AT213)*Inputs!$L$154,0)</f>
        <v>142.54288873326325</v>
      </c>
      <c r="AU220" s="417">
        <f>+IF(AU206-AT206=0,(AU206-AU213)*Inputs!$L$154,0)</f>
        <v>88.534256860786414</v>
      </c>
      <c r="AV220" s="417">
        <f>+IF(AV206-AU206=0,(AV206-AV213)*Inputs!$L$154,0)</f>
        <v>39.201483690492267</v>
      </c>
      <c r="AW220" s="417">
        <f>+IF(AW206-AV206=0,(AW206-AW213)*Inputs!$L$154,0)</f>
        <v>0</v>
      </c>
      <c r="AX220" s="417">
        <f>+IF(AX206-AW206=0,(AX206-AX213)*Inputs!$L$154,0)</f>
        <v>0</v>
      </c>
      <c r="AY220" s="417">
        <f>+IF(AY206-AX206=0,(AY206-AY213)*Inputs!$L$154,0)</f>
        <v>0</v>
      </c>
      <c r="AZ220" s="417">
        <f>+IF(AZ206-AY206=0,(AZ206-AZ213)*Inputs!$L$154,0)</f>
        <v>0</v>
      </c>
      <c r="BA220" s="417">
        <f>+IF(BA206-AZ206=0,(BA206-BA213)*Inputs!$L$154,0)</f>
        <v>0</v>
      </c>
      <c r="BB220" s="417">
        <f>+IF(BB206-BA206=0,(BB206-BB213)*Inputs!$L$154,0)</f>
        <v>0</v>
      </c>
      <c r="BC220" s="417">
        <f>+IF(BC206-BB206=0,(BC206-BC213)*Inputs!$L$154,0)</f>
        <v>0</v>
      </c>
      <c r="BD220" s="417">
        <f>+IF(BD206-BC206=0,(BD206-BD213)*Inputs!$L$154,0)</f>
        <v>0</v>
      </c>
      <c r="BE220" s="417">
        <f>+IF(BE206-BD206=0,(BE206-BE213)*Inputs!$L$154,0)</f>
        <v>0</v>
      </c>
      <c r="BF220" s="417">
        <f>+IF(BF206-BE206=0,(BF206-BF213)*Inputs!$L$154,0)</f>
        <v>0</v>
      </c>
      <c r="BG220" s="417">
        <f>+IF(BG206-BF206=0,(BG206-BG213)*Inputs!$L$154,0)</f>
        <v>0</v>
      </c>
      <c r="BH220" s="417">
        <f>+IF(BH206-BG206=0,(BH206-BH213)*Inputs!$L$154,0)</f>
        <v>0</v>
      </c>
      <c r="BI220" s="417">
        <f>+IF(BI206-BH206=0,(BI206-BI213)*Inputs!$L$154,0)</f>
        <v>0</v>
      </c>
      <c r="BJ220" s="417">
        <f>+IF(BJ206-BI206=0,(BJ206-BJ213)*Inputs!$L$154,0)</f>
        <v>0</v>
      </c>
      <c r="BK220" s="417"/>
      <c r="BL220" s="417"/>
      <c r="BM220" s="417"/>
      <c r="BN220" s="417"/>
      <c r="BO220" s="417"/>
      <c r="BP220" s="417"/>
      <c r="BQ220" s="417"/>
      <c r="BR220" s="417"/>
      <c r="BS220" s="417"/>
      <c r="BT220" s="417"/>
      <c r="BU220" s="417"/>
    </row>
    <row r="221" spans="1:73" x14ac:dyDescent="0.2">
      <c r="A221" s="299"/>
      <c r="B221" s="299"/>
      <c r="C221" s="299"/>
      <c r="D221" s="299"/>
      <c r="E221" s="299"/>
      <c r="F221" s="299"/>
      <c r="G221" s="299"/>
      <c r="H221" s="299"/>
      <c r="I221" s="299"/>
      <c r="J221" s="299"/>
      <c r="K221" s="410"/>
      <c r="L221" s="311"/>
      <c r="M221" s="299"/>
      <c r="N221" s="417"/>
      <c r="O221" s="299"/>
      <c r="P221" s="299"/>
      <c r="Q221" s="417"/>
      <c r="R221" s="417"/>
      <c r="S221" s="417"/>
      <c r="T221" s="417"/>
      <c r="U221" s="417"/>
      <c r="V221" s="417"/>
      <c r="W221" s="417"/>
      <c r="X221" s="417"/>
      <c r="Y221" s="417"/>
      <c r="Z221" s="417"/>
      <c r="AA221" s="417"/>
      <c r="AB221" s="417"/>
      <c r="AC221" s="417"/>
      <c r="AD221" s="417"/>
      <c r="AE221" s="417"/>
      <c r="AF221" s="417"/>
      <c r="AG221" s="417"/>
      <c r="AH221" s="417"/>
      <c r="AI221" s="417"/>
      <c r="AJ221" s="417"/>
      <c r="AK221" s="417"/>
      <c r="AL221" s="417"/>
      <c r="AM221" s="417"/>
      <c r="AN221" s="417"/>
      <c r="AO221" s="417"/>
      <c r="AP221" s="417"/>
      <c r="AQ221" s="417"/>
      <c r="AR221" s="417"/>
      <c r="AS221" s="417"/>
      <c r="AT221" s="417"/>
      <c r="AU221" s="417"/>
      <c r="AV221" s="417"/>
      <c r="AW221" s="417"/>
      <c r="AX221" s="417"/>
      <c r="AY221" s="417"/>
      <c r="AZ221" s="417"/>
      <c r="BA221" s="417"/>
      <c r="BB221" s="417"/>
      <c r="BC221" s="417"/>
      <c r="BD221" s="417"/>
      <c r="BE221" s="417"/>
      <c r="BF221" s="417"/>
      <c r="BG221" s="417"/>
      <c r="BH221" s="417"/>
      <c r="BI221" s="417"/>
      <c r="BJ221" s="417"/>
      <c r="BK221" s="417"/>
      <c r="BL221" s="417"/>
      <c r="BM221" s="417"/>
      <c r="BN221" s="417"/>
      <c r="BO221" s="417"/>
      <c r="BP221" s="417"/>
      <c r="BQ221" s="417"/>
      <c r="BR221" s="417"/>
      <c r="BS221" s="417"/>
      <c r="BT221" s="417"/>
      <c r="BU221" s="417"/>
    </row>
    <row r="222" spans="1:73" x14ac:dyDescent="0.2">
      <c r="A222" s="299"/>
      <c r="B222" s="299"/>
      <c r="C222" s="299"/>
      <c r="D222" s="299"/>
      <c r="E222" s="299"/>
      <c r="F222" s="299"/>
      <c r="G222" s="299"/>
      <c r="H222" s="299"/>
      <c r="I222" s="299"/>
      <c r="J222" s="299"/>
      <c r="K222" s="410"/>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c r="BE222" s="299"/>
      <c r="BF222" s="299"/>
      <c r="BG222" s="299"/>
      <c r="BH222" s="299"/>
      <c r="BI222" s="299"/>
      <c r="BJ222" s="299"/>
      <c r="BK222" s="299"/>
      <c r="BL222" s="299"/>
      <c r="BM222" s="299"/>
      <c r="BN222" s="299"/>
      <c r="BO222" s="299"/>
      <c r="BP222" s="299"/>
      <c r="BQ222" s="299"/>
      <c r="BR222" s="299"/>
      <c r="BS222" s="299"/>
      <c r="BT222" s="299"/>
      <c r="BU222" s="299"/>
    </row>
    <row r="223" spans="1:73" ht="15.75" x14ac:dyDescent="0.25">
      <c r="A223" s="418"/>
      <c r="B223" s="418" t="s">
        <v>21</v>
      </c>
      <c r="C223" s="418"/>
      <c r="D223" s="418"/>
      <c r="E223" s="418"/>
      <c r="F223" s="418"/>
      <c r="G223" s="418"/>
      <c r="H223" s="418"/>
      <c r="I223" s="418"/>
      <c r="J223" s="418"/>
      <c r="K223" s="628"/>
      <c r="L223" s="418"/>
      <c r="M223" s="418"/>
      <c r="N223" s="418"/>
      <c r="O223" s="419"/>
      <c r="P223" s="420"/>
      <c r="Q223" s="420"/>
      <c r="R223" s="420"/>
      <c r="S223" s="420"/>
      <c r="T223" s="420"/>
      <c r="U223" s="420"/>
      <c r="V223" s="420"/>
      <c r="W223" s="420"/>
      <c r="X223" s="420"/>
      <c r="Y223" s="420"/>
      <c r="Z223" s="420"/>
      <c r="AA223" s="420"/>
      <c r="AB223" s="420"/>
      <c r="AC223" s="420"/>
      <c r="AD223" s="420"/>
      <c r="AE223" s="420"/>
      <c r="AF223" s="420"/>
      <c r="AG223" s="420"/>
      <c r="AH223" s="420"/>
      <c r="AI223" s="420"/>
      <c r="AJ223" s="420"/>
      <c r="AK223" s="420"/>
      <c r="AL223" s="420"/>
      <c r="AM223" s="420"/>
      <c r="AN223" s="420"/>
      <c r="AO223" s="420"/>
      <c r="AP223" s="420"/>
      <c r="AQ223" s="420"/>
      <c r="AR223" s="420"/>
      <c r="AS223" s="420"/>
      <c r="AT223" s="420"/>
      <c r="AU223" s="420"/>
      <c r="AV223" s="420"/>
      <c r="AW223" s="420"/>
      <c r="AX223" s="420"/>
      <c r="AY223" s="420"/>
      <c r="AZ223" s="420"/>
      <c r="BA223" s="420"/>
      <c r="BB223" s="420"/>
      <c r="BC223" s="420"/>
      <c r="BD223" s="420"/>
      <c r="BE223" s="420"/>
      <c r="BF223" s="420"/>
      <c r="BG223" s="420"/>
      <c r="BH223" s="420"/>
      <c r="BI223" s="420"/>
      <c r="BJ223" s="421"/>
      <c r="BK223" s="420"/>
      <c r="BL223" s="420"/>
      <c r="BM223" s="420"/>
      <c r="BN223" s="420"/>
      <c r="BO223" s="420"/>
      <c r="BP223" s="420"/>
      <c r="BQ223" s="420"/>
      <c r="BR223" s="420"/>
      <c r="BS223" s="420"/>
      <c r="BT223" s="420"/>
      <c r="BU223" s="420"/>
    </row>
    <row r="224" spans="1:73" ht="6" customHeight="1" x14ac:dyDescent="0.3">
      <c r="A224" s="422"/>
      <c r="B224" s="422"/>
      <c r="C224" s="422"/>
      <c r="D224" s="422"/>
      <c r="E224" s="422"/>
      <c r="F224" s="422"/>
      <c r="G224" s="422"/>
      <c r="H224" s="422"/>
      <c r="I224" s="422"/>
      <c r="J224" s="422"/>
      <c r="K224" s="629"/>
      <c r="L224" s="422"/>
      <c r="M224" s="422"/>
      <c r="N224" s="422"/>
      <c r="O224" s="422"/>
      <c r="P224" s="422"/>
      <c r="Q224" s="422"/>
      <c r="R224" s="422"/>
      <c r="S224" s="422"/>
      <c r="T224" s="422"/>
      <c r="U224" s="422"/>
      <c r="V224" s="422"/>
      <c r="W224" s="422"/>
      <c r="X224" s="422"/>
      <c r="Y224" s="422"/>
      <c r="Z224" s="422"/>
      <c r="AA224" s="422"/>
      <c r="AB224" s="422"/>
      <c r="AC224" s="422"/>
      <c r="AD224" s="422"/>
      <c r="AE224" s="422"/>
      <c r="AF224" s="422"/>
      <c r="AG224" s="422"/>
      <c r="AH224" s="422"/>
      <c r="AI224" s="422"/>
      <c r="AJ224" s="422"/>
      <c r="AK224" s="422"/>
      <c r="AL224" s="422"/>
      <c r="AM224" s="422"/>
      <c r="AN224" s="422"/>
      <c r="AO224" s="422"/>
      <c r="AP224" s="422"/>
      <c r="AQ224" s="422"/>
      <c r="AR224" s="422"/>
      <c r="AS224" s="422"/>
      <c r="AT224" s="422"/>
      <c r="AU224" s="422"/>
      <c r="AV224" s="422"/>
      <c r="AW224" s="422"/>
      <c r="AX224" s="422"/>
      <c r="AY224" s="422"/>
      <c r="AZ224" s="422"/>
      <c r="BA224" s="422"/>
      <c r="BB224" s="422"/>
      <c r="BC224" s="422"/>
      <c r="BD224" s="422"/>
      <c r="BE224" s="422"/>
      <c r="BF224" s="422"/>
      <c r="BG224" s="422"/>
      <c r="BH224" s="422"/>
      <c r="BI224" s="422"/>
      <c r="BJ224" s="422"/>
      <c r="BK224" s="422"/>
      <c r="BL224" s="422"/>
      <c r="BM224" s="422"/>
      <c r="BN224" s="422"/>
      <c r="BO224" s="422"/>
      <c r="BP224" s="422"/>
      <c r="BQ224" s="422"/>
      <c r="BR224" s="422"/>
      <c r="BS224" s="422"/>
      <c r="BT224" s="422"/>
      <c r="BU224" s="422"/>
    </row>
    <row r="225" spans="1:73" x14ac:dyDescent="0.2">
      <c r="A225" s="299"/>
      <c r="B225" s="299"/>
      <c r="C225" s="215" t="s">
        <v>318</v>
      </c>
      <c r="D225" s="299"/>
      <c r="E225" s="299"/>
      <c r="F225" s="299"/>
      <c r="G225" s="299"/>
      <c r="H225" s="299"/>
      <c r="I225" s="299"/>
      <c r="J225" s="299"/>
      <c r="K225" s="636" t="s">
        <v>193</v>
      </c>
      <c r="L225" s="441"/>
      <c r="M225" s="299"/>
      <c r="N225" s="299"/>
      <c r="O225" s="299"/>
      <c r="P225" s="299"/>
      <c r="Q225" s="499"/>
      <c r="R225" s="499">
        <f t="shared" ref="R225:BJ225" si="287">R110</f>
        <v>1.1415946135430122</v>
      </c>
      <c r="S225" s="499">
        <f t="shared" si="287"/>
        <v>1.16728049234773</v>
      </c>
      <c r="T225" s="499">
        <f t="shared" si="287"/>
        <v>1.193544303425554</v>
      </c>
      <c r="U225" s="499">
        <f t="shared" si="287"/>
        <v>1.220399050252629</v>
      </c>
      <c r="V225" s="499">
        <f t="shared" si="287"/>
        <v>1.247858028883313</v>
      </c>
      <c r="W225" s="499">
        <f t="shared" si="287"/>
        <v>1.276558763547629</v>
      </c>
      <c r="X225" s="499">
        <f t="shared" si="287"/>
        <v>1.3059196151092243</v>
      </c>
      <c r="Y225" s="499">
        <f t="shared" si="287"/>
        <v>1.3359557662567363</v>
      </c>
      <c r="Z225" s="499">
        <f t="shared" si="287"/>
        <v>1.366682748880641</v>
      </c>
      <c r="AA225" s="499">
        <f t="shared" si="287"/>
        <v>1.3981164521048957</v>
      </c>
      <c r="AB225" s="499">
        <f t="shared" si="287"/>
        <v>1.4302731305033081</v>
      </c>
      <c r="AC225" s="499">
        <f t="shared" si="287"/>
        <v>1.463169412504884</v>
      </c>
      <c r="AD225" s="499">
        <f t="shared" si="287"/>
        <v>1.4968223089924961</v>
      </c>
      <c r="AE225" s="499">
        <f t="shared" si="287"/>
        <v>1.5312492220993235</v>
      </c>
      <c r="AF225" s="499">
        <f t="shared" si="287"/>
        <v>1.5664679542076079</v>
      </c>
      <c r="AG225" s="499">
        <f t="shared" si="287"/>
        <v>1.6024967171543827</v>
      </c>
      <c r="AH225" s="499">
        <f t="shared" si="287"/>
        <v>1.6393541416489334</v>
      </c>
      <c r="AI225" s="499">
        <f t="shared" si="287"/>
        <v>1.6770592869068588</v>
      </c>
      <c r="AJ225" s="499">
        <f t="shared" si="287"/>
        <v>1.7156316505057163</v>
      </c>
      <c r="AK225" s="499">
        <f t="shared" si="287"/>
        <v>1.7550911784673475</v>
      </c>
      <c r="AL225" s="499">
        <f t="shared" si="287"/>
        <v>1.7954582755720963</v>
      </c>
      <c r="AM225" s="499">
        <f t="shared" si="287"/>
        <v>1.8367538159102543</v>
      </c>
      <c r="AN225" s="499">
        <f t="shared" si="287"/>
        <v>1.8789991536761901</v>
      </c>
      <c r="AO225" s="499">
        <f t="shared" si="287"/>
        <v>1.9222161342107422</v>
      </c>
      <c r="AP225" s="499">
        <f t="shared" si="287"/>
        <v>1.966427105297589</v>
      </c>
      <c r="AQ225" s="499">
        <f t="shared" si="287"/>
        <v>2.0116549287194334</v>
      </c>
      <c r="AR225" s="499">
        <f t="shared" si="287"/>
        <v>2.0579229920799804</v>
      </c>
      <c r="AS225" s="499">
        <f t="shared" si="287"/>
        <v>2.1052552208978197</v>
      </c>
      <c r="AT225" s="499">
        <f t="shared" si="287"/>
        <v>2.1536760909784696</v>
      </c>
      <c r="AU225" s="499">
        <f t="shared" si="287"/>
        <v>2.203210641070974</v>
      </c>
      <c r="AV225" s="499">
        <f t="shared" si="287"/>
        <v>2.2538844858156062</v>
      </c>
      <c r="AW225" s="499">
        <f t="shared" si="287"/>
        <v>2.3057238289893651</v>
      </c>
      <c r="AX225" s="499">
        <f t="shared" si="287"/>
        <v>2.3587554770561203</v>
      </c>
      <c r="AY225" s="499">
        <f t="shared" si="287"/>
        <v>2.4130068530284108</v>
      </c>
      <c r="AZ225" s="499">
        <f t="shared" si="287"/>
        <v>2.4685060106480639</v>
      </c>
      <c r="BA225" s="499">
        <f t="shared" si="287"/>
        <v>2.5252816488929692</v>
      </c>
      <c r="BB225" s="499">
        <f t="shared" si="287"/>
        <v>2.5833631268175075</v>
      </c>
      <c r="BC225" s="499">
        <f t="shared" si="287"/>
        <v>2.6427804787343101</v>
      </c>
      <c r="BD225" s="499">
        <f t="shared" si="287"/>
        <v>2.7035644297451991</v>
      </c>
      <c r="BE225" s="499">
        <f t="shared" si="287"/>
        <v>2.7657464116293382</v>
      </c>
      <c r="BF225" s="499">
        <f t="shared" si="287"/>
        <v>2.8293585790968128</v>
      </c>
      <c r="BG225" s="499">
        <f t="shared" si="287"/>
        <v>2.8944338264160394</v>
      </c>
      <c r="BH225" s="499">
        <f t="shared" si="287"/>
        <v>2.9610058044236083</v>
      </c>
      <c r="BI225" s="499">
        <f t="shared" si="287"/>
        <v>3.0291089379253511</v>
      </c>
      <c r="BJ225" s="499">
        <f t="shared" si="287"/>
        <v>3.098778443497634</v>
      </c>
      <c r="BK225" s="499"/>
      <c r="BL225" s="499"/>
      <c r="BM225" s="499"/>
      <c r="BN225" s="499"/>
      <c r="BO225" s="499"/>
      <c r="BP225" s="499"/>
      <c r="BQ225" s="499"/>
      <c r="BR225" s="499"/>
      <c r="BS225" s="499"/>
      <c r="BT225" s="499"/>
      <c r="BU225" s="499"/>
    </row>
    <row r="226" spans="1:73" x14ac:dyDescent="0.2">
      <c r="A226" s="299"/>
      <c r="B226" s="299"/>
      <c r="C226" s="299"/>
      <c r="D226" s="299"/>
      <c r="E226" s="299"/>
      <c r="F226" s="299"/>
      <c r="G226" s="299"/>
      <c r="H226" s="299"/>
      <c r="I226" s="299"/>
      <c r="J226" s="299"/>
      <c r="K226" s="410"/>
      <c r="L226" s="441"/>
      <c r="M226" s="299"/>
      <c r="N226" s="299"/>
      <c r="O226" s="299"/>
      <c r="P226" s="299"/>
      <c r="Q226" s="417"/>
      <c r="R226" s="417"/>
      <c r="S226" s="417"/>
      <c r="T226" s="417"/>
      <c r="U226" s="417"/>
      <c r="V226" s="417"/>
      <c r="W226" s="417"/>
      <c r="X226" s="417"/>
      <c r="Y226" s="417"/>
      <c r="Z226" s="417"/>
      <c r="AA226" s="417"/>
      <c r="AB226" s="417"/>
      <c r="AC226" s="417"/>
      <c r="AD226" s="417"/>
      <c r="AE226" s="417"/>
      <c r="AF226" s="417"/>
      <c r="AG226" s="417"/>
      <c r="AH226" s="417"/>
      <c r="AI226" s="417"/>
      <c r="AJ226" s="417"/>
      <c r="AK226" s="417"/>
      <c r="AL226" s="417"/>
      <c r="AM226" s="417"/>
      <c r="AN226" s="417"/>
      <c r="AO226" s="417"/>
      <c r="AP226" s="417"/>
      <c r="AQ226" s="417"/>
      <c r="AR226" s="417"/>
      <c r="AS226" s="417"/>
      <c r="AT226" s="417"/>
      <c r="AU226" s="417"/>
      <c r="AV226" s="417"/>
      <c r="AW226" s="417"/>
      <c r="AX226" s="417"/>
      <c r="AY226" s="417"/>
      <c r="AZ226" s="417"/>
      <c r="BA226" s="417"/>
      <c r="BB226" s="417"/>
      <c r="BC226" s="417"/>
      <c r="BD226" s="417"/>
      <c r="BE226" s="417"/>
      <c r="BF226" s="417"/>
      <c r="BG226" s="417"/>
      <c r="BH226" s="417"/>
      <c r="BI226" s="417"/>
      <c r="BJ226" s="417"/>
      <c r="BK226" s="417"/>
      <c r="BL226" s="417"/>
      <c r="BM226" s="417"/>
      <c r="BN226" s="417"/>
      <c r="BO226" s="417"/>
      <c r="BP226" s="417"/>
      <c r="BQ226" s="417"/>
      <c r="BR226" s="417"/>
      <c r="BS226" s="417"/>
      <c r="BT226" s="417"/>
      <c r="BU226" s="417"/>
    </row>
    <row r="227" spans="1:73" x14ac:dyDescent="0.2">
      <c r="A227" s="299"/>
      <c r="B227" s="299"/>
      <c r="C227" s="299" t="s">
        <v>21</v>
      </c>
      <c r="D227" s="299"/>
      <c r="E227" s="299"/>
      <c r="F227" s="299"/>
      <c r="G227" s="299"/>
      <c r="H227" s="299"/>
      <c r="I227" s="299"/>
      <c r="J227" s="299"/>
      <c r="K227" s="410" t="s">
        <v>62</v>
      </c>
      <c r="L227" s="417"/>
      <c r="M227" s="299"/>
      <c r="N227" s="417">
        <f t="shared" ref="N227" si="288">SUM(Q227:BJ227)</f>
        <v>3420.454521479629</v>
      </c>
      <c r="O227" s="299"/>
      <c r="P227" s="299"/>
      <c r="Q227" s="417"/>
      <c r="R227" s="715">
        <v>0</v>
      </c>
      <c r="S227" s="715">
        <v>0</v>
      </c>
      <c r="T227" s="417">
        <f>+Inputs!$L$151 * T225*(T7&lt;=2055)</f>
        <v>59.677215171277695</v>
      </c>
      <c r="U227" s="417">
        <f>+Inputs!$L$151 * U225*(U7&lt;=2055)</f>
        <v>61.019952512631448</v>
      </c>
      <c r="V227" s="417">
        <f>+Inputs!$L$151 * V225*(V7&lt;=2055)</f>
        <v>62.392901444165652</v>
      </c>
      <c r="W227" s="417">
        <f>+Inputs!$L$151 * W225*(W7&lt;=2055)</f>
        <v>63.827938177381448</v>
      </c>
      <c r="X227" s="417">
        <f>+Inputs!$L$151 * X225*(X7&lt;=2055)</f>
        <v>65.295980755461215</v>
      </c>
      <c r="Y227" s="417">
        <f>+Inputs!$L$151 * Y225*(Y7&lt;=2055)</f>
        <v>66.797788312836815</v>
      </c>
      <c r="Z227" s="417">
        <f>+Inputs!$L$151 * Z225*(Z7&lt;=2055)</f>
        <v>68.334137444032052</v>
      </c>
      <c r="AA227" s="417">
        <f>+Inputs!$L$151 * AA225*(AA7&lt;=2055)</f>
        <v>69.905822605244779</v>
      </c>
      <c r="AB227" s="417">
        <f>+Inputs!$L$151 * AB225*(AB7&lt;=2055)</f>
        <v>71.513656525165402</v>
      </c>
      <c r="AC227" s="417">
        <f>+Inputs!$L$151 * AC225*(AC7&lt;=2055)</f>
        <v>73.158470625244192</v>
      </c>
      <c r="AD227" s="417">
        <f>+Inputs!$L$151 * AD225*(AD7&lt;=2055)</f>
        <v>74.841115449624809</v>
      </c>
      <c r="AE227" s="417">
        <f>+Inputs!$L$151 * AE225*(AE7&lt;=2055)</f>
        <v>76.562461104966175</v>
      </c>
      <c r="AF227" s="417">
        <f>+Inputs!$L$151 * AF225*(AF7&lt;=2055)</f>
        <v>78.323397710380391</v>
      </c>
      <c r="AG227" s="417">
        <f>+Inputs!$L$151 * AG225*(AG7&lt;=2055)</f>
        <v>80.124835857719134</v>
      </c>
      <c r="AH227" s="417">
        <f>+Inputs!$L$151 * AH225*(AH7&lt;=2055)</f>
        <v>81.96770708244668</v>
      </c>
      <c r="AI227" s="417">
        <f>+Inputs!$L$151 * AI225*(AI7&lt;=2055)</f>
        <v>83.85296434534294</v>
      </c>
      <c r="AJ227" s="417">
        <f>+Inputs!$L$151 * AJ225*(AJ7&lt;=2055)</f>
        <v>85.781582525285813</v>
      </c>
      <c r="AK227" s="417">
        <f>+Inputs!$L$151 * AK225*(AK7&lt;=2055)</f>
        <v>87.75455892336737</v>
      </c>
      <c r="AL227" s="417">
        <f>+Inputs!$L$151 * AL225*(AL7&lt;=2055)</f>
        <v>89.772913778604817</v>
      </c>
      <c r="AM227" s="417">
        <f>+Inputs!$L$151 * AM225*(AM7&lt;=2055)</f>
        <v>91.837690795512714</v>
      </c>
      <c r="AN227" s="417">
        <f>+Inputs!$L$151 * AN225*(AN7&lt;=2055)</f>
        <v>93.949957683809501</v>
      </c>
      <c r="AO227" s="417">
        <f>+Inputs!$L$151 * AO225*(AO7&lt;=2055)</f>
        <v>96.110806710537105</v>
      </c>
      <c r="AP227" s="417">
        <f>+Inputs!$L$151 * AP225*(AP7&lt;=2055)</f>
        <v>98.321355264879458</v>
      </c>
      <c r="AQ227" s="417">
        <f>+Inputs!$L$151 * AQ225*(AQ7&lt;=2055)</f>
        <v>100.58274643597167</v>
      </c>
      <c r="AR227" s="417">
        <f>+Inputs!$L$151 * AR225*(AR7&lt;=2055)</f>
        <v>102.89614960399902</v>
      </c>
      <c r="AS227" s="417">
        <f>+Inputs!$L$151 * AS225*(AS7&lt;=2055)</f>
        <v>105.26276104489098</v>
      </c>
      <c r="AT227" s="417">
        <f>+Inputs!$L$151 * AT225*(AT7&lt;=2055)</f>
        <v>107.68380454892348</v>
      </c>
      <c r="AU227" s="417">
        <f>+Inputs!$L$151 * AU225*(AU7&lt;=2055)</f>
        <v>110.16053205354869</v>
      </c>
      <c r="AV227" s="417">
        <f>+Inputs!$L$151 * AV225*(AV7&lt;=2055)</f>
        <v>112.69422429078031</v>
      </c>
      <c r="AW227" s="417">
        <f>+Inputs!$L$151 * AW225*(AW7&lt;=2055)</f>
        <v>115.28619144946826</v>
      </c>
      <c r="AX227" s="417">
        <f>+Inputs!$L$151 * AX225*(AX7&lt;=2055)</f>
        <v>117.93777385280602</v>
      </c>
      <c r="AY227" s="417">
        <f>+Inputs!$L$151 * AY225*(AY7&lt;=2055)</f>
        <v>120.65034265142054</v>
      </c>
      <c r="AZ227" s="417">
        <f>+Inputs!$L$151 * AZ225*(AZ7&lt;=2055)</f>
        <v>123.4253005324032</v>
      </c>
      <c r="BA227" s="417">
        <f>+Inputs!$L$151 * BA225*(BA7&lt;=2055)</f>
        <v>126.26408244464847</v>
      </c>
      <c r="BB227" s="417">
        <f>+Inputs!$L$151 * BB225*(BB7&lt;=2055)</f>
        <v>129.16815634087538</v>
      </c>
      <c r="BC227" s="417">
        <f>+Inputs!$L$151 * BC225*(BC7&lt;=2055)</f>
        <v>132.13902393671552</v>
      </c>
      <c r="BD227" s="417">
        <f>+Inputs!$L$151 * BD225*(BD7&lt;=2055)</f>
        <v>135.17822148725995</v>
      </c>
      <c r="BE227" s="417">
        <f>+Inputs!$L$151 * BE225*(BE7&lt;=2055)</f>
        <v>0</v>
      </c>
      <c r="BF227" s="417">
        <f>+Inputs!$L$151 * BF225*(BF7&lt;=2055)</f>
        <v>0</v>
      </c>
      <c r="BG227" s="417">
        <f>+Inputs!$L$151 * BG225*(BG7&lt;=2055)</f>
        <v>0</v>
      </c>
      <c r="BH227" s="417">
        <f>+Inputs!$L$151 * BH225*(BH7&lt;=2055)</f>
        <v>0</v>
      </c>
      <c r="BI227" s="417">
        <f>+Inputs!$L$151 * BI225*(BI7&lt;=2055)</f>
        <v>0</v>
      </c>
      <c r="BJ227" s="417">
        <f>+Inputs!$L$151 * BJ225*(BJ7&lt;=2055)</f>
        <v>0</v>
      </c>
      <c r="BK227" s="417"/>
      <c r="BL227" s="417"/>
      <c r="BM227" s="417"/>
      <c r="BN227" s="417"/>
      <c r="BO227" s="417"/>
      <c r="BP227" s="417"/>
      <c r="BQ227" s="417"/>
      <c r="BR227" s="417"/>
      <c r="BS227" s="417"/>
      <c r="BT227" s="417"/>
      <c r="BU227" s="417"/>
    </row>
    <row r="228" spans="1:73" x14ac:dyDescent="0.2">
      <c r="A228" s="299"/>
      <c r="B228" s="299"/>
      <c r="C228" s="299"/>
      <c r="D228" s="299"/>
      <c r="E228" s="299"/>
      <c r="F228" s="299"/>
      <c r="G228" s="299"/>
      <c r="H228" s="299"/>
      <c r="I228" s="299"/>
      <c r="J228" s="299"/>
      <c r="K228" s="410"/>
      <c r="L228" s="417"/>
      <c r="M228" s="299"/>
      <c r="N228" s="417"/>
      <c r="O228" s="299"/>
      <c r="P228" s="299"/>
      <c r="Q228" s="417"/>
      <c r="R228" s="417"/>
      <c r="S228" s="417"/>
      <c r="T228" s="417"/>
      <c r="U228" s="417"/>
      <c r="V228" s="417"/>
      <c r="W228" s="417"/>
      <c r="X228" s="417"/>
      <c r="Y228" s="417"/>
      <c r="Z228" s="417"/>
      <c r="AA228" s="417"/>
      <c r="AB228" s="417"/>
      <c r="AC228" s="417"/>
      <c r="AD228" s="417"/>
      <c r="AE228" s="417"/>
      <c r="AF228" s="417"/>
      <c r="AG228" s="417"/>
      <c r="AH228" s="417"/>
      <c r="AI228" s="417"/>
      <c r="AJ228" s="417"/>
      <c r="AK228" s="417"/>
      <c r="AL228" s="417"/>
      <c r="AM228" s="417"/>
      <c r="AN228" s="417"/>
      <c r="AO228" s="417"/>
      <c r="AP228" s="417"/>
      <c r="AQ228" s="417"/>
      <c r="AR228" s="417"/>
      <c r="AS228" s="417"/>
      <c r="AT228" s="417"/>
      <c r="AU228" s="417"/>
      <c r="AV228" s="417"/>
      <c r="AW228" s="417"/>
      <c r="AX228" s="417"/>
      <c r="AY228" s="417"/>
      <c r="AZ228" s="417"/>
      <c r="BA228" s="417"/>
      <c r="BB228" s="417"/>
      <c r="BC228" s="417"/>
      <c r="BD228" s="417"/>
      <c r="BE228" s="417"/>
      <c r="BF228" s="417"/>
      <c r="BG228" s="417"/>
      <c r="BH228" s="417"/>
      <c r="BI228" s="417"/>
      <c r="BJ228" s="417"/>
      <c r="BK228" s="417"/>
      <c r="BL228" s="417"/>
      <c r="BM228" s="417"/>
      <c r="BN228" s="417"/>
      <c r="BO228" s="417"/>
      <c r="BP228" s="417"/>
      <c r="BQ228" s="417"/>
      <c r="BR228" s="417"/>
      <c r="BS228" s="417"/>
      <c r="BT228" s="417"/>
      <c r="BU228" s="417"/>
    </row>
    <row r="229" spans="1:73" ht="15.75" x14ac:dyDescent="0.25">
      <c r="A229" s="418"/>
      <c r="B229" s="418" t="s">
        <v>342</v>
      </c>
      <c r="C229" s="418"/>
      <c r="D229" s="418"/>
      <c r="E229" s="418"/>
      <c r="F229" s="418"/>
      <c r="G229" s="418"/>
      <c r="H229" s="418"/>
      <c r="I229" s="418"/>
      <c r="J229" s="418"/>
      <c r="K229" s="628"/>
      <c r="L229" s="418"/>
      <c r="M229" s="418"/>
      <c r="N229" s="418"/>
      <c r="O229" s="419"/>
      <c r="P229" s="420"/>
      <c r="Q229" s="420"/>
      <c r="R229" s="420"/>
      <c r="S229" s="420"/>
      <c r="T229" s="420"/>
      <c r="U229" s="420"/>
      <c r="V229" s="420"/>
      <c r="W229" s="420"/>
      <c r="X229" s="420"/>
      <c r="Y229" s="420"/>
      <c r="Z229" s="420"/>
      <c r="AA229" s="420"/>
      <c r="AB229" s="420"/>
      <c r="AC229" s="420"/>
      <c r="AD229" s="420"/>
      <c r="AE229" s="420"/>
      <c r="AF229" s="420"/>
      <c r="AG229" s="420"/>
      <c r="AH229" s="420"/>
      <c r="AI229" s="420"/>
      <c r="AJ229" s="420"/>
      <c r="AK229" s="420"/>
      <c r="AL229" s="420"/>
      <c r="AM229" s="420"/>
      <c r="AN229" s="420"/>
      <c r="AO229" s="420"/>
      <c r="AP229" s="420"/>
      <c r="AQ229" s="420"/>
      <c r="AR229" s="420"/>
      <c r="AS229" s="420"/>
      <c r="AT229" s="420"/>
      <c r="AU229" s="420"/>
      <c r="AV229" s="420"/>
      <c r="AW229" s="420"/>
      <c r="AX229" s="420"/>
      <c r="AY229" s="420"/>
      <c r="AZ229" s="420"/>
      <c r="BA229" s="420"/>
      <c r="BB229" s="420"/>
      <c r="BC229" s="420"/>
      <c r="BD229" s="420"/>
      <c r="BE229" s="420"/>
      <c r="BF229" s="420"/>
      <c r="BG229" s="420"/>
      <c r="BH229" s="420"/>
      <c r="BI229" s="420"/>
      <c r="BJ229" s="421"/>
      <c r="BK229" s="420"/>
      <c r="BL229" s="420"/>
      <c r="BM229" s="420"/>
      <c r="BN229" s="420"/>
      <c r="BO229" s="420"/>
      <c r="BP229" s="420"/>
      <c r="BQ229" s="420"/>
      <c r="BR229" s="420"/>
      <c r="BS229" s="420"/>
      <c r="BT229" s="420"/>
      <c r="BU229" s="420"/>
    </row>
    <row r="230" spans="1:73" x14ac:dyDescent="0.2">
      <c r="A230" s="299"/>
      <c r="B230" s="299"/>
      <c r="C230" s="299"/>
      <c r="D230" s="299"/>
      <c r="E230" s="299"/>
      <c r="F230" s="299"/>
      <c r="G230" s="299"/>
      <c r="H230" s="299"/>
      <c r="I230" s="299"/>
      <c r="J230" s="299"/>
      <c r="K230" s="410"/>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c r="AM230" s="299"/>
      <c r="AN230" s="299"/>
      <c r="AO230" s="299"/>
      <c r="AP230" s="299"/>
      <c r="AQ230" s="299"/>
      <c r="AR230" s="299"/>
      <c r="AS230" s="299"/>
      <c r="AT230" s="299"/>
      <c r="AU230" s="299"/>
      <c r="AV230" s="299"/>
      <c r="AW230" s="299"/>
      <c r="AX230" s="299"/>
      <c r="AY230" s="299"/>
      <c r="AZ230" s="299"/>
      <c r="BA230" s="299"/>
      <c r="BB230" s="299"/>
      <c r="BC230" s="299"/>
      <c r="BD230" s="299"/>
      <c r="BE230" s="299"/>
      <c r="BF230" s="299"/>
      <c r="BG230" s="299"/>
      <c r="BH230" s="299"/>
      <c r="BI230" s="299"/>
      <c r="BJ230" s="299"/>
      <c r="BK230" s="299"/>
      <c r="BL230" s="299"/>
      <c r="BM230" s="299"/>
      <c r="BN230" s="299"/>
      <c r="BO230" s="299"/>
      <c r="BP230" s="299"/>
      <c r="BQ230" s="299"/>
      <c r="BR230" s="299"/>
      <c r="BS230" s="299"/>
      <c r="BT230" s="299"/>
      <c r="BU230" s="299"/>
    </row>
    <row r="231" spans="1:73" ht="15.75" x14ac:dyDescent="0.25">
      <c r="A231" s="299"/>
      <c r="B231" s="299"/>
      <c r="C231" s="500" t="s">
        <v>269</v>
      </c>
      <c r="D231" s="299"/>
      <c r="E231" s="299"/>
      <c r="F231" s="299"/>
      <c r="G231" s="299"/>
      <c r="H231" s="299"/>
      <c r="I231" s="299"/>
      <c r="J231" s="299"/>
      <c r="K231" s="410"/>
      <c r="L231" s="441"/>
      <c r="M231" s="299"/>
      <c r="N231" s="299"/>
      <c r="O231" s="299"/>
      <c r="P231" s="299"/>
      <c r="Q231" s="417"/>
      <c r="R231" s="417"/>
      <c r="S231" s="417"/>
      <c r="T231" s="417"/>
      <c r="U231" s="417"/>
      <c r="V231" s="417"/>
      <c r="W231" s="417"/>
      <c r="X231" s="417"/>
      <c r="Y231" s="417"/>
      <c r="Z231" s="417"/>
      <c r="AA231" s="417"/>
      <c r="AB231" s="417"/>
      <c r="AC231" s="417"/>
      <c r="AD231" s="417"/>
      <c r="AE231" s="417"/>
      <c r="AF231" s="417"/>
      <c r="AG231" s="417"/>
      <c r="AH231" s="417"/>
      <c r="AI231" s="417"/>
      <c r="AJ231" s="417"/>
      <c r="AK231" s="417"/>
      <c r="AL231" s="417"/>
      <c r="AM231" s="417"/>
      <c r="AN231" s="417"/>
      <c r="AO231" s="417"/>
      <c r="AP231" s="417"/>
      <c r="AQ231" s="417"/>
      <c r="AR231" s="417"/>
      <c r="AS231" s="417"/>
      <c r="AT231" s="417"/>
      <c r="AU231" s="417"/>
      <c r="AV231" s="417"/>
      <c r="AW231" s="417"/>
      <c r="AX231" s="417"/>
      <c r="AY231" s="417"/>
      <c r="AZ231" s="417"/>
      <c r="BA231" s="417"/>
      <c r="BB231" s="417"/>
      <c r="BC231" s="417"/>
      <c r="BD231" s="417"/>
      <c r="BE231" s="417"/>
      <c r="BF231" s="417"/>
      <c r="BG231" s="417"/>
      <c r="BH231" s="417"/>
      <c r="BI231" s="417"/>
      <c r="BJ231" s="417"/>
      <c r="BK231" s="417"/>
      <c r="BL231" s="417"/>
      <c r="BM231" s="417"/>
      <c r="BN231" s="417"/>
      <c r="BO231" s="417"/>
      <c r="BP231" s="417"/>
      <c r="BQ231" s="417"/>
      <c r="BR231" s="417"/>
      <c r="BS231" s="417"/>
      <c r="BT231" s="417"/>
      <c r="BU231" s="417"/>
    </row>
    <row r="232" spans="1:73" ht="15.75" x14ac:dyDescent="0.25">
      <c r="A232" s="299"/>
      <c r="B232" s="299"/>
      <c r="C232" s="500"/>
      <c r="D232" s="350"/>
      <c r="E232" s="350"/>
      <c r="F232" s="350"/>
      <c r="G232" s="350"/>
      <c r="H232" s="299"/>
      <c r="I232" s="299"/>
      <c r="J232" s="299"/>
      <c r="K232" s="410"/>
      <c r="L232" s="441"/>
      <c r="M232" s="299"/>
      <c r="N232" s="299"/>
      <c r="O232" s="299"/>
      <c r="P232" s="299"/>
      <c r="Q232" s="299"/>
      <c r="R232" s="299"/>
      <c r="S232" s="299"/>
      <c r="T232" s="299"/>
      <c r="U232" s="299"/>
      <c r="V232" s="299"/>
      <c r="W232" s="299"/>
      <c r="X232" s="299"/>
      <c r="Y232" s="299"/>
      <c r="Z232" s="299"/>
      <c r="AA232" s="299"/>
      <c r="AB232" s="299"/>
      <c r="AC232" s="299"/>
      <c r="AD232" s="299"/>
      <c r="AE232" s="299"/>
      <c r="AF232" s="299"/>
      <c r="AG232" s="299"/>
      <c r="AH232" s="299"/>
      <c r="AI232" s="299"/>
      <c r="AJ232" s="299"/>
      <c r="AK232" s="299"/>
      <c r="AL232" s="299"/>
      <c r="AM232" s="299"/>
      <c r="AN232" s="299"/>
      <c r="AO232" s="299"/>
      <c r="AP232" s="299"/>
      <c r="AQ232" s="299"/>
      <c r="AR232" s="299"/>
      <c r="AS232" s="299"/>
      <c r="AT232" s="299"/>
      <c r="AU232" s="299"/>
      <c r="AV232" s="299"/>
      <c r="AW232" s="299"/>
      <c r="AX232" s="299"/>
      <c r="AY232" s="299"/>
      <c r="AZ232" s="299"/>
      <c r="BA232" s="299"/>
      <c r="BB232" s="299"/>
      <c r="BC232" s="299"/>
      <c r="BD232" s="299"/>
      <c r="BE232" s="299"/>
      <c r="BF232" s="299"/>
      <c r="BG232" s="299"/>
      <c r="BH232" s="299"/>
      <c r="BI232" s="299"/>
      <c r="BJ232" s="299"/>
      <c r="BK232" s="299"/>
      <c r="BL232" s="299"/>
      <c r="BM232" s="299"/>
      <c r="BN232" s="299"/>
      <c r="BO232" s="299"/>
      <c r="BP232" s="299"/>
      <c r="BQ232" s="299"/>
      <c r="BR232" s="299"/>
      <c r="BS232" s="299"/>
      <c r="BT232" s="299"/>
      <c r="BU232" s="299"/>
    </row>
    <row r="233" spans="1:73" x14ac:dyDescent="0.2">
      <c r="A233" s="299"/>
      <c r="B233" s="299"/>
      <c r="C233" s="299" t="s">
        <v>222</v>
      </c>
      <c r="D233" s="299"/>
      <c r="E233" s="299"/>
      <c r="F233" s="299"/>
      <c r="G233" s="299"/>
      <c r="H233" s="299"/>
      <c r="I233" s="299"/>
      <c r="J233" s="299"/>
      <c r="K233" s="410" t="s">
        <v>50</v>
      </c>
      <c r="L233" s="413"/>
      <c r="M233" s="413">
        <f>$L$195</f>
        <v>56979</v>
      </c>
      <c r="N233" s="299"/>
      <c r="O233" s="299"/>
      <c r="P233" s="299"/>
      <c r="Q233" s="416"/>
      <c r="R233" s="414">
        <f t="shared" ref="R233:BJ233" si="289">IF(R9&lt;=$M$233,1,0)</f>
        <v>1</v>
      </c>
      <c r="S233" s="414">
        <f t="shared" si="289"/>
        <v>1</v>
      </c>
      <c r="T233" s="414">
        <f t="shared" si="289"/>
        <v>1</v>
      </c>
      <c r="U233" s="414">
        <f t="shared" si="289"/>
        <v>1</v>
      </c>
      <c r="V233" s="414">
        <f t="shared" si="289"/>
        <v>1</v>
      </c>
      <c r="W233" s="414">
        <f t="shared" si="289"/>
        <v>1</v>
      </c>
      <c r="X233" s="414">
        <f t="shared" si="289"/>
        <v>1</v>
      </c>
      <c r="Y233" s="414">
        <f t="shared" si="289"/>
        <v>1</v>
      </c>
      <c r="Z233" s="414">
        <f t="shared" si="289"/>
        <v>1</v>
      </c>
      <c r="AA233" s="414">
        <f t="shared" si="289"/>
        <v>1</v>
      </c>
      <c r="AB233" s="414">
        <f t="shared" si="289"/>
        <v>1</v>
      </c>
      <c r="AC233" s="414">
        <f t="shared" si="289"/>
        <v>1</v>
      </c>
      <c r="AD233" s="414">
        <f t="shared" si="289"/>
        <v>1</v>
      </c>
      <c r="AE233" s="414">
        <f t="shared" si="289"/>
        <v>1</v>
      </c>
      <c r="AF233" s="414">
        <f t="shared" si="289"/>
        <v>1</v>
      </c>
      <c r="AG233" s="414">
        <f t="shared" si="289"/>
        <v>1</v>
      </c>
      <c r="AH233" s="414">
        <f t="shared" si="289"/>
        <v>1</v>
      </c>
      <c r="AI233" s="414">
        <f t="shared" si="289"/>
        <v>1</v>
      </c>
      <c r="AJ233" s="414">
        <f t="shared" si="289"/>
        <v>1</v>
      </c>
      <c r="AK233" s="414">
        <f t="shared" si="289"/>
        <v>1</v>
      </c>
      <c r="AL233" s="414">
        <f t="shared" si="289"/>
        <v>1</v>
      </c>
      <c r="AM233" s="414">
        <f t="shared" si="289"/>
        <v>1</v>
      </c>
      <c r="AN233" s="414">
        <f t="shared" si="289"/>
        <v>1</v>
      </c>
      <c r="AO233" s="414">
        <f t="shared" si="289"/>
        <v>1</v>
      </c>
      <c r="AP233" s="414">
        <f t="shared" si="289"/>
        <v>1</v>
      </c>
      <c r="AQ233" s="414">
        <f t="shared" si="289"/>
        <v>1</v>
      </c>
      <c r="AR233" s="414">
        <f t="shared" si="289"/>
        <v>1</v>
      </c>
      <c r="AS233" s="414">
        <f t="shared" si="289"/>
        <v>1</v>
      </c>
      <c r="AT233" s="414">
        <f t="shared" si="289"/>
        <v>1</v>
      </c>
      <c r="AU233" s="414">
        <f t="shared" si="289"/>
        <v>1</v>
      </c>
      <c r="AV233" s="414">
        <f t="shared" si="289"/>
        <v>1</v>
      </c>
      <c r="AW233" s="414">
        <f t="shared" si="289"/>
        <v>1</v>
      </c>
      <c r="AX233" s="414">
        <f t="shared" si="289"/>
        <v>1</v>
      </c>
      <c r="AY233" s="414">
        <f t="shared" si="289"/>
        <v>1</v>
      </c>
      <c r="AZ233" s="414">
        <f t="shared" si="289"/>
        <v>1</v>
      </c>
      <c r="BA233" s="414">
        <f t="shared" si="289"/>
        <v>1</v>
      </c>
      <c r="BB233" s="414">
        <f t="shared" si="289"/>
        <v>1</v>
      </c>
      <c r="BC233" s="414">
        <f t="shared" si="289"/>
        <v>1</v>
      </c>
      <c r="BD233" s="414">
        <f t="shared" si="289"/>
        <v>1</v>
      </c>
      <c r="BE233" s="414">
        <f t="shared" si="289"/>
        <v>0</v>
      </c>
      <c r="BF233" s="414">
        <f t="shared" si="289"/>
        <v>0</v>
      </c>
      <c r="BG233" s="414">
        <f t="shared" si="289"/>
        <v>0</v>
      </c>
      <c r="BH233" s="414">
        <f t="shared" si="289"/>
        <v>0</v>
      </c>
      <c r="BI233" s="414">
        <f t="shared" si="289"/>
        <v>0</v>
      </c>
      <c r="BJ233" s="414">
        <f t="shared" si="289"/>
        <v>0</v>
      </c>
      <c r="BK233" s="414"/>
      <c r="BL233" s="414"/>
      <c r="BM233" s="414"/>
      <c r="BN233" s="414"/>
      <c r="BO233" s="414"/>
      <c r="BP233" s="414"/>
      <c r="BQ233" s="414"/>
      <c r="BR233" s="414"/>
      <c r="BS233" s="414"/>
      <c r="BT233" s="414"/>
      <c r="BU233" s="414"/>
    </row>
    <row r="234" spans="1:73" x14ac:dyDescent="0.2">
      <c r="A234" s="299"/>
      <c r="B234" s="299"/>
      <c r="C234" s="299" t="s">
        <v>223</v>
      </c>
      <c r="D234" s="299"/>
      <c r="E234" s="299"/>
      <c r="F234" s="299"/>
      <c r="G234" s="299"/>
      <c r="H234" s="299"/>
      <c r="I234" s="299"/>
      <c r="J234" s="299"/>
      <c r="K234" s="410" t="s">
        <v>50</v>
      </c>
      <c r="L234" s="413"/>
      <c r="M234" s="413">
        <f>$M$233</f>
        <v>56979</v>
      </c>
      <c r="N234" s="299"/>
      <c r="O234" s="299"/>
      <c r="P234" s="299"/>
      <c r="Q234" s="414"/>
      <c r="R234" s="414">
        <f t="shared" ref="R234:BJ234" si="290">+IF(AND($M$234&gt;R8,$M$234&lt;=R9),1,0)</f>
        <v>0</v>
      </c>
      <c r="S234" s="414">
        <f t="shared" si="290"/>
        <v>0</v>
      </c>
      <c r="T234" s="414">
        <f t="shared" si="290"/>
        <v>0</v>
      </c>
      <c r="U234" s="414">
        <f t="shared" si="290"/>
        <v>0</v>
      </c>
      <c r="V234" s="414">
        <f t="shared" si="290"/>
        <v>0</v>
      </c>
      <c r="W234" s="414">
        <f t="shared" si="290"/>
        <v>0</v>
      </c>
      <c r="X234" s="414">
        <f t="shared" si="290"/>
        <v>0</v>
      </c>
      <c r="Y234" s="414">
        <f t="shared" si="290"/>
        <v>0</v>
      </c>
      <c r="Z234" s="414">
        <f t="shared" si="290"/>
        <v>0</v>
      </c>
      <c r="AA234" s="414">
        <f t="shared" si="290"/>
        <v>0</v>
      </c>
      <c r="AB234" s="414">
        <f t="shared" si="290"/>
        <v>0</v>
      </c>
      <c r="AC234" s="414">
        <f t="shared" si="290"/>
        <v>0</v>
      </c>
      <c r="AD234" s="414">
        <f t="shared" si="290"/>
        <v>0</v>
      </c>
      <c r="AE234" s="414">
        <f t="shared" si="290"/>
        <v>0</v>
      </c>
      <c r="AF234" s="414">
        <f t="shared" si="290"/>
        <v>0</v>
      </c>
      <c r="AG234" s="414">
        <f t="shared" si="290"/>
        <v>0</v>
      </c>
      <c r="AH234" s="414">
        <f t="shared" si="290"/>
        <v>0</v>
      </c>
      <c r="AI234" s="414">
        <f t="shared" si="290"/>
        <v>0</v>
      </c>
      <c r="AJ234" s="414">
        <f t="shared" si="290"/>
        <v>0</v>
      </c>
      <c r="AK234" s="414">
        <f t="shared" si="290"/>
        <v>0</v>
      </c>
      <c r="AL234" s="414">
        <f t="shared" si="290"/>
        <v>0</v>
      </c>
      <c r="AM234" s="414">
        <f t="shared" si="290"/>
        <v>0</v>
      </c>
      <c r="AN234" s="414">
        <f t="shared" si="290"/>
        <v>0</v>
      </c>
      <c r="AO234" s="414">
        <f t="shared" si="290"/>
        <v>0</v>
      </c>
      <c r="AP234" s="414">
        <f t="shared" si="290"/>
        <v>0</v>
      </c>
      <c r="AQ234" s="414">
        <f t="shared" si="290"/>
        <v>0</v>
      </c>
      <c r="AR234" s="414">
        <f t="shared" si="290"/>
        <v>0</v>
      </c>
      <c r="AS234" s="414">
        <f t="shared" si="290"/>
        <v>0</v>
      </c>
      <c r="AT234" s="414">
        <f t="shared" si="290"/>
        <v>0</v>
      </c>
      <c r="AU234" s="414">
        <f t="shared" si="290"/>
        <v>0</v>
      </c>
      <c r="AV234" s="414">
        <f t="shared" si="290"/>
        <v>0</v>
      </c>
      <c r="AW234" s="414">
        <f t="shared" si="290"/>
        <v>0</v>
      </c>
      <c r="AX234" s="414">
        <f t="shared" si="290"/>
        <v>0</v>
      </c>
      <c r="AY234" s="414">
        <f t="shared" si="290"/>
        <v>0</v>
      </c>
      <c r="AZ234" s="414">
        <f t="shared" si="290"/>
        <v>0</v>
      </c>
      <c r="BA234" s="414">
        <f t="shared" si="290"/>
        <v>0</v>
      </c>
      <c r="BB234" s="414">
        <f t="shared" si="290"/>
        <v>0</v>
      </c>
      <c r="BC234" s="414">
        <f t="shared" si="290"/>
        <v>0</v>
      </c>
      <c r="BD234" s="414">
        <f t="shared" si="290"/>
        <v>1</v>
      </c>
      <c r="BE234" s="414">
        <f t="shared" si="290"/>
        <v>0</v>
      </c>
      <c r="BF234" s="414">
        <f t="shared" si="290"/>
        <v>0</v>
      </c>
      <c r="BG234" s="414">
        <f t="shared" si="290"/>
        <v>0</v>
      </c>
      <c r="BH234" s="414">
        <f t="shared" si="290"/>
        <v>0</v>
      </c>
      <c r="BI234" s="414">
        <f t="shared" si="290"/>
        <v>0</v>
      </c>
      <c r="BJ234" s="414">
        <f t="shared" si="290"/>
        <v>0</v>
      </c>
      <c r="BK234" s="414"/>
      <c r="BL234" s="414"/>
      <c r="BM234" s="414"/>
      <c r="BN234" s="414"/>
      <c r="BO234" s="414"/>
      <c r="BP234" s="414"/>
      <c r="BQ234" s="414"/>
      <c r="BR234" s="414"/>
      <c r="BS234" s="414"/>
      <c r="BT234" s="414"/>
      <c r="BU234" s="414"/>
    </row>
    <row r="235" spans="1:73" x14ac:dyDescent="0.2">
      <c r="A235" s="299"/>
      <c r="B235" s="299"/>
      <c r="C235" s="299" t="s">
        <v>224</v>
      </c>
      <c r="D235" s="299"/>
      <c r="E235" s="299"/>
      <c r="F235" s="299"/>
      <c r="G235" s="299"/>
      <c r="H235" s="299"/>
      <c r="I235" s="299"/>
      <c r="J235" s="299"/>
      <c r="K235" s="410" t="s">
        <v>225</v>
      </c>
      <c r="L235" s="413"/>
      <c r="M235" s="413"/>
      <c r="N235" s="417">
        <f>+MAX(Q235:BU235)</f>
        <v>39</v>
      </c>
      <c r="O235" s="299"/>
      <c r="P235" s="299"/>
      <c r="Q235" s="417"/>
      <c r="R235" s="417">
        <f t="shared" ref="R235:AP235" si="291">+Q235+ 1 * R233</f>
        <v>1</v>
      </c>
      <c r="S235" s="417">
        <f t="shared" si="291"/>
        <v>2</v>
      </c>
      <c r="T235" s="417">
        <f t="shared" si="291"/>
        <v>3</v>
      </c>
      <c r="U235" s="417">
        <f t="shared" si="291"/>
        <v>4</v>
      </c>
      <c r="V235" s="417">
        <f t="shared" si="291"/>
        <v>5</v>
      </c>
      <c r="W235" s="417">
        <f t="shared" si="291"/>
        <v>6</v>
      </c>
      <c r="X235" s="417">
        <f t="shared" si="291"/>
        <v>7</v>
      </c>
      <c r="Y235" s="417">
        <f t="shared" si="291"/>
        <v>8</v>
      </c>
      <c r="Z235" s="417">
        <f t="shared" si="291"/>
        <v>9</v>
      </c>
      <c r="AA235" s="417">
        <f t="shared" si="291"/>
        <v>10</v>
      </c>
      <c r="AB235" s="417">
        <f t="shared" si="291"/>
        <v>11</v>
      </c>
      <c r="AC235" s="417">
        <f t="shared" si="291"/>
        <v>12</v>
      </c>
      <c r="AD235" s="417">
        <f t="shared" si="291"/>
        <v>13</v>
      </c>
      <c r="AE235" s="417">
        <f t="shared" si="291"/>
        <v>14</v>
      </c>
      <c r="AF235" s="417">
        <f t="shared" si="291"/>
        <v>15</v>
      </c>
      <c r="AG235" s="417">
        <f t="shared" si="291"/>
        <v>16</v>
      </c>
      <c r="AH235" s="417">
        <f t="shared" si="291"/>
        <v>17</v>
      </c>
      <c r="AI235" s="417">
        <f t="shared" si="291"/>
        <v>18</v>
      </c>
      <c r="AJ235" s="417">
        <f t="shared" si="291"/>
        <v>19</v>
      </c>
      <c r="AK235" s="417">
        <f t="shared" si="291"/>
        <v>20</v>
      </c>
      <c r="AL235" s="417">
        <f t="shared" si="291"/>
        <v>21</v>
      </c>
      <c r="AM235" s="417">
        <f t="shared" si="291"/>
        <v>22</v>
      </c>
      <c r="AN235" s="417">
        <f t="shared" si="291"/>
        <v>23</v>
      </c>
      <c r="AO235" s="417">
        <f t="shared" si="291"/>
        <v>24</v>
      </c>
      <c r="AP235" s="417">
        <f t="shared" si="291"/>
        <v>25</v>
      </c>
      <c r="AQ235" s="417">
        <f t="shared" ref="AQ235:BJ235" si="292">+AP235+ 1 * AQ233</f>
        <v>26</v>
      </c>
      <c r="AR235" s="417">
        <f t="shared" si="292"/>
        <v>27</v>
      </c>
      <c r="AS235" s="417">
        <f t="shared" si="292"/>
        <v>28</v>
      </c>
      <c r="AT235" s="417">
        <f t="shared" si="292"/>
        <v>29</v>
      </c>
      <c r="AU235" s="417">
        <f t="shared" si="292"/>
        <v>30</v>
      </c>
      <c r="AV235" s="417">
        <f t="shared" si="292"/>
        <v>31</v>
      </c>
      <c r="AW235" s="417">
        <f t="shared" si="292"/>
        <v>32</v>
      </c>
      <c r="AX235" s="417">
        <f t="shared" si="292"/>
        <v>33</v>
      </c>
      <c r="AY235" s="417">
        <f t="shared" si="292"/>
        <v>34</v>
      </c>
      <c r="AZ235" s="417">
        <f t="shared" si="292"/>
        <v>35</v>
      </c>
      <c r="BA235" s="417">
        <f t="shared" si="292"/>
        <v>36</v>
      </c>
      <c r="BB235" s="417">
        <f t="shared" si="292"/>
        <v>37</v>
      </c>
      <c r="BC235" s="417">
        <f t="shared" si="292"/>
        <v>38</v>
      </c>
      <c r="BD235" s="417">
        <f t="shared" si="292"/>
        <v>39</v>
      </c>
      <c r="BE235" s="417">
        <f t="shared" si="292"/>
        <v>39</v>
      </c>
      <c r="BF235" s="417">
        <f t="shared" si="292"/>
        <v>39</v>
      </c>
      <c r="BG235" s="417">
        <f t="shared" si="292"/>
        <v>39</v>
      </c>
      <c r="BH235" s="417">
        <f t="shared" si="292"/>
        <v>39</v>
      </c>
      <c r="BI235" s="417">
        <f t="shared" si="292"/>
        <v>39</v>
      </c>
      <c r="BJ235" s="417">
        <f t="shared" si="292"/>
        <v>39</v>
      </c>
      <c r="BK235" s="417"/>
      <c r="BL235" s="417"/>
      <c r="BM235" s="417"/>
      <c r="BN235" s="417"/>
      <c r="BO235" s="417"/>
      <c r="BP235" s="417"/>
      <c r="BQ235" s="417"/>
      <c r="BR235" s="417"/>
      <c r="BS235" s="417"/>
      <c r="BT235" s="417"/>
      <c r="BU235" s="417"/>
    </row>
    <row r="236" spans="1:73" x14ac:dyDescent="0.2">
      <c r="A236" s="299"/>
      <c r="B236" s="299"/>
      <c r="C236" s="299" t="s">
        <v>226</v>
      </c>
      <c r="D236" s="299"/>
      <c r="E236" s="299"/>
      <c r="F236" s="299"/>
      <c r="G236" s="299"/>
      <c r="H236" s="299"/>
      <c r="I236" s="299"/>
      <c r="J236" s="299"/>
      <c r="K236" s="410" t="s">
        <v>124</v>
      </c>
      <c r="L236" s="417">
        <v>2</v>
      </c>
      <c r="M236" s="413"/>
      <c r="N236" s="417">
        <f>SUM(Q236:BU236)</f>
        <v>2</v>
      </c>
      <c r="O236" s="299"/>
      <c r="P236" s="299"/>
      <c r="Q236" s="414"/>
      <c r="R236" s="414">
        <f t="shared" ref="R236:BJ236" si="293">($L$236 &gt;= R235) * R$13 * R233</f>
        <v>1</v>
      </c>
      <c r="S236" s="414">
        <f t="shared" si="293"/>
        <v>1</v>
      </c>
      <c r="T236" s="414">
        <f t="shared" si="293"/>
        <v>0</v>
      </c>
      <c r="U236" s="414">
        <f t="shared" si="293"/>
        <v>0</v>
      </c>
      <c r="V236" s="414">
        <f t="shared" si="293"/>
        <v>0</v>
      </c>
      <c r="W236" s="414">
        <f t="shared" si="293"/>
        <v>0</v>
      </c>
      <c r="X236" s="414">
        <f t="shared" si="293"/>
        <v>0</v>
      </c>
      <c r="Y236" s="414">
        <f t="shared" si="293"/>
        <v>0</v>
      </c>
      <c r="Z236" s="414">
        <f t="shared" si="293"/>
        <v>0</v>
      </c>
      <c r="AA236" s="414">
        <f t="shared" si="293"/>
        <v>0</v>
      </c>
      <c r="AB236" s="414">
        <f t="shared" si="293"/>
        <v>0</v>
      </c>
      <c r="AC236" s="414">
        <f t="shared" si="293"/>
        <v>0</v>
      </c>
      <c r="AD236" s="414">
        <f t="shared" si="293"/>
        <v>0</v>
      </c>
      <c r="AE236" s="414">
        <f t="shared" si="293"/>
        <v>0</v>
      </c>
      <c r="AF236" s="414">
        <f t="shared" si="293"/>
        <v>0</v>
      </c>
      <c r="AG236" s="414">
        <f t="shared" si="293"/>
        <v>0</v>
      </c>
      <c r="AH236" s="414">
        <f t="shared" si="293"/>
        <v>0</v>
      </c>
      <c r="AI236" s="414">
        <f t="shared" si="293"/>
        <v>0</v>
      </c>
      <c r="AJ236" s="414">
        <f t="shared" si="293"/>
        <v>0</v>
      </c>
      <c r="AK236" s="414">
        <f t="shared" si="293"/>
        <v>0</v>
      </c>
      <c r="AL236" s="414">
        <f t="shared" si="293"/>
        <v>0</v>
      </c>
      <c r="AM236" s="414">
        <f t="shared" si="293"/>
        <v>0</v>
      </c>
      <c r="AN236" s="414">
        <f t="shared" si="293"/>
        <v>0</v>
      </c>
      <c r="AO236" s="414">
        <f t="shared" si="293"/>
        <v>0</v>
      </c>
      <c r="AP236" s="414">
        <f t="shared" si="293"/>
        <v>0</v>
      </c>
      <c r="AQ236" s="414">
        <f t="shared" si="293"/>
        <v>0</v>
      </c>
      <c r="AR236" s="414">
        <f t="shared" si="293"/>
        <v>0</v>
      </c>
      <c r="AS236" s="414">
        <f t="shared" si="293"/>
        <v>0</v>
      </c>
      <c r="AT236" s="414">
        <f t="shared" si="293"/>
        <v>0</v>
      </c>
      <c r="AU236" s="414">
        <f t="shared" si="293"/>
        <v>0</v>
      </c>
      <c r="AV236" s="414">
        <f t="shared" si="293"/>
        <v>0</v>
      </c>
      <c r="AW236" s="414">
        <f t="shared" si="293"/>
        <v>0</v>
      </c>
      <c r="AX236" s="414">
        <f t="shared" si="293"/>
        <v>0</v>
      </c>
      <c r="AY236" s="414">
        <f t="shared" si="293"/>
        <v>0</v>
      </c>
      <c r="AZ236" s="414">
        <f t="shared" si="293"/>
        <v>0</v>
      </c>
      <c r="BA236" s="414">
        <f t="shared" si="293"/>
        <v>0</v>
      </c>
      <c r="BB236" s="414">
        <f t="shared" si="293"/>
        <v>0</v>
      </c>
      <c r="BC236" s="414">
        <f t="shared" si="293"/>
        <v>0</v>
      </c>
      <c r="BD236" s="414">
        <f t="shared" si="293"/>
        <v>0</v>
      </c>
      <c r="BE236" s="414">
        <f t="shared" si="293"/>
        <v>0</v>
      </c>
      <c r="BF236" s="414">
        <f t="shared" si="293"/>
        <v>0</v>
      </c>
      <c r="BG236" s="414">
        <f t="shared" si="293"/>
        <v>0</v>
      </c>
      <c r="BH236" s="414">
        <f t="shared" si="293"/>
        <v>0</v>
      </c>
      <c r="BI236" s="414">
        <f t="shared" si="293"/>
        <v>0</v>
      </c>
      <c r="BJ236" s="414">
        <f t="shared" si="293"/>
        <v>0</v>
      </c>
      <c r="BK236" s="414"/>
      <c r="BL236" s="414"/>
      <c r="BM236" s="414"/>
      <c r="BN236" s="414"/>
      <c r="BO236" s="414"/>
      <c r="BP236" s="414"/>
      <c r="BQ236" s="414"/>
      <c r="BR236" s="414"/>
      <c r="BS236" s="414"/>
      <c r="BT236" s="414"/>
      <c r="BU236" s="414"/>
    </row>
    <row r="237" spans="1:73" x14ac:dyDescent="0.2">
      <c r="A237" s="299"/>
      <c r="B237" s="299"/>
      <c r="C237" s="299"/>
      <c r="D237" s="299"/>
      <c r="E237" s="299"/>
      <c r="F237" s="299"/>
      <c r="G237" s="299"/>
      <c r="H237" s="299"/>
      <c r="I237" s="299"/>
      <c r="J237" s="299"/>
      <c r="K237" s="410"/>
      <c r="L237" s="299"/>
      <c r="M237" s="299"/>
      <c r="N237" s="299"/>
      <c r="O237" s="299"/>
      <c r="P237" s="299"/>
      <c r="Q237" s="299"/>
      <c r="R237" s="299"/>
      <c r="S237" s="299"/>
      <c r="T237" s="299"/>
      <c r="U237" s="299"/>
      <c r="V237" s="299"/>
      <c r="W237" s="299"/>
      <c r="X237" s="299"/>
      <c r="Y237" s="299"/>
      <c r="Z237" s="299"/>
      <c r="AA237" s="299"/>
      <c r="AB237" s="299"/>
      <c r="AC237" s="299"/>
      <c r="AD237" s="299"/>
      <c r="AE237" s="299"/>
      <c r="AF237" s="299"/>
      <c r="AG237" s="299"/>
      <c r="AH237" s="299"/>
      <c r="AI237" s="299"/>
      <c r="AJ237" s="299"/>
      <c r="AK237" s="299"/>
      <c r="AL237" s="299"/>
      <c r="AM237" s="299"/>
      <c r="AN237" s="299"/>
      <c r="AO237" s="299"/>
      <c r="AP237" s="299"/>
      <c r="AQ237" s="299"/>
      <c r="AR237" s="299"/>
      <c r="AS237" s="299"/>
      <c r="AT237" s="299"/>
      <c r="AU237" s="299"/>
      <c r="AV237" s="299"/>
      <c r="AW237" s="299"/>
      <c r="AX237" s="299"/>
      <c r="AY237" s="299"/>
      <c r="AZ237" s="299"/>
      <c r="BA237" s="299"/>
      <c r="BB237" s="299"/>
      <c r="BC237" s="299"/>
      <c r="BD237" s="299"/>
      <c r="BE237" s="299"/>
      <c r="BF237" s="299"/>
      <c r="BG237" s="299"/>
      <c r="BH237" s="299"/>
      <c r="BI237" s="299"/>
      <c r="BJ237" s="299"/>
      <c r="BK237" s="299"/>
      <c r="BL237" s="299"/>
      <c r="BM237" s="299"/>
      <c r="BN237" s="299"/>
      <c r="BO237" s="299"/>
      <c r="BP237" s="299"/>
      <c r="BQ237" s="299"/>
      <c r="BR237" s="299"/>
      <c r="BS237" s="299"/>
      <c r="BT237" s="299"/>
      <c r="BU237" s="299"/>
    </row>
    <row r="238" spans="1:73" x14ac:dyDescent="0.2">
      <c r="A238" s="299"/>
      <c r="B238" s="299"/>
      <c r="C238" s="299" t="s">
        <v>39</v>
      </c>
      <c r="D238" s="299"/>
      <c r="E238" s="299"/>
      <c r="F238" s="299"/>
      <c r="G238" s="299"/>
      <c r="H238" s="299"/>
      <c r="I238" s="299"/>
      <c r="J238" s="299"/>
      <c r="K238" s="410" t="s">
        <v>20</v>
      </c>
      <c r="L238" s="299"/>
      <c r="M238" s="299"/>
      <c r="N238" s="299"/>
      <c r="O238" s="299"/>
      <c r="P238" s="299"/>
      <c r="Q238" s="714">
        <f>+Inputs!L111</f>
        <v>0.95</v>
      </c>
      <c r="R238" s="714">
        <f>+Inputs!L112</f>
        <v>0.75</v>
      </c>
      <c r="S238" s="714">
        <f>+Inputs!L113</f>
        <v>0.55000000000000004</v>
      </c>
      <c r="T238" s="714">
        <f>+Inputs!L114</f>
        <v>0.35</v>
      </c>
      <c r="U238" s="714">
        <f>+Inputs!L115</f>
        <v>0.15</v>
      </c>
      <c r="V238" s="458"/>
      <c r="W238" s="458"/>
      <c r="X238" s="458"/>
      <c r="Y238" s="458"/>
      <c r="Z238" s="458"/>
      <c r="AA238" s="458"/>
      <c r="AB238" s="458"/>
      <c r="AC238" s="458"/>
      <c r="AD238" s="458"/>
      <c r="AE238" s="458"/>
      <c r="AF238" s="458"/>
      <c r="AG238" s="458"/>
      <c r="AH238" s="458"/>
      <c r="AI238" s="458"/>
      <c r="AJ238" s="458"/>
      <c r="AK238" s="458"/>
      <c r="AL238" s="458"/>
      <c r="AM238" s="458"/>
      <c r="AN238" s="458"/>
      <c r="AO238" s="458"/>
      <c r="AP238" s="458"/>
      <c r="AQ238" s="458"/>
      <c r="AR238" s="458"/>
      <c r="AS238" s="458"/>
      <c r="AT238" s="458"/>
      <c r="AU238" s="458"/>
      <c r="AV238" s="458"/>
      <c r="AW238" s="458"/>
      <c r="AX238" s="458"/>
      <c r="AY238" s="458"/>
      <c r="AZ238" s="458"/>
      <c r="BA238" s="458"/>
      <c r="BB238" s="458"/>
      <c r="BC238" s="458"/>
      <c r="BD238" s="458"/>
      <c r="BE238" s="458"/>
      <c r="BF238" s="458"/>
      <c r="BG238" s="458"/>
      <c r="BH238" s="458"/>
      <c r="BI238" s="458"/>
      <c r="BJ238" s="458"/>
      <c r="BK238" s="458"/>
      <c r="BL238" s="458"/>
      <c r="BM238" s="458"/>
      <c r="BN238" s="458"/>
      <c r="BO238" s="458"/>
      <c r="BP238" s="458"/>
      <c r="BQ238" s="458"/>
      <c r="BR238" s="458"/>
      <c r="BS238" s="458"/>
      <c r="BT238" s="458"/>
      <c r="BU238" s="458"/>
    </row>
    <row r="239" spans="1:73" x14ac:dyDescent="0.2">
      <c r="A239" s="299"/>
      <c r="B239" s="301"/>
      <c r="C239" s="301"/>
      <c r="D239" s="301"/>
      <c r="E239" s="301"/>
      <c r="F239" s="301"/>
      <c r="G239" s="301"/>
      <c r="H239" s="301"/>
      <c r="I239" s="301"/>
      <c r="J239" s="301"/>
      <c r="K239" s="309"/>
      <c r="L239" s="301"/>
      <c r="M239" s="301"/>
      <c r="N239" s="301"/>
      <c r="O239" s="299"/>
      <c r="P239" s="299"/>
      <c r="Q239" s="299"/>
      <c r="R239" s="299"/>
      <c r="S239" s="299"/>
      <c r="T239" s="299"/>
      <c r="U239" s="299"/>
      <c r="V239" s="299"/>
      <c r="W239" s="299"/>
      <c r="X239" s="299"/>
      <c r="Y239" s="299"/>
      <c r="Z239" s="299"/>
      <c r="AA239" s="299"/>
      <c r="AB239" s="299"/>
      <c r="AC239" s="299"/>
      <c r="AD239" s="299"/>
      <c r="AE239" s="299"/>
      <c r="AF239" s="299"/>
      <c r="AG239" s="299"/>
      <c r="AH239" s="299"/>
      <c r="AI239" s="299"/>
      <c r="AJ239" s="299"/>
      <c r="AK239" s="299"/>
      <c r="AL239" s="299"/>
      <c r="AM239" s="299"/>
      <c r="AN239" s="299"/>
      <c r="AO239" s="299"/>
      <c r="AP239" s="299"/>
      <c r="AQ239" s="299"/>
      <c r="AR239" s="299"/>
      <c r="AS239" s="299"/>
      <c r="AT239" s="299"/>
      <c r="AU239" s="299"/>
      <c r="AV239" s="299"/>
      <c r="AW239" s="299"/>
      <c r="AX239" s="299"/>
      <c r="AY239" s="299"/>
      <c r="AZ239" s="299"/>
      <c r="BA239" s="299"/>
      <c r="BB239" s="299"/>
      <c r="BC239" s="299"/>
      <c r="BD239" s="299"/>
      <c r="BE239" s="299"/>
      <c r="BF239" s="299"/>
      <c r="BG239" s="299"/>
      <c r="BH239" s="299"/>
      <c r="BI239" s="299"/>
      <c r="BJ239" s="299"/>
      <c r="BK239" s="299"/>
      <c r="BL239" s="299"/>
      <c r="BM239" s="299"/>
      <c r="BN239" s="299"/>
      <c r="BO239" s="299"/>
      <c r="BP239" s="299"/>
      <c r="BQ239" s="299"/>
      <c r="BR239" s="299"/>
      <c r="BS239" s="299"/>
      <c r="BT239" s="299"/>
      <c r="BU239" s="299"/>
    </row>
    <row r="240" spans="1:73" x14ac:dyDescent="0.2">
      <c r="A240" s="452"/>
      <c r="B240" s="452"/>
      <c r="C240" s="492" t="s">
        <v>65</v>
      </c>
      <c r="D240" s="493"/>
      <c r="E240" s="493"/>
      <c r="F240" s="493"/>
      <c r="G240" s="493"/>
      <c r="H240" s="493"/>
      <c r="I240" s="493"/>
      <c r="J240" s="493"/>
      <c r="K240" s="642" t="s">
        <v>62</v>
      </c>
      <c r="L240" s="493"/>
      <c r="M240" s="493"/>
      <c r="N240" s="494">
        <f>SUM(Q240:BU240)</f>
        <v>554873.30688708287</v>
      </c>
      <c r="O240" s="493"/>
      <c r="P240" s="493"/>
      <c r="Q240" s="494"/>
      <c r="R240" s="494">
        <f t="shared" ref="R240:BJ240" si="294">+R204</f>
        <v>0</v>
      </c>
      <c r="S240" s="494">
        <f t="shared" si="294"/>
        <v>1554.0519999999958</v>
      </c>
      <c r="T240" s="494">
        <f t="shared" si="294"/>
        <v>2271.9001843671922</v>
      </c>
      <c r="U240" s="494">
        <f t="shared" si="294"/>
        <v>3321.3370258702384</v>
      </c>
      <c r="V240" s="494">
        <f t="shared" si="294"/>
        <v>4855.5300603970763</v>
      </c>
      <c r="W240" s="494">
        <f t="shared" si="294"/>
        <v>5234.7233595289154</v>
      </c>
      <c r="X240" s="494">
        <f t="shared" si="294"/>
        <v>5643.5298123881421</v>
      </c>
      <c r="Y240" s="494">
        <f t="shared" si="294"/>
        <v>6084.2620623566136</v>
      </c>
      <c r="Z240" s="494">
        <f t="shared" si="294"/>
        <v>6559.4133590245247</v>
      </c>
      <c r="AA240" s="494">
        <f t="shared" si="294"/>
        <v>7071.6716626575071</v>
      </c>
      <c r="AB240" s="494">
        <f t="shared" si="294"/>
        <v>7112.6761485473016</v>
      </c>
      <c r="AC240" s="494">
        <f t="shared" si="294"/>
        <v>7153.9183954564542</v>
      </c>
      <c r="AD240" s="494">
        <f t="shared" si="294"/>
        <v>7195.3997820219884</v>
      </c>
      <c r="AE240" s="494">
        <f t="shared" si="294"/>
        <v>7237.1216948748361</v>
      </c>
      <c r="AF240" s="494">
        <f t="shared" si="294"/>
        <v>7279.0855286861879</v>
      </c>
      <c r="AG240" s="494">
        <f t="shared" si="294"/>
        <v>7825.0840659259275</v>
      </c>
      <c r="AH240" s="494">
        <f t="shared" si="294"/>
        <v>8412.0375282717268</v>
      </c>
      <c r="AI240" s="494">
        <f t="shared" si="294"/>
        <v>9043.0179127639458</v>
      </c>
      <c r="AJ240" s="494">
        <f t="shared" si="294"/>
        <v>9721.3276445487663</v>
      </c>
      <c r="AK240" s="494">
        <f t="shared" si="294"/>
        <v>10450.516861110962</v>
      </c>
      <c r="AL240" s="494">
        <f t="shared" si="294"/>
        <v>11402.936904942444</v>
      </c>
      <c r="AM240" s="494">
        <f t="shared" si="294"/>
        <v>12442.156860390503</v>
      </c>
      <c r="AN240" s="494">
        <f t="shared" si="294"/>
        <v>13576.087338645486</v>
      </c>
      <c r="AO240" s="494">
        <f t="shared" si="294"/>
        <v>14813.35989367567</v>
      </c>
      <c r="AP240" s="494">
        <f t="shared" si="294"/>
        <v>16163.392726188255</v>
      </c>
      <c r="AQ240" s="494">
        <f t="shared" si="294"/>
        <v>14764.028626131159</v>
      </c>
      <c r="AR240" s="494">
        <f t="shared" si="294"/>
        <v>13485.816063854612</v>
      </c>
      <c r="AS240" s="494">
        <f t="shared" si="294"/>
        <v>12318.266207248376</v>
      </c>
      <c r="AT240" s="494">
        <f t="shared" si="294"/>
        <v>11251.798306766013</v>
      </c>
      <c r="AU240" s="494">
        <f t="shared" si="294"/>
        <v>10277.661077144619</v>
      </c>
      <c r="AV240" s="494">
        <f t="shared" si="294"/>
        <v>11712.773240383072</v>
      </c>
      <c r="AW240" s="494">
        <f t="shared" si="294"/>
        <v>13348.276028065735</v>
      </c>
      <c r="AX240" s="494">
        <f t="shared" si="294"/>
        <v>15212.150808753046</v>
      </c>
      <c r="AY240" s="494">
        <f t="shared" si="294"/>
        <v>17336.286104789135</v>
      </c>
      <c r="AZ240" s="494">
        <f t="shared" si="294"/>
        <v>19757.023164283295</v>
      </c>
      <c r="BA240" s="494">
        <f t="shared" si="294"/>
        <v>18360.971768753996</v>
      </c>
      <c r="BB240" s="494">
        <f t="shared" si="294"/>
        <v>17063.566787856769</v>
      </c>
      <c r="BC240" s="494">
        <f t="shared" si="294"/>
        <v>15857.837765381382</v>
      </c>
      <c r="BD240" s="494">
        <f t="shared" si="294"/>
        <v>14737.306784658558</v>
      </c>
      <c r="BE240" s="494">
        <f t="shared" si="294"/>
        <v>13695.953665213941</v>
      </c>
      <c r="BF240" s="494">
        <f t="shared" si="294"/>
        <v>17217.14575767015</v>
      </c>
      <c r="BG240" s="494">
        <f t="shared" si="294"/>
        <v>21643.626671558894</v>
      </c>
      <c r="BH240" s="494">
        <f t="shared" si="294"/>
        <v>27208.143677887198</v>
      </c>
      <c r="BI240" s="494">
        <f t="shared" si="294"/>
        <v>34203.282732155618</v>
      </c>
      <c r="BJ240" s="494">
        <f t="shared" si="294"/>
        <v>42996.852835886602</v>
      </c>
      <c r="BK240" s="494"/>
      <c r="BL240" s="494"/>
      <c r="BM240" s="494"/>
      <c r="BN240" s="494"/>
      <c r="BO240" s="494"/>
      <c r="BP240" s="494"/>
      <c r="BQ240" s="494"/>
      <c r="BR240" s="494"/>
      <c r="BS240" s="494"/>
      <c r="BT240" s="494"/>
      <c r="BU240" s="494"/>
    </row>
    <row r="241" spans="1:73" x14ac:dyDescent="0.2">
      <c r="A241" s="299"/>
      <c r="B241" s="301"/>
      <c r="C241" s="301"/>
      <c r="D241" s="301"/>
      <c r="E241" s="301"/>
      <c r="F241" s="301"/>
      <c r="G241" s="301"/>
      <c r="H241" s="301"/>
      <c r="I241" s="301"/>
      <c r="J241" s="301"/>
      <c r="K241" s="309"/>
      <c r="L241" s="301"/>
      <c r="M241" s="301"/>
      <c r="N241" s="301"/>
      <c r="O241" s="299"/>
      <c r="P241" s="299"/>
      <c r="Q241" s="299"/>
      <c r="R241" s="299"/>
      <c r="S241" s="299"/>
      <c r="T241" s="299"/>
      <c r="U241" s="299"/>
      <c r="V241" s="299"/>
      <c r="W241" s="299"/>
      <c r="X241" s="299"/>
      <c r="Y241" s="299"/>
      <c r="Z241" s="299"/>
      <c r="AA241" s="299"/>
      <c r="AB241" s="299"/>
      <c r="AC241" s="299"/>
      <c r="AD241" s="299"/>
      <c r="AE241" s="299"/>
      <c r="AF241" s="299"/>
      <c r="AG241" s="299"/>
      <c r="AH241" s="299"/>
      <c r="AI241" s="299"/>
      <c r="AJ241" s="299"/>
      <c r="AK241" s="299"/>
      <c r="AL241" s="299"/>
      <c r="AM241" s="299"/>
      <c r="AN241" s="299"/>
      <c r="AO241" s="299"/>
      <c r="AP241" s="299"/>
      <c r="AQ241" s="299"/>
      <c r="AR241" s="299"/>
      <c r="AS241" s="299"/>
      <c r="AT241" s="299"/>
      <c r="AU241" s="299"/>
      <c r="AV241" s="299"/>
      <c r="AW241" s="299"/>
      <c r="AX241" s="299"/>
      <c r="AY241" s="299"/>
      <c r="AZ241" s="299"/>
      <c r="BA241" s="299"/>
      <c r="BB241" s="299"/>
      <c r="BC241" s="299"/>
      <c r="BD241" s="299"/>
      <c r="BE241" s="299"/>
      <c r="BF241" s="299"/>
      <c r="BG241" s="299"/>
      <c r="BH241" s="299"/>
      <c r="BI241" s="299"/>
      <c r="BJ241" s="299"/>
      <c r="BK241" s="299"/>
      <c r="BL241" s="299"/>
      <c r="BM241" s="299"/>
      <c r="BN241" s="299"/>
      <c r="BO241" s="299"/>
      <c r="BP241" s="299"/>
      <c r="BQ241" s="299"/>
      <c r="BR241" s="299"/>
      <c r="BS241" s="299"/>
      <c r="BT241" s="299"/>
      <c r="BU241" s="299"/>
    </row>
    <row r="242" spans="1:73" x14ac:dyDescent="0.2">
      <c r="A242" s="299"/>
      <c r="B242" s="299"/>
      <c r="C242" s="299" t="s">
        <v>227</v>
      </c>
      <c r="D242" s="299"/>
      <c r="E242" s="299"/>
      <c r="F242" s="299"/>
      <c r="G242" s="299"/>
      <c r="H242" s="299"/>
      <c r="I242" s="299"/>
      <c r="J242" s="299"/>
      <c r="K242" s="410" t="s">
        <v>62</v>
      </c>
      <c r="L242" s="413"/>
      <c r="M242" s="299"/>
      <c r="N242" s="417">
        <f t="shared" ref="N242:N243" si="295">SUM(Q242:BJ242)</f>
        <v>24696931.816915605</v>
      </c>
      <c r="O242" s="299"/>
      <c r="P242" s="299"/>
      <c r="Q242" s="417"/>
      <c r="R242" s="417">
        <f>MAX(0,CF!R45)  - R275-R276-R277</f>
        <v>0</v>
      </c>
      <c r="S242" s="417">
        <f>MAX(0,CF!S45)  - S275-S276-S277</f>
        <v>52922.655228947813</v>
      </c>
      <c r="T242" s="417">
        <f>MAX(0,CF!T45)  - T275-T276-T277</f>
        <v>54494.395930895596</v>
      </c>
      <c r="U242" s="417">
        <f>MAX(0,CF!U45)  - U275-U276-U277</f>
        <v>36624.327923875491</v>
      </c>
      <c r="V242" s="417">
        <f>MAX(0,CF!V45)  - V275-V276-V277</f>
        <v>53767.054784383174</v>
      </c>
      <c r="W242" s="417">
        <f>MAX(0,CF!W45)  - W275-W276-W277</f>
        <v>65877.038007537689</v>
      </c>
      <c r="X242" s="417">
        <f>MAX(0,CF!X45)  - X275-X276-X277</f>
        <v>77303.562474858802</v>
      </c>
      <c r="Y242" s="417">
        <f>MAX(0,CF!Y45)  - Y275-Y276-Y277</f>
        <v>89606.3342570971</v>
      </c>
      <c r="Z242" s="417">
        <f>MAX(0,CF!Z45)  - Z275-Z276-Z277</f>
        <v>102580.95900652651</v>
      </c>
      <c r="AA242" s="417">
        <f>MAX(0,CF!AA45)  - AA275-AA276-AA277</f>
        <v>117331.97689213167</v>
      </c>
      <c r="AB242" s="417">
        <f>MAX(0,CF!AB45)  - AB275-AB276-AB277</f>
        <v>129082.07910664231</v>
      </c>
      <c r="AC242" s="417">
        <f>MAX(0,CF!AC45)  - AC275-AC276-AC277</f>
        <v>141758.79536616249</v>
      </c>
      <c r="AD242" s="417">
        <f>MAX(0,CF!AD45)  - AD275-AD276-AD277</f>
        <v>154555.92302953213</v>
      </c>
      <c r="AE242" s="417">
        <f>MAX(0,CF!AE45)  - AE275-AE276-AE277</f>
        <v>164988.31721109003</v>
      </c>
      <c r="AF242" s="417">
        <f>MAX(0,CF!AF45)  - AF275-AF276-AF277</f>
        <v>182844.28624393788</v>
      </c>
      <c r="AG242" s="417">
        <f>MAX(0,CF!AG45)  - AG275-AG276-AG277</f>
        <v>207211.46328297874</v>
      </c>
      <c r="AH242" s="417">
        <f>MAX(0,CF!AH45)  - AH275-AH276-AH277</f>
        <v>233772.92066177106</v>
      </c>
      <c r="AI242" s="417">
        <f>MAX(0,CF!AI45)  - AI275-AI276-AI277</f>
        <v>262403.86898994847</v>
      </c>
      <c r="AJ242" s="417">
        <f>MAX(0,CF!AJ45)  - AJ275-AJ276-AJ277</f>
        <v>293728.57640559506</v>
      </c>
      <c r="AK242" s="417">
        <f>MAX(0,CF!AK45)  - AK275-AK276-AK277</f>
        <v>328712.07510344032</v>
      </c>
      <c r="AL242" s="417">
        <f>MAX(0,CF!AL45)  - AL275-AL276-AL277</f>
        <v>366636.28195313341</v>
      </c>
      <c r="AM242" s="417">
        <f>MAX(0,CF!AM45)  - AM275-AM276-AM277</f>
        <v>392975.0431490115</v>
      </c>
      <c r="AN242" s="417">
        <f>MAX(0,CF!AN45)  - AN275-AN276-AN277</f>
        <v>478125.61107642669</v>
      </c>
      <c r="AO242" s="417">
        <f>MAX(0,CF!AO45)  - AO275-AO276-AO277</f>
        <v>517173.13752515509</v>
      </c>
      <c r="AP242" s="417">
        <f>MAX(0,CF!AP45)  - AP275-AP276-AP277</f>
        <v>579949.45031775488</v>
      </c>
      <c r="AQ242" s="417">
        <f>MAX(0,CF!AQ45)  - AQ275-AQ276-AQ277</f>
        <v>617909.44258581428</v>
      </c>
      <c r="AR242" s="417">
        <f>MAX(0,CF!AR45)  - AR275-AR276-AR277</f>
        <v>658115.7850504684</v>
      </c>
      <c r="AS242" s="417">
        <f>MAX(0,CF!AS45)  - AS275-AS276-AS277</f>
        <v>701247.52977336547</v>
      </c>
      <c r="AT242" s="417">
        <f>MAX(0,CF!AT45)  - AT275-AT276-AT277</f>
        <v>637773.82131532836</v>
      </c>
      <c r="AU242" s="417">
        <f>MAX(0,CF!AU45)  - AU275-AU276-AU277</f>
        <v>688418.52950101101</v>
      </c>
      <c r="AV242" s="417">
        <f>MAX(0,CF!AV45)  - AV275-AV276-AV277</f>
        <v>735339.01363690663</v>
      </c>
      <c r="AW242" s="417">
        <f>MAX(0,CF!AW45)  - AW275-AW276-AW277</f>
        <v>779850.09563664626</v>
      </c>
      <c r="AX242" s="417">
        <f>MAX(0,CF!AX45)  - AX275-AX276-AX277</f>
        <v>819574.07220088353</v>
      </c>
      <c r="AY242" s="417">
        <f>MAX(0,CF!AY45)  - AY275-AY276-AY277</f>
        <v>879246.58847799851</v>
      </c>
      <c r="AZ242" s="417">
        <f>MAX(0,CF!AZ45)  - AZ275-AZ276-AZ277</f>
        <v>940678.68028644996</v>
      </c>
      <c r="BA242" s="417">
        <f>MAX(0,CF!BA45)  - BA275-BA276-BA277</f>
        <v>996995.28292026045</v>
      </c>
      <c r="BB242" s="417">
        <f>MAX(0,CF!BB45)  - BB275-BB276-BB277</f>
        <v>1053248.4122425329</v>
      </c>
      <c r="BC242" s="417">
        <f>MAX(0,CF!BC45)  - BC275-BC276-BC277</f>
        <v>1088555.3592224075</v>
      </c>
      <c r="BD242" s="417">
        <f>MAX(0,CF!BD45)  - BD275-BD276-BD277</f>
        <v>1351444.8702947753</v>
      </c>
      <c r="BE242" s="417">
        <f>MAX(0,CF!BE45)  - BE275-BE276-BE277</f>
        <v>1270005.7518513093</v>
      </c>
      <c r="BF242" s="417">
        <f>MAX(0,CF!BF45)  - BF275-BF276-BF277</f>
        <v>1479620.2625882474</v>
      </c>
      <c r="BG242" s="417">
        <f>MAX(0,CF!BG45)  - BG275-BG276-BG277</f>
        <v>1534181.2648705142</v>
      </c>
      <c r="BH242" s="417">
        <f>MAX(0,CF!BH45)  - BH275-BH276-BH277</f>
        <v>1590368.8850572105</v>
      </c>
      <c r="BI242" s="417">
        <f>MAX(0,CF!BI45)  - BI275-BI276-BI277</f>
        <v>1510143.6007841963</v>
      </c>
      <c r="BJ242" s="417">
        <f>MAX(0,CF!BJ45)  - BJ275-BJ276-BJ277</f>
        <v>279788.43469044275</v>
      </c>
      <c r="BK242" s="417"/>
      <c r="BL242" s="417"/>
      <c r="BM242" s="417"/>
      <c r="BN242" s="417"/>
      <c r="BO242" s="417"/>
      <c r="BP242" s="417"/>
      <c r="BQ242" s="417"/>
      <c r="BR242" s="417"/>
      <c r="BS242" s="417"/>
      <c r="BT242" s="417"/>
      <c r="BU242" s="417"/>
    </row>
    <row r="243" spans="1:73" x14ac:dyDescent="0.2">
      <c r="A243" s="299"/>
      <c r="B243" s="299"/>
      <c r="C243" s="299" t="s">
        <v>228</v>
      </c>
      <c r="D243" s="299"/>
      <c r="E243" s="299"/>
      <c r="F243" s="299"/>
      <c r="G243" s="299"/>
      <c r="H243" s="299"/>
      <c r="I243" s="299"/>
      <c r="J243" s="299"/>
      <c r="K243" s="410" t="s">
        <v>62</v>
      </c>
      <c r="L243" s="299"/>
      <c r="M243" s="299"/>
      <c r="N243" s="417">
        <f t="shared" si="295"/>
        <v>1144309.796968275</v>
      </c>
      <c r="O243" s="299"/>
      <c r="P243" s="299"/>
      <c r="Q243" s="425"/>
      <c r="R243" s="425">
        <f>+(SUMPRODUCT($Q$238:$U$238,S240:W240)*R12) * R233*IF(SUM($Q$234:R$234)=1,0,1)</f>
        <v>7491.6539275723353</v>
      </c>
      <c r="S243" s="425">
        <f>+(SUMPRODUCT($Q$238:$U$238,T240:X240)*S12) * S233*IF(SUM($Q$234:S$234)=1,0,1)</f>
        <v>9998.5321254632454</v>
      </c>
      <c r="T243" s="425">
        <f>+(SUMPRODUCT($Q$238:$U$238,U240:Y240)*T12) * T233*IF(SUM($Q$234:T$234)=1,0,1)</f>
        <v>12563.890311304778</v>
      </c>
      <c r="U243" s="425">
        <f>+(SUMPRODUCT($Q$238:$U$238,V240:Z240)*U12) * U233*IF(SUM($Q$234:U$234)=1,0,1)</f>
        <v>14756.141199515881</v>
      </c>
      <c r="V243" s="425">
        <f>+(SUMPRODUCT($Q$238:$U$238,W240:AA240)*V12) * V233*IF(SUM($Q$234:V$234)=1,0,1)</f>
        <v>15908.524110196922</v>
      </c>
      <c r="W243" s="425">
        <f>+(SUMPRODUCT($Q$238:$U$238,X240:AB240)*W12) * W233*IF(SUM($Q$234:W$234)=1,0,1)</f>
        <v>17074.213720211905</v>
      </c>
      <c r="X243" s="425">
        <f>+(SUMPRODUCT($Q$238:$U$238,Y240:AC240)*X12) * X233*IF(SUM($Q$234:X$234)=1,0,1)</f>
        <v>18151.552804278828</v>
      </c>
      <c r="Y243" s="425">
        <f>+(SUMPRODUCT($Q$238:$U$238,Z240:AD240)*Y12) * Y233*IF(SUM($Q$234:Y$234)=1,0,1)</f>
        <v>19030.349725480504</v>
      </c>
      <c r="Z243" s="425">
        <f>+(SUMPRODUCT($Q$238:$U$238,AA240:AE240)*Z12) * Z233*IF(SUM($Q$234:Z$234)=1,0,1)</f>
        <v>19591.208486375075</v>
      </c>
      <c r="AA243" s="425">
        <f>+(SUMPRODUCT($Q$238:$U$238,AB240:AF240)*AA12) * AA233*IF(SUM($Q$234:AA$234)=1,0,1)</f>
        <v>19704.80644033349</v>
      </c>
      <c r="AB243" s="425">
        <f>+(SUMPRODUCT($Q$238:$U$238,AC240:AG240)*AB12) * AB233*IF(SUM($Q$234:AB$234)=1,0,1)</f>
        <v>19894.631789310341</v>
      </c>
      <c r="AC243" s="425">
        <f>+(SUMPRODUCT($Q$238:$U$238,AD240:AH240)*AC12) * AC233*IF(SUM($Q$234:AC$234)=1,0,1)</f>
        <v>20267.553157169252</v>
      </c>
      <c r="AD243" s="425">
        <f>+(SUMPRODUCT($Q$238:$U$238,AE240:AI240)*AD12) * AD233*IF(SUM($Q$234:AD$234)=1,0,1)</f>
        <v>20939.041814714692</v>
      </c>
      <c r="AE243" s="425">
        <f>+(SUMPRODUCT($Q$238:$U$238,AF240:AJ240)*AE12) * AE233*IF(SUM($Q$234:AE$234)=1,0,1)</f>
        <v>22033.820358395467</v>
      </c>
      <c r="AF243" s="425">
        <f>+(SUMPRODUCT($Q$238:$U$238,AG240:AK240)*AF12) * AF233*IF(SUM($Q$234:AF$234)=1,0,1)</f>
        <v>23686.56006561231</v>
      </c>
      <c r="AG243" s="425">
        <f>+(SUMPRODUCT($Q$238:$U$238,AH240:AL240)*AG12) * AG233*IF(SUM($Q$234:AG$234)=1,0,1)</f>
        <v>25488.550728063128</v>
      </c>
      <c r="AH243" s="425">
        <f>+(SUMPRODUCT($Q$238:$U$238,AI240:AM240)*AH12) * AH233*IF(SUM($Q$234:AH$234)=1,0,1)</f>
        <v>27486.998469936781</v>
      </c>
      <c r="AI243" s="425">
        <f>+(SUMPRODUCT($Q$238:$U$238,AJ240:AN240)*AI12) * AI233*IF(SUM($Q$234:AI$234)=1,0,1)</f>
        <v>29735.932207806396</v>
      </c>
      <c r="AJ243" s="425">
        <f>+(SUMPRODUCT($Q$238:$U$238,AK240:AO240)*AJ12) * AJ233*IF(SUM($Q$234:AJ$234)=1,0,1)</f>
        <v>32297.014522554295</v>
      </c>
      <c r="AK243" s="425">
        <f>+(SUMPRODUCT($Q$238:$U$238,AL240:AP240)*AK12) * AK233*IF(SUM($Q$234:AK$234)=1,0,1)</f>
        <v>35240.440612957937</v>
      </c>
      <c r="AL243" s="425">
        <f>+(SUMPRODUCT($Q$238:$U$238,AM240:AQ240)*AL12) * AL233*IF(SUM($Q$234:AL$234)=1,0,1)</f>
        <v>38021.254210962274</v>
      </c>
      <c r="AM243" s="425">
        <f>+(SUMPRODUCT($Q$238:$U$238,AN240:AR240)*AM12) * AM233*IF(SUM($Q$234:AM$234)=1,0,1)</f>
        <v>40087.451320097607</v>
      </c>
      <c r="AN243" s="425">
        <f>+(SUMPRODUCT($Q$238:$U$238,AO240:AS240)*AN12) * AN233*IF(SUM($Q$234:AN$234)=1,0,1)</f>
        <v>40883.227741441588</v>
      </c>
      <c r="AO243" s="425">
        <f>+(SUMPRODUCT($Q$238:$U$238,AP240:AT240)*AO12) * AO233*IF(SUM($Q$234:AO$234)=1,0,1)</f>
        <v>39844.606313149081</v>
      </c>
      <c r="AP243" s="425">
        <f>+(SUMPRODUCT($Q$238:$U$238,AQ240:AU240)*AP12) * AP233*IF(SUM($Q$234:AP$234)=1,0,1)</f>
        <v>36395.014225641971</v>
      </c>
      <c r="AQ243" s="425">
        <f>+(SUMPRODUCT($Q$238:$U$238,AR240:AV240)*AQ12) * AQ233*IF(SUM($Q$234:AQ$234)=1,0,1)</f>
        <v>33592.811347877549</v>
      </c>
      <c r="AR243" s="425">
        <f>+(SUMPRODUCT($Q$238:$U$238,AS240:AW240)*AR12) * AR233*IF(SUM($Q$234:AR$234)=1,0,1)</f>
        <v>31895.627257733944</v>
      </c>
      <c r="AS243" s="425">
        <f>+(SUMPRODUCT($Q$238:$U$238,AT240:AX240)*AS12) * AS233*IF(SUM($Q$234:AS$234)=1,0,1)</f>
        <v>31793.198712632835</v>
      </c>
      <c r="AT243" s="425">
        <f>+(SUMPRODUCT($Q$238:$U$238,AU240:AY240)*AT12) * AT233*IF(SUM($Q$234:AT$234)=1,0,1)</f>
        <v>33814.605467792782</v>
      </c>
      <c r="AU243" s="425">
        <f>+(SUMPRODUCT($Q$238:$U$238,AV240:AZ240)*AU12) * AU233*IF(SUM($Q$234:AU$234)=1,0,1)</f>
        <v>38536.27815554609</v>
      </c>
      <c r="AV243" s="425">
        <f>+(SUMPRODUCT($Q$238:$U$238,AW240:BA240)*AV12) * AV233*IF(SUM($Q$234:AV$234)=1,0,1)</f>
        <v>43294.036563673508</v>
      </c>
      <c r="AW243" s="425">
        <f>+(SUMPRODUCT($Q$238:$U$238,AX240:BB240)*AW12) * AW233*IF(SUM($Q$234:AW$234)=1,0,1)</f>
        <v>47305.995724505468</v>
      </c>
      <c r="AX243" s="425">
        <f>+(SUMPRODUCT($Q$238:$U$238,AY240:BC240)*AX12) * AX233*IF(SUM($Q$234:AX$234)=1,0,1)</f>
        <v>49736.697686133921</v>
      </c>
      <c r="AY243" s="425">
        <f>+(SUMPRODUCT($Q$238:$U$238,AZ240:BD240)*AY12) * AY233*IF(SUM($Q$234:AY$234)=1,0,1)</f>
        <v>49685.701801538125</v>
      </c>
      <c r="AZ243" s="425">
        <f>+(SUMPRODUCT($Q$238:$U$238,BA240:BE240)*AZ12) * AZ233*IF(SUM($Q$234:AZ$234)=1,0,1)</f>
        <v>46174.85946658122</v>
      </c>
      <c r="BA243" s="425">
        <f>+(SUMPRODUCT($Q$238:$U$238,BB240:BF240)*BA12) * BA233*IF(SUM($Q$234:BA$234)=1,0,1)</f>
        <v>43585.441150537576</v>
      </c>
      <c r="BB243" s="425">
        <f>+(SUMPRODUCT($Q$238:$U$238,BC240:BG240)*BB12) * BB233*IF(SUM($Q$234:BB$234)=1,0,1)</f>
        <v>42923.245497392287</v>
      </c>
      <c r="BC243" s="425">
        <f>+(SUMPRODUCT($Q$238:$U$238,BD240:BH240)*BC12) * BC233*IF(SUM($Q$234:BC$234)=1,0,1)</f>
        <v>45398.327747783354</v>
      </c>
      <c r="BD243" s="425">
        <f>+(SUMPRODUCT($Q$238:$U$238,BE240:BI240)*BD12) * BD233*IF(SUM($Q$234:BD$234)=1,0,1)</f>
        <v>0</v>
      </c>
      <c r="BE243" s="425">
        <f>+(SUMPRODUCT($Q$238:$U$238,BF240:BJ240)*BE12) * BE233*IF(SUM($Q$234:BE$234)=1,0,1)</f>
        <v>0</v>
      </c>
      <c r="BF243" s="425">
        <f>+(SUMPRODUCT($Q$238:$U$238,BG240:BK240)*BF12) * BF233*IF(SUM($Q$234:BF$234)=1,0,1)</f>
        <v>0</v>
      </c>
      <c r="BG243" s="425">
        <f>+(SUMPRODUCT($Q$238:$U$238,BH240:BL240)*BG12) * BG233*IF(SUM($Q$234:BG$234)=1,0,1)</f>
        <v>0</v>
      </c>
      <c r="BH243" s="425">
        <f>+(SUMPRODUCT($Q$238:$U$238,BI240:BM240)*BH12) * BH233*IF(SUM($Q$234:BH$234)=1,0,1)</f>
        <v>0</v>
      </c>
      <c r="BI243" s="425">
        <f>+(SUMPRODUCT($Q$238:$U$238,BJ240:BN240)*BI12) * BI233*IF(SUM($Q$234:BI$234)=1,0,1)</f>
        <v>0</v>
      </c>
      <c r="BJ243" s="425">
        <f>+(SUMPRODUCT($Q$238:$U$238,BK240:BO240)*BJ12) * BJ233*IF(SUM($Q$234:BJ$234)=1,0,1)</f>
        <v>0</v>
      </c>
      <c r="BK243" s="425"/>
      <c r="BL243" s="425"/>
      <c r="BM243" s="425"/>
      <c r="BN243" s="425"/>
      <c r="BO243" s="425"/>
      <c r="BP243" s="425"/>
      <c r="BQ243" s="425"/>
      <c r="BR243" s="425"/>
      <c r="BS243" s="425"/>
      <c r="BT243" s="425"/>
      <c r="BU243" s="425"/>
    </row>
    <row r="244" spans="1:73" x14ac:dyDescent="0.2">
      <c r="A244" s="299"/>
      <c r="B244" s="301"/>
      <c r="C244" s="301"/>
      <c r="D244" s="301"/>
      <c r="E244" s="301"/>
      <c r="F244" s="301"/>
      <c r="G244" s="301"/>
      <c r="H244" s="301"/>
      <c r="I244" s="301"/>
      <c r="J244" s="301"/>
      <c r="K244" s="309"/>
      <c r="L244" s="301"/>
      <c r="M244" s="301"/>
      <c r="N244" s="502"/>
      <c r="O244" s="299"/>
      <c r="P244" s="299"/>
      <c r="Q244" s="299"/>
      <c r="R244" s="299"/>
      <c r="S244" s="299"/>
      <c r="T244" s="299"/>
      <c r="U244" s="299"/>
      <c r="V244" s="299"/>
      <c r="W244" s="299"/>
      <c r="X244" s="299"/>
      <c r="Y244" s="299"/>
      <c r="Z244" s="299"/>
      <c r="AA244" s="299"/>
      <c r="AB244" s="299"/>
      <c r="AC244" s="299"/>
      <c r="AD244" s="299"/>
      <c r="AE244" s="299"/>
      <c r="AF244" s="299"/>
      <c r="AG244" s="299"/>
      <c r="AH244" s="299"/>
      <c r="AI244" s="299"/>
      <c r="AJ244" s="299"/>
      <c r="AK244" s="299"/>
      <c r="AL244" s="299"/>
      <c r="AM244" s="299"/>
      <c r="AN244" s="299"/>
      <c r="AO244" s="299"/>
      <c r="AP244" s="299"/>
      <c r="AQ244" s="299"/>
      <c r="AR244" s="299"/>
      <c r="AS244" s="299"/>
      <c r="AT244" s="299"/>
      <c r="AU244" s="299"/>
      <c r="AV244" s="299"/>
      <c r="AW244" s="299"/>
      <c r="AX244" s="299"/>
      <c r="AY244" s="299"/>
      <c r="AZ244" s="299"/>
      <c r="BA244" s="299"/>
      <c r="BB244" s="299"/>
      <c r="BC244" s="299"/>
      <c r="BD244" s="299"/>
      <c r="BE244" s="299"/>
      <c r="BF244" s="299"/>
      <c r="BG244" s="299"/>
      <c r="BH244" s="299"/>
      <c r="BI244" s="299"/>
      <c r="BJ244" s="299"/>
      <c r="BK244" s="299"/>
      <c r="BL244" s="299"/>
      <c r="BM244" s="299"/>
      <c r="BN244" s="299"/>
      <c r="BO244" s="299"/>
      <c r="BP244" s="299"/>
      <c r="BQ244" s="299"/>
      <c r="BR244" s="299"/>
      <c r="BS244" s="299"/>
      <c r="BT244" s="299"/>
      <c r="BU244" s="299"/>
    </row>
    <row r="245" spans="1:73" x14ac:dyDescent="0.2">
      <c r="A245" s="299"/>
      <c r="B245" s="439"/>
      <c r="C245" s="299"/>
      <c r="D245" s="299"/>
      <c r="E245" s="299"/>
      <c r="F245" s="299"/>
      <c r="G245" s="299"/>
      <c r="H245" s="299"/>
      <c r="I245" s="299"/>
      <c r="J245" s="299"/>
      <c r="K245" s="410"/>
      <c r="L245" s="299"/>
      <c r="M245" s="299"/>
      <c r="N245" s="301"/>
      <c r="O245" s="299"/>
      <c r="P245" s="299"/>
      <c r="Q245" s="299"/>
      <c r="R245" s="299"/>
      <c r="S245" s="299"/>
      <c r="T245" s="299"/>
      <c r="U245" s="299"/>
      <c r="V245" s="299"/>
      <c r="W245" s="299"/>
      <c r="X245" s="299"/>
      <c r="Y245" s="299"/>
      <c r="Z245" s="299"/>
      <c r="AA245" s="299"/>
      <c r="AB245" s="299"/>
      <c r="AC245" s="299"/>
      <c r="AD245" s="299"/>
      <c r="AE245" s="299"/>
      <c r="AF245" s="299"/>
      <c r="AG245" s="299"/>
      <c r="AH245" s="299"/>
      <c r="AI245" s="299"/>
      <c r="AJ245" s="299"/>
      <c r="AK245" s="299"/>
      <c r="AL245" s="299"/>
      <c r="AM245" s="299"/>
      <c r="AN245" s="299"/>
      <c r="AO245" s="299"/>
      <c r="AP245" s="299"/>
      <c r="AQ245" s="299"/>
      <c r="AR245" s="299"/>
      <c r="AS245" s="299"/>
      <c r="AT245" s="299"/>
      <c r="AU245" s="299"/>
      <c r="AV245" s="299"/>
      <c r="AW245" s="299"/>
      <c r="AX245" s="299"/>
      <c r="AY245" s="299"/>
      <c r="AZ245" s="299"/>
      <c r="BA245" s="299"/>
      <c r="BB245" s="299"/>
      <c r="BC245" s="299"/>
      <c r="BD245" s="299"/>
      <c r="BE245" s="299"/>
      <c r="BF245" s="299"/>
      <c r="BG245" s="299"/>
      <c r="BH245" s="299"/>
      <c r="BI245" s="299"/>
      <c r="BJ245" s="299"/>
      <c r="BK245" s="299"/>
      <c r="BL245" s="299"/>
      <c r="BM245" s="299"/>
      <c r="BN245" s="299"/>
      <c r="BO245" s="299"/>
      <c r="BP245" s="299"/>
      <c r="BQ245" s="299"/>
      <c r="BR245" s="299"/>
      <c r="BS245" s="299"/>
      <c r="BT245" s="299"/>
      <c r="BU245" s="299"/>
    </row>
    <row r="246" spans="1:73" x14ac:dyDescent="0.2">
      <c r="A246" s="299"/>
      <c r="B246" s="439"/>
      <c r="C246" s="299"/>
      <c r="D246" s="299"/>
      <c r="E246" s="299"/>
      <c r="F246" s="299"/>
      <c r="G246" s="299"/>
      <c r="H246" s="299"/>
      <c r="I246" s="299"/>
      <c r="J246" s="299"/>
      <c r="K246" s="410"/>
      <c r="L246" s="299"/>
      <c r="M246" s="299"/>
      <c r="N246" s="417"/>
      <c r="O246" s="299"/>
      <c r="P246" s="299"/>
      <c r="Q246" s="417"/>
      <c r="R246" s="417"/>
      <c r="S246" s="417"/>
      <c r="T246" s="417"/>
      <c r="U246" s="417"/>
      <c r="V246" s="417"/>
      <c r="W246" s="417"/>
      <c r="X246" s="417"/>
      <c r="Y246" s="417"/>
      <c r="Z246" s="417"/>
      <c r="AA246" s="417"/>
      <c r="AB246" s="417"/>
      <c r="AC246" s="417"/>
      <c r="AD246" s="417"/>
      <c r="AE246" s="417"/>
      <c r="AF246" s="417"/>
      <c r="AG246" s="417"/>
      <c r="AH246" s="417"/>
      <c r="AI246" s="417"/>
      <c r="AJ246" s="417"/>
      <c r="AK246" s="417"/>
      <c r="AL246" s="417"/>
      <c r="AM246" s="417"/>
      <c r="AN246" s="417"/>
      <c r="AO246" s="417"/>
      <c r="AP246" s="417"/>
      <c r="AQ246" s="417"/>
      <c r="AR246" s="417"/>
      <c r="AS246" s="417"/>
      <c r="AT246" s="417"/>
      <c r="AU246" s="417"/>
      <c r="AV246" s="417"/>
      <c r="AW246" s="417"/>
      <c r="AX246" s="417"/>
      <c r="AY246" s="417"/>
      <c r="AZ246" s="417"/>
      <c r="BA246" s="417"/>
      <c r="BB246" s="417"/>
      <c r="BC246" s="417"/>
      <c r="BD246" s="417"/>
      <c r="BE246" s="417"/>
      <c r="BF246" s="417"/>
      <c r="BG246" s="417"/>
      <c r="BH246" s="417"/>
      <c r="BI246" s="417"/>
      <c r="BJ246" s="417"/>
      <c r="BK246" s="417"/>
      <c r="BL246" s="417"/>
      <c r="BM246" s="417"/>
      <c r="BN246" s="417"/>
      <c r="BO246" s="417"/>
      <c r="BP246" s="417"/>
      <c r="BQ246" s="417"/>
      <c r="BR246" s="417"/>
      <c r="BS246" s="417"/>
      <c r="BT246" s="417"/>
      <c r="BU246" s="417"/>
    </row>
    <row r="247" spans="1:73" x14ac:dyDescent="0.2">
      <c r="A247" s="299"/>
      <c r="B247" s="301"/>
      <c r="C247" s="301"/>
      <c r="D247" s="301"/>
      <c r="E247" s="301"/>
      <c r="F247" s="301"/>
      <c r="G247" s="301"/>
      <c r="H247" s="301"/>
      <c r="I247" s="301"/>
      <c r="J247" s="301"/>
      <c r="K247" s="309"/>
      <c r="L247" s="301"/>
      <c r="M247" s="301"/>
      <c r="N247" s="502"/>
      <c r="O247" s="299"/>
      <c r="P247" s="299"/>
      <c r="Q247" s="299"/>
      <c r="R247" s="299"/>
      <c r="S247" s="299"/>
      <c r="T247" s="299"/>
      <c r="U247" s="299"/>
      <c r="V247" s="299"/>
      <c r="W247" s="299"/>
      <c r="X247" s="299"/>
      <c r="Y247" s="299"/>
      <c r="Z247" s="299"/>
      <c r="AA247" s="299"/>
      <c r="AB247" s="299"/>
      <c r="AC247" s="299"/>
      <c r="AD247" s="299"/>
      <c r="AE247" s="299"/>
      <c r="AF247" s="299"/>
      <c r="AG247" s="299"/>
      <c r="AH247" s="299"/>
      <c r="AI247" s="299"/>
      <c r="AJ247" s="299"/>
      <c r="AK247" s="299"/>
      <c r="AL247" s="299"/>
      <c r="AM247" s="299"/>
      <c r="AN247" s="299"/>
      <c r="AO247" s="299"/>
      <c r="AP247" s="299"/>
      <c r="AQ247" s="299"/>
      <c r="AR247" s="299"/>
      <c r="AS247" s="299"/>
      <c r="AT247" s="299"/>
      <c r="AU247" s="299"/>
      <c r="AV247" s="299"/>
      <c r="AW247" s="299"/>
      <c r="AX247" s="299"/>
      <c r="AY247" s="299"/>
      <c r="AZ247" s="299"/>
      <c r="BA247" s="299"/>
      <c r="BB247" s="299"/>
      <c r="BC247" s="299"/>
      <c r="BD247" s="299"/>
      <c r="BE247" s="299"/>
      <c r="BF247" s="299"/>
      <c r="BG247" s="299"/>
      <c r="BH247" s="299"/>
      <c r="BI247" s="299"/>
      <c r="BJ247" s="299"/>
      <c r="BK247" s="299"/>
      <c r="BL247" s="299"/>
      <c r="BM247" s="299"/>
      <c r="BN247" s="299"/>
      <c r="BO247" s="299"/>
      <c r="BP247" s="299"/>
      <c r="BQ247" s="299"/>
      <c r="BR247" s="299"/>
      <c r="BS247" s="299"/>
      <c r="BT247" s="299"/>
      <c r="BU247" s="299"/>
    </row>
    <row r="248" spans="1:73" x14ac:dyDescent="0.2">
      <c r="A248" s="299"/>
      <c r="B248" s="439" t="s">
        <v>229</v>
      </c>
      <c r="C248" s="299"/>
      <c r="D248" s="299"/>
      <c r="E248" s="299"/>
      <c r="F248" s="299"/>
      <c r="G248" s="299"/>
      <c r="H248" s="299"/>
      <c r="I248" s="299"/>
      <c r="J248" s="299"/>
      <c r="K248" s="410"/>
      <c r="L248" s="299"/>
      <c r="M248" s="299"/>
      <c r="N248" s="299"/>
      <c r="O248" s="299"/>
      <c r="P248" s="299"/>
      <c r="Q248" s="299"/>
      <c r="R248" s="299"/>
      <c r="S248" s="299"/>
      <c r="T248" s="299"/>
      <c r="U248" s="299"/>
      <c r="V248" s="299"/>
      <c r="W248" s="299"/>
      <c r="X248" s="299"/>
      <c r="Y248" s="299"/>
      <c r="Z248" s="299"/>
      <c r="AA248" s="299"/>
      <c r="AB248" s="299"/>
      <c r="AC248" s="299"/>
      <c r="AD248" s="299"/>
      <c r="AE248" s="299"/>
      <c r="AF248" s="299"/>
      <c r="AG248" s="299"/>
      <c r="AH248" s="299"/>
      <c r="AI248" s="299"/>
      <c r="AJ248" s="299"/>
      <c r="AK248" s="299"/>
      <c r="AL248" s="299"/>
      <c r="AM248" s="299"/>
      <c r="AN248" s="299"/>
      <c r="AO248" s="299"/>
      <c r="AP248" s="299"/>
      <c r="AQ248" s="299"/>
      <c r="AR248" s="299"/>
      <c r="AS248" s="299"/>
      <c r="AT248" s="299"/>
      <c r="AU248" s="299"/>
      <c r="AV248" s="299"/>
      <c r="AW248" s="299"/>
      <c r="AX248" s="299"/>
      <c r="AY248" s="299"/>
      <c r="AZ248" s="299"/>
      <c r="BA248" s="299"/>
      <c r="BB248" s="299"/>
      <c r="BC248" s="299"/>
      <c r="BD248" s="299"/>
      <c r="BE248" s="299"/>
      <c r="BF248" s="299"/>
      <c r="BG248" s="299"/>
      <c r="BH248" s="299"/>
      <c r="BI248" s="299"/>
      <c r="BJ248" s="299"/>
      <c r="BK248" s="299"/>
      <c r="BL248" s="299"/>
      <c r="BM248" s="299"/>
      <c r="BN248" s="299"/>
      <c r="BO248" s="299"/>
      <c r="BP248" s="299"/>
      <c r="BQ248" s="299"/>
      <c r="BR248" s="299"/>
      <c r="BS248" s="299"/>
      <c r="BT248" s="299"/>
      <c r="BU248" s="299"/>
    </row>
    <row r="249" spans="1:73" x14ac:dyDescent="0.2">
      <c r="A249" s="299"/>
      <c r="B249" s="299"/>
      <c r="C249" s="299" t="s">
        <v>135</v>
      </c>
      <c r="D249" s="299"/>
      <c r="E249" s="299"/>
      <c r="F249" s="299"/>
      <c r="G249" s="299"/>
      <c r="H249" s="299"/>
      <c r="I249" s="299"/>
      <c r="J249" s="299"/>
      <c r="K249" s="410"/>
      <c r="L249" s="299"/>
      <c r="M249" s="299"/>
      <c r="N249" s="299"/>
      <c r="O249" s="299"/>
      <c r="P249" s="299"/>
      <c r="Q249" s="417"/>
      <c r="R249" s="417">
        <f t="shared" ref="R249:AO249" si="296">+Q253</f>
        <v>0</v>
      </c>
      <c r="S249" s="417">
        <f t="shared" si="296"/>
        <v>20000</v>
      </c>
      <c r="T249" s="417">
        <f t="shared" si="296"/>
        <v>20000</v>
      </c>
      <c r="U249" s="417">
        <f t="shared" si="296"/>
        <v>12563.890311304778</v>
      </c>
      <c r="V249" s="417">
        <f t="shared" si="296"/>
        <v>14756.141199515881</v>
      </c>
      <c r="W249" s="417">
        <f t="shared" si="296"/>
        <v>15908.524110196922</v>
      </c>
      <c r="X249" s="417">
        <f t="shared" si="296"/>
        <v>17074.213720211905</v>
      </c>
      <c r="Y249" s="417">
        <f t="shared" si="296"/>
        <v>18151.552804278828</v>
      </c>
      <c r="Z249" s="417">
        <f t="shared" si="296"/>
        <v>19030.349725480504</v>
      </c>
      <c r="AA249" s="417">
        <f t="shared" si="296"/>
        <v>19591.208486375075</v>
      </c>
      <c r="AB249" s="417">
        <f t="shared" si="296"/>
        <v>19704.80644033349</v>
      </c>
      <c r="AC249" s="417">
        <f t="shared" si="296"/>
        <v>19894.631789310341</v>
      </c>
      <c r="AD249" s="417">
        <f t="shared" si="296"/>
        <v>20267.553157169252</v>
      </c>
      <c r="AE249" s="417">
        <f t="shared" si="296"/>
        <v>20939.041814714692</v>
      </c>
      <c r="AF249" s="417">
        <f t="shared" si="296"/>
        <v>22033.820358395467</v>
      </c>
      <c r="AG249" s="417">
        <f t="shared" si="296"/>
        <v>23686.56006561231</v>
      </c>
      <c r="AH249" s="417">
        <f t="shared" si="296"/>
        <v>25488.550728063128</v>
      </c>
      <c r="AI249" s="417">
        <f t="shared" si="296"/>
        <v>27486.998469936781</v>
      </c>
      <c r="AJ249" s="417">
        <f t="shared" si="296"/>
        <v>29735.932207806396</v>
      </c>
      <c r="AK249" s="417">
        <f t="shared" si="296"/>
        <v>32297.014522554295</v>
      </c>
      <c r="AL249" s="417">
        <f t="shared" si="296"/>
        <v>35240.440612957937</v>
      </c>
      <c r="AM249" s="417">
        <f t="shared" si="296"/>
        <v>38021.254210962274</v>
      </c>
      <c r="AN249" s="417">
        <f t="shared" si="296"/>
        <v>40087.451320097607</v>
      </c>
      <c r="AO249" s="417">
        <f t="shared" si="296"/>
        <v>40883.227741441588</v>
      </c>
      <c r="AP249" s="417">
        <f t="shared" ref="AP249:BJ249" si="297">+AO253</f>
        <v>39844.606313149081</v>
      </c>
      <c r="AQ249" s="417">
        <f t="shared" si="297"/>
        <v>36395.014225641971</v>
      </c>
      <c r="AR249" s="417">
        <f t="shared" si="297"/>
        <v>33592.811347877549</v>
      </c>
      <c r="AS249" s="417">
        <f t="shared" si="297"/>
        <v>31895.627257733944</v>
      </c>
      <c r="AT249" s="417">
        <f t="shared" si="297"/>
        <v>31793.198712632835</v>
      </c>
      <c r="AU249" s="417">
        <f t="shared" si="297"/>
        <v>33814.605467792782</v>
      </c>
      <c r="AV249" s="417">
        <f t="shared" si="297"/>
        <v>38536.27815554609</v>
      </c>
      <c r="AW249" s="417">
        <f t="shared" si="297"/>
        <v>43294.036563673508</v>
      </c>
      <c r="AX249" s="417">
        <f t="shared" si="297"/>
        <v>47305.995724505468</v>
      </c>
      <c r="AY249" s="417">
        <f t="shared" si="297"/>
        <v>49736.697686133921</v>
      </c>
      <c r="AZ249" s="417">
        <f t="shared" si="297"/>
        <v>49685.701801538125</v>
      </c>
      <c r="BA249" s="417">
        <f t="shared" si="297"/>
        <v>46174.85946658122</v>
      </c>
      <c r="BB249" s="417">
        <f t="shared" si="297"/>
        <v>43585.441150537576</v>
      </c>
      <c r="BC249" s="417">
        <f t="shared" si="297"/>
        <v>42923.245497392287</v>
      </c>
      <c r="BD249" s="417">
        <f t="shared" si="297"/>
        <v>45398.327747783354</v>
      </c>
      <c r="BE249" s="417">
        <f t="shared" si="297"/>
        <v>0</v>
      </c>
      <c r="BF249" s="417">
        <f t="shared" si="297"/>
        <v>0</v>
      </c>
      <c r="BG249" s="417">
        <f t="shared" si="297"/>
        <v>0</v>
      </c>
      <c r="BH249" s="417">
        <f t="shared" si="297"/>
        <v>0</v>
      </c>
      <c r="BI249" s="417">
        <f t="shared" si="297"/>
        <v>0</v>
      </c>
      <c r="BJ249" s="417">
        <f t="shared" si="297"/>
        <v>0</v>
      </c>
      <c r="BK249" s="417"/>
      <c r="BL249" s="417"/>
      <c r="BM249" s="417"/>
      <c r="BN249" s="417"/>
      <c r="BO249" s="417"/>
      <c r="BP249" s="417"/>
      <c r="BQ249" s="417"/>
      <c r="BR249" s="417"/>
      <c r="BS249" s="417"/>
      <c r="BT249" s="417"/>
      <c r="BU249" s="417"/>
    </row>
    <row r="250" spans="1:73" x14ac:dyDescent="0.2">
      <c r="A250" s="299"/>
      <c r="B250" s="299"/>
      <c r="C250" s="299" t="s">
        <v>230</v>
      </c>
      <c r="D250" s="299"/>
      <c r="E250" s="299"/>
      <c r="F250" s="299"/>
      <c r="G250" s="299"/>
      <c r="H250" s="299"/>
      <c r="I250" s="299"/>
      <c r="J250" s="299"/>
      <c r="K250" s="410" t="s">
        <v>62</v>
      </c>
      <c r="L250" s="299"/>
      <c r="M250" s="299"/>
      <c r="N250" s="416">
        <f>+R253</f>
        <v>20000</v>
      </c>
      <c r="O250" s="299"/>
      <c r="P250" s="299"/>
      <c r="Q250" s="417"/>
      <c r="R250" s="417"/>
      <c r="S250" s="417"/>
      <c r="T250" s="417"/>
      <c r="U250" s="417"/>
      <c r="V250" s="417"/>
      <c r="W250" s="417"/>
      <c r="X250" s="417"/>
      <c r="Y250" s="417"/>
      <c r="Z250" s="417"/>
      <c r="AA250" s="417"/>
      <c r="AB250" s="417"/>
      <c r="AC250" s="417"/>
      <c r="AD250" s="417"/>
      <c r="AE250" s="417"/>
      <c r="AF250" s="417"/>
      <c r="AG250" s="417"/>
      <c r="AH250" s="417"/>
      <c r="AI250" s="417"/>
      <c r="AJ250" s="417"/>
      <c r="AK250" s="417"/>
      <c r="AL250" s="417"/>
      <c r="AM250" s="417"/>
      <c r="AN250" s="417"/>
      <c r="AO250" s="417"/>
      <c r="AP250" s="417"/>
      <c r="AQ250" s="417"/>
      <c r="AR250" s="417"/>
      <c r="AS250" s="417"/>
      <c r="AT250" s="417"/>
      <c r="AU250" s="417"/>
      <c r="AV250" s="417"/>
      <c r="AW250" s="417"/>
      <c r="AX250" s="417"/>
      <c r="AY250" s="417"/>
      <c r="AZ250" s="417"/>
      <c r="BA250" s="417"/>
      <c r="BB250" s="417"/>
      <c r="BC250" s="417"/>
      <c r="BD250" s="417"/>
      <c r="BE250" s="417"/>
      <c r="BF250" s="417"/>
      <c r="BG250" s="417"/>
      <c r="BH250" s="417"/>
      <c r="BI250" s="417"/>
      <c r="BJ250" s="417"/>
      <c r="BK250" s="417"/>
      <c r="BL250" s="417"/>
      <c r="BM250" s="417"/>
      <c r="BN250" s="417"/>
      <c r="BO250" s="417"/>
      <c r="BP250" s="417"/>
      <c r="BQ250" s="417"/>
      <c r="BR250" s="417"/>
      <c r="BS250" s="417"/>
      <c r="BT250" s="417"/>
      <c r="BU250" s="417"/>
    </row>
    <row r="251" spans="1:73" x14ac:dyDescent="0.2">
      <c r="A251" s="299"/>
      <c r="B251" s="299"/>
      <c r="C251" s="299" t="s">
        <v>231</v>
      </c>
      <c r="D251" s="299"/>
      <c r="E251" s="299"/>
      <c r="F251" s="299"/>
      <c r="G251" s="299"/>
      <c r="H251" s="299"/>
      <c r="I251" s="299"/>
      <c r="J251" s="299"/>
      <c r="K251" s="410" t="s">
        <v>62</v>
      </c>
      <c r="L251" s="299"/>
      <c r="M251" s="299"/>
      <c r="N251" s="417">
        <f>SUM(Q251:BJ251)</f>
        <v>48737.918654028967</v>
      </c>
      <c r="O251" s="299"/>
      <c r="P251" s="299"/>
      <c r="Q251" s="417"/>
      <c r="R251" s="417">
        <f t="shared" ref="R251:AV251" si="298">IF(R236=1,0,MAX(0,MIN(R242,R243-R249))*R233*(1-R234))</f>
        <v>0</v>
      </c>
      <c r="S251" s="417">
        <f t="shared" si="298"/>
        <v>0</v>
      </c>
      <c r="T251" s="417">
        <f t="shared" si="298"/>
        <v>0</v>
      </c>
      <c r="U251" s="417">
        <f t="shared" si="298"/>
        <v>2192.2508882111033</v>
      </c>
      <c r="V251" s="417">
        <f t="shared" si="298"/>
        <v>1152.3829106810408</v>
      </c>
      <c r="W251" s="417">
        <f t="shared" si="298"/>
        <v>1165.6896100149825</v>
      </c>
      <c r="X251" s="417">
        <f t="shared" si="298"/>
        <v>1077.3390840669235</v>
      </c>
      <c r="Y251" s="417">
        <f t="shared" si="298"/>
        <v>878.79692120167601</v>
      </c>
      <c r="Z251" s="417">
        <f t="shared" si="298"/>
        <v>560.85876089457088</v>
      </c>
      <c r="AA251" s="417">
        <f t="shared" si="298"/>
        <v>113.59795395841502</v>
      </c>
      <c r="AB251" s="417">
        <f t="shared" si="298"/>
        <v>189.82534897685036</v>
      </c>
      <c r="AC251" s="417">
        <f t="shared" si="298"/>
        <v>372.92136785891125</v>
      </c>
      <c r="AD251" s="417">
        <f t="shared" si="298"/>
        <v>671.48865754544022</v>
      </c>
      <c r="AE251" s="417">
        <f t="shared" si="298"/>
        <v>1094.7785436807753</v>
      </c>
      <c r="AF251" s="417">
        <f t="shared" si="298"/>
        <v>1652.7397072168424</v>
      </c>
      <c r="AG251" s="417">
        <f t="shared" si="298"/>
        <v>1801.9906624508185</v>
      </c>
      <c r="AH251" s="417">
        <f t="shared" si="298"/>
        <v>1998.4477418736533</v>
      </c>
      <c r="AI251" s="417">
        <f t="shared" si="298"/>
        <v>2248.9337378696146</v>
      </c>
      <c r="AJ251" s="417">
        <f t="shared" si="298"/>
        <v>2561.0823147478986</v>
      </c>
      <c r="AK251" s="417">
        <f t="shared" si="298"/>
        <v>2943.4260904036419</v>
      </c>
      <c r="AL251" s="417">
        <f t="shared" si="298"/>
        <v>2780.8135980043371</v>
      </c>
      <c r="AM251" s="417">
        <f t="shared" si="298"/>
        <v>2066.1971091353334</v>
      </c>
      <c r="AN251" s="417">
        <f t="shared" si="298"/>
        <v>795.77642134398047</v>
      </c>
      <c r="AO251" s="417">
        <f t="shared" si="298"/>
        <v>0</v>
      </c>
      <c r="AP251" s="417">
        <f t="shared" si="298"/>
        <v>0</v>
      </c>
      <c r="AQ251" s="417">
        <f t="shared" si="298"/>
        <v>0</v>
      </c>
      <c r="AR251" s="417">
        <f t="shared" si="298"/>
        <v>0</v>
      </c>
      <c r="AS251" s="417">
        <f t="shared" si="298"/>
        <v>0</v>
      </c>
      <c r="AT251" s="417">
        <f t="shared" si="298"/>
        <v>2021.4067551599474</v>
      </c>
      <c r="AU251" s="417">
        <f t="shared" si="298"/>
        <v>4721.6726877533074</v>
      </c>
      <c r="AV251" s="417">
        <f t="shared" si="298"/>
        <v>4757.7584081274181</v>
      </c>
      <c r="AW251" s="417">
        <f t="shared" ref="AW251:BJ251" si="299">IF(AW236=1,0,MAX(0,MIN(AW242,AW243-AW249))*AW233*(1-AW234))</f>
        <v>4011.9591608319606</v>
      </c>
      <c r="AX251" s="417">
        <f t="shared" si="299"/>
        <v>2430.7019616284524</v>
      </c>
      <c r="AY251" s="417">
        <f t="shared" si="299"/>
        <v>0</v>
      </c>
      <c r="AZ251" s="417">
        <f t="shared" si="299"/>
        <v>0</v>
      </c>
      <c r="BA251" s="417">
        <f t="shared" si="299"/>
        <v>0</v>
      </c>
      <c r="BB251" s="417">
        <f t="shared" si="299"/>
        <v>0</v>
      </c>
      <c r="BC251" s="417">
        <f t="shared" si="299"/>
        <v>2475.0822503910676</v>
      </c>
      <c r="BD251" s="417">
        <f t="shared" si="299"/>
        <v>0</v>
      </c>
      <c r="BE251" s="417">
        <f t="shared" si="299"/>
        <v>0</v>
      </c>
      <c r="BF251" s="417">
        <f t="shared" si="299"/>
        <v>0</v>
      </c>
      <c r="BG251" s="417">
        <f t="shared" si="299"/>
        <v>0</v>
      </c>
      <c r="BH251" s="417">
        <f t="shared" si="299"/>
        <v>0</v>
      </c>
      <c r="BI251" s="417">
        <f t="shared" si="299"/>
        <v>0</v>
      </c>
      <c r="BJ251" s="417">
        <f t="shared" si="299"/>
        <v>0</v>
      </c>
      <c r="BK251" s="417"/>
      <c r="BL251" s="417"/>
      <c r="BM251" s="417"/>
      <c r="BN251" s="417"/>
      <c r="BO251" s="417"/>
      <c r="BP251" s="417"/>
      <c r="BQ251" s="417"/>
      <c r="BR251" s="417"/>
      <c r="BS251" s="417"/>
      <c r="BT251" s="417"/>
      <c r="BU251" s="417"/>
    </row>
    <row r="252" spans="1:73" ht="13.5" thickBot="1" x14ac:dyDescent="0.25">
      <c r="A252" s="299"/>
      <c r="B252" s="299"/>
      <c r="C252" s="426" t="s">
        <v>232</v>
      </c>
      <c r="D252" s="426"/>
      <c r="E252" s="426"/>
      <c r="F252" s="426"/>
      <c r="G252" s="426"/>
      <c r="H252" s="426"/>
      <c r="I252" s="426"/>
      <c r="J252" s="426"/>
      <c r="K252" s="630" t="s">
        <v>62</v>
      </c>
      <c r="L252" s="426"/>
      <c r="M252" s="426"/>
      <c r="N252" s="427">
        <f>SUM(Q252:BJ252)</f>
        <v>-68737.918654028967</v>
      </c>
      <c r="O252" s="426"/>
      <c r="P252" s="426"/>
      <c r="Q252" s="503"/>
      <c r="R252" s="503">
        <f t="shared" ref="R252:AV252" si="300">-((SUM(R249:R251) - R243) * (1-R236))</f>
        <v>0</v>
      </c>
      <c r="S252" s="503">
        <f t="shared" si="300"/>
        <v>0</v>
      </c>
      <c r="T252" s="503">
        <f t="shared" si="300"/>
        <v>-7436.1096886952218</v>
      </c>
      <c r="U252" s="503">
        <f t="shared" si="300"/>
        <v>0</v>
      </c>
      <c r="V252" s="503">
        <f t="shared" si="300"/>
        <v>0</v>
      </c>
      <c r="W252" s="503">
        <f t="shared" si="300"/>
        <v>0</v>
      </c>
      <c r="X252" s="503">
        <f t="shared" si="300"/>
        <v>0</v>
      </c>
      <c r="Y252" s="503">
        <f t="shared" si="300"/>
        <v>0</v>
      </c>
      <c r="Z252" s="503">
        <f t="shared" si="300"/>
        <v>0</v>
      </c>
      <c r="AA252" s="503">
        <f t="shared" si="300"/>
        <v>0</v>
      </c>
      <c r="AB252" s="503">
        <f t="shared" si="300"/>
        <v>0</v>
      </c>
      <c r="AC252" s="503">
        <f t="shared" si="300"/>
        <v>0</v>
      </c>
      <c r="AD252" s="503">
        <f t="shared" si="300"/>
        <v>0</v>
      </c>
      <c r="AE252" s="503">
        <f t="shared" si="300"/>
        <v>0</v>
      </c>
      <c r="AF252" s="503">
        <f t="shared" si="300"/>
        <v>0</v>
      </c>
      <c r="AG252" s="503">
        <f t="shared" si="300"/>
        <v>0</v>
      </c>
      <c r="AH252" s="503">
        <f t="shared" si="300"/>
        <v>0</v>
      </c>
      <c r="AI252" s="503">
        <f t="shared" si="300"/>
        <v>0</v>
      </c>
      <c r="AJ252" s="503">
        <f t="shared" si="300"/>
        <v>0</v>
      </c>
      <c r="AK252" s="503">
        <f t="shared" si="300"/>
        <v>0</v>
      </c>
      <c r="AL252" s="503">
        <f t="shared" si="300"/>
        <v>0</v>
      </c>
      <c r="AM252" s="503">
        <f t="shared" si="300"/>
        <v>0</v>
      </c>
      <c r="AN252" s="503">
        <f t="shared" si="300"/>
        <v>0</v>
      </c>
      <c r="AO252" s="503">
        <f t="shared" si="300"/>
        <v>-1038.6214282925066</v>
      </c>
      <c r="AP252" s="503">
        <f t="shared" si="300"/>
        <v>-3449.5920875071097</v>
      </c>
      <c r="AQ252" s="503">
        <f t="shared" si="300"/>
        <v>-2802.2028777644227</v>
      </c>
      <c r="AR252" s="503">
        <f t="shared" si="300"/>
        <v>-1697.1840901436044</v>
      </c>
      <c r="AS252" s="503">
        <f t="shared" si="300"/>
        <v>-102.42854510110919</v>
      </c>
      <c r="AT252" s="503">
        <f t="shared" si="300"/>
        <v>0</v>
      </c>
      <c r="AU252" s="503">
        <f t="shared" si="300"/>
        <v>0</v>
      </c>
      <c r="AV252" s="503">
        <f t="shared" si="300"/>
        <v>0</v>
      </c>
      <c r="AW252" s="503">
        <f t="shared" ref="AW252:BJ252" si="301">-((SUM(AW249:AW251) - AW243) * (1-AW236))</f>
        <v>0</v>
      </c>
      <c r="AX252" s="503">
        <f t="shared" si="301"/>
        <v>0</v>
      </c>
      <c r="AY252" s="503">
        <f t="shared" si="301"/>
        <v>-50.99588459579536</v>
      </c>
      <c r="AZ252" s="503">
        <f t="shared" si="301"/>
        <v>-3510.8423349569057</v>
      </c>
      <c r="BA252" s="503">
        <f t="shared" si="301"/>
        <v>-2589.4183160436442</v>
      </c>
      <c r="BB252" s="503">
        <f t="shared" si="301"/>
        <v>-662.19565314528882</v>
      </c>
      <c r="BC252" s="503">
        <f t="shared" si="301"/>
        <v>0</v>
      </c>
      <c r="BD252" s="503">
        <f t="shared" si="301"/>
        <v>-45398.327747783354</v>
      </c>
      <c r="BE252" s="503">
        <f t="shared" si="301"/>
        <v>0</v>
      </c>
      <c r="BF252" s="503">
        <f t="shared" si="301"/>
        <v>0</v>
      </c>
      <c r="BG252" s="503">
        <f t="shared" si="301"/>
        <v>0</v>
      </c>
      <c r="BH252" s="503">
        <f t="shared" si="301"/>
        <v>0</v>
      </c>
      <c r="BI252" s="503">
        <f t="shared" si="301"/>
        <v>0</v>
      </c>
      <c r="BJ252" s="503">
        <f t="shared" si="301"/>
        <v>0</v>
      </c>
      <c r="BK252" s="503"/>
      <c r="BL252" s="503"/>
      <c r="BM252" s="503"/>
      <c r="BN252" s="503"/>
      <c r="BO252" s="503"/>
      <c r="BP252" s="503"/>
      <c r="BQ252" s="503"/>
      <c r="BR252" s="503"/>
      <c r="BS252" s="503"/>
      <c r="BT252" s="503"/>
      <c r="BU252" s="503"/>
    </row>
    <row r="253" spans="1:73" ht="13.5" thickBot="1" x14ac:dyDescent="0.25">
      <c r="A253" s="299"/>
      <c r="B253" s="299"/>
      <c r="C253" s="299" t="s">
        <v>139</v>
      </c>
      <c r="D253" s="299"/>
      <c r="E253" s="299"/>
      <c r="F253" s="299"/>
      <c r="G253" s="299"/>
      <c r="H253" s="299"/>
      <c r="I253" s="299"/>
      <c r="J253" s="299"/>
      <c r="K253" s="410"/>
      <c r="L253" s="299"/>
      <c r="M253" s="299"/>
      <c r="N253" s="428">
        <f>IF(ROUND(SUM(N250:N252),2) = 0,0,1)</f>
        <v>0</v>
      </c>
      <c r="O253" s="299"/>
      <c r="P253" s="299"/>
      <c r="Q253" s="416"/>
      <c r="R253" s="416">
        <f>+Inputs!$L$194</f>
        <v>20000</v>
      </c>
      <c r="S253" s="417">
        <f t="shared" ref="S253:AO253" si="302">SUM(S249:S252)</f>
        <v>20000</v>
      </c>
      <c r="T253" s="417">
        <f t="shared" si="302"/>
        <v>12563.890311304778</v>
      </c>
      <c r="U253" s="417">
        <f t="shared" si="302"/>
        <v>14756.141199515881</v>
      </c>
      <c r="V253" s="417">
        <f t="shared" si="302"/>
        <v>15908.524110196922</v>
      </c>
      <c r="W253" s="417">
        <f t="shared" si="302"/>
        <v>17074.213720211905</v>
      </c>
      <c r="X253" s="417">
        <f t="shared" si="302"/>
        <v>18151.552804278828</v>
      </c>
      <c r="Y253" s="417">
        <f t="shared" si="302"/>
        <v>19030.349725480504</v>
      </c>
      <c r="Z253" s="417">
        <f t="shared" si="302"/>
        <v>19591.208486375075</v>
      </c>
      <c r="AA253" s="417">
        <f t="shared" si="302"/>
        <v>19704.80644033349</v>
      </c>
      <c r="AB253" s="417">
        <f t="shared" si="302"/>
        <v>19894.631789310341</v>
      </c>
      <c r="AC253" s="417">
        <f t="shared" si="302"/>
        <v>20267.553157169252</v>
      </c>
      <c r="AD253" s="417">
        <f t="shared" si="302"/>
        <v>20939.041814714692</v>
      </c>
      <c r="AE253" s="417">
        <f t="shared" si="302"/>
        <v>22033.820358395467</v>
      </c>
      <c r="AF253" s="417">
        <f t="shared" si="302"/>
        <v>23686.56006561231</v>
      </c>
      <c r="AG253" s="417">
        <f t="shared" si="302"/>
        <v>25488.550728063128</v>
      </c>
      <c r="AH253" s="417">
        <f t="shared" si="302"/>
        <v>27486.998469936781</v>
      </c>
      <c r="AI253" s="417">
        <f t="shared" si="302"/>
        <v>29735.932207806396</v>
      </c>
      <c r="AJ253" s="417">
        <f t="shared" si="302"/>
        <v>32297.014522554295</v>
      </c>
      <c r="AK253" s="417">
        <f t="shared" si="302"/>
        <v>35240.440612957937</v>
      </c>
      <c r="AL253" s="417">
        <f t="shared" si="302"/>
        <v>38021.254210962274</v>
      </c>
      <c r="AM253" s="417">
        <f t="shared" si="302"/>
        <v>40087.451320097607</v>
      </c>
      <c r="AN253" s="417">
        <f t="shared" si="302"/>
        <v>40883.227741441588</v>
      </c>
      <c r="AO253" s="417">
        <f t="shared" si="302"/>
        <v>39844.606313149081</v>
      </c>
      <c r="AP253" s="417">
        <f t="shared" ref="AP253:BJ253" si="303">SUM(AP249:AP252)</f>
        <v>36395.014225641971</v>
      </c>
      <c r="AQ253" s="417">
        <f t="shared" si="303"/>
        <v>33592.811347877549</v>
      </c>
      <c r="AR253" s="417">
        <f t="shared" si="303"/>
        <v>31895.627257733944</v>
      </c>
      <c r="AS253" s="417">
        <f t="shared" si="303"/>
        <v>31793.198712632835</v>
      </c>
      <c r="AT253" s="417">
        <f t="shared" si="303"/>
        <v>33814.605467792782</v>
      </c>
      <c r="AU253" s="417">
        <f t="shared" si="303"/>
        <v>38536.27815554609</v>
      </c>
      <c r="AV253" s="417">
        <f t="shared" si="303"/>
        <v>43294.036563673508</v>
      </c>
      <c r="AW253" s="417">
        <f t="shared" si="303"/>
        <v>47305.995724505468</v>
      </c>
      <c r="AX253" s="417">
        <f t="shared" si="303"/>
        <v>49736.697686133921</v>
      </c>
      <c r="AY253" s="417">
        <f t="shared" si="303"/>
        <v>49685.701801538125</v>
      </c>
      <c r="AZ253" s="417">
        <f t="shared" si="303"/>
        <v>46174.85946658122</v>
      </c>
      <c r="BA253" s="417">
        <f t="shared" si="303"/>
        <v>43585.441150537576</v>
      </c>
      <c r="BB253" s="417">
        <f t="shared" si="303"/>
        <v>42923.245497392287</v>
      </c>
      <c r="BC253" s="417">
        <f t="shared" si="303"/>
        <v>45398.327747783354</v>
      </c>
      <c r="BD253" s="417">
        <f t="shared" si="303"/>
        <v>0</v>
      </c>
      <c r="BE253" s="417">
        <f t="shared" si="303"/>
        <v>0</v>
      </c>
      <c r="BF253" s="417">
        <f t="shared" si="303"/>
        <v>0</v>
      </c>
      <c r="BG253" s="417">
        <f t="shared" si="303"/>
        <v>0</v>
      </c>
      <c r="BH253" s="417">
        <f t="shared" si="303"/>
        <v>0</v>
      </c>
      <c r="BI253" s="417">
        <f t="shared" si="303"/>
        <v>0</v>
      </c>
      <c r="BJ253" s="417">
        <f t="shared" si="303"/>
        <v>0</v>
      </c>
      <c r="BK253" s="417"/>
      <c r="BL253" s="417"/>
      <c r="BM253" s="417"/>
      <c r="BN253" s="417"/>
      <c r="BO253" s="417"/>
      <c r="BP253" s="417"/>
      <c r="BQ253" s="417"/>
      <c r="BR253" s="417"/>
      <c r="BS253" s="417"/>
      <c r="BT253" s="417"/>
      <c r="BU253" s="417"/>
    </row>
    <row r="254" spans="1:73" x14ac:dyDescent="0.2">
      <c r="A254" s="299"/>
      <c r="B254" s="299"/>
      <c r="C254" s="299"/>
      <c r="D254" s="299"/>
      <c r="E254" s="299"/>
      <c r="F254" s="299"/>
      <c r="G254" s="299"/>
      <c r="H254" s="299"/>
      <c r="I254" s="299"/>
      <c r="J254" s="299"/>
      <c r="K254" s="410"/>
      <c r="L254" s="299"/>
      <c r="M254" s="299"/>
      <c r="N254" s="299"/>
      <c r="O254" s="299"/>
      <c r="P254" s="299"/>
      <c r="Q254" s="299"/>
      <c r="R254" s="299"/>
      <c r="S254" s="299"/>
      <c r="T254" s="299"/>
      <c r="U254" s="299"/>
      <c r="V254" s="299"/>
      <c r="W254" s="299"/>
      <c r="X254" s="299"/>
      <c r="Y254" s="299"/>
      <c r="Z254" s="299"/>
      <c r="AA254" s="299"/>
      <c r="AB254" s="299"/>
      <c r="AC254" s="299"/>
      <c r="AD254" s="299"/>
      <c r="AE254" s="299"/>
      <c r="AF254" s="299"/>
      <c r="AG254" s="299"/>
      <c r="AH254" s="299"/>
      <c r="AI254" s="299"/>
      <c r="AJ254" s="299"/>
      <c r="AK254" s="299"/>
      <c r="AL254" s="299"/>
      <c r="AM254" s="299"/>
      <c r="AN254" s="299"/>
      <c r="AO254" s="299"/>
      <c r="AP254" s="299"/>
      <c r="AQ254" s="299"/>
      <c r="AR254" s="299"/>
      <c r="AS254" s="299"/>
      <c r="AT254" s="299"/>
      <c r="AU254" s="299"/>
      <c r="AV254" s="299"/>
      <c r="AW254" s="299"/>
      <c r="AX254" s="299"/>
      <c r="AY254" s="299"/>
      <c r="AZ254" s="299"/>
      <c r="BA254" s="299"/>
      <c r="BB254" s="299"/>
      <c r="BC254" s="299"/>
      <c r="BD254" s="299"/>
      <c r="BE254" s="299"/>
      <c r="BF254" s="299"/>
      <c r="BG254" s="299"/>
      <c r="BH254" s="299"/>
      <c r="BI254" s="299"/>
      <c r="BJ254" s="299"/>
      <c r="BK254" s="299"/>
      <c r="BL254" s="299"/>
      <c r="BM254" s="299"/>
      <c r="BN254" s="299"/>
      <c r="BO254" s="299"/>
      <c r="BP254" s="299"/>
      <c r="BQ254" s="299"/>
      <c r="BR254" s="299"/>
      <c r="BS254" s="299"/>
      <c r="BT254" s="299"/>
      <c r="BU254" s="299"/>
    </row>
    <row r="255" spans="1:73" ht="15.75" x14ac:dyDescent="0.25">
      <c r="A255" s="299"/>
      <c r="B255" s="299"/>
      <c r="C255" s="500" t="s">
        <v>233</v>
      </c>
      <c r="D255" s="350"/>
      <c r="E255" s="350"/>
      <c r="F255" s="350"/>
      <c r="G255" s="350"/>
      <c r="H255" s="299"/>
      <c r="I255" s="299"/>
      <c r="J255" s="299"/>
      <c r="K255" s="410"/>
      <c r="L255" s="441"/>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N255" s="299"/>
      <c r="AO255" s="299"/>
      <c r="AP255" s="299"/>
      <c r="AQ255" s="299"/>
      <c r="AR255" s="299"/>
      <c r="AS255" s="299"/>
      <c r="AT255" s="299"/>
      <c r="AU255" s="299"/>
      <c r="AV255" s="299"/>
      <c r="AW255" s="299"/>
      <c r="AX255" s="299"/>
      <c r="AY255" s="299"/>
      <c r="AZ255" s="299"/>
      <c r="BA255" s="299"/>
      <c r="BB255" s="299"/>
      <c r="BC255" s="299"/>
      <c r="BD255" s="299"/>
      <c r="BE255" s="299"/>
      <c r="BF255" s="299"/>
      <c r="BG255" s="299"/>
      <c r="BH255" s="299"/>
      <c r="BI255" s="299"/>
      <c r="BJ255" s="299"/>
      <c r="BK255" s="299"/>
      <c r="BL255" s="299"/>
      <c r="BM255" s="299"/>
      <c r="BN255" s="299"/>
      <c r="BO255" s="299"/>
      <c r="BP255" s="299"/>
      <c r="BQ255" s="299"/>
      <c r="BR255" s="299"/>
      <c r="BS255" s="299"/>
      <c r="BT255" s="299"/>
      <c r="BU255" s="299"/>
    </row>
    <row r="256" spans="1:73" ht="15.75" x14ac:dyDescent="0.25">
      <c r="A256" s="299"/>
      <c r="B256" s="299"/>
      <c r="C256" s="500"/>
      <c r="D256" s="299"/>
      <c r="E256" s="299"/>
      <c r="F256" s="299"/>
      <c r="G256" s="299"/>
      <c r="H256" s="299"/>
      <c r="I256" s="299"/>
      <c r="J256" s="299"/>
      <c r="K256" s="410"/>
      <c r="L256" s="441"/>
      <c r="M256" s="299"/>
      <c r="N256" s="299"/>
      <c r="O256" s="299"/>
      <c r="P256" s="299"/>
      <c r="Q256" s="299"/>
      <c r="R256" s="299"/>
      <c r="S256" s="299"/>
      <c r="T256" s="299"/>
      <c r="U256" s="299"/>
      <c r="V256" s="299"/>
      <c r="W256" s="299"/>
      <c r="X256" s="299"/>
      <c r="Y256" s="299"/>
      <c r="Z256" s="299"/>
      <c r="AA256" s="299"/>
      <c r="AB256" s="299"/>
      <c r="AC256" s="299"/>
      <c r="AD256" s="299"/>
      <c r="AE256" s="299"/>
      <c r="AF256" s="299"/>
      <c r="AG256" s="299"/>
      <c r="AH256" s="299"/>
      <c r="AI256" s="299"/>
      <c r="AJ256" s="299"/>
      <c r="AK256" s="299"/>
      <c r="AL256" s="299"/>
      <c r="AM256" s="299"/>
      <c r="AN256" s="299"/>
      <c r="AO256" s="299"/>
      <c r="AP256" s="299"/>
      <c r="AQ256" s="299"/>
      <c r="AR256" s="299"/>
      <c r="AS256" s="299"/>
      <c r="AT256" s="299"/>
      <c r="AU256" s="299"/>
      <c r="AV256" s="299"/>
      <c r="AW256" s="299"/>
      <c r="AX256" s="299"/>
      <c r="AY256" s="299"/>
      <c r="AZ256" s="299"/>
      <c r="BA256" s="299"/>
      <c r="BB256" s="299"/>
      <c r="BC256" s="299"/>
      <c r="BD256" s="299"/>
      <c r="BE256" s="299"/>
      <c r="BF256" s="299"/>
      <c r="BG256" s="299"/>
      <c r="BH256" s="299"/>
      <c r="BI256" s="299"/>
      <c r="BJ256" s="299"/>
      <c r="BK256" s="299"/>
      <c r="BL256" s="299"/>
      <c r="BM256" s="299"/>
      <c r="BN256" s="299"/>
      <c r="BO256" s="299"/>
      <c r="BP256" s="299"/>
      <c r="BQ256" s="299"/>
      <c r="BR256" s="299"/>
      <c r="BS256" s="299"/>
      <c r="BT256" s="299"/>
      <c r="BU256" s="299"/>
    </row>
    <row r="257" spans="1:73" x14ac:dyDescent="0.2">
      <c r="A257" s="299"/>
      <c r="B257" s="299"/>
      <c r="C257" s="299" t="s">
        <v>234</v>
      </c>
      <c r="D257" s="299"/>
      <c r="E257" s="299"/>
      <c r="F257" s="299"/>
      <c r="G257" s="299"/>
      <c r="H257" s="299"/>
      <c r="I257" s="299"/>
      <c r="J257" s="299"/>
      <c r="K257" s="410" t="s">
        <v>50</v>
      </c>
      <c r="L257" s="413"/>
      <c r="M257" s="413">
        <f>+M233</f>
        <v>56979</v>
      </c>
      <c r="N257" s="299"/>
      <c r="O257" s="299"/>
      <c r="P257" s="299"/>
      <c r="Q257" s="414"/>
      <c r="R257" s="414">
        <f t="shared" ref="R257:BJ257" si="304">IF($M$257&gt;=R9,1,0)</f>
        <v>1</v>
      </c>
      <c r="S257" s="414">
        <f t="shared" si="304"/>
        <v>1</v>
      </c>
      <c r="T257" s="414">
        <f t="shared" si="304"/>
        <v>1</v>
      </c>
      <c r="U257" s="414">
        <f t="shared" si="304"/>
        <v>1</v>
      </c>
      <c r="V257" s="414">
        <f t="shared" si="304"/>
        <v>1</v>
      </c>
      <c r="W257" s="414">
        <f t="shared" si="304"/>
        <v>1</v>
      </c>
      <c r="X257" s="414">
        <f t="shared" si="304"/>
        <v>1</v>
      </c>
      <c r="Y257" s="414">
        <f t="shared" si="304"/>
        <v>1</v>
      </c>
      <c r="Z257" s="414">
        <f t="shared" si="304"/>
        <v>1</v>
      </c>
      <c r="AA257" s="414">
        <f t="shared" si="304"/>
        <v>1</v>
      </c>
      <c r="AB257" s="414">
        <f t="shared" si="304"/>
        <v>1</v>
      </c>
      <c r="AC257" s="414">
        <f t="shared" si="304"/>
        <v>1</v>
      </c>
      <c r="AD257" s="414">
        <f t="shared" si="304"/>
        <v>1</v>
      </c>
      <c r="AE257" s="414">
        <f t="shared" si="304"/>
        <v>1</v>
      </c>
      <c r="AF257" s="414">
        <f t="shared" si="304"/>
        <v>1</v>
      </c>
      <c r="AG257" s="414">
        <f t="shared" si="304"/>
        <v>1</v>
      </c>
      <c r="AH257" s="414">
        <f t="shared" si="304"/>
        <v>1</v>
      </c>
      <c r="AI257" s="414">
        <f t="shared" si="304"/>
        <v>1</v>
      </c>
      <c r="AJ257" s="414">
        <f t="shared" si="304"/>
        <v>1</v>
      </c>
      <c r="AK257" s="414">
        <f t="shared" si="304"/>
        <v>1</v>
      </c>
      <c r="AL257" s="414">
        <f t="shared" si="304"/>
        <v>1</v>
      </c>
      <c r="AM257" s="414">
        <f t="shared" si="304"/>
        <v>1</v>
      </c>
      <c r="AN257" s="414">
        <f t="shared" si="304"/>
        <v>1</v>
      </c>
      <c r="AO257" s="414">
        <f t="shared" si="304"/>
        <v>1</v>
      </c>
      <c r="AP257" s="414">
        <f t="shared" si="304"/>
        <v>1</v>
      </c>
      <c r="AQ257" s="414">
        <f t="shared" si="304"/>
        <v>1</v>
      </c>
      <c r="AR257" s="414">
        <f t="shared" si="304"/>
        <v>1</v>
      </c>
      <c r="AS257" s="414">
        <f t="shared" si="304"/>
        <v>1</v>
      </c>
      <c r="AT257" s="414">
        <f t="shared" si="304"/>
        <v>1</v>
      </c>
      <c r="AU257" s="414">
        <f t="shared" si="304"/>
        <v>1</v>
      </c>
      <c r="AV257" s="414">
        <f t="shared" si="304"/>
        <v>1</v>
      </c>
      <c r="AW257" s="414">
        <f t="shared" si="304"/>
        <v>1</v>
      </c>
      <c r="AX257" s="414">
        <f t="shared" si="304"/>
        <v>1</v>
      </c>
      <c r="AY257" s="414">
        <f t="shared" si="304"/>
        <v>1</v>
      </c>
      <c r="AZ257" s="414">
        <f t="shared" si="304"/>
        <v>1</v>
      </c>
      <c r="BA257" s="414">
        <f t="shared" si="304"/>
        <v>1</v>
      </c>
      <c r="BB257" s="414">
        <f t="shared" si="304"/>
        <v>1</v>
      </c>
      <c r="BC257" s="414">
        <f t="shared" si="304"/>
        <v>1</v>
      </c>
      <c r="BD257" s="414">
        <f t="shared" si="304"/>
        <v>1</v>
      </c>
      <c r="BE257" s="414">
        <f t="shared" si="304"/>
        <v>0</v>
      </c>
      <c r="BF257" s="414">
        <f t="shared" si="304"/>
        <v>0</v>
      </c>
      <c r="BG257" s="414">
        <f t="shared" si="304"/>
        <v>0</v>
      </c>
      <c r="BH257" s="414">
        <f t="shared" si="304"/>
        <v>0</v>
      </c>
      <c r="BI257" s="414">
        <f t="shared" si="304"/>
        <v>0</v>
      </c>
      <c r="BJ257" s="414">
        <f t="shared" si="304"/>
        <v>0</v>
      </c>
      <c r="BK257" s="414"/>
      <c r="BL257" s="414"/>
      <c r="BM257" s="414"/>
      <c r="BN257" s="414"/>
      <c r="BO257" s="414"/>
      <c r="BP257" s="414"/>
      <c r="BQ257" s="414"/>
      <c r="BR257" s="414"/>
      <c r="BS257" s="414"/>
      <c r="BT257" s="414"/>
      <c r="BU257" s="414"/>
    </row>
    <row r="258" spans="1:73" x14ac:dyDescent="0.2">
      <c r="A258" s="299"/>
      <c r="B258" s="299"/>
      <c r="C258" s="299" t="s">
        <v>235</v>
      </c>
      <c r="D258" s="299"/>
      <c r="E258" s="299"/>
      <c r="F258" s="299"/>
      <c r="G258" s="299"/>
      <c r="H258" s="299"/>
      <c r="I258" s="299"/>
      <c r="J258" s="299"/>
      <c r="K258" s="410" t="s">
        <v>50</v>
      </c>
      <c r="L258" s="413"/>
      <c r="M258" s="413">
        <f>+M234</f>
        <v>56979</v>
      </c>
      <c r="N258" s="299"/>
      <c r="O258" s="299"/>
      <c r="P258" s="299"/>
      <c r="Q258" s="414"/>
      <c r="R258" s="414">
        <f t="shared" ref="R258:BJ258" si="305">+IF(AND($M$258&gt;R8,$M$258&lt;=R9),1,0)</f>
        <v>0</v>
      </c>
      <c r="S258" s="414">
        <f t="shared" si="305"/>
        <v>0</v>
      </c>
      <c r="T258" s="414">
        <f t="shared" si="305"/>
        <v>0</v>
      </c>
      <c r="U258" s="414">
        <f t="shared" si="305"/>
        <v>0</v>
      </c>
      <c r="V258" s="414">
        <f t="shared" si="305"/>
        <v>0</v>
      </c>
      <c r="W258" s="414">
        <f t="shared" si="305"/>
        <v>0</v>
      </c>
      <c r="X258" s="414">
        <f t="shared" si="305"/>
        <v>0</v>
      </c>
      <c r="Y258" s="414">
        <f t="shared" si="305"/>
        <v>0</v>
      </c>
      <c r="Z258" s="414">
        <f t="shared" si="305"/>
        <v>0</v>
      </c>
      <c r="AA258" s="414">
        <f t="shared" si="305"/>
        <v>0</v>
      </c>
      <c r="AB258" s="414">
        <f t="shared" si="305"/>
        <v>0</v>
      </c>
      <c r="AC258" s="414">
        <f t="shared" si="305"/>
        <v>0</v>
      </c>
      <c r="AD258" s="414">
        <f t="shared" si="305"/>
        <v>0</v>
      </c>
      <c r="AE258" s="414">
        <f t="shared" si="305"/>
        <v>0</v>
      </c>
      <c r="AF258" s="414">
        <f t="shared" si="305"/>
        <v>0</v>
      </c>
      <c r="AG258" s="414">
        <f t="shared" si="305"/>
        <v>0</v>
      </c>
      <c r="AH258" s="414">
        <f t="shared" si="305"/>
        <v>0</v>
      </c>
      <c r="AI258" s="414">
        <f t="shared" si="305"/>
        <v>0</v>
      </c>
      <c r="AJ258" s="414">
        <f t="shared" si="305"/>
        <v>0</v>
      </c>
      <c r="AK258" s="414">
        <f t="shared" si="305"/>
        <v>0</v>
      </c>
      <c r="AL258" s="414">
        <f t="shared" si="305"/>
        <v>0</v>
      </c>
      <c r="AM258" s="414">
        <f t="shared" si="305"/>
        <v>0</v>
      </c>
      <c r="AN258" s="414">
        <f t="shared" si="305"/>
        <v>0</v>
      </c>
      <c r="AO258" s="414">
        <f t="shared" si="305"/>
        <v>0</v>
      </c>
      <c r="AP258" s="414">
        <f t="shared" si="305"/>
        <v>0</v>
      </c>
      <c r="AQ258" s="414">
        <f t="shared" si="305"/>
        <v>0</v>
      </c>
      <c r="AR258" s="414">
        <f t="shared" si="305"/>
        <v>0</v>
      </c>
      <c r="AS258" s="414">
        <f t="shared" si="305"/>
        <v>0</v>
      </c>
      <c r="AT258" s="414">
        <f t="shared" si="305"/>
        <v>0</v>
      </c>
      <c r="AU258" s="414">
        <f t="shared" si="305"/>
        <v>0</v>
      </c>
      <c r="AV258" s="414">
        <f t="shared" si="305"/>
        <v>0</v>
      </c>
      <c r="AW258" s="414">
        <f t="shared" si="305"/>
        <v>0</v>
      </c>
      <c r="AX258" s="414">
        <f t="shared" si="305"/>
        <v>0</v>
      </c>
      <c r="AY258" s="414">
        <f t="shared" si="305"/>
        <v>0</v>
      </c>
      <c r="AZ258" s="414">
        <f t="shared" si="305"/>
        <v>0</v>
      </c>
      <c r="BA258" s="414">
        <f t="shared" si="305"/>
        <v>0</v>
      </c>
      <c r="BB258" s="414">
        <f t="shared" si="305"/>
        <v>0</v>
      </c>
      <c r="BC258" s="414">
        <f t="shared" si="305"/>
        <v>0</v>
      </c>
      <c r="BD258" s="414">
        <f t="shared" si="305"/>
        <v>1</v>
      </c>
      <c r="BE258" s="414">
        <f t="shared" si="305"/>
        <v>0</v>
      </c>
      <c r="BF258" s="414">
        <f t="shared" si="305"/>
        <v>0</v>
      </c>
      <c r="BG258" s="414">
        <f t="shared" si="305"/>
        <v>0</v>
      </c>
      <c r="BH258" s="414">
        <f t="shared" si="305"/>
        <v>0</v>
      </c>
      <c r="BI258" s="414">
        <f t="shared" si="305"/>
        <v>0</v>
      </c>
      <c r="BJ258" s="414">
        <f t="shared" si="305"/>
        <v>0</v>
      </c>
      <c r="BK258" s="414"/>
      <c r="BL258" s="414"/>
      <c r="BM258" s="414"/>
      <c r="BN258" s="414"/>
      <c r="BO258" s="414"/>
      <c r="BP258" s="414"/>
      <c r="BQ258" s="414"/>
      <c r="BR258" s="414"/>
      <c r="BS258" s="414"/>
      <c r="BT258" s="414"/>
      <c r="BU258" s="414"/>
    </row>
    <row r="259" spans="1:73" x14ac:dyDescent="0.2">
      <c r="A259" s="299"/>
      <c r="B259" s="452"/>
      <c r="C259" s="299"/>
      <c r="D259" s="299"/>
      <c r="E259" s="299"/>
      <c r="F259" s="299"/>
      <c r="G259" s="299"/>
      <c r="H259" s="299"/>
      <c r="I259" s="299"/>
      <c r="J259" s="299"/>
      <c r="K259" s="410"/>
      <c r="L259" s="299"/>
      <c r="M259" s="299"/>
      <c r="N259" s="299"/>
      <c r="O259" s="299"/>
      <c r="P259" s="299"/>
      <c r="Q259" s="299"/>
      <c r="R259" s="299"/>
      <c r="S259" s="299"/>
      <c r="T259" s="299"/>
      <c r="U259" s="299"/>
      <c r="V259" s="299"/>
      <c r="W259" s="299"/>
      <c r="X259" s="299"/>
      <c r="Y259" s="299"/>
      <c r="Z259" s="299"/>
      <c r="AA259" s="299"/>
      <c r="AB259" s="299"/>
      <c r="AC259" s="299"/>
      <c r="AD259" s="299"/>
      <c r="AE259" s="299"/>
      <c r="AF259" s="299"/>
      <c r="AG259" s="299"/>
      <c r="AH259" s="299"/>
      <c r="AI259" s="299"/>
      <c r="AJ259" s="299"/>
      <c r="AK259" s="299"/>
      <c r="AL259" s="299"/>
      <c r="AM259" s="299"/>
      <c r="AN259" s="299"/>
      <c r="AO259" s="299"/>
      <c r="AP259" s="299"/>
      <c r="AQ259" s="299"/>
      <c r="AR259" s="299"/>
      <c r="AS259" s="299"/>
      <c r="AT259" s="299"/>
      <c r="AU259" s="299"/>
      <c r="AV259" s="299"/>
      <c r="AW259" s="299"/>
      <c r="AX259" s="299"/>
      <c r="AY259" s="299"/>
      <c r="AZ259" s="299"/>
      <c r="BA259" s="299"/>
      <c r="BB259" s="299"/>
      <c r="BC259" s="299"/>
      <c r="BD259" s="299"/>
      <c r="BE259" s="299"/>
      <c r="BF259" s="299"/>
      <c r="BG259" s="299"/>
      <c r="BH259" s="299"/>
      <c r="BI259" s="299"/>
      <c r="BJ259" s="299"/>
      <c r="BK259" s="299"/>
      <c r="BL259" s="299"/>
      <c r="BM259" s="299"/>
      <c r="BN259" s="299"/>
      <c r="BO259" s="299"/>
      <c r="BP259" s="299"/>
      <c r="BQ259" s="299"/>
      <c r="BR259" s="299"/>
      <c r="BS259" s="299"/>
      <c r="BT259" s="299"/>
      <c r="BU259" s="299"/>
    </row>
    <row r="260" spans="1:73" x14ac:dyDescent="0.2">
      <c r="A260" s="299"/>
      <c r="B260" s="452" t="s">
        <v>236</v>
      </c>
      <c r="C260" s="299"/>
      <c r="D260" s="299"/>
      <c r="E260" s="299"/>
      <c r="F260" s="299"/>
      <c r="G260" s="299"/>
      <c r="H260" s="299"/>
      <c r="I260" s="299"/>
      <c r="J260" s="299"/>
      <c r="K260" s="410"/>
      <c r="L260" s="299"/>
      <c r="M260" s="299"/>
      <c r="N260" s="417"/>
      <c r="O260" s="299"/>
      <c r="P260" s="299"/>
      <c r="Q260" s="414"/>
      <c r="R260" s="414"/>
      <c r="S260" s="414"/>
      <c r="T260" s="414"/>
      <c r="U260" s="414"/>
      <c r="V260" s="414"/>
      <c r="W260" s="414"/>
      <c r="X260" s="414"/>
      <c r="Y260" s="414"/>
      <c r="Z260" s="414"/>
      <c r="AA260" s="414"/>
      <c r="AB260" s="414"/>
      <c r="AC260" s="414"/>
      <c r="AD260" s="414"/>
      <c r="AE260" s="414"/>
      <c r="AF260" s="414"/>
      <c r="AG260" s="414"/>
      <c r="AH260" s="414"/>
      <c r="AI260" s="414"/>
      <c r="AJ260" s="414"/>
      <c r="AK260" s="414"/>
      <c r="AL260" s="414"/>
      <c r="AM260" s="414"/>
      <c r="AN260" s="414"/>
      <c r="AO260" s="414"/>
      <c r="AP260" s="414"/>
      <c r="AQ260" s="414"/>
      <c r="AR260" s="414"/>
      <c r="AS260" s="414"/>
      <c r="AT260" s="414"/>
      <c r="AU260" s="414"/>
      <c r="AV260" s="414"/>
      <c r="AW260" s="414"/>
      <c r="AX260" s="414"/>
      <c r="AY260" s="414"/>
      <c r="AZ260" s="414"/>
      <c r="BA260" s="414"/>
      <c r="BB260" s="414"/>
      <c r="BC260" s="414"/>
      <c r="BD260" s="414"/>
      <c r="BE260" s="414"/>
      <c r="BF260" s="414"/>
      <c r="BG260" s="414"/>
      <c r="BH260" s="414"/>
      <c r="BI260" s="414"/>
      <c r="BJ260" s="414"/>
      <c r="BK260" s="414"/>
      <c r="BL260" s="414"/>
      <c r="BM260" s="414"/>
      <c r="BN260" s="414"/>
      <c r="BO260" s="414"/>
      <c r="BP260" s="414"/>
      <c r="BQ260" s="414"/>
      <c r="BR260" s="414"/>
      <c r="BS260" s="414"/>
      <c r="BT260" s="414"/>
      <c r="BU260" s="414"/>
    </row>
    <row r="261" spans="1:73" x14ac:dyDescent="0.2">
      <c r="A261" s="299"/>
      <c r="B261" s="299"/>
      <c r="C261" s="299" t="s">
        <v>120</v>
      </c>
      <c r="D261" s="299"/>
      <c r="E261" s="299"/>
      <c r="F261" s="299"/>
      <c r="G261" s="299"/>
      <c r="H261" s="299"/>
      <c r="I261" s="299"/>
      <c r="J261" s="299"/>
      <c r="K261" s="410" t="s">
        <v>62</v>
      </c>
      <c r="L261" s="299"/>
      <c r="M261" s="299"/>
      <c r="N261" s="417">
        <f>SUM(Q261:BJ261)</f>
        <v>1831169.5326095123</v>
      </c>
      <c r="O261" s="299"/>
      <c r="P261" s="299"/>
      <c r="Q261" s="417"/>
      <c r="R261" s="417">
        <f t="shared" ref="R261:BJ261" si="306" xml:space="preserve"> - (R23 +R39+R55+R31)</f>
        <v>27873.78125</v>
      </c>
      <c r="S261" s="417">
        <f t="shared" si="306"/>
        <v>27873.78125</v>
      </c>
      <c r="T261" s="417">
        <f t="shared" si="306"/>
        <v>29873.525249999999</v>
      </c>
      <c r="U261" s="417">
        <f t="shared" si="306"/>
        <v>26879.103090938956</v>
      </c>
      <c r="V261" s="417">
        <f t="shared" si="306"/>
        <v>30002.865623482852</v>
      </c>
      <c r="W261" s="417">
        <f t="shared" si="306"/>
        <v>31746.605478152331</v>
      </c>
      <c r="X261" s="417">
        <f t="shared" si="306"/>
        <v>32030.484547014006</v>
      </c>
      <c r="Y261" s="417">
        <f t="shared" si="306"/>
        <v>32428.840003345693</v>
      </c>
      <c r="Z261" s="417">
        <f t="shared" si="306"/>
        <v>32962.846902482386</v>
      </c>
      <c r="AA261" s="417">
        <f t="shared" si="306"/>
        <v>34016.177323830176</v>
      </c>
      <c r="AB261" s="417">
        <f t="shared" si="306"/>
        <v>35045.816012695825</v>
      </c>
      <c r="AC261" s="417">
        <f t="shared" si="306"/>
        <v>35944.544872108192</v>
      </c>
      <c r="AD261" s="417">
        <f t="shared" si="306"/>
        <v>36496.686917501516</v>
      </c>
      <c r="AE261" s="417">
        <f t="shared" si="306"/>
        <v>36944.466548383905</v>
      </c>
      <c r="AF261" s="417">
        <f t="shared" si="306"/>
        <v>37526.138793610335</v>
      </c>
      <c r="AG261" s="417">
        <f t="shared" si="306"/>
        <v>38890.293453783153</v>
      </c>
      <c r="AH261" s="417">
        <f t="shared" si="306"/>
        <v>40581.532561227978</v>
      </c>
      <c r="AI261" s="417">
        <f t="shared" si="306"/>
        <v>43083.895127427772</v>
      </c>
      <c r="AJ261" s="417">
        <f t="shared" si="306"/>
        <v>46742.833184973511</v>
      </c>
      <c r="AK261" s="417">
        <f t="shared" si="306"/>
        <v>51718.757009774708</v>
      </c>
      <c r="AL261" s="417">
        <f t="shared" si="306"/>
        <v>57444.124051783656</v>
      </c>
      <c r="AM261" s="417">
        <f t="shared" si="306"/>
        <v>64981.882092569635</v>
      </c>
      <c r="AN261" s="417">
        <f t="shared" si="306"/>
        <v>74281.982807908702</v>
      </c>
      <c r="AO261" s="417">
        <f t="shared" si="306"/>
        <v>75247.537943107614</v>
      </c>
      <c r="AP261" s="417">
        <f t="shared" si="306"/>
        <v>75848.411660478436</v>
      </c>
      <c r="AQ261" s="417">
        <f t="shared" si="306"/>
        <v>76690.153839572173</v>
      </c>
      <c r="AR261" s="417">
        <f t="shared" si="306"/>
        <v>77459.021232605737</v>
      </c>
      <c r="AS261" s="417">
        <f t="shared" si="306"/>
        <v>78375.463668142591</v>
      </c>
      <c r="AT261" s="417">
        <f t="shared" si="306"/>
        <v>78802.822302612563</v>
      </c>
      <c r="AU261" s="417">
        <f t="shared" si="306"/>
        <v>77918.428145632293</v>
      </c>
      <c r="AV261" s="417">
        <f t="shared" si="306"/>
        <v>72478.798839589537</v>
      </c>
      <c r="AW261" s="417">
        <f t="shared" si="306"/>
        <v>66715.682786605292</v>
      </c>
      <c r="AX261" s="417">
        <f t="shared" si="306"/>
        <v>59932.708558178914</v>
      </c>
      <c r="AY261" s="417">
        <f t="shared" si="306"/>
        <v>52788.654653238365</v>
      </c>
      <c r="AZ261" s="417">
        <f t="shared" si="306"/>
        <v>44679.057853223916</v>
      </c>
      <c r="BA261" s="417">
        <f t="shared" si="306"/>
        <v>36242.731076609285</v>
      </c>
      <c r="BB261" s="417">
        <f t="shared" si="306"/>
        <v>27160.250681012705</v>
      </c>
      <c r="BC261" s="417">
        <f t="shared" si="306"/>
        <v>17705.162672456412</v>
      </c>
      <c r="BD261" s="417">
        <f t="shared" si="306"/>
        <v>7753.6825434509183</v>
      </c>
      <c r="BE261" s="417">
        <f t="shared" si="306"/>
        <v>0</v>
      </c>
      <c r="BF261" s="417">
        <f t="shared" si="306"/>
        <v>0</v>
      </c>
      <c r="BG261" s="417">
        <f t="shared" si="306"/>
        <v>0</v>
      </c>
      <c r="BH261" s="417">
        <f t="shared" si="306"/>
        <v>0</v>
      </c>
      <c r="BI261" s="417">
        <f t="shared" si="306"/>
        <v>0</v>
      </c>
      <c r="BJ261" s="417">
        <f t="shared" si="306"/>
        <v>0</v>
      </c>
      <c r="BK261" s="417"/>
      <c r="BL261" s="417"/>
      <c r="BM261" s="417"/>
      <c r="BN261" s="417"/>
      <c r="BO261" s="417"/>
      <c r="BP261" s="417"/>
      <c r="BQ261" s="417"/>
      <c r="BR261" s="417"/>
      <c r="BS261" s="417"/>
      <c r="BT261" s="417"/>
      <c r="BU261" s="417"/>
    </row>
    <row r="262" spans="1:73" x14ac:dyDescent="0.2">
      <c r="A262" s="299"/>
      <c r="B262" s="299"/>
      <c r="C262" s="426" t="s">
        <v>237</v>
      </c>
      <c r="D262" s="426"/>
      <c r="E262" s="426"/>
      <c r="F262" s="426"/>
      <c r="G262" s="426"/>
      <c r="H262" s="426"/>
      <c r="I262" s="426"/>
      <c r="J262" s="426"/>
      <c r="K262" s="630" t="s">
        <v>62</v>
      </c>
      <c r="L262" s="426"/>
      <c r="M262" s="426"/>
      <c r="N262" s="427">
        <f>SUM(Q262:BJ262)</f>
        <v>1522244.6000586236</v>
      </c>
      <c r="O262" s="426"/>
      <c r="P262" s="426"/>
      <c r="Q262" s="427"/>
      <c r="R262" s="427">
        <f t="shared" ref="R262:BJ262" si="307" xml:space="preserve"> - (+R42+R56)</f>
        <v>0</v>
      </c>
      <c r="S262" s="427">
        <f t="shared" si="307"/>
        <v>0</v>
      </c>
      <c r="T262" s="427">
        <f t="shared" si="307"/>
        <v>0</v>
      </c>
      <c r="U262" s="427">
        <f t="shared" si="307"/>
        <v>0</v>
      </c>
      <c r="V262" s="427">
        <f t="shared" si="307"/>
        <v>0</v>
      </c>
      <c r="W262" s="427">
        <f t="shared" si="307"/>
        <v>0</v>
      </c>
      <c r="X262" s="427">
        <f t="shared" si="307"/>
        <v>0</v>
      </c>
      <c r="Y262" s="427">
        <f t="shared" si="307"/>
        <v>0</v>
      </c>
      <c r="Z262" s="427">
        <f t="shared" si="307"/>
        <v>0</v>
      </c>
      <c r="AA262" s="427">
        <f t="shared" si="307"/>
        <v>0</v>
      </c>
      <c r="AB262" s="427">
        <f t="shared" si="307"/>
        <v>0</v>
      </c>
      <c r="AC262" s="427">
        <f t="shared" si="307"/>
        <v>0</v>
      </c>
      <c r="AD262" s="427">
        <f t="shared" si="307"/>
        <v>0</v>
      </c>
      <c r="AE262" s="427">
        <f t="shared" si="307"/>
        <v>0</v>
      </c>
      <c r="AF262" s="427">
        <f t="shared" si="307"/>
        <v>0</v>
      </c>
      <c r="AG262" s="427">
        <f t="shared" si="307"/>
        <v>0</v>
      </c>
      <c r="AH262" s="427">
        <f t="shared" si="307"/>
        <v>0</v>
      </c>
      <c r="AI262" s="427">
        <f t="shared" si="307"/>
        <v>0</v>
      </c>
      <c r="AJ262" s="427">
        <f t="shared" si="307"/>
        <v>0</v>
      </c>
      <c r="AK262" s="427">
        <f t="shared" si="307"/>
        <v>0</v>
      </c>
      <c r="AL262" s="427">
        <f t="shared" si="307"/>
        <v>0</v>
      </c>
      <c r="AM262" s="427">
        <f t="shared" si="307"/>
        <v>0</v>
      </c>
      <c r="AN262" s="427">
        <f t="shared" si="307"/>
        <v>14916.703318010212</v>
      </c>
      <c r="AO262" s="427">
        <f t="shared" si="307"/>
        <v>0</v>
      </c>
      <c r="AP262" s="427">
        <f t="shared" si="307"/>
        <v>0</v>
      </c>
      <c r="AQ262" s="427">
        <f t="shared" si="307"/>
        <v>0</v>
      </c>
      <c r="AR262" s="427">
        <f t="shared" si="307"/>
        <v>0</v>
      </c>
      <c r="AS262" s="427">
        <f t="shared" si="307"/>
        <v>0</v>
      </c>
      <c r="AT262" s="427">
        <f t="shared" si="307"/>
        <v>0</v>
      </c>
      <c r="AU262" s="427">
        <f t="shared" si="307"/>
        <v>110492.42121866169</v>
      </c>
      <c r="AV262" s="427">
        <f t="shared" si="307"/>
        <v>116293.2733326414</v>
      </c>
      <c r="AW262" s="427">
        <f t="shared" si="307"/>
        <v>122398.67018260507</v>
      </c>
      <c r="AX262" s="427">
        <f t="shared" si="307"/>
        <v>128824.60036719183</v>
      </c>
      <c r="AY262" s="427">
        <f t="shared" si="307"/>
        <v>150378.78197027749</v>
      </c>
      <c r="AZ262" s="427">
        <f t="shared" si="307"/>
        <v>158273.66802371704</v>
      </c>
      <c r="BA262" s="427">
        <f t="shared" si="307"/>
        <v>166583.03559496219</v>
      </c>
      <c r="BB262" s="427">
        <f t="shared" si="307"/>
        <v>175328.6449636977</v>
      </c>
      <c r="BC262" s="427">
        <f t="shared" si="307"/>
        <v>184533.39882429174</v>
      </c>
      <c r="BD262" s="427">
        <f t="shared" si="307"/>
        <v>194221.40226256705</v>
      </c>
      <c r="BE262" s="427">
        <f t="shared" si="307"/>
        <v>0</v>
      </c>
      <c r="BF262" s="427">
        <f t="shared" si="307"/>
        <v>0</v>
      </c>
      <c r="BG262" s="427">
        <f t="shared" si="307"/>
        <v>0</v>
      </c>
      <c r="BH262" s="427">
        <f t="shared" si="307"/>
        <v>0</v>
      </c>
      <c r="BI262" s="427">
        <f t="shared" si="307"/>
        <v>0</v>
      </c>
      <c r="BJ262" s="427">
        <f t="shared" si="307"/>
        <v>0</v>
      </c>
      <c r="BK262" s="427"/>
      <c r="BL262" s="427"/>
      <c r="BM262" s="427"/>
      <c r="BN262" s="427"/>
      <c r="BO262" s="427"/>
      <c r="BP262" s="427"/>
      <c r="BQ262" s="427"/>
      <c r="BR262" s="427"/>
      <c r="BS262" s="427"/>
      <c r="BT262" s="427"/>
      <c r="BU262" s="427"/>
    </row>
    <row r="263" spans="1:73" x14ac:dyDescent="0.2">
      <c r="A263" s="299"/>
      <c r="B263" s="299"/>
      <c r="C263" s="299" t="s">
        <v>238</v>
      </c>
      <c r="D263" s="299"/>
      <c r="E263" s="299"/>
      <c r="F263" s="299"/>
      <c r="G263" s="299"/>
      <c r="H263" s="299"/>
      <c r="I263" s="299"/>
      <c r="J263" s="299"/>
      <c r="K263" s="410" t="s">
        <v>62</v>
      </c>
      <c r="L263" s="299"/>
      <c r="M263" s="299"/>
      <c r="N263" s="417">
        <f>SUM(Q263:BJ263)</f>
        <v>3325540.3514181357</v>
      </c>
      <c r="O263" s="299"/>
      <c r="P263" s="299"/>
      <c r="Q263" s="417"/>
      <c r="R263" s="417">
        <f t="shared" ref="R263:T263" si="308">+S261+S262</f>
        <v>27873.78125</v>
      </c>
      <c r="S263" s="417">
        <f t="shared" si="308"/>
        <v>29873.525249999999</v>
      </c>
      <c r="T263" s="417">
        <f t="shared" si="308"/>
        <v>26879.103090938956</v>
      </c>
      <c r="U263" s="417">
        <f>+V261+V262</f>
        <v>30002.865623482852</v>
      </c>
      <c r="V263" s="417">
        <f t="shared" ref="V263:BJ263" si="309">+W261+W262</f>
        <v>31746.605478152331</v>
      </c>
      <c r="W263" s="417">
        <f t="shared" si="309"/>
        <v>32030.484547014006</v>
      </c>
      <c r="X263" s="417">
        <f t="shared" si="309"/>
        <v>32428.840003345693</v>
      </c>
      <c r="Y263" s="417">
        <f t="shared" si="309"/>
        <v>32962.846902482386</v>
      </c>
      <c r="Z263" s="417">
        <f t="shared" si="309"/>
        <v>34016.177323830176</v>
      </c>
      <c r="AA263" s="417">
        <f t="shared" si="309"/>
        <v>35045.816012695825</v>
      </c>
      <c r="AB263" s="417">
        <f t="shared" si="309"/>
        <v>35944.544872108192</v>
      </c>
      <c r="AC263" s="417">
        <f t="shared" si="309"/>
        <v>36496.686917501516</v>
      </c>
      <c r="AD263" s="417">
        <f t="shared" si="309"/>
        <v>36944.466548383905</v>
      </c>
      <c r="AE263" s="417">
        <f t="shared" si="309"/>
        <v>37526.138793610335</v>
      </c>
      <c r="AF263" s="417">
        <f t="shared" si="309"/>
        <v>38890.293453783153</v>
      </c>
      <c r="AG263" s="417">
        <f t="shared" si="309"/>
        <v>40581.532561227978</v>
      </c>
      <c r="AH263" s="417">
        <f t="shared" si="309"/>
        <v>43083.895127427772</v>
      </c>
      <c r="AI263" s="417">
        <f t="shared" si="309"/>
        <v>46742.833184973511</v>
      </c>
      <c r="AJ263" s="417">
        <f t="shared" si="309"/>
        <v>51718.757009774708</v>
      </c>
      <c r="AK263" s="417">
        <f t="shared" si="309"/>
        <v>57444.124051783656</v>
      </c>
      <c r="AL263" s="417">
        <f t="shared" si="309"/>
        <v>64981.882092569635</v>
      </c>
      <c r="AM263" s="417">
        <f t="shared" si="309"/>
        <v>89198.686125918917</v>
      </c>
      <c r="AN263" s="417">
        <f t="shared" si="309"/>
        <v>75247.537943107614</v>
      </c>
      <c r="AO263" s="417">
        <f t="shared" si="309"/>
        <v>75848.411660478436</v>
      </c>
      <c r="AP263" s="417">
        <f t="shared" si="309"/>
        <v>76690.153839572173</v>
      </c>
      <c r="AQ263" s="417">
        <f t="shared" si="309"/>
        <v>77459.021232605737</v>
      </c>
      <c r="AR263" s="417">
        <f t="shared" si="309"/>
        <v>78375.463668142591</v>
      </c>
      <c r="AS263" s="417">
        <f t="shared" si="309"/>
        <v>78802.822302612563</v>
      </c>
      <c r="AT263" s="417">
        <f t="shared" si="309"/>
        <v>188410.84936429397</v>
      </c>
      <c r="AU263" s="417">
        <f t="shared" si="309"/>
        <v>188772.07217223092</v>
      </c>
      <c r="AV263" s="417">
        <f t="shared" si="309"/>
        <v>189114.35296921036</v>
      </c>
      <c r="AW263" s="417">
        <f t="shared" si="309"/>
        <v>188757.30892537074</v>
      </c>
      <c r="AX263" s="417">
        <f t="shared" si="309"/>
        <v>203167.43662351585</v>
      </c>
      <c r="AY263" s="417">
        <f t="shared" si="309"/>
        <v>202952.72587694094</v>
      </c>
      <c r="AZ263" s="417">
        <f t="shared" si="309"/>
        <v>202825.76667157147</v>
      </c>
      <c r="BA263" s="417">
        <f t="shared" si="309"/>
        <v>202488.8956447104</v>
      </c>
      <c r="BB263" s="417">
        <f t="shared" si="309"/>
        <v>202238.56149674815</v>
      </c>
      <c r="BC263" s="417">
        <f t="shared" si="309"/>
        <v>201975.08480601796</v>
      </c>
      <c r="BD263" s="417">
        <f t="shared" si="309"/>
        <v>0</v>
      </c>
      <c r="BE263" s="417">
        <f t="shared" si="309"/>
        <v>0</v>
      </c>
      <c r="BF263" s="417">
        <f t="shared" si="309"/>
        <v>0</v>
      </c>
      <c r="BG263" s="417">
        <f t="shared" si="309"/>
        <v>0</v>
      </c>
      <c r="BH263" s="417">
        <f t="shared" si="309"/>
        <v>0</v>
      </c>
      <c r="BI263" s="417">
        <f t="shared" si="309"/>
        <v>0</v>
      </c>
      <c r="BJ263" s="417">
        <f t="shared" si="309"/>
        <v>0</v>
      </c>
      <c r="BK263" s="417"/>
      <c r="BL263" s="417"/>
      <c r="BM263" s="417"/>
      <c r="BN263" s="417"/>
      <c r="BO263" s="417"/>
      <c r="BP263" s="417"/>
      <c r="BQ263" s="417"/>
      <c r="BR263" s="417"/>
      <c r="BS263" s="417"/>
      <c r="BT263" s="417"/>
      <c r="BU263" s="417"/>
    </row>
    <row r="264" spans="1:73" x14ac:dyDescent="0.2">
      <c r="A264" s="299"/>
      <c r="B264" s="299"/>
      <c r="C264" s="299"/>
      <c r="D264" s="299"/>
      <c r="E264" s="299"/>
      <c r="F264" s="299"/>
      <c r="G264" s="299"/>
      <c r="H264" s="299"/>
      <c r="I264" s="299"/>
      <c r="J264" s="299"/>
      <c r="K264" s="410"/>
      <c r="L264" s="299"/>
      <c r="M264" s="299"/>
      <c r="N264" s="299"/>
      <c r="O264" s="299"/>
      <c r="P264" s="299"/>
      <c r="Q264" s="417"/>
      <c r="R264" s="417"/>
      <c r="S264" s="417"/>
      <c r="T264" s="417"/>
      <c r="U264" s="417"/>
      <c r="V264" s="417"/>
      <c r="W264" s="417"/>
      <c r="X264" s="417"/>
      <c r="Y264" s="417"/>
      <c r="Z264" s="417"/>
      <c r="AA264" s="417"/>
      <c r="AB264" s="417"/>
      <c r="AC264" s="417"/>
      <c r="AD264" s="417"/>
      <c r="AE264" s="417"/>
      <c r="AF264" s="417"/>
      <c r="AG264" s="417"/>
      <c r="AH264" s="417"/>
      <c r="AI264" s="417"/>
      <c r="AJ264" s="417"/>
      <c r="AK264" s="417"/>
      <c r="AL264" s="417"/>
      <c r="AM264" s="417"/>
      <c r="AN264" s="417"/>
      <c r="AO264" s="417"/>
      <c r="AP264" s="417"/>
      <c r="AQ264" s="417"/>
      <c r="AR264" s="417"/>
      <c r="AS264" s="417"/>
      <c r="AT264" s="417"/>
      <c r="AU264" s="417"/>
      <c r="AV264" s="417"/>
      <c r="AW264" s="417"/>
      <c r="AX264" s="417"/>
      <c r="AY264" s="417"/>
      <c r="AZ264" s="417"/>
      <c r="BA264" s="417"/>
      <c r="BB264" s="417"/>
      <c r="BC264" s="417"/>
      <c r="BD264" s="417"/>
      <c r="BE264" s="417"/>
      <c r="BF264" s="417"/>
      <c r="BG264" s="417"/>
      <c r="BH264" s="417"/>
      <c r="BI264" s="417"/>
      <c r="BJ264" s="417"/>
      <c r="BK264" s="417"/>
      <c r="BL264" s="417"/>
      <c r="BM264" s="417"/>
      <c r="BN264" s="417"/>
      <c r="BO264" s="417"/>
      <c r="BP264" s="417"/>
      <c r="BQ264" s="417"/>
      <c r="BR264" s="417"/>
      <c r="BS264" s="417"/>
      <c r="BT264" s="417"/>
      <c r="BU264" s="417"/>
    </row>
    <row r="265" spans="1:73" x14ac:dyDescent="0.2">
      <c r="A265" s="299"/>
      <c r="B265" s="299"/>
      <c r="C265" s="299"/>
      <c r="D265" s="299"/>
      <c r="E265" s="299"/>
      <c r="F265" s="299"/>
      <c r="G265" s="299"/>
      <c r="H265" s="299"/>
      <c r="I265" s="299"/>
      <c r="J265" s="299"/>
      <c r="K265" s="410"/>
      <c r="L265" s="299"/>
      <c r="M265" s="299"/>
      <c r="N265" s="417"/>
      <c r="O265" s="299"/>
      <c r="P265" s="299"/>
      <c r="Q265" s="417"/>
      <c r="R265" s="417"/>
      <c r="S265" s="417"/>
      <c r="T265" s="417"/>
      <c r="U265" s="417"/>
      <c r="V265" s="417"/>
      <c r="W265" s="417"/>
      <c r="X265" s="417"/>
      <c r="Y265" s="417"/>
      <c r="Z265" s="417"/>
      <c r="AA265" s="417"/>
      <c r="AB265" s="417"/>
      <c r="AC265" s="417"/>
      <c r="AD265" s="417"/>
      <c r="AE265" s="417"/>
      <c r="AF265" s="417"/>
      <c r="AG265" s="417"/>
      <c r="AH265" s="417"/>
      <c r="AI265" s="417"/>
      <c r="AJ265" s="417"/>
      <c r="AK265" s="417"/>
      <c r="AL265" s="417"/>
      <c r="AM265" s="417"/>
      <c r="AN265" s="417"/>
      <c r="AO265" s="417"/>
      <c r="AP265" s="417"/>
      <c r="AQ265" s="417"/>
      <c r="AR265" s="417"/>
      <c r="AS265" s="417"/>
      <c r="AT265" s="417"/>
      <c r="AU265" s="417"/>
      <c r="AV265" s="417"/>
      <c r="AW265" s="417"/>
      <c r="AX265" s="417"/>
      <c r="AY265" s="417"/>
      <c r="AZ265" s="417"/>
      <c r="BA265" s="417"/>
      <c r="BB265" s="417"/>
      <c r="BC265" s="417"/>
      <c r="BD265" s="417"/>
      <c r="BE265" s="417"/>
      <c r="BF265" s="417"/>
      <c r="BG265" s="417"/>
      <c r="BH265" s="417"/>
      <c r="BI265" s="417"/>
      <c r="BJ265" s="417"/>
      <c r="BK265" s="417"/>
      <c r="BL265" s="417"/>
      <c r="BM265" s="417"/>
      <c r="BN265" s="417"/>
      <c r="BO265" s="417"/>
      <c r="BP265" s="417"/>
      <c r="BQ265" s="417"/>
      <c r="BR265" s="417"/>
      <c r="BS265" s="417"/>
      <c r="BT265" s="417"/>
      <c r="BU265" s="417"/>
    </row>
    <row r="266" spans="1:73" x14ac:dyDescent="0.2">
      <c r="A266" s="299"/>
      <c r="B266" s="432"/>
      <c r="C266" s="299"/>
      <c r="D266" s="299"/>
      <c r="E266" s="299"/>
      <c r="F266" s="299"/>
      <c r="G266" s="299"/>
      <c r="H266" s="299"/>
      <c r="I266" s="299"/>
      <c r="J266" s="299"/>
      <c r="K266" s="410"/>
      <c r="L266" s="299"/>
      <c r="M266" s="299"/>
      <c r="N266" s="299"/>
      <c r="O266" s="299"/>
      <c r="P266" s="299"/>
      <c r="Q266" s="299"/>
      <c r="R266" s="299"/>
      <c r="S266" s="299"/>
      <c r="T266" s="299"/>
      <c r="U266" s="299"/>
      <c r="V266" s="299"/>
      <c r="W266" s="299"/>
      <c r="X266" s="299"/>
      <c r="Y266" s="299"/>
      <c r="Z266" s="299"/>
      <c r="AA266" s="299"/>
      <c r="AB266" s="299"/>
      <c r="AC266" s="299"/>
      <c r="AD266" s="299"/>
      <c r="AE266" s="299"/>
      <c r="AF266" s="299"/>
      <c r="AG266" s="299"/>
      <c r="AH266" s="299"/>
      <c r="AI266" s="299"/>
      <c r="AJ266" s="299"/>
      <c r="AK266" s="299"/>
      <c r="AL266" s="299"/>
      <c r="AM266" s="299"/>
      <c r="AN266" s="299"/>
      <c r="AO266" s="299"/>
      <c r="AP266" s="299"/>
      <c r="AQ266" s="299"/>
      <c r="AR266" s="299"/>
      <c r="AS266" s="299"/>
      <c r="AT266" s="299"/>
      <c r="AU266" s="299"/>
      <c r="AV266" s="299"/>
      <c r="AW266" s="299"/>
      <c r="AX266" s="299"/>
      <c r="AY266" s="299"/>
      <c r="AZ266" s="299"/>
      <c r="BA266" s="299"/>
      <c r="BB266" s="299"/>
      <c r="BC266" s="299"/>
      <c r="BD266" s="299"/>
      <c r="BE266" s="299"/>
      <c r="BF266" s="299"/>
      <c r="BG266" s="299"/>
      <c r="BH266" s="299"/>
      <c r="BI266" s="299"/>
      <c r="BJ266" s="299"/>
      <c r="BK266" s="299"/>
      <c r="BL266" s="299"/>
      <c r="BM266" s="299"/>
      <c r="BN266" s="299"/>
      <c r="BO266" s="299"/>
      <c r="BP266" s="299"/>
      <c r="BQ266" s="299"/>
      <c r="BR266" s="299"/>
      <c r="BS266" s="299"/>
      <c r="BT266" s="299"/>
      <c r="BU266" s="299"/>
    </row>
    <row r="267" spans="1:73" x14ac:dyDescent="0.2">
      <c r="A267" s="299"/>
      <c r="B267" s="452" t="s">
        <v>239</v>
      </c>
      <c r="C267" s="355"/>
      <c r="D267" s="355"/>
      <c r="E267" s="355"/>
      <c r="F267" s="355"/>
      <c r="G267" s="355"/>
      <c r="H267" s="504"/>
      <c r="I267" s="355"/>
      <c r="J267" s="355"/>
      <c r="K267" s="631"/>
      <c r="L267" s="355"/>
      <c r="M267" s="355"/>
      <c r="N267" s="355"/>
      <c r="O267" s="299"/>
      <c r="P267" s="299"/>
      <c r="Q267" s="299"/>
      <c r="R267" s="299"/>
      <c r="S267" s="299"/>
      <c r="T267" s="299"/>
      <c r="U267" s="299"/>
      <c r="V267" s="299"/>
      <c r="W267" s="299"/>
      <c r="X267" s="299"/>
      <c r="Y267" s="299"/>
      <c r="Z267" s="299"/>
      <c r="AA267" s="299"/>
      <c r="AB267" s="299"/>
      <c r="AC267" s="299"/>
      <c r="AD267" s="299"/>
      <c r="AE267" s="299"/>
      <c r="AF267" s="299"/>
      <c r="AG267" s="299"/>
      <c r="AH267" s="299"/>
      <c r="AI267" s="299"/>
      <c r="AJ267" s="299"/>
      <c r="AK267" s="299"/>
      <c r="AL267" s="299"/>
      <c r="AM267" s="299"/>
      <c r="AN267" s="299"/>
      <c r="AO267" s="299"/>
      <c r="AP267" s="299"/>
      <c r="AQ267" s="299"/>
      <c r="AR267" s="299"/>
      <c r="AS267" s="299"/>
      <c r="AT267" s="299"/>
      <c r="AU267" s="299"/>
      <c r="AV267" s="299"/>
      <c r="AW267" s="299"/>
      <c r="AX267" s="299"/>
      <c r="AY267" s="299"/>
      <c r="AZ267" s="299"/>
      <c r="BA267" s="299"/>
      <c r="BB267" s="299"/>
      <c r="BC267" s="299"/>
      <c r="BD267" s="299"/>
      <c r="BE267" s="299"/>
      <c r="BF267" s="299"/>
      <c r="BG267" s="299"/>
      <c r="BH267" s="299"/>
      <c r="BI267" s="299"/>
      <c r="BJ267" s="299"/>
      <c r="BK267" s="299"/>
      <c r="BL267" s="299"/>
      <c r="BM267" s="299"/>
      <c r="BN267" s="299"/>
      <c r="BO267" s="299"/>
      <c r="BP267" s="299"/>
      <c r="BQ267" s="299"/>
      <c r="BR267" s="299"/>
      <c r="BS267" s="299"/>
      <c r="BT267" s="299"/>
      <c r="BU267" s="299"/>
    </row>
    <row r="268" spans="1:73" x14ac:dyDescent="0.2">
      <c r="A268" s="299"/>
      <c r="B268" s="299"/>
      <c r="C268" s="299"/>
      <c r="D268" s="299"/>
      <c r="E268" s="299"/>
      <c r="F268" s="299"/>
      <c r="G268" s="299"/>
      <c r="H268" s="299"/>
      <c r="I268" s="299"/>
      <c r="J268" s="299"/>
      <c r="K268" s="410"/>
      <c r="L268" s="299"/>
      <c r="M268" s="299"/>
      <c r="N268" s="299"/>
      <c r="O268" s="299"/>
      <c r="P268" s="299"/>
      <c r="Q268" s="417"/>
      <c r="R268" s="417"/>
      <c r="S268" s="417"/>
      <c r="T268" s="417"/>
      <c r="U268" s="417"/>
      <c r="V268" s="417"/>
      <c r="W268" s="417"/>
      <c r="X268" s="417"/>
      <c r="Y268" s="417"/>
      <c r="Z268" s="417"/>
      <c r="AA268" s="417"/>
      <c r="AB268" s="417"/>
      <c r="AC268" s="417"/>
      <c r="AD268" s="417"/>
      <c r="AE268" s="417"/>
      <c r="AF268" s="417"/>
      <c r="AG268" s="417"/>
      <c r="AH268" s="417"/>
      <c r="AI268" s="417"/>
      <c r="AJ268" s="417"/>
      <c r="AK268" s="417"/>
      <c r="AL268" s="417"/>
      <c r="AM268" s="417"/>
      <c r="AN268" s="417"/>
      <c r="AO268" s="417"/>
      <c r="AP268" s="417"/>
      <c r="AQ268" s="417"/>
      <c r="AR268" s="417"/>
      <c r="AS268" s="417"/>
      <c r="AT268" s="417"/>
      <c r="AU268" s="417"/>
      <c r="AV268" s="417"/>
      <c r="AW268" s="417"/>
      <c r="AX268" s="417"/>
      <c r="AY268" s="417"/>
      <c r="AZ268" s="417"/>
      <c r="BA268" s="417"/>
      <c r="BB268" s="417"/>
      <c r="BC268" s="417"/>
      <c r="BD268" s="417"/>
      <c r="BE268" s="417"/>
      <c r="BF268" s="417"/>
      <c r="BG268" s="417"/>
      <c r="BH268" s="417"/>
      <c r="BI268" s="417"/>
      <c r="BJ268" s="417"/>
      <c r="BK268" s="417"/>
      <c r="BL268" s="417"/>
      <c r="BM268" s="417"/>
      <c r="BN268" s="417"/>
      <c r="BO268" s="417"/>
      <c r="BP268" s="417"/>
      <c r="BQ268" s="417"/>
      <c r="BR268" s="417"/>
      <c r="BS268" s="417"/>
      <c r="BT268" s="417"/>
      <c r="BU268" s="417"/>
    </row>
    <row r="269" spans="1:73" x14ac:dyDescent="0.2">
      <c r="A269" s="299"/>
      <c r="B269" s="299"/>
      <c r="C269" s="299" t="s">
        <v>240</v>
      </c>
      <c r="D269" s="299"/>
      <c r="E269" s="299"/>
      <c r="F269" s="299"/>
      <c r="G269" s="299"/>
      <c r="H269" s="299"/>
      <c r="I269" s="299"/>
      <c r="J269" s="299"/>
      <c r="K269" s="410" t="s">
        <v>62</v>
      </c>
      <c r="L269" s="299"/>
      <c r="M269" s="299"/>
      <c r="N269" s="417">
        <f>SUM(Q269:BJ269)</f>
        <v>24656931.816915601</v>
      </c>
      <c r="O269" s="299"/>
      <c r="P269" s="299"/>
      <c r="Q269" s="417"/>
      <c r="R269" s="417">
        <f>MAX(0,CF!R45)</f>
        <v>0</v>
      </c>
      <c r="S269" s="417">
        <f>MAX(0,CF!S45)</f>
        <v>52922.655228947813</v>
      </c>
      <c r="T269" s="417">
        <f>MAX(0,CF!T45)</f>
        <v>41373.499021834556</v>
      </c>
      <c r="U269" s="417">
        <f>MAX(0,CF!U45)</f>
        <v>39748.090456419392</v>
      </c>
      <c r="V269" s="417">
        <f>MAX(0,CF!V45)</f>
        <v>55510.794639052656</v>
      </c>
      <c r="W269" s="417">
        <f>MAX(0,CF!W45)</f>
        <v>66160.917076399361</v>
      </c>
      <c r="X269" s="417">
        <f>MAX(0,CF!X45)</f>
        <v>77701.917931190488</v>
      </c>
      <c r="Y269" s="417">
        <f>MAX(0,CF!Y45)</f>
        <v>90140.341156233786</v>
      </c>
      <c r="Z269" s="417">
        <f>MAX(0,CF!Z45)</f>
        <v>103634.2894278743</v>
      </c>
      <c r="AA269" s="417">
        <f>MAX(0,CF!AA45)</f>
        <v>118361.61558099733</v>
      </c>
      <c r="AB269" s="417">
        <f>MAX(0,CF!AB45)</f>
        <v>129980.80796605468</v>
      </c>
      <c r="AC269" s="417">
        <f>MAX(0,CF!AC45)</f>
        <v>142310.93741155582</v>
      </c>
      <c r="AD269" s="417">
        <f>MAX(0,CF!AD45)</f>
        <v>155003.70266041454</v>
      </c>
      <c r="AE269" s="417">
        <f>MAX(0,CF!AE45)</f>
        <v>165569.98945631646</v>
      </c>
      <c r="AF269" s="417">
        <f>MAX(0,CF!AF45)</f>
        <v>184208.4409041107</v>
      </c>
      <c r="AG269" s="417">
        <f>MAX(0,CF!AG45)</f>
        <v>208902.70239042357</v>
      </c>
      <c r="AH269" s="417">
        <f>MAX(0,CF!AH45)</f>
        <v>236275.28322797085</v>
      </c>
      <c r="AI269" s="417">
        <f>MAX(0,CF!AI45)</f>
        <v>266062.80704749422</v>
      </c>
      <c r="AJ269" s="417">
        <f>MAX(0,CF!AJ45)</f>
        <v>298704.50023039628</v>
      </c>
      <c r="AK269" s="417">
        <f>MAX(0,CF!AK45)</f>
        <v>334437.44214544928</v>
      </c>
      <c r="AL269" s="417">
        <f>MAX(0,CF!AL45)</f>
        <v>374174.03999391937</v>
      </c>
      <c r="AM269" s="417">
        <f>MAX(0,CF!AM45)</f>
        <v>417191.84718236077</v>
      </c>
      <c r="AN269" s="417">
        <f>MAX(0,CF!AN45)</f>
        <v>464174.46289361542</v>
      </c>
      <c r="AO269" s="417">
        <f>MAX(0,CF!AO45)</f>
        <v>517774.01124252594</v>
      </c>
      <c r="AP269" s="417">
        <f>MAX(0,CF!AP45)</f>
        <v>580791.19249684864</v>
      </c>
      <c r="AQ269" s="417">
        <f>MAX(0,CF!AQ45)</f>
        <v>618678.30997884786</v>
      </c>
      <c r="AR269" s="417">
        <f>MAX(0,CF!AR45)</f>
        <v>659032.22748600529</v>
      </c>
      <c r="AS269" s="417">
        <f>MAX(0,CF!AS45)</f>
        <v>701674.8884078355</v>
      </c>
      <c r="AT269" s="417">
        <f>MAX(0,CF!AT45)</f>
        <v>747381.84837700974</v>
      </c>
      <c r="AU269" s="417">
        <f>MAX(0,CF!AU45)</f>
        <v>688779.75230894797</v>
      </c>
      <c r="AV269" s="417">
        <f>MAX(0,CF!AV45)</f>
        <v>735681.29443388607</v>
      </c>
      <c r="AW269" s="417">
        <f>MAX(0,CF!AW45)</f>
        <v>779493.0515928067</v>
      </c>
      <c r="AX269" s="417">
        <f>MAX(0,CF!AX45)</f>
        <v>833984.19989902864</v>
      </c>
      <c r="AY269" s="417">
        <f>MAX(0,CF!AY45)</f>
        <v>879031.87773142359</v>
      </c>
      <c r="AZ269" s="417">
        <f>MAX(0,CF!AZ45)</f>
        <v>940551.7210810805</v>
      </c>
      <c r="BA269" s="417">
        <f>MAX(0,CF!BA45)</f>
        <v>996658.41189339932</v>
      </c>
      <c r="BB269" s="417">
        <f>MAX(0,CF!BB45)</f>
        <v>1052998.0780945707</v>
      </c>
      <c r="BC269" s="417">
        <f>MAX(0,CF!BC45)</f>
        <v>1088291.8825316771</v>
      </c>
      <c r="BD269" s="417">
        <f>MAX(0,CF!BD45)</f>
        <v>1149469.7854887573</v>
      </c>
      <c r="BE269" s="417">
        <f>MAX(0,CF!BE45)</f>
        <v>1270005.7518513093</v>
      </c>
      <c r="BF269" s="417">
        <f>MAX(0,CF!BF45)</f>
        <v>1479620.2625882474</v>
      </c>
      <c r="BG269" s="417">
        <f>MAX(0,CF!BG45)</f>
        <v>1534181.2648705142</v>
      </c>
      <c r="BH269" s="417">
        <f>MAX(0,CF!BH45)</f>
        <v>1590368.8850572105</v>
      </c>
      <c r="BI269" s="417">
        <f>MAX(0,CF!BI45)</f>
        <v>1510143.6007841963</v>
      </c>
      <c r="BJ269" s="417">
        <f>MAX(0,CF!BJ45)</f>
        <v>279788.43469044275</v>
      </c>
      <c r="BK269" s="417"/>
      <c r="BL269" s="417"/>
      <c r="BM269" s="417"/>
      <c r="BN269" s="417"/>
      <c r="BO269" s="417"/>
      <c r="BP269" s="417"/>
      <c r="BQ269" s="417"/>
      <c r="BR269" s="417"/>
      <c r="BS269" s="417"/>
      <c r="BT269" s="417"/>
      <c r="BU269" s="417"/>
    </row>
    <row r="270" spans="1:73" x14ac:dyDescent="0.2">
      <c r="A270" s="299"/>
      <c r="B270" s="439"/>
      <c r="C270" s="299"/>
      <c r="D270" s="299"/>
      <c r="E270" s="299"/>
      <c r="F270" s="299"/>
      <c r="G270" s="299"/>
      <c r="H270" s="299"/>
      <c r="I270" s="299"/>
      <c r="J270" s="299"/>
      <c r="K270" s="410"/>
      <c r="L270" s="299"/>
      <c r="M270" s="299"/>
      <c r="N270" s="299"/>
      <c r="O270" s="299"/>
      <c r="P270" s="299"/>
      <c r="Q270" s="299"/>
      <c r="R270" s="299"/>
      <c r="S270" s="299"/>
      <c r="T270" s="299"/>
      <c r="U270" s="299"/>
      <c r="V270" s="299"/>
      <c r="W270" s="299"/>
      <c r="X270" s="299"/>
      <c r="Y270" s="299"/>
      <c r="Z270" s="299"/>
      <c r="AA270" s="299"/>
      <c r="AB270" s="299"/>
      <c r="AC270" s="299"/>
      <c r="AD270" s="299"/>
      <c r="AE270" s="299"/>
      <c r="AF270" s="299"/>
      <c r="AG270" s="299"/>
      <c r="AH270" s="299"/>
      <c r="AI270" s="299"/>
      <c r="AJ270" s="299"/>
      <c r="AK270" s="299"/>
      <c r="AL270" s="299"/>
      <c r="AM270" s="299"/>
      <c r="AN270" s="299"/>
      <c r="AO270" s="299"/>
      <c r="AP270" s="299"/>
      <c r="AQ270" s="299"/>
      <c r="AR270" s="299"/>
      <c r="AS270" s="299"/>
      <c r="AT270" s="299"/>
      <c r="AU270" s="299"/>
      <c r="AV270" s="299"/>
      <c r="AW270" s="299"/>
      <c r="AX270" s="299"/>
      <c r="AY270" s="299"/>
      <c r="AZ270" s="299"/>
      <c r="BA270" s="299"/>
      <c r="BB270" s="299"/>
      <c r="BC270" s="299"/>
      <c r="BD270" s="299"/>
      <c r="BE270" s="299"/>
      <c r="BF270" s="299"/>
      <c r="BG270" s="299"/>
      <c r="BH270" s="299"/>
      <c r="BI270" s="299"/>
      <c r="BJ270" s="299"/>
      <c r="BK270" s="299"/>
      <c r="BL270" s="299"/>
      <c r="BM270" s="299"/>
      <c r="BN270" s="299"/>
      <c r="BO270" s="299"/>
      <c r="BP270" s="299"/>
      <c r="BQ270" s="299"/>
      <c r="BR270" s="299"/>
      <c r="BS270" s="299"/>
      <c r="BT270" s="299"/>
      <c r="BU270" s="299"/>
    </row>
    <row r="271" spans="1:73" x14ac:dyDescent="0.2">
      <c r="A271" s="299"/>
      <c r="B271" s="439" t="s">
        <v>229</v>
      </c>
      <c r="C271" s="299"/>
      <c r="D271" s="299"/>
      <c r="E271" s="299"/>
      <c r="F271" s="299"/>
      <c r="G271" s="299"/>
      <c r="H271" s="299"/>
      <c r="I271" s="299"/>
      <c r="J271" s="299"/>
      <c r="K271" s="410"/>
      <c r="L271" s="299"/>
      <c r="M271" s="299"/>
      <c r="N271" s="299"/>
      <c r="O271" s="299"/>
      <c r="P271" s="299"/>
      <c r="Q271" s="417"/>
      <c r="R271" s="417"/>
      <c r="S271" s="417"/>
      <c r="T271" s="417"/>
      <c r="U271" s="417"/>
      <c r="V271" s="417"/>
      <c r="W271" s="417"/>
      <c r="X271" s="417"/>
      <c r="Y271" s="417"/>
      <c r="Z271" s="417"/>
      <c r="AA271" s="417"/>
      <c r="AB271" s="417"/>
      <c r="AC271" s="417"/>
      <c r="AD271" s="417"/>
      <c r="AE271" s="417"/>
      <c r="AF271" s="417"/>
      <c r="AG271" s="417"/>
      <c r="AH271" s="417"/>
      <c r="AI271" s="417"/>
      <c r="AJ271" s="417"/>
      <c r="AK271" s="417"/>
      <c r="AL271" s="417"/>
      <c r="AM271" s="417"/>
      <c r="AN271" s="417"/>
      <c r="AO271" s="417"/>
      <c r="AP271" s="417"/>
      <c r="AQ271" s="417"/>
      <c r="AR271" s="417"/>
      <c r="AS271" s="417"/>
      <c r="AT271" s="417"/>
      <c r="AU271" s="417"/>
      <c r="AV271" s="417"/>
      <c r="AW271" s="417"/>
      <c r="AX271" s="417"/>
      <c r="AY271" s="417"/>
      <c r="AZ271" s="417"/>
      <c r="BA271" s="417"/>
      <c r="BB271" s="417"/>
      <c r="BC271" s="417"/>
      <c r="BD271" s="417"/>
      <c r="BE271" s="417"/>
      <c r="BF271" s="417"/>
      <c r="BG271" s="417"/>
      <c r="BH271" s="417"/>
      <c r="BI271" s="417"/>
      <c r="BJ271" s="417"/>
      <c r="BK271" s="417"/>
      <c r="BL271" s="417"/>
      <c r="BM271" s="417"/>
      <c r="BN271" s="417"/>
      <c r="BO271" s="417"/>
      <c r="BP271" s="417"/>
      <c r="BQ271" s="417"/>
      <c r="BR271" s="417"/>
      <c r="BS271" s="417"/>
      <c r="BT271" s="417"/>
      <c r="BU271" s="417"/>
    </row>
    <row r="272" spans="1:73" x14ac:dyDescent="0.2">
      <c r="A272" s="299"/>
      <c r="B272" s="299"/>
      <c r="C272" s="299" t="s">
        <v>428</v>
      </c>
      <c r="D272" s="299"/>
      <c r="E272" s="299"/>
      <c r="F272" s="299"/>
      <c r="G272" s="299"/>
      <c r="H272" s="299"/>
      <c r="I272" s="299"/>
      <c r="J272" s="299"/>
      <c r="K272" s="410" t="s">
        <v>62</v>
      </c>
      <c r="L272" s="299"/>
      <c r="M272" s="299"/>
      <c r="N272" s="417"/>
      <c r="O272" s="299"/>
      <c r="P272" s="299"/>
      <c r="Q272" s="453"/>
      <c r="R272" s="453"/>
      <c r="S272" s="453">
        <f xml:space="preserve">  S$257 * ($R$278 *S257* S236 + S263 * (1-S236))</f>
        <v>40000</v>
      </c>
      <c r="T272" s="453">
        <f xml:space="preserve">  T$257 * ($R$278 *T257* T236 + T263 * (1-T236))</f>
        <v>26879.103090938956</v>
      </c>
      <c r="U272" s="453">
        <f t="shared" ref="U272:BJ272" si="310" xml:space="preserve">  U$257 * ($R$278 *U257* U236 + U263 * (1-U236))</f>
        <v>30002.865623482852</v>
      </c>
      <c r="V272" s="453">
        <f t="shared" si="310"/>
        <v>31746.605478152331</v>
      </c>
      <c r="W272" s="453">
        <f t="shared" si="310"/>
        <v>32030.484547014006</v>
      </c>
      <c r="X272" s="453">
        <f t="shared" si="310"/>
        <v>32428.840003345693</v>
      </c>
      <c r="Y272" s="453">
        <f t="shared" si="310"/>
        <v>32962.846902482386</v>
      </c>
      <c r="Z272" s="453">
        <f t="shared" si="310"/>
        <v>34016.177323830176</v>
      </c>
      <c r="AA272" s="453">
        <f t="shared" si="310"/>
        <v>35045.816012695825</v>
      </c>
      <c r="AB272" s="453">
        <f t="shared" si="310"/>
        <v>35944.544872108192</v>
      </c>
      <c r="AC272" s="453">
        <f t="shared" si="310"/>
        <v>36496.686917501516</v>
      </c>
      <c r="AD272" s="453">
        <f t="shared" si="310"/>
        <v>36944.466548383905</v>
      </c>
      <c r="AE272" s="453">
        <f t="shared" si="310"/>
        <v>37526.138793610335</v>
      </c>
      <c r="AF272" s="453">
        <f t="shared" si="310"/>
        <v>38890.293453783153</v>
      </c>
      <c r="AG272" s="453">
        <f t="shared" si="310"/>
        <v>40581.532561227978</v>
      </c>
      <c r="AH272" s="453">
        <f t="shared" si="310"/>
        <v>43083.895127427772</v>
      </c>
      <c r="AI272" s="453">
        <f t="shared" si="310"/>
        <v>46742.833184973511</v>
      </c>
      <c r="AJ272" s="453">
        <f t="shared" si="310"/>
        <v>51718.757009774708</v>
      </c>
      <c r="AK272" s="453">
        <f t="shared" si="310"/>
        <v>57444.124051783656</v>
      </c>
      <c r="AL272" s="453">
        <f t="shared" si="310"/>
        <v>64981.882092569635</v>
      </c>
      <c r="AM272" s="453">
        <f t="shared" si="310"/>
        <v>89198.686125918917</v>
      </c>
      <c r="AN272" s="453">
        <f t="shared" si="310"/>
        <v>75247.537943107614</v>
      </c>
      <c r="AO272" s="453">
        <f t="shared" si="310"/>
        <v>75848.411660478436</v>
      </c>
      <c r="AP272" s="453">
        <f t="shared" si="310"/>
        <v>76690.153839572173</v>
      </c>
      <c r="AQ272" s="453">
        <f t="shared" si="310"/>
        <v>77459.021232605737</v>
      </c>
      <c r="AR272" s="453">
        <f t="shared" si="310"/>
        <v>78375.463668142591</v>
      </c>
      <c r="AS272" s="453">
        <f t="shared" si="310"/>
        <v>78802.822302612563</v>
      </c>
      <c r="AT272" s="453">
        <f t="shared" si="310"/>
        <v>188410.84936429397</v>
      </c>
      <c r="AU272" s="453">
        <f t="shared" si="310"/>
        <v>188772.07217223092</v>
      </c>
      <c r="AV272" s="453">
        <f t="shared" si="310"/>
        <v>189114.35296921036</v>
      </c>
      <c r="AW272" s="453">
        <f t="shared" si="310"/>
        <v>188757.30892537074</v>
      </c>
      <c r="AX272" s="453">
        <f t="shared" si="310"/>
        <v>203167.43662351585</v>
      </c>
      <c r="AY272" s="453">
        <f t="shared" si="310"/>
        <v>202952.72587694094</v>
      </c>
      <c r="AZ272" s="453">
        <f t="shared" si="310"/>
        <v>202825.76667157147</v>
      </c>
      <c r="BA272" s="453">
        <f t="shared" si="310"/>
        <v>202488.8956447104</v>
      </c>
      <c r="BB272" s="453">
        <f t="shared" si="310"/>
        <v>202238.56149674815</v>
      </c>
      <c r="BC272" s="453">
        <f t="shared" si="310"/>
        <v>201975.08480601796</v>
      </c>
      <c r="BD272" s="453">
        <f t="shared" si="310"/>
        <v>0</v>
      </c>
      <c r="BE272" s="453">
        <f t="shared" si="310"/>
        <v>0</v>
      </c>
      <c r="BF272" s="453">
        <f t="shared" si="310"/>
        <v>0</v>
      </c>
      <c r="BG272" s="453">
        <f t="shared" si="310"/>
        <v>0</v>
      </c>
      <c r="BH272" s="453">
        <f t="shared" si="310"/>
        <v>0</v>
      </c>
      <c r="BI272" s="453">
        <f t="shared" si="310"/>
        <v>0</v>
      </c>
      <c r="BJ272" s="453">
        <f t="shared" si="310"/>
        <v>0</v>
      </c>
      <c r="BK272" s="453"/>
      <c r="BL272" s="453"/>
      <c r="BM272" s="453"/>
      <c r="BN272" s="453"/>
      <c r="BO272" s="453"/>
      <c r="BP272" s="453"/>
      <c r="BQ272" s="453"/>
      <c r="BR272" s="453"/>
      <c r="BS272" s="453"/>
      <c r="BT272" s="453"/>
      <c r="BU272" s="453"/>
    </row>
    <row r="273" spans="1:73" x14ac:dyDescent="0.2">
      <c r="A273" s="299"/>
      <c r="B273" s="439"/>
      <c r="C273" s="299"/>
      <c r="D273" s="299"/>
      <c r="E273" s="299"/>
      <c r="F273" s="299"/>
      <c r="G273" s="299"/>
      <c r="H273" s="299"/>
      <c r="I273" s="299"/>
      <c r="J273" s="299"/>
      <c r="K273" s="410"/>
      <c r="L273" s="299"/>
      <c r="M273" s="299"/>
      <c r="N273" s="299"/>
      <c r="O273" s="299"/>
      <c r="P273" s="299"/>
      <c r="Q273" s="299"/>
      <c r="R273" s="299"/>
      <c r="S273" s="299"/>
      <c r="T273" s="299"/>
      <c r="U273" s="299"/>
      <c r="V273" s="299"/>
      <c r="W273" s="299"/>
      <c r="X273" s="299"/>
      <c r="Y273" s="299"/>
      <c r="Z273" s="299"/>
      <c r="AA273" s="299"/>
      <c r="AB273" s="299"/>
      <c r="AC273" s="299"/>
      <c r="AD273" s="299"/>
      <c r="AE273" s="299"/>
      <c r="AF273" s="299"/>
      <c r="AG273" s="299"/>
      <c r="AH273" s="299"/>
      <c r="AI273" s="299"/>
      <c r="AJ273" s="299"/>
      <c r="AK273" s="299"/>
      <c r="AL273" s="299"/>
      <c r="AM273" s="299"/>
      <c r="AN273" s="299"/>
      <c r="AO273" s="299"/>
      <c r="AP273" s="299"/>
      <c r="AQ273" s="299"/>
      <c r="AR273" s="299"/>
      <c r="AS273" s="299"/>
      <c r="AT273" s="299"/>
      <c r="AU273" s="299"/>
      <c r="AV273" s="299"/>
      <c r="AW273" s="299"/>
      <c r="AX273" s="299"/>
      <c r="AY273" s="299"/>
      <c r="AZ273" s="299"/>
      <c r="BA273" s="299"/>
      <c r="BB273" s="299"/>
      <c r="BC273" s="299"/>
      <c r="BD273" s="299"/>
      <c r="BE273" s="299"/>
      <c r="BF273" s="299"/>
      <c r="BG273" s="299"/>
      <c r="BH273" s="299"/>
      <c r="BI273" s="299"/>
      <c r="BJ273" s="299"/>
      <c r="BK273" s="299"/>
      <c r="BL273" s="299"/>
      <c r="BM273" s="299"/>
      <c r="BN273" s="299"/>
      <c r="BO273" s="299"/>
      <c r="BP273" s="299"/>
      <c r="BQ273" s="299"/>
      <c r="BR273" s="299"/>
      <c r="BS273" s="299"/>
      <c r="BT273" s="299"/>
      <c r="BU273" s="299"/>
    </row>
    <row r="274" spans="1:73" x14ac:dyDescent="0.2">
      <c r="A274" s="299"/>
      <c r="B274" s="299"/>
      <c r="C274" s="299" t="s">
        <v>135</v>
      </c>
      <c r="D274" s="299"/>
      <c r="E274" s="299"/>
      <c r="F274" s="299"/>
      <c r="G274" s="299"/>
      <c r="H274" s="299"/>
      <c r="I274" s="299"/>
      <c r="J274" s="299"/>
      <c r="K274" s="410"/>
      <c r="L274" s="299"/>
      <c r="M274" s="299"/>
      <c r="N274" s="417"/>
      <c r="O274" s="299"/>
      <c r="P274" s="299"/>
      <c r="Q274" s="417"/>
      <c r="R274" s="417">
        <f t="shared" ref="R274:AO274" si="311">+Q278</f>
        <v>0</v>
      </c>
      <c r="S274" s="417">
        <f t="shared" si="311"/>
        <v>40000</v>
      </c>
      <c r="T274" s="417">
        <f t="shared" si="311"/>
        <v>40000</v>
      </c>
      <c r="U274" s="417">
        <f t="shared" si="311"/>
        <v>26879.103090938956</v>
      </c>
      <c r="V274" s="417">
        <f t="shared" si="311"/>
        <v>30002.865623482852</v>
      </c>
      <c r="W274" s="417">
        <f t="shared" si="311"/>
        <v>31746.605478152331</v>
      </c>
      <c r="X274" s="417">
        <f t="shared" si="311"/>
        <v>32030.484547014006</v>
      </c>
      <c r="Y274" s="417">
        <f t="shared" si="311"/>
        <v>32428.840003345693</v>
      </c>
      <c r="Z274" s="417">
        <f t="shared" si="311"/>
        <v>32962.846902482386</v>
      </c>
      <c r="AA274" s="417">
        <f t="shared" si="311"/>
        <v>34016.177323830176</v>
      </c>
      <c r="AB274" s="417">
        <f t="shared" si="311"/>
        <v>35045.816012695825</v>
      </c>
      <c r="AC274" s="417">
        <f t="shared" si="311"/>
        <v>35944.544872108192</v>
      </c>
      <c r="AD274" s="417">
        <f t="shared" si="311"/>
        <v>36496.686917501516</v>
      </c>
      <c r="AE274" s="417">
        <f t="shared" si="311"/>
        <v>36944.466548383905</v>
      </c>
      <c r="AF274" s="417">
        <f t="shared" si="311"/>
        <v>37526.138793610335</v>
      </c>
      <c r="AG274" s="417">
        <f t="shared" si="311"/>
        <v>38890.293453783153</v>
      </c>
      <c r="AH274" s="417">
        <f t="shared" si="311"/>
        <v>40581.532561227978</v>
      </c>
      <c r="AI274" s="417">
        <f t="shared" si="311"/>
        <v>43083.895127427772</v>
      </c>
      <c r="AJ274" s="417">
        <f t="shared" si="311"/>
        <v>46742.833184973511</v>
      </c>
      <c r="AK274" s="417">
        <f t="shared" si="311"/>
        <v>51718.757009774708</v>
      </c>
      <c r="AL274" s="417">
        <f t="shared" si="311"/>
        <v>57444.124051783656</v>
      </c>
      <c r="AM274" s="417">
        <f t="shared" si="311"/>
        <v>64981.882092569635</v>
      </c>
      <c r="AN274" s="417">
        <f t="shared" si="311"/>
        <v>89198.686125918917</v>
      </c>
      <c r="AO274" s="417">
        <f t="shared" si="311"/>
        <v>75247.537943107614</v>
      </c>
      <c r="AP274" s="417">
        <f t="shared" ref="AP274:BJ274" si="312">+AO278</f>
        <v>75848.411660478436</v>
      </c>
      <c r="AQ274" s="417">
        <f t="shared" si="312"/>
        <v>76690.153839572173</v>
      </c>
      <c r="AR274" s="417">
        <f t="shared" si="312"/>
        <v>77459.021232605737</v>
      </c>
      <c r="AS274" s="417">
        <f t="shared" si="312"/>
        <v>78375.463668142591</v>
      </c>
      <c r="AT274" s="417">
        <f t="shared" si="312"/>
        <v>78802.822302612563</v>
      </c>
      <c r="AU274" s="417">
        <f t="shared" si="312"/>
        <v>188410.84936429397</v>
      </c>
      <c r="AV274" s="417">
        <f t="shared" si="312"/>
        <v>188772.07217223092</v>
      </c>
      <c r="AW274" s="417">
        <f t="shared" si="312"/>
        <v>189114.35296921036</v>
      </c>
      <c r="AX274" s="417">
        <f t="shared" si="312"/>
        <v>188757.30892537074</v>
      </c>
      <c r="AY274" s="417">
        <f t="shared" si="312"/>
        <v>203167.43662351585</v>
      </c>
      <c r="AZ274" s="417">
        <f t="shared" si="312"/>
        <v>202952.72587694094</v>
      </c>
      <c r="BA274" s="417">
        <f t="shared" si="312"/>
        <v>202825.76667157147</v>
      </c>
      <c r="BB274" s="417">
        <f t="shared" si="312"/>
        <v>202488.8956447104</v>
      </c>
      <c r="BC274" s="417">
        <f t="shared" si="312"/>
        <v>202238.56149674815</v>
      </c>
      <c r="BD274" s="417">
        <f t="shared" si="312"/>
        <v>201975.08480601796</v>
      </c>
      <c r="BE274" s="417">
        <f t="shared" si="312"/>
        <v>0</v>
      </c>
      <c r="BF274" s="417">
        <f t="shared" si="312"/>
        <v>0</v>
      </c>
      <c r="BG274" s="417">
        <f t="shared" si="312"/>
        <v>0</v>
      </c>
      <c r="BH274" s="417">
        <f t="shared" si="312"/>
        <v>0</v>
      </c>
      <c r="BI274" s="417">
        <f t="shared" si="312"/>
        <v>0</v>
      </c>
      <c r="BJ274" s="417">
        <f t="shared" si="312"/>
        <v>0</v>
      </c>
      <c r="BK274" s="417"/>
      <c r="BL274" s="417"/>
      <c r="BM274" s="417"/>
      <c r="BN274" s="417"/>
      <c r="BO274" s="417"/>
      <c r="BP274" s="417"/>
      <c r="BQ274" s="417"/>
      <c r="BR274" s="417"/>
      <c r="BS274" s="417"/>
      <c r="BT274" s="417"/>
      <c r="BU274" s="417"/>
    </row>
    <row r="275" spans="1:73" x14ac:dyDescent="0.2">
      <c r="A275" s="299"/>
      <c r="B275" s="299"/>
      <c r="C275" s="299" t="s">
        <v>241</v>
      </c>
      <c r="D275" s="299"/>
      <c r="E275" s="299"/>
      <c r="F275" s="299"/>
      <c r="G275" s="299"/>
      <c r="H275" s="299"/>
      <c r="I275" s="299"/>
      <c r="J275" s="299"/>
      <c r="K275" s="410" t="s">
        <v>62</v>
      </c>
      <c r="L275" s="299"/>
      <c r="M275" s="299"/>
      <c r="N275" s="416">
        <f>R278</f>
        <v>40000</v>
      </c>
      <c r="O275" s="417"/>
      <c r="P275" s="417"/>
      <c r="Q275" s="417"/>
      <c r="R275" s="417"/>
      <c r="S275" s="417"/>
      <c r="T275" s="417"/>
      <c r="U275" s="417"/>
      <c r="V275" s="417"/>
      <c r="W275" s="417"/>
      <c r="X275" s="417"/>
      <c r="Y275" s="417"/>
      <c r="Z275" s="417"/>
      <c r="AA275" s="417"/>
      <c r="AB275" s="417"/>
      <c r="AC275" s="417"/>
      <c r="AD275" s="417"/>
      <c r="AE275" s="417"/>
      <c r="AF275" s="417"/>
      <c r="AG275" s="417"/>
      <c r="AH275" s="417"/>
      <c r="AI275" s="417"/>
      <c r="AJ275" s="417"/>
      <c r="AK275" s="417"/>
      <c r="AL275" s="417"/>
      <c r="AM275" s="417"/>
      <c r="AN275" s="417"/>
      <c r="AO275" s="417"/>
      <c r="AP275" s="417"/>
      <c r="AQ275" s="417"/>
      <c r="AR275" s="417"/>
      <c r="AS275" s="417"/>
      <c r="AT275" s="417"/>
      <c r="AU275" s="417"/>
      <c r="AV275" s="417"/>
      <c r="AW275" s="417"/>
      <c r="AX275" s="417"/>
      <c r="AY275" s="417"/>
      <c r="AZ275" s="417"/>
      <c r="BA275" s="417"/>
      <c r="BB275" s="417"/>
      <c r="BC275" s="417"/>
      <c r="BD275" s="417"/>
      <c r="BE275" s="417"/>
      <c r="BF275" s="417"/>
      <c r="BG275" s="417"/>
      <c r="BH275" s="417"/>
      <c r="BI275" s="417"/>
      <c r="BJ275" s="417"/>
      <c r="BK275" s="417"/>
      <c r="BL275" s="417"/>
      <c r="BM275" s="417"/>
      <c r="BN275" s="417"/>
      <c r="BO275" s="417"/>
      <c r="BP275" s="417"/>
      <c r="BQ275" s="417"/>
      <c r="BR275" s="417"/>
      <c r="BS275" s="417"/>
      <c r="BT275" s="417"/>
      <c r="BU275" s="417"/>
    </row>
    <row r="276" spans="1:73" x14ac:dyDescent="0.2">
      <c r="A276" s="299"/>
      <c r="B276" s="299"/>
      <c r="C276" s="299" t="s">
        <v>242</v>
      </c>
      <c r="D276" s="299"/>
      <c r="E276" s="299"/>
      <c r="F276" s="299"/>
      <c r="G276" s="299"/>
      <c r="H276" s="299"/>
      <c r="I276" s="299"/>
      <c r="J276" s="299"/>
      <c r="K276" s="410" t="s">
        <v>62</v>
      </c>
      <c r="L276" s="299"/>
      <c r="M276" s="299"/>
      <c r="N276" s="417">
        <f>SUM(Q276:BJ276)</f>
        <v>190596.52575922781</v>
      </c>
      <c r="O276" s="417"/>
      <c r="P276" s="417"/>
      <c r="Q276" s="417"/>
      <c r="R276" s="417">
        <f t="shared" ref="R276:BJ276" si="313">MAX(0,MIN(R269,R272-R274)) * R257 * R12*(R257)</f>
        <v>0</v>
      </c>
      <c r="S276" s="417">
        <f t="shared" si="313"/>
        <v>0</v>
      </c>
      <c r="T276" s="417">
        <f t="shared" si="313"/>
        <v>0</v>
      </c>
      <c r="U276" s="417">
        <f t="shared" si="313"/>
        <v>3123.7625325438967</v>
      </c>
      <c r="V276" s="417">
        <f t="shared" si="313"/>
        <v>1743.7398546694785</v>
      </c>
      <c r="W276" s="417">
        <f t="shared" si="313"/>
        <v>283.87906886167548</v>
      </c>
      <c r="X276" s="417">
        <f t="shared" si="313"/>
        <v>398.35545633168658</v>
      </c>
      <c r="Y276" s="417">
        <f t="shared" si="313"/>
        <v>534.00689913669339</v>
      </c>
      <c r="Z276" s="417">
        <f t="shared" si="313"/>
        <v>1053.3304213477895</v>
      </c>
      <c r="AA276" s="417">
        <f t="shared" si="313"/>
        <v>1029.6386888656489</v>
      </c>
      <c r="AB276" s="417">
        <f t="shared" si="313"/>
        <v>898.72885941236746</v>
      </c>
      <c r="AC276" s="417">
        <f t="shared" si="313"/>
        <v>552.14204539332422</v>
      </c>
      <c r="AD276" s="417">
        <f t="shared" si="313"/>
        <v>447.77963088238903</v>
      </c>
      <c r="AE276" s="417">
        <f t="shared" si="313"/>
        <v>581.67224522642937</v>
      </c>
      <c r="AF276" s="417">
        <f t="shared" si="313"/>
        <v>1364.1546601728187</v>
      </c>
      <c r="AG276" s="417">
        <f t="shared" si="313"/>
        <v>1691.2391074448242</v>
      </c>
      <c r="AH276" s="417">
        <f t="shared" si="313"/>
        <v>2502.3625661997939</v>
      </c>
      <c r="AI276" s="417">
        <f t="shared" si="313"/>
        <v>3658.9380575457399</v>
      </c>
      <c r="AJ276" s="417">
        <f t="shared" si="313"/>
        <v>4975.923824801197</v>
      </c>
      <c r="AK276" s="417">
        <f t="shared" si="313"/>
        <v>5725.3670420089475</v>
      </c>
      <c r="AL276" s="417">
        <f t="shared" si="313"/>
        <v>7537.7580407859787</v>
      </c>
      <c r="AM276" s="417">
        <f t="shared" si="313"/>
        <v>24216.804033349283</v>
      </c>
      <c r="AN276" s="417">
        <f t="shared" si="313"/>
        <v>0</v>
      </c>
      <c r="AO276" s="417">
        <f t="shared" si="313"/>
        <v>600.8737173708214</v>
      </c>
      <c r="AP276" s="417">
        <f t="shared" si="313"/>
        <v>841.74217909373692</v>
      </c>
      <c r="AQ276" s="417">
        <f t="shared" si="313"/>
        <v>768.86739303356444</v>
      </c>
      <c r="AR276" s="417">
        <f t="shared" si="313"/>
        <v>916.44243553685374</v>
      </c>
      <c r="AS276" s="417">
        <f t="shared" si="313"/>
        <v>427.35863446997246</v>
      </c>
      <c r="AT276" s="417">
        <f t="shared" si="313"/>
        <v>109608.02706168141</v>
      </c>
      <c r="AU276" s="417">
        <f t="shared" si="313"/>
        <v>361.22280793695245</v>
      </c>
      <c r="AV276" s="417">
        <f t="shared" si="313"/>
        <v>342.28079697943758</v>
      </c>
      <c r="AW276" s="417">
        <f t="shared" si="313"/>
        <v>0</v>
      </c>
      <c r="AX276" s="417">
        <f t="shared" si="313"/>
        <v>14410.127698145108</v>
      </c>
      <c r="AY276" s="417">
        <f t="shared" si="313"/>
        <v>0</v>
      </c>
      <c r="AZ276" s="417">
        <f t="shared" si="313"/>
        <v>0</v>
      </c>
      <c r="BA276" s="417">
        <f t="shared" si="313"/>
        <v>0</v>
      </c>
      <c r="BB276" s="417">
        <f t="shared" si="313"/>
        <v>0</v>
      </c>
      <c r="BC276" s="417">
        <f t="shared" si="313"/>
        <v>0</v>
      </c>
      <c r="BD276" s="417">
        <f t="shared" si="313"/>
        <v>0</v>
      </c>
      <c r="BE276" s="417">
        <f t="shared" si="313"/>
        <v>0</v>
      </c>
      <c r="BF276" s="417">
        <f t="shared" si="313"/>
        <v>0</v>
      </c>
      <c r="BG276" s="417">
        <f t="shared" si="313"/>
        <v>0</v>
      </c>
      <c r="BH276" s="417">
        <f t="shared" si="313"/>
        <v>0</v>
      </c>
      <c r="BI276" s="417">
        <f t="shared" si="313"/>
        <v>0</v>
      </c>
      <c r="BJ276" s="417">
        <f t="shared" si="313"/>
        <v>0</v>
      </c>
      <c r="BK276" s="417"/>
      <c r="BL276" s="417"/>
      <c r="BM276" s="417"/>
      <c r="BN276" s="417"/>
      <c r="BO276" s="417"/>
      <c r="BP276" s="417"/>
      <c r="BQ276" s="417"/>
      <c r="BR276" s="417"/>
      <c r="BS276" s="417"/>
      <c r="BT276" s="417"/>
      <c r="BU276" s="417"/>
    </row>
    <row r="277" spans="1:73" ht="13.5" thickBot="1" x14ac:dyDescent="0.25">
      <c r="A277" s="299"/>
      <c r="B277" s="299"/>
      <c r="C277" s="299" t="s">
        <v>243</v>
      </c>
      <c r="D277" s="299"/>
      <c r="E277" s="299"/>
      <c r="F277" s="299"/>
      <c r="G277" s="299"/>
      <c r="H277" s="299"/>
      <c r="I277" s="299"/>
      <c r="J277" s="299"/>
      <c r="K277" s="410" t="s">
        <v>62</v>
      </c>
      <c r="L277" s="299"/>
      <c r="M277" s="299"/>
      <c r="N277" s="417">
        <f>SUM(Q277:BJ277)</f>
        <v>-230596.52575922781</v>
      </c>
      <c r="O277" s="417"/>
      <c r="P277" s="417"/>
      <c r="Q277" s="417"/>
      <c r="R277" s="417">
        <f t="shared" ref="R277:BJ277" si="314">IF(R258=1,-SUM(R274:R276),-MAX(0,R274-R272)*R257-SUM(R274:R276)*R258)</f>
        <v>0</v>
      </c>
      <c r="S277" s="417">
        <f t="shared" si="314"/>
        <v>0</v>
      </c>
      <c r="T277" s="417">
        <f t="shared" si="314"/>
        <v>-13120.896909061044</v>
      </c>
      <c r="U277" s="417">
        <f t="shared" si="314"/>
        <v>0</v>
      </c>
      <c r="V277" s="417">
        <f t="shared" si="314"/>
        <v>0</v>
      </c>
      <c r="W277" s="417">
        <f t="shared" si="314"/>
        <v>0</v>
      </c>
      <c r="X277" s="417">
        <f t="shared" si="314"/>
        <v>0</v>
      </c>
      <c r="Y277" s="417">
        <f t="shared" si="314"/>
        <v>0</v>
      </c>
      <c r="Z277" s="417">
        <f t="shared" si="314"/>
        <v>0</v>
      </c>
      <c r="AA277" s="417">
        <f t="shared" si="314"/>
        <v>0</v>
      </c>
      <c r="AB277" s="417">
        <f t="shared" si="314"/>
        <v>0</v>
      </c>
      <c r="AC277" s="417">
        <f t="shared" si="314"/>
        <v>0</v>
      </c>
      <c r="AD277" s="417">
        <f t="shared" si="314"/>
        <v>0</v>
      </c>
      <c r="AE277" s="417">
        <f t="shared" si="314"/>
        <v>0</v>
      </c>
      <c r="AF277" s="417">
        <f t="shared" si="314"/>
        <v>0</v>
      </c>
      <c r="AG277" s="417">
        <f t="shared" si="314"/>
        <v>0</v>
      </c>
      <c r="AH277" s="417">
        <f t="shared" si="314"/>
        <v>0</v>
      </c>
      <c r="AI277" s="417">
        <f t="shared" si="314"/>
        <v>0</v>
      </c>
      <c r="AJ277" s="417">
        <f t="shared" si="314"/>
        <v>0</v>
      </c>
      <c r="AK277" s="417">
        <f t="shared" si="314"/>
        <v>0</v>
      </c>
      <c r="AL277" s="417">
        <f t="shared" si="314"/>
        <v>0</v>
      </c>
      <c r="AM277" s="417">
        <f t="shared" si="314"/>
        <v>0</v>
      </c>
      <c r="AN277" s="417">
        <f t="shared" si="314"/>
        <v>-13951.148182811303</v>
      </c>
      <c r="AO277" s="417">
        <f t="shared" si="314"/>
        <v>0</v>
      </c>
      <c r="AP277" s="417">
        <f t="shared" si="314"/>
        <v>0</v>
      </c>
      <c r="AQ277" s="417">
        <f t="shared" si="314"/>
        <v>0</v>
      </c>
      <c r="AR277" s="417">
        <f t="shared" si="314"/>
        <v>0</v>
      </c>
      <c r="AS277" s="417">
        <f t="shared" si="314"/>
        <v>0</v>
      </c>
      <c r="AT277" s="417">
        <f t="shared" si="314"/>
        <v>0</v>
      </c>
      <c r="AU277" s="417">
        <f t="shared" si="314"/>
        <v>0</v>
      </c>
      <c r="AV277" s="417">
        <f t="shared" si="314"/>
        <v>0</v>
      </c>
      <c r="AW277" s="417">
        <f t="shared" si="314"/>
        <v>-357.0440438396181</v>
      </c>
      <c r="AX277" s="417">
        <f t="shared" si="314"/>
        <v>0</v>
      </c>
      <c r="AY277" s="417">
        <f t="shared" si="314"/>
        <v>-214.71074657491408</v>
      </c>
      <c r="AZ277" s="417">
        <f t="shared" si="314"/>
        <v>-126.95920536946505</v>
      </c>
      <c r="BA277" s="417">
        <f t="shared" si="314"/>
        <v>-336.87102686107391</v>
      </c>
      <c r="BB277" s="417">
        <f t="shared" si="314"/>
        <v>-250.33414796224679</v>
      </c>
      <c r="BC277" s="417">
        <f t="shared" si="314"/>
        <v>-263.47669073019642</v>
      </c>
      <c r="BD277" s="417">
        <f t="shared" si="314"/>
        <v>-201975.08480601796</v>
      </c>
      <c r="BE277" s="417">
        <f t="shared" si="314"/>
        <v>0</v>
      </c>
      <c r="BF277" s="417">
        <f t="shared" si="314"/>
        <v>0</v>
      </c>
      <c r="BG277" s="417">
        <f t="shared" si="314"/>
        <v>0</v>
      </c>
      <c r="BH277" s="417">
        <f t="shared" si="314"/>
        <v>0</v>
      </c>
      <c r="BI277" s="417">
        <f t="shared" si="314"/>
        <v>0</v>
      </c>
      <c r="BJ277" s="417">
        <f t="shared" si="314"/>
        <v>0</v>
      </c>
      <c r="BK277" s="417"/>
      <c r="BL277" s="417"/>
      <c r="BM277" s="417"/>
      <c r="BN277" s="417"/>
      <c r="BO277" s="417"/>
      <c r="BP277" s="417"/>
      <c r="BQ277" s="417"/>
      <c r="BR277" s="417"/>
      <c r="BS277" s="417"/>
      <c r="BT277" s="417"/>
      <c r="BU277" s="417"/>
    </row>
    <row r="278" spans="1:73" ht="13.5" thickBot="1" x14ac:dyDescent="0.25">
      <c r="A278" s="299"/>
      <c r="B278" s="299"/>
      <c r="C278" s="299" t="s">
        <v>139</v>
      </c>
      <c r="D278" s="299"/>
      <c r="E278" s="299"/>
      <c r="F278" s="299"/>
      <c r="G278" s="299"/>
      <c r="H278" s="299"/>
      <c r="I278" s="299"/>
      <c r="J278" s="299"/>
      <c r="K278" s="410"/>
      <c r="L278" s="299"/>
      <c r="M278" s="299"/>
      <c r="N278" s="428">
        <f>IF(ROUND(SUM(N275:N277),2) = 0,0,1)</f>
        <v>0</v>
      </c>
      <c r="O278" s="417"/>
      <c r="P278" s="417"/>
      <c r="Q278" s="416"/>
      <c r="R278" s="416">
        <f>+Inputs!$L$195</f>
        <v>40000</v>
      </c>
      <c r="S278" s="417">
        <f t="shared" ref="S278:AO278" si="315">SUM(S274:S277)</f>
        <v>40000</v>
      </c>
      <c r="T278" s="417">
        <f t="shared" si="315"/>
        <v>26879.103090938956</v>
      </c>
      <c r="U278" s="417">
        <f t="shared" si="315"/>
        <v>30002.865623482852</v>
      </c>
      <c r="V278" s="417">
        <f t="shared" si="315"/>
        <v>31746.605478152331</v>
      </c>
      <c r="W278" s="417">
        <f t="shared" si="315"/>
        <v>32030.484547014006</v>
      </c>
      <c r="X278" s="417">
        <f t="shared" si="315"/>
        <v>32428.840003345693</v>
      </c>
      <c r="Y278" s="417">
        <f t="shared" si="315"/>
        <v>32962.846902482386</v>
      </c>
      <c r="Z278" s="417">
        <f t="shared" si="315"/>
        <v>34016.177323830176</v>
      </c>
      <c r="AA278" s="417">
        <f t="shared" si="315"/>
        <v>35045.816012695825</v>
      </c>
      <c r="AB278" s="417">
        <f t="shared" si="315"/>
        <v>35944.544872108192</v>
      </c>
      <c r="AC278" s="417">
        <f t="shared" si="315"/>
        <v>36496.686917501516</v>
      </c>
      <c r="AD278" s="417">
        <f t="shared" si="315"/>
        <v>36944.466548383905</v>
      </c>
      <c r="AE278" s="417">
        <f t="shared" si="315"/>
        <v>37526.138793610335</v>
      </c>
      <c r="AF278" s="417">
        <f t="shared" si="315"/>
        <v>38890.293453783153</v>
      </c>
      <c r="AG278" s="417">
        <f t="shared" si="315"/>
        <v>40581.532561227978</v>
      </c>
      <c r="AH278" s="417">
        <f t="shared" si="315"/>
        <v>43083.895127427772</v>
      </c>
      <c r="AI278" s="417">
        <f t="shared" si="315"/>
        <v>46742.833184973511</v>
      </c>
      <c r="AJ278" s="417">
        <f t="shared" si="315"/>
        <v>51718.757009774708</v>
      </c>
      <c r="AK278" s="417">
        <f t="shared" si="315"/>
        <v>57444.124051783656</v>
      </c>
      <c r="AL278" s="417">
        <f t="shared" si="315"/>
        <v>64981.882092569635</v>
      </c>
      <c r="AM278" s="417">
        <f t="shared" si="315"/>
        <v>89198.686125918917</v>
      </c>
      <c r="AN278" s="417">
        <f t="shared" si="315"/>
        <v>75247.537943107614</v>
      </c>
      <c r="AO278" s="417">
        <f t="shared" si="315"/>
        <v>75848.411660478436</v>
      </c>
      <c r="AP278" s="417">
        <f t="shared" ref="AP278:BJ278" si="316">SUM(AP274:AP277)</f>
        <v>76690.153839572173</v>
      </c>
      <c r="AQ278" s="417">
        <f t="shared" si="316"/>
        <v>77459.021232605737</v>
      </c>
      <c r="AR278" s="417">
        <f t="shared" si="316"/>
        <v>78375.463668142591</v>
      </c>
      <c r="AS278" s="417">
        <f t="shared" si="316"/>
        <v>78802.822302612563</v>
      </c>
      <c r="AT278" s="417">
        <f t="shared" si="316"/>
        <v>188410.84936429397</v>
      </c>
      <c r="AU278" s="417">
        <f t="shared" si="316"/>
        <v>188772.07217223092</v>
      </c>
      <c r="AV278" s="417">
        <f t="shared" si="316"/>
        <v>189114.35296921036</v>
      </c>
      <c r="AW278" s="417">
        <f t="shared" si="316"/>
        <v>188757.30892537074</v>
      </c>
      <c r="AX278" s="417">
        <f t="shared" si="316"/>
        <v>203167.43662351585</v>
      </c>
      <c r="AY278" s="417">
        <f t="shared" si="316"/>
        <v>202952.72587694094</v>
      </c>
      <c r="AZ278" s="417">
        <f t="shared" si="316"/>
        <v>202825.76667157147</v>
      </c>
      <c r="BA278" s="417">
        <f t="shared" si="316"/>
        <v>202488.8956447104</v>
      </c>
      <c r="BB278" s="417">
        <f t="shared" si="316"/>
        <v>202238.56149674815</v>
      </c>
      <c r="BC278" s="417">
        <f t="shared" si="316"/>
        <v>201975.08480601796</v>
      </c>
      <c r="BD278" s="417">
        <f t="shared" si="316"/>
        <v>0</v>
      </c>
      <c r="BE278" s="417">
        <f t="shared" si="316"/>
        <v>0</v>
      </c>
      <c r="BF278" s="417">
        <f t="shared" si="316"/>
        <v>0</v>
      </c>
      <c r="BG278" s="417">
        <f t="shared" si="316"/>
        <v>0</v>
      </c>
      <c r="BH278" s="417">
        <f t="shared" si="316"/>
        <v>0</v>
      </c>
      <c r="BI278" s="417">
        <f t="shared" si="316"/>
        <v>0</v>
      </c>
      <c r="BJ278" s="417">
        <f t="shared" si="316"/>
        <v>0</v>
      </c>
      <c r="BK278" s="417"/>
      <c r="BL278" s="417"/>
      <c r="BM278" s="417"/>
      <c r="BN278" s="417"/>
      <c r="BO278" s="417"/>
      <c r="BP278" s="417"/>
      <c r="BQ278" s="417"/>
      <c r="BR278" s="417"/>
      <c r="BS278" s="417"/>
      <c r="BT278" s="417"/>
      <c r="BU278" s="417"/>
    </row>
    <row r="279" spans="1:73" x14ac:dyDescent="0.2">
      <c r="A279" s="299"/>
      <c r="B279" s="299"/>
      <c r="C279" s="299"/>
      <c r="D279" s="299"/>
      <c r="E279" s="299"/>
      <c r="F279" s="299"/>
      <c r="G279" s="299"/>
      <c r="H279" s="299"/>
      <c r="I279" s="299"/>
      <c r="J279" s="299"/>
      <c r="K279" s="410"/>
      <c r="L279" s="299"/>
      <c r="M279" s="299"/>
      <c r="N279" s="417"/>
      <c r="O279" s="299"/>
      <c r="P279" s="299"/>
      <c r="Q279" s="299"/>
      <c r="R279" s="299"/>
      <c r="S279" s="299"/>
      <c r="T279" s="299"/>
      <c r="U279" s="299"/>
      <c r="V279" s="299"/>
      <c r="W279" s="299"/>
      <c r="X279" s="299"/>
      <c r="Y279" s="299"/>
      <c r="Z279" s="299"/>
      <c r="AA279" s="299"/>
      <c r="AB279" s="299"/>
      <c r="AC279" s="299"/>
      <c r="AD279" s="299"/>
      <c r="AE279" s="299"/>
      <c r="AF279" s="299"/>
      <c r="AG279" s="299"/>
      <c r="AH279" s="299"/>
      <c r="AI279" s="299"/>
      <c r="AJ279" s="299"/>
      <c r="AK279" s="299"/>
      <c r="AL279" s="299"/>
      <c r="AM279" s="299"/>
      <c r="AN279" s="299"/>
      <c r="AO279" s="299"/>
      <c r="AP279" s="299"/>
      <c r="AQ279" s="299"/>
      <c r="AR279" s="299"/>
      <c r="AS279" s="299"/>
      <c r="AT279" s="299"/>
      <c r="AU279" s="299"/>
      <c r="AV279" s="299"/>
      <c r="AW279" s="299"/>
      <c r="AX279" s="299"/>
      <c r="AY279" s="299"/>
      <c r="AZ279" s="299"/>
      <c r="BA279" s="299"/>
      <c r="BB279" s="299"/>
      <c r="BC279" s="299"/>
      <c r="BD279" s="299"/>
      <c r="BE279" s="299"/>
      <c r="BF279" s="299"/>
      <c r="BG279" s="299"/>
      <c r="BH279" s="299"/>
      <c r="BI279" s="299"/>
      <c r="BJ279" s="299"/>
      <c r="BK279" s="299"/>
      <c r="BL279" s="299"/>
      <c r="BM279" s="299"/>
      <c r="BN279" s="299"/>
      <c r="BO279" s="299"/>
      <c r="BP279" s="299"/>
      <c r="BQ279" s="299"/>
      <c r="BR279" s="299"/>
      <c r="BS279" s="299"/>
      <c r="BT279" s="299"/>
      <c r="BU279" s="299"/>
    </row>
    <row r="280" spans="1:73" ht="15.75" x14ac:dyDescent="0.25">
      <c r="A280" s="299"/>
      <c r="B280" s="299"/>
      <c r="C280" s="500" t="s">
        <v>314</v>
      </c>
      <c r="D280" s="299"/>
      <c r="E280" s="299"/>
      <c r="F280" s="299"/>
      <c r="G280" s="299"/>
      <c r="H280" s="299"/>
      <c r="I280" s="299"/>
      <c r="J280" s="299"/>
      <c r="K280" s="410"/>
      <c r="L280" s="299"/>
      <c r="M280" s="299"/>
      <c r="N280" s="505"/>
      <c r="O280" s="299"/>
      <c r="P280" s="299"/>
      <c r="Q280" s="299"/>
      <c r="R280" s="299"/>
      <c r="S280" s="299"/>
      <c r="T280" s="299"/>
      <c r="U280" s="299"/>
      <c r="V280" s="299"/>
      <c r="W280" s="299"/>
      <c r="X280" s="299"/>
      <c r="Y280" s="299"/>
      <c r="Z280" s="299"/>
      <c r="AA280" s="299"/>
      <c r="AB280" s="299"/>
      <c r="AC280" s="299"/>
      <c r="AD280" s="299"/>
      <c r="AE280" s="299"/>
      <c r="AF280" s="299"/>
      <c r="AG280" s="299"/>
      <c r="AH280" s="299"/>
      <c r="AI280" s="299"/>
      <c r="AJ280" s="299"/>
      <c r="AK280" s="299"/>
      <c r="AL280" s="299"/>
      <c r="AM280" s="299"/>
      <c r="AN280" s="299"/>
      <c r="AO280" s="299"/>
      <c r="AP280" s="299"/>
      <c r="AQ280" s="299"/>
      <c r="AR280" s="299"/>
      <c r="AS280" s="299"/>
      <c r="AT280" s="299"/>
      <c r="AU280" s="299"/>
      <c r="AV280" s="299"/>
      <c r="AW280" s="299"/>
      <c r="AX280" s="299"/>
      <c r="AY280" s="299"/>
      <c r="AZ280" s="299"/>
      <c r="BA280" s="299"/>
      <c r="BB280" s="299"/>
      <c r="BC280" s="299"/>
      <c r="BD280" s="299"/>
      <c r="BE280" s="299"/>
      <c r="BF280" s="299"/>
      <c r="BG280" s="299"/>
      <c r="BH280" s="299"/>
      <c r="BI280" s="299"/>
      <c r="BJ280" s="299"/>
      <c r="BK280" s="299"/>
      <c r="BL280" s="299"/>
      <c r="BM280" s="299"/>
      <c r="BN280" s="299"/>
      <c r="BO280" s="299"/>
      <c r="BP280" s="299"/>
      <c r="BQ280" s="299"/>
      <c r="BR280" s="299"/>
      <c r="BS280" s="299"/>
      <c r="BT280" s="299"/>
      <c r="BU280" s="299"/>
    </row>
    <row r="281" spans="1:73" x14ac:dyDescent="0.2">
      <c r="A281" s="299"/>
      <c r="B281" s="299"/>
      <c r="C281" s="355"/>
      <c r="D281" s="355"/>
      <c r="E281" s="355"/>
      <c r="F281" s="355"/>
      <c r="G281" s="355"/>
      <c r="H281" s="355"/>
      <c r="I281" s="355"/>
      <c r="J281" s="355"/>
      <c r="K281" s="631"/>
      <c r="L281" s="441"/>
      <c r="M281" s="299"/>
      <c r="N281" s="505"/>
      <c r="O281" s="299"/>
      <c r="P281" s="299"/>
      <c r="Q281" s="299"/>
      <c r="R281" s="299"/>
      <c r="S281" s="299"/>
      <c r="T281" s="299"/>
      <c r="U281" s="299"/>
      <c r="V281" s="299"/>
      <c r="W281" s="299"/>
      <c r="X281" s="299"/>
      <c r="Y281" s="299"/>
      <c r="Z281" s="299"/>
      <c r="AA281" s="299"/>
      <c r="AB281" s="299"/>
      <c r="AC281" s="299"/>
      <c r="AD281" s="299"/>
      <c r="AE281" s="299"/>
      <c r="AF281" s="299"/>
      <c r="AG281" s="299"/>
      <c r="AH281" s="299"/>
      <c r="AI281" s="299"/>
      <c r="AJ281" s="299"/>
      <c r="AK281" s="299"/>
      <c r="AL281" s="299"/>
      <c r="AM281" s="299"/>
      <c r="AN281" s="299"/>
      <c r="AO281" s="299"/>
      <c r="AP281" s="299"/>
      <c r="AQ281" s="299"/>
      <c r="AR281" s="299"/>
      <c r="AS281" s="299"/>
      <c r="AT281" s="299"/>
      <c r="AU281" s="299"/>
      <c r="AV281" s="299"/>
      <c r="AW281" s="299"/>
      <c r="AX281" s="299"/>
      <c r="AY281" s="299"/>
      <c r="AZ281" s="299"/>
      <c r="BA281" s="299"/>
      <c r="BB281" s="299"/>
      <c r="BC281" s="299"/>
      <c r="BD281" s="299"/>
      <c r="BE281" s="299"/>
      <c r="BF281" s="299"/>
      <c r="BG281" s="299"/>
      <c r="BH281" s="299"/>
      <c r="BI281" s="299"/>
      <c r="BJ281" s="299"/>
      <c r="BK281" s="299"/>
      <c r="BL281" s="299"/>
      <c r="BM281" s="299"/>
      <c r="BN281" s="299"/>
      <c r="BO281" s="299"/>
      <c r="BP281" s="299"/>
      <c r="BQ281" s="299"/>
      <c r="BR281" s="299"/>
      <c r="BS281" s="299"/>
      <c r="BT281" s="299"/>
      <c r="BU281" s="299"/>
    </row>
    <row r="282" spans="1:73" x14ac:dyDescent="0.2">
      <c r="A282" s="299"/>
      <c r="B282" s="299"/>
      <c r="C282" s="215" t="s">
        <v>312</v>
      </c>
      <c r="D282" s="299"/>
      <c r="E282" s="299"/>
      <c r="F282" s="299"/>
      <c r="G282" s="299"/>
      <c r="H282" s="299"/>
      <c r="I282" s="299"/>
      <c r="J282" s="299"/>
      <c r="K282" s="636" t="s">
        <v>50</v>
      </c>
      <c r="L282" s="299"/>
      <c r="M282" s="299"/>
      <c r="N282" s="505"/>
      <c r="O282" s="299"/>
      <c r="P282" s="299"/>
      <c r="Q282" s="414"/>
      <c r="R282" s="414">
        <f>IF(R7=Inputs!$L$118,1,0)</f>
        <v>0</v>
      </c>
      <c r="S282" s="414">
        <f>IF(S7=Inputs!$L$118,1,0)</f>
        <v>0</v>
      </c>
      <c r="T282" s="414">
        <f>IF(T7=Inputs!$L$118,1,0)</f>
        <v>0</v>
      </c>
      <c r="U282" s="414">
        <f>IF(U7=Inputs!$L$118,1,0)</f>
        <v>0</v>
      </c>
      <c r="V282" s="414">
        <f>IF(V7=Inputs!$L$118,1,0)</f>
        <v>0</v>
      </c>
      <c r="W282" s="414">
        <f>IF(W7=Inputs!$L$118,1,0)</f>
        <v>0</v>
      </c>
      <c r="X282" s="414">
        <f>IF(X7=Inputs!$L$118,1,0)</f>
        <v>0</v>
      </c>
      <c r="Y282" s="414">
        <f>IF(Y7=Inputs!$L$118,1,0)</f>
        <v>0</v>
      </c>
      <c r="Z282" s="414">
        <f>IF(Z7=Inputs!$L$118,1,0)</f>
        <v>0</v>
      </c>
      <c r="AA282" s="414">
        <f>IF(AA7=Inputs!$L$118,1,0)</f>
        <v>0</v>
      </c>
      <c r="AB282" s="414">
        <f>IF(AB7=Inputs!$L$118,1,0)</f>
        <v>0</v>
      </c>
      <c r="AC282" s="414">
        <f>IF(AC7=Inputs!$L$118,1,0)</f>
        <v>0</v>
      </c>
      <c r="AD282" s="414">
        <f>IF(AD7=Inputs!$L$118,1,0)</f>
        <v>0</v>
      </c>
      <c r="AE282" s="414">
        <f>IF(AE7=Inputs!$L$118,1,0)</f>
        <v>0</v>
      </c>
      <c r="AF282" s="414">
        <f>IF(AF7=Inputs!$L$118,1,0)</f>
        <v>0</v>
      </c>
      <c r="AG282" s="414">
        <f>IF(AG7=Inputs!$L$118,1,0)</f>
        <v>0</v>
      </c>
      <c r="AH282" s="414">
        <f>IF(AH7=Inputs!$L$118,1,0)</f>
        <v>0</v>
      </c>
      <c r="AI282" s="414">
        <f>IF(AI7=Inputs!$L$118,1,0)</f>
        <v>0</v>
      </c>
      <c r="AJ282" s="414">
        <f>IF(AJ7=Inputs!$L$118,1,0)</f>
        <v>0</v>
      </c>
      <c r="AK282" s="414">
        <f>IF(AK7=Inputs!$L$118,1,0)</f>
        <v>0</v>
      </c>
      <c r="AL282" s="414">
        <f>IF(AL7=Inputs!$L$118,1,0)</f>
        <v>0</v>
      </c>
      <c r="AM282" s="414">
        <f>IF(AM7=Inputs!$L$118,1,0)</f>
        <v>0</v>
      </c>
      <c r="AN282" s="414">
        <f>IF(AN7=Inputs!$L$118,1,0)</f>
        <v>0</v>
      </c>
      <c r="AO282" s="414">
        <f>IF(AO7=Inputs!$L$118,1,0)</f>
        <v>0</v>
      </c>
      <c r="AP282" s="414">
        <f>IF(AP7=Inputs!$L$118,1,0)</f>
        <v>0</v>
      </c>
      <c r="AQ282" s="414">
        <f>IF(AQ7=Inputs!$L$118,1,0)</f>
        <v>0</v>
      </c>
      <c r="AR282" s="414">
        <f>IF(AR7=Inputs!$L$118,1,0)</f>
        <v>0</v>
      </c>
      <c r="AS282" s="414">
        <f>IF(AS7=Inputs!$L$118,1,0)</f>
        <v>0</v>
      </c>
      <c r="AT282" s="414">
        <f>IF(AT7=Inputs!$L$118,1,0)</f>
        <v>0</v>
      </c>
      <c r="AU282" s="414">
        <f>IF(AU7=Inputs!$L$118,1,0)</f>
        <v>0</v>
      </c>
      <c r="AV282" s="414">
        <f>IF(AV7=Inputs!$L$118,1,0)</f>
        <v>0</v>
      </c>
      <c r="AW282" s="414">
        <f>IF(AW7=Inputs!$L$118,1,0)</f>
        <v>0</v>
      </c>
      <c r="AX282" s="414">
        <f>IF(AX7=Inputs!$L$118,1,0)</f>
        <v>0</v>
      </c>
      <c r="AY282" s="414">
        <f>IF(AY7=Inputs!$L$118,1,0)</f>
        <v>0</v>
      </c>
      <c r="AZ282" s="414">
        <f>IF(AZ7=Inputs!$L$118,1,0)</f>
        <v>0</v>
      </c>
      <c r="BA282" s="414">
        <f>IF(BA7=Inputs!$L$118,1,0)</f>
        <v>0</v>
      </c>
      <c r="BB282" s="414">
        <f>IF(BB7=Inputs!$L$118,1,0)</f>
        <v>0</v>
      </c>
      <c r="BC282" s="414">
        <f>IF(BC7=Inputs!$L$118,1,0)</f>
        <v>0</v>
      </c>
      <c r="BD282" s="414">
        <f>IF(BD7=Inputs!$L$118,1,0)</f>
        <v>0</v>
      </c>
      <c r="BE282" s="414">
        <f>IF(BE7=Inputs!$L$118,1,0)</f>
        <v>1</v>
      </c>
      <c r="BF282" s="414">
        <f>IF(BF7=Inputs!$L$118,1,0)</f>
        <v>0</v>
      </c>
      <c r="BG282" s="414">
        <f>IF(BG7=Inputs!$L$118,1,0)</f>
        <v>0</v>
      </c>
      <c r="BH282" s="414">
        <f>IF(BH7=Inputs!$L$118,1,0)</f>
        <v>0</v>
      </c>
      <c r="BI282" s="414">
        <f>IF(BI7=Inputs!$L$118,1,0)</f>
        <v>0</v>
      </c>
      <c r="BJ282" s="414">
        <f>IF(BJ7=Inputs!$L$118,1,0)</f>
        <v>0</v>
      </c>
      <c r="BK282" s="414"/>
      <c r="BL282" s="414"/>
      <c r="BM282" s="414"/>
      <c r="BN282" s="414"/>
      <c r="BO282" s="414"/>
      <c r="BP282" s="414"/>
      <c r="BQ282" s="414"/>
      <c r="BR282" s="414"/>
      <c r="BS282" s="414"/>
      <c r="BT282" s="414"/>
      <c r="BU282" s="414"/>
    </row>
    <row r="283" spans="1:73" x14ac:dyDescent="0.2">
      <c r="A283" s="299"/>
      <c r="B283" s="299"/>
      <c r="C283" s="215" t="s">
        <v>313</v>
      </c>
      <c r="D283" s="299"/>
      <c r="E283" s="299"/>
      <c r="F283" s="299"/>
      <c r="G283" s="299"/>
      <c r="H283" s="299"/>
      <c r="I283" s="299"/>
      <c r="J283" s="299"/>
      <c r="K283" s="636" t="s">
        <v>50</v>
      </c>
      <c r="L283" s="299"/>
      <c r="M283" s="299"/>
      <c r="N283" s="505"/>
      <c r="O283" s="299"/>
      <c r="P283" s="299"/>
      <c r="Q283" s="414"/>
      <c r="R283" s="414">
        <f>IF(SUM($Q$282:R282)=1,1,0)*IF(R7&lt;=Inputs!$L$119,1,0)</f>
        <v>0</v>
      </c>
      <c r="S283" s="414">
        <f>IF(SUM($Q$282:S282)=1,1,0)*IF(S7&lt;=Inputs!$L$119,1,0)</f>
        <v>0</v>
      </c>
      <c r="T283" s="414">
        <f>IF(SUM($Q$282:T282)=1,1,0)*IF(T7&lt;=Inputs!$L$119,1,0)</f>
        <v>0</v>
      </c>
      <c r="U283" s="414">
        <f>IF(SUM($Q$282:U282)=1,1,0)*IF(U7&lt;=Inputs!$L$119,1,0)</f>
        <v>0</v>
      </c>
      <c r="V283" s="414">
        <f>IF(SUM($Q$282:V282)=1,1,0)*IF(V7&lt;=Inputs!$L$119,1,0)</f>
        <v>0</v>
      </c>
      <c r="W283" s="414">
        <f>IF(SUM($Q$282:W282)=1,1,0)*IF(W7&lt;=Inputs!$L$119,1,0)</f>
        <v>0</v>
      </c>
      <c r="X283" s="414">
        <f>IF(SUM($Q$282:X282)=1,1,0)*IF(X7&lt;=Inputs!$L$119,1,0)</f>
        <v>0</v>
      </c>
      <c r="Y283" s="414">
        <f>IF(SUM($Q$282:Y282)=1,1,0)*IF(Y7&lt;=Inputs!$L$119,1,0)</f>
        <v>0</v>
      </c>
      <c r="Z283" s="414">
        <f>IF(SUM($Q$282:Z282)=1,1,0)*IF(Z7&lt;=Inputs!$L$119,1,0)</f>
        <v>0</v>
      </c>
      <c r="AA283" s="414">
        <f>IF(SUM($Q$282:AA282)=1,1,0)*IF(AA7&lt;=Inputs!$L$119,1,0)</f>
        <v>0</v>
      </c>
      <c r="AB283" s="414">
        <f>IF(SUM($Q$282:AB282)=1,1,0)*IF(AB7&lt;=Inputs!$L$119,1,0)</f>
        <v>0</v>
      </c>
      <c r="AC283" s="414">
        <f>IF(SUM($Q$282:AC282)=1,1,0)*IF(AC7&lt;=Inputs!$L$119,1,0)</f>
        <v>0</v>
      </c>
      <c r="AD283" s="414">
        <f>IF(SUM($Q$282:AD282)=1,1,0)*IF(AD7&lt;=Inputs!$L$119,1,0)</f>
        <v>0</v>
      </c>
      <c r="AE283" s="414">
        <f>IF(SUM($Q$282:AE282)=1,1,0)*IF(AE7&lt;=Inputs!$L$119,1,0)</f>
        <v>0</v>
      </c>
      <c r="AF283" s="414">
        <f>IF(SUM($Q$282:AF282)=1,1,0)*IF(AF7&lt;=Inputs!$L$119,1,0)</f>
        <v>0</v>
      </c>
      <c r="AG283" s="414">
        <f>IF(SUM($Q$282:AG282)=1,1,0)*IF(AG7&lt;=Inputs!$L$119,1,0)</f>
        <v>0</v>
      </c>
      <c r="AH283" s="414">
        <f>IF(SUM($Q$282:AH282)=1,1,0)*IF(AH7&lt;=Inputs!$L$119,1,0)</f>
        <v>0</v>
      </c>
      <c r="AI283" s="414">
        <f>IF(SUM($Q$282:AI282)=1,1,0)*IF(AI7&lt;=Inputs!$L$119,1,0)</f>
        <v>0</v>
      </c>
      <c r="AJ283" s="414">
        <f>IF(SUM($Q$282:AJ282)=1,1,0)*IF(AJ7&lt;=Inputs!$L$119,1,0)</f>
        <v>0</v>
      </c>
      <c r="AK283" s="414">
        <f>IF(SUM($Q$282:AK282)=1,1,0)*IF(AK7&lt;=Inputs!$L$119,1,0)</f>
        <v>0</v>
      </c>
      <c r="AL283" s="414">
        <f>IF(SUM($Q$282:AL282)=1,1,0)*IF(AL7&lt;=Inputs!$L$119,1,0)</f>
        <v>0</v>
      </c>
      <c r="AM283" s="414">
        <f>IF(SUM($Q$282:AM282)=1,1,0)*IF(AM7&lt;=Inputs!$L$119,1,0)</f>
        <v>0</v>
      </c>
      <c r="AN283" s="414">
        <f>IF(SUM($Q$282:AN282)=1,1,0)*IF(AN7&lt;=Inputs!$L$119,1,0)</f>
        <v>0</v>
      </c>
      <c r="AO283" s="414">
        <f>IF(SUM($Q$282:AO282)=1,1,0)*IF(AO7&lt;=Inputs!$L$119,1,0)</f>
        <v>0</v>
      </c>
      <c r="AP283" s="414">
        <f>IF(SUM($Q$282:AP282)=1,1,0)*IF(AP7&lt;=Inputs!$L$119,1,0)</f>
        <v>0</v>
      </c>
      <c r="AQ283" s="414">
        <f>IF(SUM($Q$282:AQ282)=1,1,0)*IF(AQ7&lt;=Inputs!$L$119,1,0)</f>
        <v>0</v>
      </c>
      <c r="AR283" s="414">
        <f>IF(SUM($Q$282:AR282)=1,1,0)*IF(AR7&lt;=Inputs!$L$119,1,0)</f>
        <v>0</v>
      </c>
      <c r="AS283" s="414">
        <f>IF(SUM($Q$282:AS282)=1,1,0)*IF(AS7&lt;=Inputs!$L$119,1,0)</f>
        <v>0</v>
      </c>
      <c r="AT283" s="414">
        <f>IF(SUM($Q$282:AT282)=1,1,0)*IF(AT7&lt;=Inputs!$L$119,1,0)</f>
        <v>0</v>
      </c>
      <c r="AU283" s="414">
        <f>IF(SUM($Q$282:AU282)=1,1,0)*IF(AU7&lt;=Inputs!$L$119,1,0)</f>
        <v>0</v>
      </c>
      <c r="AV283" s="414">
        <f>IF(SUM($Q$282:AV282)=1,1,0)*IF(AV7&lt;=Inputs!$L$119,1,0)</f>
        <v>0</v>
      </c>
      <c r="AW283" s="414">
        <f>IF(SUM($Q$282:AW282)=1,1,0)*IF(AW7&lt;=Inputs!$L$119,1,0)</f>
        <v>0</v>
      </c>
      <c r="AX283" s="414">
        <f>IF(SUM($Q$282:AX282)=1,1,0)*IF(AX7&lt;=Inputs!$L$119,1,0)</f>
        <v>0</v>
      </c>
      <c r="AY283" s="414">
        <f>IF(SUM($Q$282:AY282)=1,1,0)*IF(AY7&lt;=Inputs!$L$119,1,0)</f>
        <v>0</v>
      </c>
      <c r="AZ283" s="414">
        <f>IF(SUM($Q$282:AZ282)=1,1,0)*IF(AZ7&lt;=Inputs!$L$119,1,0)</f>
        <v>0</v>
      </c>
      <c r="BA283" s="414">
        <f>IF(SUM($Q$282:BA282)=1,1,0)*IF(BA7&lt;=Inputs!$L$119,1,0)</f>
        <v>0</v>
      </c>
      <c r="BB283" s="414">
        <f>IF(SUM($Q$282:BB282)=1,1,0)*IF(BB7&lt;=Inputs!$L$119,1,0)</f>
        <v>0</v>
      </c>
      <c r="BC283" s="414">
        <f>IF(SUM($Q$282:BC282)=1,1,0)*IF(BC7&lt;=Inputs!$L$119,1,0)</f>
        <v>0</v>
      </c>
      <c r="BD283" s="414">
        <f>IF(SUM($Q$282:BD282)=1,1,0)*IF(BD7&lt;=Inputs!$L$119,1,0)</f>
        <v>0</v>
      </c>
      <c r="BE283" s="414">
        <f>IF(SUM($Q$282:BE282)=1,1,0)*IF(BE7&lt;=Inputs!$L$119,1,0)</f>
        <v>1</v>
      </c>
      <c r="BF283" s="414">
        <f>IF(SUM($Q$282:BF282)=1,1,0)*IF(BF7&lt;=Inputs!$L$119,1,0)</f>
        <v>1</v>
      </c>
      <c r="BG283" s="414">
        <f>IF(SUM($Q$282:BG282)=1,1,0)*IF(BG7&lt;=Inputs!$L$119,1,0)</f>
        <v>1</v>
      </c>
      <c r="BH283" s="414">
        <f>IF(SUM($Q$282:BH282)=1,1,0)*IF(BH7&lt;=Inputs!$L$119,1,0)</f>
        <v>1</v>
      </c>
      <c r="BI283" s="414">
        <f>IF(SUM($Q$282:BI282)=1,1,0)*IF(BI7&lt;=Inputs!$L$119,1,0)</f>
        <v>1</v>
      </c>
      <c r="BJ283" s="414">
        <f>IF(SUM($Q$282:BJ282)=1,1,0)*IF(BJ7&lt;=Inputs!$L$119,1,0)</f>
        <v>1</v>
      </c>
      <c r="BK283" s="414"/>
      <c r="BL283" s="414"/>
      <c r="BM283" s="414"/>
      <c r="BN283" s="414"/>
      <c r="BO283" s="414"/>
      <c r="BP283" s="414"/>
      <c r="BQ283" s="414"/>
      <c r="BR283" s="414"/>
      <c r="BS283" s="414"/>
      <c r="BT283" s="414"/>
      <c r="BU283" s="414"/>
    </row>
    <row r="284" spans="1:73" x14ac:dyDescent="0.2">
      <c r="A284" s="299"/>
      <c r="B284" s="299"/>
      <c r="C284" s="299"/>
      <c r="D284" s="299"/>
      <c r="E284" s="299"/>
      <c r="F284" s="299"/>
      <c r="G284" s="299"/>
      <c r="H284" s="299"/>
      <c r="I284" s="299"/>
      <c r="J284" s="299"/>
      <c r="K284" s="410"/>
      <c r="L284" s="299"/>
      <c r="M284" s="299"/>
      <c r="N284" s="505"/>
      <c r="O284" s="299"/>
      <c r="P284" s="299"/>
      <c r="Q284" s="414"/>
      <c r="R284" s="299"/>
      <c r="S284" s="299"/>
      <c r="T284" s="299"/>
      <c r="U284" s="299"/>
      <c r="V284" s="299"/>
      <c r="W284" s="299"/>
      <c r="X284" s="299"/>
      <c r="Y284" s="299"/>
      <c r="Z284" s="299"/>
      <c r="AA284" s="299"/>
      <c r="AB284" s="299"/>
      <c r="AC284" s="299"/>
      <c r="AD284" s="299"/>
      <c r="AE284" s="299"/>
      <c r="AF284" s="299"/>
      <c r="AG284" s="299"/>
      <c r="AH284" s="299"/>
      <c r="AI284" s="299"/>
      <c r="AJ284" s="299"/>
      <c r="AK284" s="299"/>
      <c r="AL284" s="299"/>
      <c r="AM284" s="299"/>
      <c r="AN284" s="299"/>
      <c r="AO284" s="299"/>
      <c r="AP284" s="299"/>
      <c r="AQ284" s="299"/>
      <c r="AR284" s="299"/>
      <c r="AS284" s="299"/>
      <c r="AT284" s="299"/>
      <c r="AU284" s="299"/>
      <c r="AV284" s="299"/>
      <c r="AW284" s="299"/>
      <c r="AX284" s="299"/>
      <c r="AY284" s="299"/>
      <c r="AZ284" s="299"/>
      <c r="BA284" s="299"/>
      <c r="BB284" s="299"/>
      <c r="BC284" s="299"/>
      <c r="BD284" s="299"/>
      <c r="BE284" s="299"/>
      <c r="BF284" s="299"/>
      <c r="BG284" s="299"/>
      <c r="BH284" s="299"/>
      <c r="BI284" s="299"/>
      <c r="BJ284" s="299"/>
      <c r="BK284" s="299"/>
      <c r="BL284" s="299"/>
      <c r="BM284" s="299"/>
      <c r="BN284" s="299"/>
      <c r="BO284" s="299"/>
      <c r="BP284" s="299"/>
      <c r="BQ284" s="299"/>
      <c r="BR284" s="299"/>
      <c r="BS284" s="299"/>
      <c r="BT284" s="299"/>
      <c r="BU284" s="299"/>
    </row>
    <row r="285" spans="1:73" x14ac:dyDescent="0.2">
      <c r="A285" s="299"/>
      <c r="B285" s="299"/>
      <c r="C285" s="299" t="s">
        <v>320</v>
      </c>
      <c r="D285" s="299"/>
      <c r="E285" s="299"/>
      <c r="F285" s="299"/>
      <c r="G285" s="299"/>
      <c r="H285" s="299"/>
      <c r="I285" s="299"/>
      <c r="J285" s="299"/>
      <c r="K285" s="410"/>
      <c r="L285" s="299"/>
      <c r="M285" s="299"/>
      <c r="N285" s="505"/>
      <c r="O285" s="299"/>
      <c r="P285" s="299"/>
      <c r="Q285" s="414"/>
      <c r="R285" s="466"/>
      <c r="S285" s="466"/>
      <c r="T285" s="466"/>
      <c r="U285" s="466"/>
      <c r="V285" s="466"/>
      <c r="W285" s="466"/>
      <c r="X285" s="466"/>
      <c r="Y285" s="466"/>
      <c r="Z285" s="466"/>
      <c r="AA285" s="466"/>
      <c r="AB285" s="466"/>
      <c r="AC285" s="466"/>
      <c r="AD285" s="466"/>
      <c r="AE285" s="466"/>
      <c r="AF285" s="466"/>
      <c r="AG285" s="466"/>
      <c r="AH285" s="466"/>
      <c r="AI285" s="466"/>
      <c r="AJ285" s="466"/>
      <c r="AK285" s="466"/>
      <c r="AL285" s="466"/>
      <c r="AM285" s="466"/>
      <c r="AN285" s="466"/>
      <c r="AO285" s="466"/>
      <c r="AP285" s="466"/>
      <c r="AQ285" s="466"/>
      <c r="AR285" s="466"/>
      <c r="AS285" s="466"/>
      <c r="AT285" s="466"/>
      <c r="AU285" s="466"/>
      <c r="AV285" s="466"/>
      <c r="AW285" s="466"/>
      <c r="AX285" s="466"/>
      <c r="AY285" s="466"/>
      <c r="AZ285" s="466"/>
      <c r="BA285" s="466"/>
      <c r="BB285" s="466"/>
      <c r="BC285" s="466"/>
      <c r="BD285" s="466"/>
      <c r="BE285" s="714">
        <f>+Inputs!L123</f>
        <v>0.25</v>
      </c>
      <c r="BF285" s="714">
        <f>+Inputs!L124</f>
        <v>1</v>
      </c>
      <c r="BG285" s="714">
        <f>+Inputs!L125</f>
        <v>1</v>
      </c>
      <c r="BH285" s="714">
        <f>+Inputs!L126</f>
        <v>1</v>
      </c>
      <c r="BI285" s="714">
        <f>+Inputs!L127</f>
        <v>1</v>
      </c>
      <c r="BJ285" s="714">
        <f>+Inputs!L128</f>
        <v>1</v>
      </c>
      <c r="BK285" s="466"/>
      <c r="BL285" s="466"/>
      <c r="BM285" s="466"/>
      <c r="BN285" s="466"/>
      <c r="BO285" s="466"/>
      <c r="BP285" s="466"/>
      <c r="BQ285" s="466"/>
      <c r="BR285" s="466"/>
      <c r="BS285" s="466"/>
      <c r="BT285" s="466"/>
      <c r="BU285" s="466"/>
    </row>
    <row r="286" spans="1:73" x14ac:dyDescent="0.2">
      <c r="A286" s="299"/>
      <c r="B286" s="299"/>
      <c r="C286" s="215" t="s">
        <v>316</v>
      </c>
      <c r="D286" s="299"/>
      <c r="E286" s="299"/>
      <c r="F286" s="299"/>
      <c r="G286" s="299"/>
      <c r="H286" s="299"/>
      <c r="I286" s="299"/>
      <c r="J286" s="299"/>
      <c r="K286" s="636" t="s">
        <v>62</v>
      </c>
      <c r="L286" s="299"/>
      <c r="M286" s="299"/>
      <c r="N286" s="417">
        <f>SUM(Q286:BJ286)</f>
        <v>146693.04009146197</v>
      </c>
      <c r="O286" s="299"/>
      <c r="P286" s="299"/>
      <c r="Q286" s="414"/>
      <c r="R286" s="417">
        <f>Oper!R50*R285</f>
        <v>0</v>
      </c>
      <c r="S286" s="417">
        <f>Oper!S50*S285</f>
        <v>0</v>
      </c>
      <c r="T286" s="417">
        <f>Oper!T50*T285</f>
        <v>0</v>
      </c>
      <c r="U286" s="417">
        <f>Oper!U50*U285</f>
        <v>0</v>
      </c>
      <c r="V286" s="417">
        <f>Oper!V50*V285</f>
        <v>0</v>
      </c>
      <c r="W286" s="417">
        <f>Oper!W50*W285</f>
        <v>0</v>
      </c>
      <c r="X286" s="417">
        <f>Oper!X50*X285</f>
        <v>0</v>
      </c>
      <c r="Y286" s="417">
        <f>Oper!Y50*Y285</f>
        <v>0</v>
      </c>
      <c r="Z286" s="417">
        <f>Oper!Z50*Z285</f>
        <v>0</v>
      </c>
      <c r="AA286" s="417">
        <f>Oper!AA50*AA285</f>
        <v>0</v>
      </c>
      <c r="AB286" s="417">
        <f>Oper!AB50*AB285</f>
        <v>0</v>
      </c>
      <c r="AC286" s="417">
        <f>Oper!AC50*AC285</f>
        <v>0</v>
      </c>
      <c r="AD286" s="417">
        <f>Oper!AD50*AD285</f>
        <v>0</v>
      </c>
      <c r="AE286" s="417">
        <f>Oper!AE50*AE285</f>
        <v>0</v>
      </c>
      <c r="AF286" s="417">
        <f>Oper!AF50*AF285</f>
        <v>0</v>
      </c>
      <c r="AG286" s="417">
        <f>Oper!AG50*AG285</f>
        <v>0</v>
      </c>
      <c r="AH286" s="417">
        <f>Oper!AH50*AH285</f>
        <v>0</v>
      </c>
      <c r="AI286" s="417">
        <f>Oper!AI50*AI285</f>
        <v>0</v>
      </c>
      <c r="AJ286" s="417">
        <f>Oper!AJ50*AJ285</f>
        <v>0</v>
      </c>
      <c r="AK286" s="417">
        <f>Oper!AK50*AK285</f>
        <v>0</v>
      </c>
      <c r="AL286" s="417">
        <f>Oper!AL50*AL285</f>
        <v>0</v>
      </c>
      <c r="AM286" s="417">
        <f>Oper!AM50*AM285</f>
        <v>0</v>
      </c>
      <c r="AN286" s="417">
        <f>Oper!AN50*AN285</f>
        <v>0</v>
      </c>
      <c r="AO286" s="417">
        <f>Oper!AO50*AO285</f>
        <v>0</v>
      </c>
      <c r="AP286" s="417">
        <f>Oper!AP50*AP285</f>
        <v>0</v>
      </c>
      <c r="AQ286" s="417">
        <f>Oper!AQ50*AQ285</f>
        <v>0</v>
      </c>
      <c r="AR286" s="417">
        <f>Oper!AR50*AR285</f>
        <v>0</v>
      </c>
      <c r="AS286" s="417">
        <f>Oper!AS50*AS285</f>
        <v>0</v>
      </c>
      <c r="AT286" s="417">
        <f>Oper!AT50*AT285</f>
        <v>0</v>
      </c>
      <c r="AU286" s="417">
        <f>Oper!AU50*AU285</f>
        <v>0</v>
      </c>
      <c r="AV286" s="417">
        <f>Oper!AV50*AV285</f>
        <v>0</v>
      </c>
      <c r="AW286" s="417">
        <f>Oper!AW50*AW285</f>
        <v>0</v>
      </c>
      <c r="AX286" s="417">
        <f>Oper!AX50*AX285</f>
        <v>0</v>
      </c>
      <c r="AY286" s="417">
        <f>Oper!AY50*AY285</f>
        <v>0</v>
      </c>
      <c r="AZ286" s="417">
        <f>Oper!AZ50*AZ285</f>
        <v>0</v>
      </c>
      <c r="BA286" s="417">
        <f>Oper!BA50*BA285</f>
        <v>0</v>
      </c>
      <c r="BB286" s="417">
        <f>Oper!BB50*BB285</f>
        <v>0</v>
      </c>
      <c r="BC286" s="417">
        <f>Oper!BC50*BC285</f>
        <v>0</v>
      </c>
      <c r="BD286" s="417">
        <f>Oper!BD50*BD285</f>
        <v>0</v>
      </c>
      <c r="BE286" s="417">
        <f>Oper!BE50*BE285</f>
        <v>3423.9884163034853</v>
      </c>
      <c r="BF286" s="417">
        <f>Oper!BF50*BF285</f>
        <v>17217.14575767015</v>
      </c>
      <c r="BG286" s="417">
        <f>Oper!BG50*BG285</f>
        <v>21643.626671558894</v>
      </c>
      <c r="BH286" s="417">
        <f>Oper!BH50*BH285</f>
        <v>27208.143677887198</v>
      </c>
      <c r="BI286" s="417">
        <f>Oper!BI50*BI285</f>
        <v>34203.282732155618</v>
      </c>
      <c r="BJ286" s="417">
        <f>Oper!BJ50*BJ285</f>
        <v>42996.852835886602</v>
      </c>
      <c r="BK286" s="417"/>
      <c r="BL286" s="417"/>
      <c r="BM286" s="417"/>
      <c r="BN286" s="417"/>
      <c r="BO286" s="417"/>
      <c r="BP286" s="417"/>
      <c r="BQ286" s="417"/>
      <c r="BR286" s="417"/>
      <c r="BS286" s="417"/>
      <c r="BT286" s="417"/>
      <c r="BU286" s="417"/>
    </row>
    <row r="287" spans="1:73" x14ac:dyDescent="0.2">
      <c r="A287" s="299"/>
      <c r="B287" s="299"/>
      <c r="C287" s="299"/>
      <c r="D287" s="299"/>
      <c r="E287" s="299"/>
      <c r="F287" s="299"/>
      <c r="G287" s="299"/>
      <c r="H287" s="299"/>
      <c r="I287" s="299"/>
      <c r="J287" s="299"/>
      <c r="K287" s="410"/>
      <c r="L287" s="299"/>
      <c r="M287" s="299"/>
      <c r="N287" s="505"/>
      <c r="O287" s="299"/>
      <c r="P287" s="299"/>
      <c r="Q287" s="414"/>
      <c r="R287" s="299"/>
      <c r="S287" s="299"/>
      <c r="T287" s="299"/>
      <c r="U287" s="299"/>
      <c r="V287" s="299"/>
      <c r="W287" s="299"/>
      <c r="X287" s="299"/>
      <c r="Y287" s="299"/>
      <c r="Z287" s="299"/>
      <c r="AA287" s="299"/>
      <c r="AB287" s="299"/>
      <c r="AC287" s="299"/>
      <c r="AD287" s="299"/>
      <c r="AE287" s="299"/>
      <c r="AF287" s="299"/>
      <c r="AG287" s="299"/>
      <c r="AH287" s="299"/>
      <c r="AI287" s="299"/>
      <c r="AJ287" s="299"/>
      <c r="AK287" s="299"/>
      <c r="AL287" s="299"/>
      <c r="AM287" s="299"/>
      <c r="AN287" s="299"/>
      <c r="AO287" s="299"/>
      <c r="AP287" s="299"/>
      <c r="AQ287" s="299"/>
      <c r="AR287" s="299"/>
      <c r="AS287" s="299"/>
      <c r="AT287" s="299"/>
      <c r="AU287" s="299"/>
      <c r="AV287" s="299"/>
      <c r="AW287" s="299"/>
      <c r="AX287" s="299"/>
      <c r="AY287" s="299"/>
      <c r="AZ287" s="299"/>
      <c r="BA287" s="299"/>
      <c r="BB287" s="299"/>
      <c r="BC287" s="299"/>
      <c r="BD287" s="299"/>
      <c r="BE287" s="299"/>
      <c r="BF287" s="299"/>
      <c r="BG287" s="299"/>
      <c r="BH287" s="299"/>
      <c r="BI287" s="299"/>
      <c r="BJ287" s="299"/>
      <c r="BK287" s="299"/>
      <c r="BL287" s="299"/>
      <c r="BM287" s="299"/>
      <c r="BN287" s="299"/>
      <c r="BO287" s="299"/>
      <c r="BP287" s="299"/>
      <c r="BQ287" s="299"/>
      <c r="BR287" s="299"/>
      <c r="BS287" s="299"/>
      <c r="BT287" s="299"/>
      <c r="BU287" s="299"/>
    </row>
    <row r="288" spans="1:73" x14ac:dyDescent="0.2">
      <c r="A288" s="299"/>
      <c r="B288" s="299"/>
      <c r="C288" s="215" t="s">
        <v>87</v>
      </c>
      <c r="D288" s="299"/>
      <c r="E288" s="299"/>
      <c r="F288" s="299"/>
      <c r="G288" s="299"/>
      <c r="H288" s="299"/>
      <c r="I288" s="299"/>
      <c r="J288" s="299"/>
      <c r="K288" s="636" t="s">
        <v>62</v>
      </c>
      <c r="L288" s="299"/>
      <c r="M288" s="299"/>
      <c r="N288" s="505"/>
      <c r="O288" s="299"/>
      <c r="P288" s="299"/>
      <c r="Q288" s="414"/>
      <c r="R288" s="417">
        <f t="shared" ref="R288" si="317">Q292</f>
        <v>0</v>
      </c>
      <c r="S288" s="417">
        <f t="shared" ref="S288" si="318">R292</f>
        <v>0</v>
      </c>
      <c r="T288" s="417">
        <f t="shared" ref="T288" si="319">S292</f>
        <v>0</v>
      </c>
      <c r="U288" s="417">
        <f t="shared" ref="U288" si="320">T292</f>
        <v>0</v>
      </c>
      <c r="V288" s="417">
        <f t="shared" ref="V288" si="321">U292</f>
        <v>0</v>
      </c>
      <c r="W288" s="417">
        <f t="shared" ref="W288" si="322">V292</f>
        <v>0</v>
      </c>
      <c r="X288" s="417">
        <f t="shared" ref="X288" si="323">W292</f>
        <v>0</v>
      </c>
      <c r="Y288" s="417">
        <f t="shared" ref="Y288" si="324">X292</f>
        <v>0</v>
      </c>
      <c r="Z288" s="417">
        <f t="shared" ref="Z288" si="325">Y292</f>
        <v>0</v>
      </c>
      <c r="AA288" s="417">
        <f t="shared" ref="AA288" si="326">Z292</f>
        <v>0</v>
      </c>
      <c r="AB288" s="417">
        <f t="shared" ref="AB288" si="327">AA292</f>
        <v>0</v>
      </c>
      <c r="AC288" s="417">
        <f t="shared" ref="AC288" si="328">AB292</f>
        <v>0</v>
      </c>
      <c r="AD288" s="417">
        <f t="shared" ref="AD288" si="329">AC292</f>
        <v>0</v>
      </c>
      <c r="AE288" s="417">
        <f t="shared" ref="AE288" si="330">AD292</f>
        <v>0</v>
      </c>
      <c r="AF288" s="417">
        <f t="shared" ref="AF288" si="331">AE292</f>
        <v>0</v>
      </c>
      <c r="AG288" s="417">
        <f t="shared" ref="AG288" si="332">AF292</f>
        <v>0</v>
      </c>
      <c r="AH288" s="417">
        <f t="shared" ref="AH288" si="333">AG292</f>
        <v>0</v>
      </c>
      <c r="AI288" s="417">
        <f t="shared" ref="AI288" si="334">AH292</f>
        <v>0</v>
      </c>
      <c r="AJ288" s="417">
        <f t="shared" ref="AJ288" si="335">AI292</f>
        <v>0</v>
      </c>
      <c r="AK288" s="417">
        <f t="shared" ref="AK288" si="336">AJ292</f>
        <v>0</v>
      </c>
      <c r="AL288" s="417">
        <f t="shared" ref="AL288" si="337">AK292</f>
        <v>0</v>
      </c>
      <c r="AM288" s="417">
        <f t="shared" ref="AM288" si="338">AL292</f>
        <v>0</v>
      </c>
      <c r="AN288" s="417">
        <f t="shared" ref="AN288" si="339">AM292</f>
        <v>0</v>
      </c>
      <c r="AO288" s="417">
        <f t="shared" ref="AO288" si="340">AN292</f>
        <v>0</v>
      </c>
      <c r="AP288" s="417">
        <f t="shared" ref="AP288" si="341">AO292</f>
        <v>0</v>
      </c>
      <c r="AQ288" s="417">
        <f t="shared" ref="AQ288" si="342">AP292</f>
        <v>0</v>
      </c>
      <c r="AR288" s="417">
        <f t="shared" ref="AR288" si="343">AQ292</f>
        <v>0</v>
      </c>
      <c r="AS288" s="417">
        <f t="shared" ref="AS288" si="344">AR292</f>
        <v>0</v>
      </c>
      <c r="AT288" s="417">
        <f t="shared" ref="AT288" si="345">AS292</f>
        <v>0</v>
      </c>
      <c r="AU288" s="417">
        <f t="shared" ref="AU288" si="346">AT292</f>
        <v>0</v>
      </c>
      <c r="AV288" s="417">
        <f t="shared" ref="AV288" si="347">AU292</f>
        <v>0</v>
      </c>
      <c r="AW288" s="417">
        <f t="shared" ref="AW288" si="348">AV292</f>
        <v>0</v>
      </c>
      <c r="AX288" s="417">
        <f t="shared" ref="AX288" si="349">AW292</f>
        <v>0</v>
      </c>
      <c r="AY288" s="417">
        <f t="shared" ref="AY288" si="350">AX292</f>
        <v>0</v>
      </c>
      <c r="AZ288" s="417">
        <f t="shared" ref="AZ288" si="351">AY292</f>
        <v>0</v>
      </c>
      <c r="BA288" s="417">
        <f t="shared" ref="BA288" si="352">AZ292</f>
        <v>0</v>
      </c>
      <c r="BB288" s="417">
        <f t="shared" ref="BB288" si="353">BA292</f>
        <v>0</v>
      </c>
      <c r="BC288" s="417">
        <f t="shared" ref="BC288" si="354">BB292</f>
        <v>0</v>
      </c>
      <c r="BD288" s="417">
        <f t="shared" ref="BD288" si="355">BC292</f>
        <v>0</v>
      </c>
      <c r="BE288" s="417">
        <f t="shared" ref="BE288" si="356">BD292</f>
        <v>0</v>
      </c>
      <c r="BF288" s="417">
        <f t="shared" ref="BF288" si="357">BE292</f>
        <v>143269.05167515849</v>
      </c>
      <c r="BG288" s="417">
        <f t="shared" ref="BG288" si="358">BF292</f>
        <v>126051.90591748834</v>
      </c>
      <c r="BH288" s="417">
        <f t="shared" ref="BH288" si="359">BG292</f>
        <v>104408.27924592944</v>
      </c>
      <c r="BI288" s="417">
        <f t="shared" ref="BI288" si="360">BH292</f>
        <v>77200.135568042242</v>
      </c>
      <c r="BJ288" s="417">
        <f t="shared" ref="BJ288" si="361">BI292</f>
        <v>42996.852835886624</v>
      </c>
      <c r="BK288" s="417"/>
      <c r="BL288" s="417"/>
      <c r="BM288" s="417"/>
      <c r="BN288" s="417"/>
      <c r="BO288" s="417"/>
      <c r="BP288" s="417"/>
      <c r="BQ288" s="417"/>
      <c r="BR288" s="417"/>
      <c r="BS288" s="417"/>
      <c r="BT288" s="417"/>
      <c r="BU288" s="417"/>
    </row>
    <row r="289" spans="1:73" x14ac:dyDescent="0.2">
      <c r="A289" s="299"/>
      <c r="B289" s="299"/>
      <c r="C289" s="215" t="s">
        <v>177</v>
      </c>
      <c r="D289" s="299"/>
      <c r="E289" s="299"/>
      <c r="F289" s="299"/>
      <c r="G289" s="299"/>
      <c r="H289" s="299"/>
      <c r="I289" s="299"/>
      <c r="J289" s="299"/>
      <c r="K289" s="636" t="s">
        <v>62</v>
      </c>
      <c r="L289" s="299"/>
      <c r="M289" s="299"/>
      <c r="N289" s="417">
        <f>SUM(Q289:BJ289)</f>
        <v>146693.04009146197</v>
      </c>
      <c r="O289" s="299"/>
      <c r="P289" s="299"/>
      <c r="Q289" s="414"/>
      <c r="R289" s="417">
        <f>R283*SUM(R286:$BU$286)</f>
        <v>0</v>
      </c>
      <c r="S289" s="417">
        <f>S283*SUM(S286:$BU$286)</f>
        <v>0</v>
      </c>
      <c r="T289" s="417">
        <f>T283*SUM(T286:$BU$286)</f>
        <v>0</v>
      </c>
      <c r="U289" s="417">
        <f>U283*SUM(U286:$BU$286)</f>
        <v>0</v>
      </c>
      <c r="V289" s="417">
        <f>V283*SUM(V286:$BU$286)</f>
        <v>0</v>
      </c>
      <c r="W289" s="417">
        <f>W283*SUM(W286:$BU$286)</f>
        <v>0</v>
      </c>
      <c r="X289" s="417">
        <f>X283*SUM(X286:$BU$286)</f>
        <v>0</v>
      </c>
      <c r="Y289" s="417">
        <f>Y283*SUM(Y286:$BU$286)</f>
        <v>0</v>
      </c>
      <c r="Z289" s="417">
        <f>Z283*SUM(Z286:$BU$286)</f>
        <v>0</v>
      </c>
      <c r="AA289" s="417">
        <f>AA283*SUM(AA286:$BU$286)</f>
        <v>0</v>
      </c>
      <c r="AB289" s="417">
        <f>AB283*SUM(AB286:$BU$286)</f>
        <v>0</v>
      </c>
      <c r="AC289" s="417">
        <f>AC283*SUM(AC286:$BU$286)</f>
        <v>0</v>
      </c>
      <c r="AD289" s="417">
        <f>AD283*SUM(AD286:$BU$286)</f>
        <v>0</v>
      </c>
      <c r="AE289" s="417">
        <f>AE283*SUM(AE286:$BU$286)</f>
        <v>0</v>
      </c>
      <c r="AF289" s="417">
        <f>AF283*SUM(AF286:$BU$286)</f>
        <v>0</v>
      </c>
      <c r="AG289" s="417">
        <f>AG283*SUM(AG286:$BU$286)</f>
        <v>0</v>
      </c>
      <c r="AH289" s="417">
        <f>AH283*SUM(AH286:$BU$286)</f>
        <v>0</v>
      </c>
      <c r="AI289" s="417">
        <f>AI283*SUM(AI286:$BU$286)</f>
        <v>0</v>
      </c>
      <c r="AJ289" s="417">
        <f>AJ283*SUM(AJ286:$BU$286)</f>
        <v>0</v>
      </c>
      <c r="AK289" s="417">
        <f>AK283*SUM(AK286:$BU$286)</f>
        <v>0</v>
      </c>
      <c r="AL289" s="417">
        <f>AL283*SUM(AL286:$BU$286)</f>
        <v>0</v>
      </c>
      <c r="AM289" s="417">
        <f>AM283*SUM(AM286:$BU$286)</f>
        <v>0</v>
      </c>
      <c r="AN289" s="417">
        <f>AN283*SUM(AN286:$BU$286)</f>
        <v>0</v>
      </c>
      <c r="AO289" s="417">
        <f>AO283*SUM(AO286:$BU$286)</f>
        <v>0</v>
      </c>
      <c r="AP289" s="417">
        <f>AP283*SUM(AP286:$BU$286)</f>
        <v>0</v>
      </c>
      <c r="AQ289" s="417">
        <f>AQ283*SUM(AQ286:$BU$286)</f>
        <v>0</v>
      </c>
      <c r="AR289" s="417">
        <f>AR283*SUM(AR286:$BU$286)</f>
        <v>0</v>
      </c>
      <c r="AS289" s="417">
        <f>AS283*SUM(AS286:$BU$286)</f>
        <v>0</v>
      </c>
      <c r="AT289" s="417">
        <f>AT283*SUM(AT286:$BU$286)</f>
        <v>0</v>
      </c>
      <c r="AU289" s="417">
        <f>AU283*SUM(AU286:$BU$286)</f>
        <v>0</v>
      </c>
      <c r="AV289" s="417">
        <f>AV283*SUM(AV286:$BU$286)</f>
        <v>0</v>
      </c>
      <c r="AW289" s="417">
        <f>AW283*SUM(AW286:$BU$286)</f>
        <v>0</v>
      </c>
      <c r="AX289" s="417">
        <f>AX283*SUM(AX286:$BU$286)</f>
        <v>0</v>
      </c>
      <c r="AY289" s="417">
        <f>AY283*SUM(AY286:$BU$286)</f>
        <v>0</v>
      </c>
      <c r="AZ289" s="417">
        <f>AZ283*SUM(AZ286:$BU$286)</f>
        <v>0</v>
      </c>
      <c r="BA289" s="417">
        <f>BA283*SUM(BA286:$BU$286)</f>
        <v>0</v>
      </c>
      <c r="BB289" s="417">
        <f>BB283*SUM(BB286:$BU$286)</f>
        <v>0</v>
      </c>
      <c r="BC289" s="417">
        <f>BC283*SUM(BC286:$BU$286)</f>
        <v>0</v>
      </c>
      <c r="BD289" s="417">
        <f>BD283*SUM(BD286:$BU$286)</f>
        <v>0</v>
      </c>
      <c r="BE289" s="417">
        <f>BE282*SUM(BE286:$BU$286)</f>
        <v>146693.04009146197</v>
      </c>
      <c r="BF289" s="417">
        <f>BF282*SUM(BF286:$BU$286)</f>
        <v>0</v>
      </c>
      <c r="BG289" s="417">
        <f>BG282*SUM(BG286:$BU$286)</f>
        <v>0</v>
      </c>
      <c r="BH289" s="417">
        <f>BH282*SUM(BH286:$BU$286)</f>
        <v>0</v>
      </c>
      <c r="BI289" s="417">
        <f>BI282*SUM(BI286:$BU$286)</f>
        <v>0</v>
      </c>
      <c r="BJ289" s="417">
        <f>BJ282*SUM(BJ286:$BU$286)</f>
        <v>0</v>
      </c>
      <c r="BK289" s="417"/>
      <c r="BL289" s="417"/>
      <c r="BM289" s="417"/>
      <c r="BN289" s="417"/>
      <c r="BO289" s="417"/>
      <c r="BP289" s="417"/>
      <c r="BQ289" s="417"/>
      <c r="BR289" s="417"/>
      <c r="BS289" s="417"/>
      <c r="BT289" s="417"/>
      <c r="BU289" s="417"/>
    </row>
    <row r="290" spans="1:73" x14ac:dyDescent="0.2">
      <c r="A290" s="299"/>
      <c r="B290" s="299"/>
      <c r="C290" s="215" t="s">
        <v>243</v>
      </c>
      <c r="D290" s="299"/>
      <c r="E290" s="299"/>
      <c r="F290" s="299"/>
      <c r="G290" s="299"/>
      <c r="H290" s="299"/>
      <c r="I290" s="299"/>
      <c r="J290" s="299"/>
      <c r="K290" s="636" t="s">
        <v>62</v>
      </c>
      <c r="L290" s="299"/>
      <c r="M290" s="299"/>
      <c r="N290" s="417">
        <f>SUM(Q290:BJ290)</f>
        <v>-146693.04009146197</v>
      </c>
      <c r="O290" s="299"/>
      <c r="P290" s="299"/>
      <c r="Q290" s="414"/>
      <c r="R290" s="417">
        <f t="shared" ref="R290:BD290" si="362">MAX(-SUM(R288:R289),-R286)*R283</f>
        <v>0</v>
      </c>
      <c r="S290" s="417">
        <f t="shared" si="362"/>
        <v>0</v>
      </c>
      <c r="T290" s="417">
        <f t="shared" si="362"/>
        <v>0</v>
      </c>
      <c r="U290" s="417">
        <f t="shared" si="362"/>
        <v>0</v>
      </c>
      <c r="V290" s="417">
        <f t="shared" si="362"/>
        <v>0</v>
      </c>
      <c r="W290" s="417">
        <f t="shared" si="362"/>
        <v>0</v>
      </c>
      <c r="X290" s="417">
        <f t="shared" si="362"/>
        <v>0</v>
      </c>
      <c r="Y290" s="417">
        <f t="shared" si="362"/>
        <v>0</v>
      </c>
      <c r="Z290" s="417">
        <f t="shared" si="362"/>
        <v>0</v>
      </c>
      <c r="AA290" s="417">
        <f t="shared" si="362"/>
        <v>0</v>
      </c>
      <c r="AB290" s="417">
        <f t="shared" si="362"/>
        <v>0</v>
      </c>
      <c r="AC290" s="417">
        <f t="shared" si="362"/>
        <v>0</v>
      </c>
      <c r="AD290" s="417">
        <f t="shared" si="362"/>
        <v>0</v>
      </c>
      <c r="AE290" s="417">
        <f t="shared" si="362"/>
        <v>0</v>
      </c>
      <c r="AF290" s="417">
        <f t="shared" si="362"/>
        <v>0</v>
      </c>
      <c r="AG290" s="417">
        <f t="shared" si="362"/>
        <v>0</v>
      </c>
      <c r="AH290" s="417">
        <f t="shared" si="362"/>
        <v>0</v>
      </c>
      <c r="AI290" s="417">
        <f t="shared" si="362"/>
        <v>0</v>
      </c>
      <c r="AJ290" s="417">
        <f t="shared" si="362"/>
        <v>0</v>
      </c>
      <c r="AK290" s="417">
        <f t="shared" si="362"/>
        <v>0</v>
      </c>
      <c r="AL290" s="417">
        <f t="shared" si="362"/>
        <v>0</v>
      </c>
      <c r="AM290" s="417">
        <f t="shared" si="362"/>
        <v>0</v>
      </c>
      <c r="AN290" s="417">
        <f t="shared" si="362"/>
        <v>0</v>
      </c>
      <c r="AO290" s="417">
        <f t="shared" si="362"/>
        <v>0</v>
      </c>
      <c r="AP290" s="417">
        <f t="shared" si="362"/>
        <v>0</v>
      </c>
      <c r="AQ290" s="417">
        <f t="shared" si="362"/>
        <v>0</v>
      </c>
      <c r="AR290" s="417">
        <f t="shared" si="362"/>
        <v>0</v>
      </c>
      <c r="AS290" s="417">
        <f t="shared" si="362"/>
        <v>0</v>
      </c>
      <c r="AT290" s="417">
        <f t="shared" si="362"/>
        <v>0</v>
      </c>
      <c r="AU290" s="417">
        <f t="shared" si="362"/>
        <v>0</v>
      </c>
      <c r="AV290" s="417">
        <f t="shared" si="362"/>
        <v>0</v>
      </c>
      <c r="AW290" s="417">
        <f t="shared" si="362"/>
        <v>0</v>
      </c>
      <c r="AX290" s="417">
        <f t="shared" si="362"/>
        <v>0</v>
      </c>
      <c r="AY290" s="417">
        <f t="shared" si="362"/>
        <v>0</v>
      </c>
      <c r="AZ290" s="417">
        <f t="shared" si="362"/>
        <v>0</v>
      </c>
      <c r="BA290" s="417">
        <f t="shared" si="362"/>
        <v>0</v>
      </c>
      <c r="BB290" s="417">
        <f t="shared" si="362"/>
        <v>0</v>
      </c>
      <c r="BC290" s="417">
        <f t="shared" si="362"/>
        <v>0</v>
      </c>
      <c r="BD290" s="417">
        <f t="shared" si="362"/>
        <v>0</v>
      </c>
      <c r="BE290" s="417">
        <f>MAX(-SUM(BE288:BE289),-BE286)*BE283</f>
        <v>-3423.9884163034853</v>
      </c>
      <c r="BF290" s="417">
        <f t="shared" ref="BF290:BJ290" si="363">MAX(-SUM(BF288:BF289),-BF286)*BF283</f>
        <v>-17217.14575767015</v>
      </c>
      <c r="BG290" s="417">
        <f t="shared" si="363"/>
        <v>-21643.626671558894</v>
      </c>
      <c r="BH290" s="417">
        <f t="shared" si="363"/>
        <v>-27208.143677887198</v>
      </c>
      <c r="BI290" s="417">
        <f t="shared" si="363"/>
        <v>-34203.282732155618</v>
      </c>
      <c r="BJ290" s="417">
        <f t="shared" si="363"/>
        <v>-42996.852835886602</v>
      </c>
      <c r="BK290" s="417"/>
      <c r="BL290" s="417"/>
      <c r="BM290" s="417"/>
      <c r="BN290" s="417"/>
      <c r="BO290" s="417"/>
      <c r="BP290" s="417"/>
      <c r="BQ290" s="417"/>
      <c r="BR290" s="417"/>
      <c r="BS290" s="417"/>
      <c r="BT290" s="417"/>
      <c r="BU290" s="417"/>
    </row>
    <row r="291" spans="1:73" x14ac:dyDescent="0.2">
      <c r="A291" s="299"/>
      <c r="B291" s="299"/>
      <c r="C291" s="215" t="s">
        <v>319</v>
      </c>
      <c r="D291" s="299"/>
      <c r="E291" s="299"/>
      <c r="F291" s="299"/>
      <c r="G291" s="299"/>
      <c r="H291" s="299"/>
      <c r="I291" s="299"/>
      <c r="J291" s="299"/>
      <c r="K291" s="636" t="s">
        <v>62</v>
      </c>
      <c r="L291" s="299"/>
      <c r="M291" s="299"/>
      <c r="N291" s="417">
        <f>SUM(Q291:BJ291)</f>
        <v>-97373.823001979952</v>
      </c>
      <c r="O291" s="299"/>
      <c r="P291" s="299"/>
      <c r="Q291" s="414"/>
      <c r="R291" s="417">
        <f>+IF(R7=Inputs!$L$119,Inputs!$L$120+($N$286-Inputs!$L$121),0)</f>
        <v>0</v>
      </c>
      <c r="S291" s="417">
        <f>+IF(S7=Inputs!$L$119,Inputs!$L$120+($N$286-Inputs!$L$121),0)</f>
        <v>0</v>
      </c>
      <c r="T291" s="417">
        <f>+IF(T7=Inputs!$L$119,Inputs!$L$120+($N$286-Inputs!$L$121),0)</f>
        <v>0</v>
      </c>
      <c r="U291" s="417">
        <f>+IF(U7=Inputs!$L$119,Inputs!$L$120+($N$286-Inputs!$L$121),0)</f>
        <v>0</v>
      </c>
      <c r="V291" s="417">
        <f>+IF(V7=Inputs!$L$119,Inputs!$L$120+($N$286-Inputs!$L$121),0)</f>
        <v>0</v>
      </c>
      <c r="W291" s="417">
        <f>+IF(W7=Inputs!$L$119,Inputs!$L$120+($N$286-Inputs!$L$121),0)</f>
        <v>0</v>
      </c>
      <c r="X291" s="417">
        <f>+IF(X7=Inputs!$L$119,Inputs!$L$120+($N$286-Inputs!$L$121),0)</f>
        <v>0</v>
      </c>
      <c r="Y291" s="417">
        <f>+IF(Y7=Inputs!$L$119,Inputs!$L$120+($N$286-Inputs!$L$121),0)</f>
        <v>0</v>
      </c>
      <c r="Z291" s="417">
        <f>+IF(Z7=Inputs!$L$119,Inputs!$L$120+($N$286-Inputs!$L$121),0)</f>
        <v>0</v>
      </c>
      <c r="AA291" s="417">
        <f>+IF(AA7=Inputs!$L$119,Inputs!$L$120+($N$286-Inputs!$L$121),0)</f>
        <v>0</v>
      </c>
      <c r="AB291" s="417">
        <f>+IF(AB7=Inputs!$L$119,Inputs!$L$120+($N$286-Inputs!$L$121),0)</f>
        <v>0</v>
      </c>
      <c r="AC291" s="417">
        <f>+IF(AC7=Inputs!$L$119,Inputs!$L$120+($N$286-Inputs!$L$121),0)</f>
        <v>0</v>
      </c>
      <c r="AD291" s="417">
        <f>+IF(AD7=Inputs!$L$119,Inputs!$L$120+($N$286-Inputs!$L$121),0)</f>
        <v>0</v>
      </c>
      <c r="AE291" s="417">
        <f>+IF(AE7=Inputs!$L$119,Inputs!$L$120+($N$286-Inputs!$L$121),0)</f>
        <v>0</v>
      </c>
      <c r="AF291" s="417">
        <f>+IF(AF7=Inputs!$L$119,Inputs!$L$120+($N$286-Inputs!$L$121),0)</f>
        <v>0</v>
      </c>
      <c r="AG291" s="417">
        <f>+IF(AG7=Inputs!$L$119,Inputs!$L$120+($N$286-Inputs!$L$121),0)</f>
        <v>0</v>
      </c>
      <c r="AH291" s="417">
        <f>+IF(AH7=Inputs!$L$119,Inputs!$L$120+($N$286-Inputs!$L$121),0)</f>
        <v>0</v>
      </c>
      <c r="AI291" s="417">
        <f>+IF(AI7=Inputs!$L$119,Inputs!$L$120+($N$286-Inputs!$L$121),0)</f>
        <v>0</v>
      </c>
      <c r="AJ291" s="417">
        <f>+IF(AJ7=Inputs!$L$119,Inputs!$L$120+($N$286-Inputs!$L$121),0)</f>
        <v>0</v>
      </c>
      <c r="AK291" s="417">
        <f>+IF(AK7=Inputs!$L$119,Inputs!$L$120+($N$286-Inputs!$L$121),0)</f>
        <v>0</v>
      </c>
      <c r="AL291" s="417">
        <f>+IF(AL7=Inputs!$L$119,Inputs!$L$120+($N$286-Inputs!$L$121),0)</f>
        <v>0</v>
      </c>
      <c r="AM291" s="417">
        <f>+IF(AM7=Inputs!$L$119,Inputs!$L$120+($N$286-Inputs!$L$121),0)</f>
        <v>0</v>
      </c>
      <c r="AN291" s="417">
        <f>+IF(AN7=Inputs!$L$119,Inputs!$L$120+($N$286-Inputs!$L$121),0)</f>
        <v>0</v>
      </c>
      <c r="AO291" s="417">
        <f>+IF(AO7=Inputs!$L$119,Inputs!$L$120+($N$286-Inputs!$L$121),0)</f>
        <v>0</v>
      </c>
      <c r="AP291" s="417">
        <f>+IF(AP7=Inputs!$L$119,Inputs!$L$120+($N$286-Inputs!$L$121),0)</f>
        <v>0</v>
      </c>
      <c r="AQ291" s="417">
        <f>+IF(AQ7=Inputs!$L$119,Inputs!$L$120+($N$286-Inputs!$L$121),0)</f>
        <v>0</v>
      </c>
      <c r="AR291" s="417">
        <f>+IF(AR7=Inputs!$L$119,Inputs!$L$120+($N$286-Inputs!$L$121),0)</f>
        <v>0</v>
      </c>
      <c r="AS291" s="417">
        <f>+IF(AS7=Inputs!$L$119,Inputs!$L$120+($N$286-Inputs!$L$121),0)</f>
        <v>0</v>
      </c>
      <c r="AT291" s="417">
        <f>+IF(AT7=Inputs!$L$119,Inputs!$L$120+($N$286-Inputs!$L$121),0)</f>
        <v>0</v>
      </c>
      <c r="AU291" s="417">
        <f>+IF(AU7=Inputs!$L$119,Inputs!$L$120+($N$286-Inputs!$L$121),0)</f>
        <v>0</v>
      </c>
      <c r="AV291" s="417">
        <f>+IF(AV7=Inputs!$L$119,Inputs!$L$120+($N$286-Inputs!$L$121),0)</f>
        <v>0</v>
      </c>
      <c r="AW291" s="417">
        <f>+IF(AW7=Inputs!$L$119,Inputs!$L$120+($N$286-Inputs!$L$121),0)</f>
        <v>0</v>
      </c>
      <c r="AX291" s="417">
        <f>+IF(AX7=Inputs!$L$119,Inputs!$L$120+($N$286-Inputs!$L$121),0)</f>
        <v>0</v>
      </c>
      <c r="AY291" s="417">
        <f>+IF(AY7=Inputs!$L$119,Inputs!$L$120+($N$286-Inputs!$L$121),0)</f>
        <v>0</v>
      </c>
      <c r="AZ291" s="417">
        <f>+IF(AZ7=Inputs!$L$119,Inputs!$L$120+($N$286-Inputs!$L$121),0)</f>
        <v>0</v>
      </c>
      <c r="BA291" s="417">
        <f>+IF(BA7=Inputs!$L$119,Inputs!$L$120+($N$286-Inputs!$L$121),0)</f>
        <v>0</v>
      </c>
      <c r="BB291" s="417">
        <f>+IF(BB7=Inputs!$L$119,Inputs!$L$120+($N$286-Inputs!$L$121),0)</f>
        <v>0</v>
      </c>
      <c r="BC291" s="417">
        <f>+IF(BC7=Inputs!$L$119,Inputs!$L$120+($N$286-Inputs!$L$121),0)</f>
        <v>0</v>
      </c>
      <c r="BD291" s="417">
        <f>+IF(BD7=Inputs!$L$119,Inputs!$L$120+($N$286-Inputs!$L$121),0)</f>
        <v>0</v>
      </c>
      <c r="BE291" s="417">
        <f>+IF(BE7=Inputs!$L$119,Inputs!$L$120+($N$286-Inputs!$L$121),0)</f>
        <v>0</v>
      </c>
      <c r="BF291" s="417">
        <f>+IF(BF7=Inputs!$L$119,Inputs!$L$120+($N$286-Inputs!$L$121),0)</f>
        <v>0</v>
      </c>
      <c r="BG291" s="417">
        <f>+IF(BG7=Inputs!$L$119,Inputs!$L$120+($N$286-Inputs!$L$121),0)</f>
        <v>0</v>
      </c>
      <c r="BH291" s="417">
        <f>+IF(BH7=Inputs!$L$119,Inputs!$L$120+($N$286-Inputs!$L$121),0)</f>
        <v>0</v>
      </c>
      <c r="BI291" s="417">
        <f>+IF(BI7=Inputs!$L$119,Inputs!$L$120+($N$286-Inputs!$L$121),0)</f>
        <v>0</v>
      </c>
      <c r="BJ291" s="417">
        <f>+IF(BJ7=Inputs!$L$119,Inputs!$L$120+($N$286-Inputs!$L$121),0)</f>
        <v>-97373.823001979952</v>
      </c>
      <c r="BK291" s="417"/>
      <c r="BL291" s="417"/>
      <c r="BM291" s="417"/>
      <c r="BN291" s="417"/>
      <c r="BO291" s="417"/>
      <c r="BP291" s="417"/>
      <c r="BQ291" s="417"/>
      <c r="BR291" s="417"/>
      <c r="BS291" s="417"/>
      <c r="BT291" s="417"/>
      <c r="BU291" s="417"/>
    </row>
    <row r="292" spans="1:73" ht="13.5" thickBot="1" x14ac:dyDescent="0.25">
      <c r="A292" s="299"/>
      <c r="B292" s="299"/>
      <c r="C292" s="217" t="s">
        <v>88</v>
      </c>
      <c r="D292" s="299"/>
      <c r="E292" s="299"/>
      <c r="F292" s="299"/>
      <c r="G292" s="299"/>
      <c r="H292" s="299"/>
      <c r="I292" s="299"/>
      <c r="J292" s="299"/>
      <c r="K292" s="636" t="s">
        <v>62</v>
      </c>
      <c r="L292" s="299"/>
      <c r="M292" s="299"/>
      <c r="N292" s="299"/>
      <c r="O292" s="299"/>
      <c r="P292" s="299"/>
      <c r="Q292" s="414"/>
      <c r="R292" s="417">
        <f t="shared" ref="R292:BD292" si="364">SUM(R288:R291)</f>
        <v>0</v>
      </c>
      <c r="S292" s="417">
        <f t="shared" si="364"/>
        <v>0</v>
      </c>
      <c r="T292" s="417">
        <f t="shared" si="364"/>
        <v>0</v>
      </c>
      <c r="U292" s="417">
        <f t="shared" si="364"/>
        <v>0</v>
      </c>
      <c r="V292" s="417">
        <f t="shared" si="364"/>
        <v>0</v>
      </c>
      <c r="W292" s="417">
        <f t="shared" si="364"/>
        <v>0</v>
      </c>
      <c r="X292" s="417">
        <f t="shared" si="364"/>
        <v>0</v>
      </c>
      <c r="Y292" s="417">
        <f t="shared" si="364"/>
        <v>0</v>
      </c>
      <c r="Z292" s="417">
        <f t="shared" si="364"/>
        <v>0</v>
      </c>
      <c r="AA292" s="417">
        <f t="shared" si="364"/>
        <v>0</v>
      </c>
      <c r="AB292" s="417">
        <f t="shared" si="364"/>
        <v>0</v>
      </c>
      <c r="AC292" s="417">
        <f t="shared" si="364"/>
        <v>0</v>
      </c>
      <c r="AD292" s="417">
        <f t="shared" si="364"/>
        <v>0</v>
      </c>
      <c r="AE292" s="417">
        <f t="shared" si="364"/>
        <v>0</v>
      </c>
      <c r="AF292" s="417">
        <f t="shared" si="364"/>
        <v>0</v>
      </c>
      <c r="AG292" s="417">
        <f t="shared" si="364"/>
        <v>0</v>
      </c>
      <c r="AH292" s="417">
        <f t="shared" si="364"/>
        <v>0</v>
      </c>
      <c r="AI292" s="417">
        <f t="shared" si="364"/>
        <v>0</v>
      </c>
      <c r="AJ292" s="417">
        <f t="shared" si="364"/>
        <v>0</v>
      </c>
      <c r="AK292" s="417">
        <f t="shared" si="364"/>
        <v>0</v>
      </c>
      <c r="AL292" s="417">
        <f t="shared" si="364"/>
        <v>0</v>
      </c>
      <c r="AM292" s="417">
        <f t="shared" si="364"/>
        <v>0</v>
      </c>
      <c r="AN292" s="417">
        <f t="shared" si="364"/>
        <v>0</v>
      </c>
      <c r="AO292" s="417">
        <f t="shared" si="364"/>
        <v>0</v>
      </c>
      <c r="AP292" s="417">
        <f t="shared" si="364"/>
        <v>0</v>
      </c>
      <c r="AQ292" s="417">
        <f t="shared" si="364"/>
        <v>0</v>
      </c>
      <c r="AR292" s="417">
        <f t="shared" si="364"/>
        <v>0</v>
      </c>
      <c r="AS292" s="417">
        <f t="shared" si="364"/>
        <v>0</v>
      </c>
      <c r="AT292" s="417">
        <f t="shared" si="364"/>
        <v>0</v>
      </c>
      <c r="AU292" s="417">
        <f t="shared" si="364"/>
        <v>0</v>
      </c>
      <c r="AV292" s="417">
        <f t="shared" si="364"/>
        <v>0</v>
      </c>
      <c r="AW292" s="417">
        <f t="shared" si="364"/>
        <v>0</v>
      </c>
      <c r="AX292" s="417">
        <f t="shared" si="364"/>
        <v>0</v>
      </c>
      <c r="AY292" s="417">
        <f t="shared" si="364"/>
        <v>0</v>
      </c>
      <c r="AZ292" s="417">
        <f t="shared" si="364"/>
        <v>0</v>
      </c>
      <c r="BA292" s="417">
        <f t="shared" si="364"/>
        <v>0</v>
      </c>
      <c r="BB292" s="417">
        <f t="shared" si="364"/>
        <v>0</v>
      </c>
      <c r="BC292" s="417">
        <f t="shared" si="364"/>
        <v>0</v>
      </c>
      <c r="BD292" s="417">
        <f t="shared" si="364"/>
        <v>0</v>
      </c>
      <c r="BE292" s="417">
        <f t="shared" ref="BE292" si="365">SUM(BE288:BE291)</f>
        <v>143269.05167515849</v>
      </c>
      <c r="BF292" s="417">
        <f t="shared" ref="BF292:BJ292" si="366">SUM(BF288:BF291)</f>
        <v>126051.90591748834</v>
      </c>
      <c r="BG292" s="417">
        <f t="shared" si="366"/>
        <v>104408.27924592944</v>
      </c>
      <c r="BH292" s="417">
        <f t="shared" si="366"/>
        <v>77200.135568042242</v>
      </c>
      <c r="BI292" s="417">
        <f t="shared" si="366"/>
        <v>42996.852835886624</v>
      </c>
      <c r="BJ292" s="417">
        <f t="shared" si="366"/>
        <v>-97373.823001979938</v>
      </c>
      <c r="BK292" s="417"/>
      <c r="BL292" s="417"/>
      <c r="BM292" s="417"/>
      <c r="BN292" s="417"/>
      <c r="BO292" s="417"/>
      <c r="BP292" s="417"/>
      <c r="BQ292" s="417"/>
      <c r="BR292" s="417"/>
      <c r="BS292" s="417"/>
      <c r="BT292" s="417"/>
      <c r="BU292" s="417"/>
    </row>
    <row r="293" spans="1:73" ht="13.5" thickBot="1" x14ac:dyDescent="0.25">
      <c r="A293" s="299"/>
      <c r="B293" s="299"/>
      <c r="C293" s="299"/>
      <c r="D293" s="299"/>
      <c r="E293" s="299"/>
      <c r="F293" s="299"/>
      <c r="G293" s="299"/>
      <c r="H293" s="299"/>
      <c r="I293" s="299"/>
      <c r="J293" s="299"/>
      <c r="K293" s="410"/>
      <c r="L293" s="299"/>
      <c r="M293" s="299"/>
      <c r="N293" s="428">
        <f>IF(ROUND(SUM(N289:N290),2) = 0,0,1)</f>
        <v>0</v>
      </c>
      <c r="O293" s="299"/>
      <c r="P293" s="299"/>
      <c r="Q293" s="299"/>
      <c r="R293" s="299"/>
      <c r="S293" s="299"/>
      <c r="T293" s="299"/>
      <c r="U293" s="299"/>
      <c r="V293" s="299"/>
      <c r="W293" s="299"/>
      <c r="X293" s="299"/>
      <c r="Y293" s="299"/>
      <c r="Z293" s="299"/>
      <c r="AA293" s="299"/>
      <c r="AB293" s="299"/>
      <c r="AC293" s="299"/>
      <c r="AD293" s="299"/>
      <c r="AE293" s="299"/>
      <c r="AF293" s="299"/>
      <c r="AG293" s="299"/>
      <c r="AH293" s="299"/>
      <c r="AI293" s="299"/>
      <c r="AJ293" s="299"/>
      <c r="AK293" s="299"/>
      <c r="AL293" s="299"/>
      <c r="AM293" s="299"/>
      <c r="AN293" s="299"/>
      <c r="AO293" s="299"/>
      <c r="AP293" s="299"/>
      <c r="AQ293" s="299"/>
      <c r="AR293" s="299"/>
      <c r="AS293" s="299"/>
      <c r="AT293" s="299"/>
      <c r="AU293" s="299"/>
      <c r="AV293" s="299"/>
      <c r="AW293" s="299"/>
      <c r="AX293" s="299"/>
      <c r="AY293" s="299"/>
      <c r="AZ293" s="299"/>
      <c r="BA293" s="299"/>
      <c r="BB293" s="299"/>
      <c r="BC293" s="299"/>
      <c r="BD293" s="299"/>
      <c r="BE293" s="299"/>
      <c r="BF293" s="299"/>
      <c r="BG293" s="299"/>
      <c r="BH293" s="299"/>
      <c r="BI293" s="299"/>
      <c r="BJ293" s="299"/>
      <c r="BK293" s="299"/>
      <c r="BL293" s="299"/>
      <c r="BM293" s="299"/>
      <c r="BN293" s="299"/>
      <c r="BO293" s="299"/>
      <c r="BP293" s="299"/>
      <c r="BQ293" s="299"/>
      <c r="BR293" s="299"/>
      <c r="BS293" s="299"/>
      <c r="BT293" s="299"/>
      <c r="BU293" s="299"/>
    </row>
    <row r="294" spans="1:73" x14ac:dyDescent="0.2">
      <c r="A294" s="299"/>
      <c r="B294" s="299"/>
      <c r="C294" s="415"/>
      <c r="D294" s="299"/>
      <c r="E294" s="299"/>
      <c r="F294" s="299"/>
      <c r="G294" s="299"/>
      <c r="H294" s="299"/>
      <c r="I294" s="299"/>
      <c r="J294" s="299"/>
      <c r="K294" s="410"/>
      <c r="L294" s="299"/>
      <c r="M294" s="299"/>
      <c r="N294" s="299"/>
      <c r="O294" s="299"/>
      <c r="P294" s="299"/>
      <c r="Q294" s="299"/>
      <c r="R294" s="299"/>
      <c r="S294" s="299"/>
      <c r="T294" s="299"/>
      <c r="U294" s="299"/>
      <c r="V294" s="299"/>
      <c r="W294" s="299"/>
      <c r="X294" s="299"/>
      <c r="Y294" s="299"/>
      <c r="Z294" s="299"/>
      <c r="AA294" s="299"/>
      <c r="AB294" s="299"/>
      <c r="AC294" s="299"/>
      <c r="AD294" s="299"/>
      <c r="AE294" s="299"/>
      <c r="AF294" s="299"/>
      <c r="AG294" s="299"/>
      <c r="AH294" s="299"/>
      <c r="AI294" s="299"/>
      <c r="AJ294" s="299"/>
      <c r="AK294" s="299"/>
      <c r="AL294" s="299"/>
      <c r="AM294" s="299"/>
      <c r="AN294" s="299"/>
      <c r="AO294" s="299"/>
      <c r="AP294" s="299"/>
      <c r="AQ294" s="299"/>
      <c r="AR294" s="299"/>
      <c r="AS294" s="299"/>
      <c r="AT294" s="299"/>
      <c r="AU294" s="299"/>
      <c r="AV294" s="299"/>
      <c r="AW294" s="299"/>
      <c r="AX294" s="299"/>
      <c r="AY294" s="299"/>
      <c r="AZ294" s="299"/>
      <c r="BA294" s="299"/>
      <c r="BB294" s="299"/>
      <c r="BC294" s="299"/>
      <c r="BD294" s="299"/>
      <c r="BE294" s="299"/>
      <c r="BF294" s="299"/>
      <c r="BG294" s="299"/>
      <c r="BH294" s="299"/>
      <c r="BI294" s="299"/>
      <c r="BJ294" s="299"/>
      <c r="BK294" s="299"/>
      <c r="BL294" s="299"/>
      <c r="BM294" s="299"/>
      <c r="BN294" s="299"/>
      <c r="BO294" s="299"/>
      <c r="BP294" s="299"/>
      <c r="BQ294" s="299"/>
      <c r="BR294" s="299"/>
      <c r="BS294" s="299"/>
      <c r="BT294" s="299"/>
      <c r="BU294" s="299"/>
    </row>
    <row r="295" spans="1:73" ht="15.75" x14ac:dyDescent="0.25">
      <c r="A295" s="299"/>
      <c r="B295" s="299"/>
      <c r="C295" s="500" t="s">
        <v>74</v>
      </c>
      <c r="D295" s="299"/>
      <c r="E295" s="299"/>
      <c r="F295" s="299"/>
      <c r="G295" s="299"/>
      <c r="H295" s="299"/>
      <c r="I295" s="299"/>
      <c r="J295" s="299"/>
      <c r="K295" s="410"/>
      <c r="L295" s="299"/>
      <c r="M295" s="299"/>
      <c r="N295" s="299"/>
      <c r="O295" s="299"/>
      <c r="P295" s="299"/>
      <c r="Q295" s="299"/>
      <c r="R295" s="299"/>
      <c r="S295" s="299"/>
      <c r="T295" s="299"/>
      <c r="U295" s="299"/>
      <c r="V295" s="299"/>
      <c r="W295" s="299"/>
      <c r="X295" s="299"/>
      <c r="Y295" s="299"/>
      <c r="Z295" s="299"/>
      <c r="AA295" s="299"/>
      <c r="AB295" s="299"/>
      <c r="AC295" s="299"/>
      <c r="AD295" s="299"/>
      <c r="AE295" s="299"/>
      <c r="AF295" s="299"/>
      <c r="AG295" s="299"/>
      <c r="AH295" s="299"/>
      <c r="AI295" s="299"/>
      <c r="AJ295" s="299"/>
      <c r="AK295" s="299"/>
      <c r="AL295" s="299"/>
      <c r="AM295" s="299"/>
      <c r="AN295" s="299"/>
      <c r="AO295" s="299"/>
      <c r="AP295" s="299"/>
      <c r="AQ295" s="299"/>
      <c r="AR295" s="299"/>
      <c r="AS295" s="299"/>
      <c r="AT295" s="299"/>
      <c r="AU295" s="299"/>
      <c r="AV295" s="299"/>
      <c r="AW295" s="299"/>
      <c r="AX295" s="299"/>
      <c r="AY295" s="299"/>
      <c r="AZ295" s="299"/>
      <c r="BA295" s="299"/>
      <c r="BB295" s="299"/>
      <c r="BC295" s="299"/>
      <c r="BD295" s="299"/>
      <c r="BE295" s="299"/>
      <c r="BF295" s="299"/>
      <c r="BG295" s="299"/>
      <c r="BH295" s="299"/>
      <c r="BI295" s="299"/>
      <c r="BJ295" s="299"/>
      <c r="BK295" s="299"/>
      <c r="BL295" s="299"/>
      <c r="BM295" s="299"/>
      <c r="BN295" s="299"/>
      <c r="BO295" s="299"/>
      <c r="BP295" s="299"/>
      <c r="BQ295" s="299"/>
      <c r="BR295" s="299"/>
      <c r="BS295" s="299"/>
      <c r="BT295" s="299"/>
      <c r="BU295" s="299"/>
    </row>
    <row r="296" spans="1:73" x14ac:dyDescent="0.2">
      <c r="A296" s="299"/>
      <c r="B296" s="299"/>
      <c r="C296" s="299"/>
      <c r="D296" s="299"/>
      <c r="E296" s="299"/>
      <c r="F296" s="299"/>
      <c r="G296" s="299"/>
      <c r="H296" s="299"/>
      <c r="I296" s="299"/>
      <c r="J296" s="299"/>
      <c r="K296" s="410"/>
      <c r="L296" s="299"/>
      <c r="M296" s="299"/>
      <c r="N296" s="299"/>
      <c r="O296" s="299"/>
      <c r="P296" s="299"/>
      <c r="Q296" s="299"/>
      <c r="R296" s="299"/>
      <c r="S296" s="299"/>
      <c r="T296" s="299"/>
      <c r="U296" s="299"/>
      <c r="V296" s="299"/>
      <c r="W296" s="299"/>
      <c r="X296" s="299"/>
      <c r="Y296" s="299"/>
      <c r="Z296" s="299"/>
      <c r="AA296" s="299"/>
      <c r="AB296" s="299"/>
      <c r="AC296" s="299"/>
      <c r="AD296" s="299"/>
      <c r="AE296" s="299"/>
      <c r="AF296" s="299"/>
      <c r="AG296" s="299"/>
      <c r="AH296" s="299"/>
      <c r="AI296" s="299"/>
      <c r="AJ296" s="299"/>
      <c r="AK296" s="299"/>
      <c r="AL296" s="299"/>
      <c r="AM296" s="299"/>
      <c r="AN296" s="299"/>
      <c r="AO296" s="299"/>
      <c r="AP296" s="299"/>
      <c r="AQ296" s="299"/>
      <c r="AR296" s="299"/>
      <c r="AS296" s="299"/>
      <c r="AT296" s="299"/>
      <c r="AU296" s="299"/>
      <c r="AV296" s="299"/>
      <c r="AW296" s="299"/>
      <c r="AX296" s="299"/>
      <c r="AY296" s="299"/>
      <c r="AZ296" s="299"/>
      <c r="BA296" s="299"/>
      <c r="BB296" s="299"/>
      <c r="BC296" s="299"/>
      <c r="BD296" s="299"/>
      <c r="BE296" s="299"/>
      <c r="BF296" s="299"/>
      <c r="BG296" s="299"/>
      <c r="BH296" s="299"/>
      <c r="BI296" s="299"/>
      <c r="BJ296" s="299"/>
      <c r="BK296" s="299"/>
      <c r="BL296" s="299"/>
      <c r="BM296" s="299"/>
      <c r="BN296" s="299"/>
      <c r="BO296" s="299"/>
      <c r="BP296" s="299"/>
      <c r="BQ296" s="299"/>
      <c r="BR296" s="299"/>
      <c r="BS296" s="299"/>
      <c r="BT296" s="299"/>
      <c r="BU296" s="299"/>
    </row>
    <row r="297" spans="1:73" x14ac:dyDescent="0.2">
      <c r="A297" s="299"/>
      <c r="B297" s="299"/>
      <c r="C297" s="299" t="s">
        <v>74</v>
      </c>
      <c r="D297" s="299"/>
      <c r="E297" s="299"/>
      <c r="F297" s="299"/>
      <c r="G297" s="299"/>
      <c r="H297" s="299"/>
      <c r="I297" s="299"/>
      <c r="J297" s="299"/>
      <c r="K297" s="410"/>
      <c r="L297" s="441"/>
      <c r="M297" s="299"/>
      <c r="N297" s="299"/>
      <c r="O297" s="299"/>
      <c r="P297" s="299"/>
      <c r="Q297" s="299"/>
      <c r="R297" s="299"/>
      <c r="S297" s="299"/>
      <c r="T297" s="299"/>
      <c r="U297" s="299"/>
      <c r="V297" s="299"/>
      <c r="W297" s="299"/>
      <c r="X297" s="299"/>
      <c r="Y297" s="299"/>
      <c r="Z297" s="299"/>
      <c r="AA297" s="299"/>
      <c r="AB297" s="299"/>
      <c r="AC297" s="299"/>
      <c r="AD297" s="299"/>
      <c r="AE297" s="299"/>
      <c r="AF297" s="299"/>
      <c r="AG297" s="299"/>
      <c r="AH297" s="299"/>
      <c r="AI297" s="299"/>
      <c r="AJ297" s="299"/>
      <c r="AK297" s="299"/>
      <c r="AL297" s="299"/>
      <c r="AM297" s="299"/>
      <c r="AN297" s="299"/>
      <c r="AO297" s="299"/>
      <c r="AP297" s="299"/>
      <c r="AQ297" s="299"/>
      <c r="AR297" s="299"/>
      <c r="AS297" s="299"/>
      <c r="AT297" s="299"/>
      <c r="AU297" s="299"/>
      <c r="AV297" s="299"/>
      <c r="AW297" s="299"/>
      <c r="AX297" s="299"/>
      <c r="AY297" s="299"/>
      <c r="AZ297" s="299"/>
      <c r="BA297" s="299"/>
      <c r="BB297" s="299"/>
      <c r="BC297" s="299"/>
      <c r="BD297" s="299"/>
      <c r="BE297" s="299"/>
      <c r="BF297" s="299"/>
      <c r="BG297" s="299"/>
      <c r="BH297" s="299"/>
      <c r="BI297" s="299"/>
      <c r="BJ297" s="299"/>
      <c r="BK297" s="299"/>
      <c r="BL297" s="299"/>
      <c r="BM297" s="299"/>
      <c r="BN297" s="299"/>
      <c r="BO297" s="299"/>
      <c r="BP297" s="299"/>
      <c r="BQ297" s="299"/>
      <c r="BR297" s="299"/>
      <c r="BS297" s="299"/>
      <c r="BT297" s="299"/>
      <c r="BU297" s="299"/>
    </row>
    <row r="298" spans="1:73" x14ac:dyDescent="0.2">
      <c r="A298" s="299"/>
      <c r="B298" s="299"/>
      <c r="C298" s="299"/>
      <c r="D298" s="299"/>
      <c r="E298" s="299"/>
      <c r="F298" s="299"/>
      <c r="G298" s="299"/>
      <c r="H298" s="299"/>
      <c r="I298" s="299"/>
      <c r="J298" s="299"/>
      <c r="K298" s="410"/>
      <c r="L298" s="413"/>
      <c r="M298" s="413"/>
      <c r="N298" s="299"/>
      <c r="O298" s="299"/>
      <c r="P298" s="299"/>
      <c r="Q298" s="414"/>
      <c r="R298" s="414"/>
      <c r="S298" s="414"/>
      <c r="T298" s="414"/>
      <c r="U298" s="414"/>
      <c r="V298" s="414"/>
      <c r="W298" s="414"/>
      <c r="X298" s="414"/>
      <c r="Y298" s="414"/>
      <c r="Z298" s="414"/>
      <c r="AA298" s="414"/>
      <c r="AB298" s="414"/>
      <c r="AC298" s="414"/>
      <c r="AD298" s="414"/>
      <c r="AE298" s="414"/>
      <c r="AF298" s="414"/>
      <c r="AG298" s="414"/>
      <c r="AH298" s="414"/>
      <c r="AI298" s="414"/>
      <c r="AJ298" s="414"/>
      <c r="AK298" s="414"/>
      <c r="AL298" s="414"/>
      <c r="AM298" s="414"/>
      <c r="AN298" s="414"/>
      <c r="AO298" s="414"/>
      <c r="AP298" s="414"/>
      <c r="AQ298" s="414"/>
      <c r="AR298" s="414"/>
      <c r="AS298" s="414"/>
      <c r="AT298" s="414"/>
      <c r="AU298" s="414"/>
      <c r="AV298" s="414"/>
      <c r="AW298" s="414"/>
      <c r="AX298" s="414"/>
      <c r="AY298" s="414"/>
      <c r="AZ298" s="414"/>
      <c r="BA298" s="414"/>
      <c r="BB298" s="414"/>
      <c r="BC298" s="414"/>
      <c r="BD298" s="414"/>
      <c r="BE298" s="414"/>
      <c r="BF298" s="414"/>
      <c r="BG298" s="414"/>
      <c r="BH298" s="414"/>
      <c r="BI298" s="414"/>
      <c r="BJ298" s="414"/>
      <c r="BK298" s="414"/>
      <c r="BL298" s="414"/>
      <c r="BM298" s="414"/>
      <c r="BN298" s="414"/>
      <c r="BO298" s="414"/>
      <c r="BP298" s="414"/>
      <c r="BQ298" s="414"/>
      <c r="BR298" s="414"/>
      <c r="BS298" s="414"/>
      <c r="BT298" s="414"/>
      <c r="BU298" s="414"/>
    </row>
    <row r="299" spans="1:73" x14ac:dyDescent="0.2">
      <c r="A299" s="299"/>
      <c r="B299" s="299"/>
      <c r="C299" s="299" t="s">
        <v>244</v>
      </c>
      <c r="D299" s="299"/>
      <c r="E299" s="299"/>
      <c r="F299" s="299"/>
      <c r="G299" s="299"/>
      <c r="H299" s="299"/>
      <c r="I299" s="299"/>
      <c r="J299" s="299"/>
      <c r="K299" s="410" t="s">
        <v>245</v>
      </c>
      <c r="L299" s="413"/>
      <c r="M299" s="413">
        <f>+Inputs!$L$131</f>
        <v>43830</v>
      </c>
      <c r="N299" s="299"/>
      <c r="O299" s="299"/>
      <c r="P299" s="299"/>
      <c r="Q299" s="414"/>
      <c r="R299" s="414">
        <f t="shared" ref="R299:BJ299" si="367">IF(R9&lt;=$M$299,1,0)</f>
        <v>1</v>
      </c>
      <c r="S299" s="414">
        <f t="shared" si="367"/>
        <v>1</v>
      </c>
      <c r="T299" s="414">
        <f t="shared" si="367"/>
        <v>1</v>
      </c>
      <c r="U299" s="414">
        <f t="shared" si="367"/>
        <v>0</v>
      </c>
      <c r="V299" s="414">
        <f t="shared" si="367"/>
        <v>0</v>
      </c>
      <c r="W299" s="414">
        <f t="shared" si="367"/>
        <v>0</v>
      </c>
      <c r="X299" s="414">
        <f t="shared" si="367"/>
        <v>0</v>
      </c>
      <c r="Y299" s="414">
        <f t="shared" si="367"/>
        <v>0</v>
      </c>
      <c r="Z299" s="414">
        <f t="shared" si="367"/>
        <v>0</v>
      </c>
      <c r="AA299" s="414">
        <f t="shared" si="367"/>
        <v>0</v>
      </c>
      <c r="AB299" s="414">
        <f t="shared" si="367"/>
        <v>0</v>
      </c>
      <c r="AC299" s="414">
        <f t="shared" si="367"/>
        <v>0</v>
      </c>
      <c r="AD299" s="414">
        <f t="shared" si="367"/>
        <v>0</v>
      </c>
      <c r="AE299" s="414">
        <f t="shared" si="367"/>
        <v>0</v>
      </c>
      <c r="AF299" s="414">
        <f t="shared" si="367"/>
        <v>0</v>
      </c>
      <c r="AG299" s="414">
        <f t="shared" si="367"/>
        <v>0</v>
      </c>
      <c r="AH299" s="414">
        <f t="shared" si="367"/>
        <v>0</v>
      </c>
      <c r="AI299" s="414">
        <f t="shared" si="367"/>
        <v>0</v>
      </c>
      <c r="AJ299" s="414">
        <f t="shared" si="367"/>
        <v>0</v>
      </c>
      <c r="AK299" s="414">
        <f t="shared" si="367"/>
        <v>0</v>
      </c>
      <c r="AL299" s="414">
        <f t="shared" si="367"/>
        <v>0</v>
      </c>
      <c r="AM299" s="414">
        <f t="shared" si="367"/>
        <v>0</v>
      </c>
      <c r="AN299" s="414">
        <f t="shared" si="367"/>
        <v>0</v>
      </c>
      <c r="AO299" s="414">
        <f t="shared" si="367"/>
        <v>0</v>
      </c>
      <c r="AP299" s="414">
        <f t="shared" si="367"/>
        <v>0</v>
      </c>
      <c r="AQ299" s="414">
        <f t="shared" si="367"/>
        <v>0</v>
      </c>
      <c r="AR299" s="414">
        <f t="shared" si="367"/>
        <v>0</v>
      </c>
      <c r="AS299" s="414">
        <f t="shared" si="367"/>
        <v>0</v>
      </c>
      <c r="AT299" s="414">
        <f t="shared" si="367"/>
        <v>0</v>
      </c>
      <c r="AU299" s="414">
        <f t="shared" si="367"/>
        <v>0</v>
      </c>
      <c r="AV299" s="414">
        <f t="shared" si="367"/>
        <v>0</v>
      </c>
      <c r="AW299" s="414">
        <f t="shared" si="367"/>
        <v>0</v>
      </c>
      <c r="AX299" s="414">
        <f t="shared" si="367"/>
        <v>0</v>
      </c>
      <c r="AY299" s="414">
        <f t="shared" si="367"/>
        <v>0</v>
      </c>
      <c r="AZ299" s="414">
        <f t="shared" si="367"/>
        <v>0</v>
      </c>
      <c r="BA299" s="414">
        <f t="shared" si="367"/>
        <v>0</v>
      </c>
      <c r="BB299" s="414">
        <f t="shared" si="367"/>
        <v>0</v>
      </c>
      <c r="BC299" s="414">
        <f t="shared" si="367"/>
        <v>0</v>
      </c>
      <c r="BD299" s="414">
        <f t="shared" si="367"/>
        <v>0</v>
      </c>
      <c r="BE299" s="414">
        <f t="shared" si="367"/>
        <v>0</v>
      </c>
      <c r="BF299" s="414">
        <f t="shared" si="367"/>
        <v>0</v>
      </c>
      <c r="BG299" s="414">
        <f t="shared" si="367"/>
        <v>0</v>
      </c>
      <c r="BH299" s="414">
        <f t="shared" si="367"/>
        <v>0</v>
      </c>
      <c r="BI299" s="414">
        <f t="shared" si="367"/>
        <v>0</v>
      </c>
      <c r="BJ299" s="414">
        <f t="shared" si="367"/>
        <v>0</v>
      </c>
      <c r="BK299" s="414"/>
      <c r="BL299" s="414"/>
      <c r="BM299" s="414"/>
      <c r="BN299" s="414"/>
      <c r="BO299" s="414"/>
      <c r="BP299" s="414"/>
      <c r="BQ299" s="414"/>
      <c r="BR299" s="414"/>
      <c r="BS299" s="414"/>
      <c r="BT299" s="414"/>
      <c r="BU299" s="414"/>
    </row>
    <row r="300" spans="1:73" x14ac:dyDescent="0.2">
      <c r="A300" s="299"/>
      <c r="B300" s="299"/>
      <c r="C300" s="299" t="s">
        <v>246</v>
      </c>
      <c r="D300" s="299"/>
      <c r="E300" s="299"/>
      <c r="F300" s="299"/>
      <c r="G300" s="299"/>
      <c r="H300" s="299"/>
      <c r="I300" s="299"/>
      <c r="J300" s="299"/>
      <c r="K300" s="410" t="s">
        <v>245</v>
      </c>
      <c r="L300" s="413"/>
      <c r="M300" s="413">
        <f>+Inputs!$L$131</f>
        <v>43830</v>
      </c>
      <c r="N300" s="299"/>
      <c r="O300" s="299"/>
      <c r="P300" s="299"/>
      <c r="Q300" s="414"/>
      <c r="R300" s="414">
        <f t="shared" ref="R300:BJ300" si="368">IF(AND($M$300&gt;R8,$M$300&lt;=R9),1,0)</f>
        <v>0</v>
      </c>
      <c r="S300" s="414">
        <f t="shared" si="368"/>
        <v>0</v>
      </c>
      <c r="T300" s="414">
        <f t="shared" si="368"/>
        <v>1</v>
      </c>
      <c r="U300" s="414">
        <f t="shared" si="368"/>
        <v>0</v>
      </c>
      <c r="V300" s="414">
        <f t="shared" si="368"/>
        <v>0</v>
      </c>
      <c r="W300" s="414">
        <f t="shared" si="368"/>
        <v>0</v>
      </c>
      <c r="X300" s="414">
        <f t="shared" si="368"/>
        <v>0</v>
      </c>
      <c r="Y300" s="414">
        <f t="shared" si="368"/>
        <v>0</v>
      </c>
      <c r="Z300" s="414">
        <f t="shared" si="368"/>
        <v>0</v>
      </c>
      <c r="AA300" s="414">
        <f t="shared" si="368"/>
        <v>0</v>
      </c>
      <c r="AB300" s="414">
        <f t="shared" si="368"/>
        <v>0</v>
      </c>
      <c r="AC300" s="414">
        <f t="shared" si="368"/>
        <v>0</v>
      </c>
      <c r="AD300" s="414">
        <f t="shared" si="368"/>
        <v>0</v>
      </c>
      <c r="AE300" s="414">
        <f t="shared" si="368"/>
        <v>0</v>
      </c>
      <c r="AF300" s="414">
        <f t="shared" si="368"/>
        <v>0</v>
      </c>
      <c r="AG300" s="414">
        <f t="shared" si="368"/>
        <v>0</v>
      </c>
      <c r="AH300" s="414">
        <f t="shared" si="368"/>
        <v>0</v>
      </c>
      <c r="AI300" s="414">
        <f t="shared" si="368"/>
        <v>0</v>
      </c>
      <c r="AJ300" s="414">
        <f t="shared" si="368"/>
        <v>0</v>
      </c>
      <c r="AK300" s="414">
        <f t="shared" si="368"/>
        <v>0</v>
      </c>
      <c r="AL300" s="414">
        <f t="shared" si="368"/>
        <v>0</v>
      </c>
      <c r="AM300" s="414">
        <f t="shared" si="368"/>
        <v>0</v>
      </c>
      <c r="AN300" s="414">
        <f t="shared" si="368"/>
        <v>0</v>
      </c>
      <c r="AO300" s="414">
        <f t="shared" si="368"/>
        <v>0</v>
      </c>
      <c r="AP300" s="414">
        <f t="shared" si="368"/>
        <v>0</v>
      </c>
      <c r="AQ300" s="414">
        <f t="shared" si="368"/>
        <v>0</v>
      </c>
      <c r="AR300" s="414">
        <f t="shared" si="368"/>
        <v>0</v>
      </c>
      <c r="AS300" s="414">
        <f t="shared" si="368"/>
        <v>0</v>
      </c>
      <c r="AT300" s="414">
        <f t="shared" si="368"/>
        <v>0</v>
      </c>
      <c r="AU300" s="414">
        <f t="shared" si="368"/>
        <v>0</v>
      </c>
      <c r="AV300" s="414">
        <f t="shared" si="368"/>
        <v>0</v>
      </c>
      <c r="AW300" s="414">
        <f t="shared" si="368"/>
        <v>0</v>
      </c>
      <c r="AX300" s="414">
        <f t="shared" si="368"/>
        <v>0</v>
      </c>
      <c r="AY300" s="414">
        <f t="shared" si="368"/>
        <v>0</v>
      </c>
      <c r="AZ300" s="414">
        <f t="shared" si="368"/>
        <v>0</v>
      </c>
      <c r="BA300" s="414">
        <f t="shared" si="368"/>
        <v>0</v>
      </c>
      <c r="BB300" s="414">
        <f t="shared" si="368"/>
        <v>0</v>
      </c>
      <c r="BC300" s="414">
        <f t="shared" si="368"/>
        <v>0</v>
      </c>
      <c r="BD300" s="414">
        <f t="shared" si="368"/>
        <v>0</v>
      </c>
      <c r="BE300" s="414">
        <f t="shared" si="368"/>
        <v>0</v>
      </c>
      <c r="BF300" s="414">
        <f t="shared" si="368"/>
        <v>0</v>
      </c>
      <c r="BG300" s="414">
        <f t="shared" si="368"/>
        <v>0</v>
      </c>
      <c r="BH300" s="414">
        <f t="shared" si="368"/>
        <v>0</v>
      </c>
      <c r="BI300" s="414">
        <f t="shared" si="368"/>
        <v>0</v>
      </c>
      <c r="BJ300" s="414">
        <f t="shared" si="368"/>
        <v>0</v>
      </c>
      <c r="BK300" s="414"/>
      <c r="BL300" s="414"/>
      <c r="BM300" s="414"/>
      <c r="BN300" s="414"/>
      <c r="BO300" s="414"/>
      <c r="BP300" s="414"/>
      <c r="BQ300" s="414"/>
      <c r="BR300" s="414"/>
      <c r="BS300" s="414"/>
      <c r="BT300" s="414"/>
      <c r="BU300" s="414"/>
    </row>
    <row r="301" spans="1:73" x14ac:dyDescent="0.2">
      <c r="A301" s="299"/>
      <c r="B301" s="299"/>
      <c r="C301" s="299"/>
      <c r="D301" s="299"/>
      <c r="E301" s="299"/>
      <c r="F301" s="299"/>
      <c r="G301" s="299"/>
      <c r="H301" s="299"/>
      <c r="I301" s="299"/>
      <c r="J301" s="299"/>
      <c r="K301" s="410"/>
      <c r="L301" s="299"/>
      <c r="M301" s="299"/>
      <c r="N301" s="417"/>
      <c r="O301" s="417"/>
      <c r="P301" s="417"/>
      <c r="Q301" s="417"/>
      <c r="R301" s="417"/>
      <c r="S301" s="417"/>
      <c r="T301" s="417"/>
      <c r="U301" s="417"/>
      <c r="V301" s="417"/>
      <c r="W301" s="417"/>
      <c r="X301" s="417"/>
      <c r="Y301" s="417"/>
      <c r="Z301" s="417"/>
      <c r="AA301" s="417"/>
      <c r="AB301" s="417"/>
      <c r="AC301" s="417"/>
      <c r="AD301" s="417"/>
      <c r="AE301" s="417"/>
      <c r="AF301" s="417"/>
      <c r="AG301" s="417"/>
      <c r="AH301" s="417"/>
      <c r="AI301" s="417"/>
      <c r="AJ301" s="417"/>
      <c r="AK301" s="417"/>
      <c r="AL301" s="417"/>
      <c r="AM301" s="417"/>
      <c r="AN301" s="417"/>
      <c r="AO301" s="417"/>
      <c r="AP301" s="417"/>
      <c r="AQ301" s="417"/>
      <c r="AR301" s="417"/>
      <c r="AS301" s="417"/>
      <c r="AT301" s="417"/>
      <c r="AU301" s="417"/>
      <c r="AV301" s="417"/>
      <c r="AW301" s="417"/>
      <c r="AX301" s="417"/>
      <c r="AY301" s="417"/>
      <c r="AZ301" s="417"/>
      <c r="BA301" s="417"/>
      <c r="BB301" s="417"/>
      <c r="BC301" s="417"/>
      <c r="BD301" s="417"/>
      <c r="BE301" s="417"/>
      <c r="BF301" s="417"/>
      <c r="BG301" s="417"/>
      <c r="BH301" s="417"/>
      <c r="BI301" s="417"/>
      <c r="BJ301" s="417"/>
      <c r="BK301" s="417"/>
      <c r="BL301" s="417"/>
      <c r="BM301" s="417"/>
      <c r="BN301" s="417"/>
      <c r="BO301" s="417"/>
      <c r="BP301" s="417"/>
      <c r="BQ301" s="417"/>
      <c r="BR301" s="417"/>
      <c r="BS301" s="417"/>
      <c r="BT301" s="417"/>
      <c r="BU301" s="417"/>
    </row>
    <row r="302" spans="1:73" x14ac:dyDescent="0.2">
      <c r="A302" s="299"/>
      <c r="B302" s="299"/>
      <c r="C302" s="299" t="s">
        <v>247</v>
      </c>
      <c r="D302" s="299"/>
      <c r="E302" s="299"/>
      <c r="F302" s="299"/>
      <c r="G302" s="299"/>
      <c r="H302" s="299"/>
      <c r="I302" s="299"/>
      <c r="J302" s="299"/>
      <c r="K302" s="410" t="s">
        <v>62</v>
      </c>
      <c r="L302" s="299"/>
      <c r="M302" s="299"/>
      <c r="N302" s="417">
        <f>SUM(Q302:BJ302)</f>
        <v>24716931.816915601</v>
      </c>
      <c r="O302" s="417"/>
      <c r="P302" s="417"/>
      <c r="Q302" s="417"/>
      <c r="R302" s="417">
        <f t="shared" ref="R302:BJ302" si="369">+MAX(R242-R250-R251-R252,0)</f>
        <v>0</v>
      </c>
      <c r="S302" s="417">
        <f t="shared" si="369"/>
        <v>52922.655228947813</v>
      </c>
      <c r="T302" s="417">
        <f t="shared" si="369"/>
        <v>61930.505619590818</v>
      </c>
      <c r="U302" s="417">
        <f t="shared" si="369"/>
        <v>34432.077035664392</v>
      </c>
      <c r="V302" s="417">
        <f t="shared" si="369"/>
        <v>52614.671873702129</v>
      </c>
      <c r="W302" s="417">
        <f t="shared" si="369"/>
        <v>64711.348397522706</v>
      </c>
      <c r="X302" s="417">
        <f t="shared" si="369"/>
        <v>76226.223390791885</v>
      </c>
      <c r="Y302" s="417">
        <f t="shared" si="369"/>
        <v>88727.537335895424</v>
      </c>
      <c r="Z302" s="417">
        <f t="shared" si="369"/>
        <v>102020.10024563194</v>
      </c>
      <c r="AA302" s="417">
        <f t="shared" si="369"/>
        <v>117218.37893817326</v>
      </c>
      <c r="AB302" s="417">
        <f t="shared" si="369"/>
        <v>128892.25375766546</v>
      </c>
      <c r="AC302" s="417">
        <f t="shared" si="369"/>
        <v>141385.87399830358</v>
      </c>
      <c r="AD302" s="417">
        <f t="shared" si="369"/>
        <v>153884.43437198669</v>
      </c>
      <c r="AE302" s="417">
        <f t="shared" si="369"/>
        <v>163893.53866740927</v>
      </c>
      <c r="AF302" s="417">
        <f t="shared" si="369"/>
        <v>181191.54653672103</v>
      </c>
      <c r="AG302" s="417">
        <f t="shared" si="369"/>
        <v>205409.47262052793</v>
      </c>
      <c r="AH302" s="417">
        <f t="shared" si="369"/>
        <v>231774.47291989741</v>
      </c>
      <c r="AI302" s="417">
        <f t="shared" si="369"/>
        <v>260154.93525207887</v>
      </c>
      <c r="AJ302" s="417">
        <f t="shared" si="369"/>
        <v>291167.49409084715</v>
      </c>
      <c r="AK302" s="417">
        <f t="shared" si="369"/>
        <v>325768.64901303669</v>
      </c>
      <c r="AL302" s="417">
        <f t="shared" si="369"/>
        <v>363855.46835512907</v>
      </c>
      <c r="AM302" s="417">
        <f t="shared" si="369"/>
        <v>390908.84603987617</v>
      </c>
      <c r="AN302" s="417">
        <f t="shared" si="369"/>
        <v>477329.83465508273</v>
      </c>
      <c r="AO302" s="417">
        <f t="shared" si="369"/>
        <v>518211.75895344757</v>
      </c>
      <c r="AP302" s="417">
        <f t="shared" si="369"/>
        <v>583399.04240526201</v>
      </c>
      <c r="AQ302" s="417">
        <f t="shared" si="369"/>
        <v>620711.64546357875</v>
      </c>
      <c r="AR302" s="417">
        <f t="shared" si="369"/>
        <v>659812.96914061205</v>
      </c>
      <c r="AS302" s="417">
        <f t="shared" si="369"/>
        <v>701349.95831846655</v>
      </c>
      <c r="AT302" s="417">
        <f t="shared" si="369"/>
        <v>635752.4145601684</v>
      </c>
      <c r="AU302" s="417">
        <f t="shared" si="369"/>
        <v>683696.85681325768</v>
      </c>
      <c r="AV302" s="417">
        <f t="shared" si="369"/>
        <v>730581.25522877916</v>
      </c>
      <c r="AW302" s="417">
        <f t="shared" si="369"/>
        <v>775838.13647581427</v>
      </c>
      <c r="AX302" s="417">
        <f t="shared" si="369"/>
        <v>817143.37023925502</v>
      </c>
      <c r="AY302" s="417">
        <f t="shared" si="369"/>
        <v>879297.58436259429</v>
      </c>
      <c r="AZ302" s="417">
        <f t="shared" si="369"/>
        <v>944189.52262140682</v>
      </c>
      <c r="BA302" s="417">
        <f t="shared" si="369"/>
        <v>999584.70123630413</v>
      </c>
      <c r="BB302" s="417">
        <f t="shared" si="369"/>
        <v>1053910.6078956781</v>
      </c>
      <c r="BC302" s="417">
        <f t="shared" si="369"/>
        <v>1086080.2769720163</v>
      </c>
      <c r="BD302" s="417">
        <f t="shared" si="369"/>
        <v>1396843.1980425587</v>
      </c>
      <c r="BE302" s="417">
        <f t="shared" si="369"/>
        <v>1270005.7518513093</v>
      </c>
      <c r="BF302" s="417">
        <f t="shared" si="369"/>
        <v>1479620.2625882474</v>
      </c>
      <c r="BG302" s="417">
        <f t="shared" si="369"/>
        <v>1534181.2648705142</v>
      </c>
      <c r="BH302" s="417">
        <f t="shared" si="369"/>
        <v>1590368.8850572105</v>
      </c>
      <c r="BI302" s="417">
        <f t="shared" si="369"/>
        <v>1510143.6007841963</v>
      </c>
      <c r="BJ302" s="417">
        <f t="shared" si="369"/>
        <v>279788.43469044275</v>
      </c>
      <c r="BK302" s="417"/>
      <c r="BL302" s="417"/>
      <c r="BM302" s="417"/>
      <c r="BN302" s="417"/>
      <c r="BO302" s="417"/>
      <c r="BP302" s="417"/>
      <c r="BQ302" s="417"/>
      <c r="BR302" s="417"/>
      <c r="BS302" s="417"/>
      <c r="BT302" s="417"/>
      <c r="BU302" s="417"/>
    </row>
    <row r="303" spans="1:73" x14ac:dyDescent="0.2">
      <c r="A303" s="299"/>
      <c r="B303" s="299"/>
      <c r="C303" s="299" t="s">
        <v>324</v>
      </c>
      <c r="D303" s="299"/>
      <c r="E303" s="299"/>
      <c r="F303" s="299"/>
      <c r="G303" s="299"/>
      <c r="H303" s="299"/>
      <c r="I303" s="299"/>
      <c r="J303" s="299"/>
      <c r="K303" s="410"/>
      <c r="L303" s="299"/>
      <c r="M303" s="299"/>
      <c r="N303" s="417"/>
      <c r="O303" s="417"/>
      <c r="P303" s="417"/>
      <c r="Q303" s="417"/>
      <c r="R303" s="417">
        <f>MIN(CF!R45,0)</f>
        <v>0</v>
      </c>
      <c r="S303" s="417">
        <f>MIN(CF!S45,0)</f>
        <v>0</v>
      </c>
      <c r="T303" s="417">
        <f>MIN(CF!T45,0)</f>
        <v>0</v>
      </c>
      <c r="U303" s="417">
        <f>MIN(CF!U45,0)</f>
        <v>0</v>
      </c>
      <c r="V303" s="417">
        <f>MIN(CF!V45,0)</f>
        <v>0</v>
      </c>
      <c r="W303" s="417">
        <f>MIN(CF!W45,0)</f>
        <v>0</v>
      </c>
      <c r="X303" s="417">
        <f>MIN(CF!X45,0)</f>
        <v>0</v>
      </c>
      <c r="Y303" s="417">
        <f>MIN(CF!Y45,0)</f>
        <v>0</v>
      </c>
      <c r="Z303" s="417">
        <f>MIN(CF!Z45,0)</f>
        <v>0</v>
      </c>
      <c r="AA303" s="417">
        <f>MIN(CF!AA45,0)</f>
        <v>0</v>
      </c>
      <c r="AB303" s="417">
        <f>MIN(CF!AB45,0)</f>
        <v>0</v>
      </c>
      <c r="AC303" s="417">
        <f>MIN(CF!AC45,0)</f>
        <v>0</v>
      </c>
      <c r="AD303" s="417">
        <f>MIN(CF!AD45,0)</f>
        <v>0</v>
      </c>
      <c r="AE303" s="417">
        <f>MIN(CF!AE45,0)</f>
        <v>0</v>
      </c>
      <c r="AF303" s="417">
        <f>MIN(CF!AF45,0)</f>
        <v>0</v>
      </c>
      <c r="AG303" s="417">
        <f>MIN(CF!AG45,0)</f>
        <v>0</v>
      </c>
      <c r="AH303" s="417">
        <f>MIN(CF!AH45,0)</f>
        <v>0</v>
      </c>
      <c r="AI303" s="417">
        <f>MIN(CF!AI45,0)</f>
        <v>0</v>
      </c>
      <c r="AJ303" s="417">
        <f>MIN(CF!AJ45,0)</f>
        <v>0</v>
      </c>
      <c r="AK303" s="417">
        <f>MIN(CF!AK45,0)</f>
        <v>0</v>
      </c>
      <c r="AL303" s="417">
        <f>MIN(CF!AL45,0)</f>
        <v>0</v>
      </c>
      <c r="AM303" s="417">
        <f>MIN(CF!AM45,0)</f>
        <v>0</v>
      </c>
      <c r="AN303" s="417">
        <f>MIN(CF!AN45,0)</f>
        <v>0</v>
      </c>
      <c r="AO303" s="417">
        <f>MIN(CF!AO45,0)</f>
        <v>0</v>
      </c>
      <c r="AP303" s="417">
        <f>MIN(CF!AP45,0)</f>
        <v>0</v>
      </c>
      <c r="AQ303" s="417">
        <f>MIN(CF!AQ45,0)</f>
        <v>0</v>
      </c>
      <c r="AR303" s="417">
        <f>MIN(CF!AR45,0)</f>
        <v>0</v>
      </c>
      <c r="AS303" s="417">
        <f>MIN(CF!AS45,0)</f>
        <v>0</v>
      </c>
      <c r="AT303" s="417">
        <f>MIN(CF!AT45,0)</f>
        <v>0</v>
      </c>
      <c r="AU303" s="417">
        <f>MIN(CF!AU45,0)</f>
        <v>0</v>
      </c>
      <c r="AV303" s="417">
        <f>MIN(CF!AV45,0)</f>
        <v>0</v>
      </c>
      <c r="AW303" s="417">
        <f>MIN(CF!AW45,0)</f>
        <v>0</v>
      </c>
      <c r="AX303" s="417">
        <f>MIN(CF!AX45,0)</f>
        <v>0</v>
      </c>
      <c r="AY303" s="417">
        <f>MIN(CF!AY45,0)</f>
        <v>0</v>
      </c>
      <c r="AZ303" s="417">
        <f>MIN(CF!AZ45,0)</f>
        <v>0</v>
      </c>
      <c r="BA303" s="417">
        <f>MIN(CF!BA45,0)</f>
        <v>0</v>
      </c>
      <c r="BB303" s="417">
        <f>MIN(CF!BB45,0)</f>
        <v>0</v>
      </c>
      <c r="BC303" s="417">
        <f>MIN(CF!BC45,0)</f>
        <v>0</v>
      </c>
      <c r="BD303" s="417">
        <f>MIN(CF!BD45,0)</f>
        <v>0</v>
      </c>
      <c r="BE303" s="417">
        <f>MIN(CF!BE45,0)</f>
        <v>0</v>
      </c>
      <c r="BF303" s="417">
        <f>MIN(CF!BF45,0)</f>
        <v>0</v>
      </c>
      <c r="BG303" s="417">
        <f>MIN(CF!BG45,0)</f>
        <v>0</v>
      </c>
      <c r="BH303" s="417">
        <f>MIN(CF!BH45,0)</f>
        <v>0</v>
      </c>
      <c r="BI303" s="417">
        <f>MIN(CF!BI45,0)</f>
        <v>0</v>
      </c>
      <c r="BJ303" s="417">
        <f>MIN(CF!BJ45,0)</f>
        <v>0</v>
      </c>
      <c r="BK303" s="417"/>
      <c r="BL303" s="417"/>
      <c r="BM303" s="417"/>
      <c r="BN303" s="417"/>
      <c r="BO303" s="417"/>
      <c r="BP303" s="417"/>
      <c r="BQ303" s="417"/>
      <c r="BR303" s="417"/>
      <c r="BS303" s="417"/>
      <c r="BT303" s="417"/>
      <c r="BU303" s="417"/>
    </row>
    <row r="304" spans="1:73" x14ac:dyDescent="0.2">
      <c r="A304" s="299"/>
      <c r="B304" s="299"/>
      <c r="C304" s="299"/>
      <c r="D304" s="299"/>
      <c r="E304" s="299"/>
      <c r="F304" s="299"/>
      <c r="G304" s="299"/>
      <c r="H304" s="299"/>
      <c r="I304" s="299"/>
      <c r="J304" s="299"/>
      <c r="K304" s="410"/>
      <c r="L304" s="299"/>
      <c r="M304" s="299"/>
      <c r="N304" s="417"/>
      <c r="O304" s="417"/>
      <c r="P304" s="417"/>
      <c r="Q304" s="417"/>
      <c r="R304" s="417"/>
      <c r="S304" s="417"/>
      <c r="T304" s="417"/>
      <c r="U304" s="417"/>
      <c r="V304" s="417"/>
      <c r="W304" s="417"/>
      <c r="X304" s="417"/>
      <c r="Y304" s="417"/>
      <c r="Z304" s="417"/>
      <c r="AA304" s="417"/>
      <c r="AB304" s="417"/>
      <c r="AC304" s="417"/>
      <c r="AD304" s="417"/>
      <c r="AE304" s="417"/>
      <c r="AF304" s="417"/>
      <c r="AG304" s="417"/>
      <c r="AH304" s="417"/>
      <c r="AI304" s="417"/>
      <c r="AJ304" s="417"/>
      <c r="AK304" s="417"/>
      <c r="AL304" s="417"/>
      <c r="AM304" s="417"/>
      <c r="AN304" s="417"/>
      <c r="AO304" s="417"/>
      <c r="AP304" s="417"/>
      <c r="AQ304" s="417"/>
      <c r="AR304" s="417"/>
      <c r="AS304" s="417"/>
      <c r="AT304" s="417"/>
      <c r="AU304" s="417"/>
      <c r="AV304" s="417"/>
      <c r="AW304" s="417"/>
      <c r="AX304" s="417"/>
      <c r="AY304" s="417"/>
      <c r="AZ304" s="417"/>
      <c r="BA304" s="417"/>
      <c r="BB304" s="417"/>
      <c r="BC304" s="417"/>
      <c r="BD304" s="417"/>
      <c r="BE304" s="417"/>
      <c r="BF304" s="417"/>
      <c r="BG304" s="417"/>
      <c r="BH304" s="417"/>
      <c r="BI304" s="417"/>
      <c r="BJ304" s="417"/>
      <c r="BK304" s="417"/>
      <c r="BL304" s="417"/>
      <c r="BM304" s="417"/>
      <c r="BN304" s="417"/>
      <c r="BO304" s="417"/>
      <c r="BP304" s="417"/>
      <c r="BQ304" s="417"/>
      <c r="BR304" s="417"/>
      <c r="BS304" s="417"/>
      <c r="BT304" s="417"/>
      <c r="BU304" s="417"/>
    </row>
    <row r="305" spans="1:73" x14ac:dyDescent="0.2">
      <c r="A305" s="299"/>
      <c r="B305" s="299"/>
      <c r="C305" s="299" t="s">
        <v>135</v>
      </c>
      <c r="D305" s="299"/>
      <c r="E305" s="299"/>
      <c r="F305" s="299"/>
      <c r="G305" s="299"/>
      <c r="H305" s="299"/>
      <c r="I305" s="299"/>
      <c r="J305" s="299"/>
      <c r="K305" s="410"/>
      <c r="L305" s="299"/>
      <c r="M305" s="299"/>
      <c r="N305" s="417">
        <f>R308</f>
        <v>92381.343480000025</v>
      </c>
      <c r="O305" s="417"/>
      <c r="P305" s="417"/>
      <c r="Q305" s="417"/>
      <c r="R305" s="416"/>
      <c r="S305" s="417">
        <f t="shared" ref="S305:AO305" si="370">+R308</f>
        <v>92381.343480000025</v>
      </c>
      <c r="T305" s="417">
        <f t="shared" si="370"/>
        <v>145303.99870894785</v>
      </c>
      <c r="U305" s="417">
        <f t="shared" si="370"/>
        <v>0</v>
      </c>
      <c r="V305" s="417">
        <f t="shared" si="370"/>
        <v>0</v>
      </c>
      <c r="W305" s="417">
        <f t="shared" si="370"/>
        <v>0</v>
      </c>
      <c r="X305" s="417">
        <f t="shared" si="370"/>
        <v>0</v>
      </c>
      <c r="Y305" s="417">
        <f t="shared" si="370"/>
        <v>0</v>
      </c>
      <c r="Z305" s="417">
        <f t="shared" si="370"/>
        <v>0</v>
      </c>
      <c r="AA305" s="417">
        <f t="shared" si="370"/>
        <v>0</v>
      </c>
      <c r="AB305" s="417">
        <f t="shared" si="370"/>
        <v>0</v>
      </c>
      <c r="AC305" s="417">
        <f t="shared" si="370"/>
        <v>0</v>
      </c>
      <c r="AD305" s="417">
        <f t="shared" si="370"/>
        <v>0</v>
      </c>
      <c r="AE305" s="417">
        <f t="shared" si="370"/>
        <v>0</v>
      </c>
      <c r="AF305" s="417">
        <f t="shared" si="370"/>
        <v>0</v>
      </c>
      <c r="AG305" s="417">
        <f t="shared" si="370"/>
        <v>0</v>
      </c>
      <c r="AH305" s="417">
        <f t="shared" si="370"/>
        <v>0</v>
      </c>
      <c r="AI305" s="417">
        <f t="shared" si="370"/>
        <v>0</v>
      </c>
      <c r="AJ305" s="417">
        <f t="shared" si="370"/>
        <v>0</v>
      </c>
      <c r="AK305" s="417">
        <f t="shared" si="370"/>
        <v>0</v>
      </c>
      <c r="AL305" s="417">
        <f t="shared" si="370"/>
        <v>0</v>
      </c>
      <c r="AM305" s="417">
        <f t="shared" si="370"/>
        <v>0</v>
      </c>
      <c r="AN305" s="417">
        <f t="shared" si="370"/>
        <v>0</v>
      </c>
      <c r="AO305" s="417">
        <f t="shared" si="370"/>
        <v>0</v>
      </c>
      <c r="AP305" s="417">
        <f t="shared" ref="AP305:BJ305" si="371">+AO308</f>
        <v>0</v>
      </c>
      <c r="AQ305" s="417">
        <f t="shared" si="371"/>
        <v>0</v>
      </c>
      <c r="AR305" s="417">
        <f t="shared" si="371"/>
        <v>0</v>
      </c>
      <c r="AS305" s="417">
        <f t="shared" si="371"/>
        <v>0</v>
      </c>
      <c r="AT305" s="417">
        <f t="shared" si="371"/>
        <v>0</v>
      </c>
      <c r="AU305" s="417">
        <f t="shared" si="371"/>
        <v>0</v>
      </c>
      <c r="AV305" s="417">
        <f t="shared" si="371"/>
        <v>0</v>
      </c>
      <c r="AW305" s="417">
        <f t="shared" si="371"/>
        <v>0</v>
      </c>
      <c r="AX305" s="417">
        <f t="shared" si="371"/>
        <v>0</v>
      </c>
      <c r="AY305" s="417">
        <f t="shared" si="371"/>
        <v>0</v>
      </c>
      <c r="AZ305" s="417">
        <f t="shared" si="371"/>
        <v>0</v>
      </c>
      <c r="BA305" s="417">
        <f t="shared" si="371"/>
        <v>0</v>
      </c>
      <c r="BB305" s="417">
        <f t="shared" si="371"/>
        <v>0</v>
      </c>
      <c r="BC305" s="417">
        <f t="shared" si="371"/>
        <v>0</v>
      </c>
      <c r="BD305" s="417">
        <f t="shared" si="371"/>
        <v>0</v>
      </c>
      <c r="BE305" s="417">
        <f t="shared" si="371"/>
        <v>0</v>
      </c>
      <c r="BF305" s="417">
        <f t="shared" si="371"/>
        <v>0</v>
      </c>
      <c r="BG305" s="417">
        <f t="shared" si="371"/>
        <v>0</v>
      </c>
      <c r="BH305" s="417">
        <f t="shared" si="371"/>
        <v>0</v>
      </c>
      <c r="BI305" s="417">
        <f t="shared" si="371"/>
        <v>0</v>
      </c>
      <c r="BJ305" s="417">
        <f t="shared" si="371"/>
        <v>0</v>
      </c>
      <c r="BK305" s="417"/>
      <c r="BL305" s="417"/>
      <c r="BM305" s="417"/>
      <c r="BN305" s="417"/>
      <c r="BO305" s="417"/>
      <c r="BP305" s="417"/>
      <c r="BQ305" s="417"/>
      <c r="BR305" s="417"/>
      <c r="BS305" s="417"/>
      <c r="BT305" s="417"/>
      <c r="BU305" s="417"/>
    </row>
    <row r="306" spans="1:73" x14ac:dyDescent="0.2">
      <c r="A306" s="299"/>
      <c r="B306" s="299"/>
      <c r="C306" s="299" t="s">
        <v>248</v>
      </c>
      <c r="D306" s="299"/>
      <c r="E306" s="299"/>
      <c r="F306" s="299"/>
      <c r="G306" s="299"/>
      <c r="H306" s="299"/>
      <c r="I306" s="299"/>
      <c r="J306" s="299"/>
      <c r="K306" s="410" t="s">
        <v>62</v>
      </c>
      <c r="L306" s="299"/>
      <c r="M306" s="299"/>
      <c r="N306" s="417">
        <f>SUM(Q306:BJ306)</f>
        <v>114853.16084853862</v>
      </c>
      <c r="O306" s="417"/>
      <c r="P306" s="417"/>
      <c r="Q306" s="416"/>
      <c r="R306" s="416"/>
      <c r="S306" s="417">
        <f t="shared" ref="S306:AW306" si="372">+S299 * S302</f>
        <v>52922.655228947813</v>
      </c>
      <c r="T306" s="417">
        <f t="shared" si="372"/>
        <v>61930.505619590818</v>
      </c>
      <c r="U306" s="417">
        <f t="shared" si="372"/>
        <v>0</v>
      </c>
      <c r="V306" s="417">
        <f t="shared" si="372"/>
        <v>0</v>
      </c>
      <c r="W306" s="417">
        <f t="shared" si="372"/>
        <v>0</v>
      </c>
      <c r="X306" s="417">
        <f t="shared" si="372"/>
        <v>0</v>
      </c>
      <c r="Y306" s="417">
        <f t="shared" si="372"/>
        <v>0</v>
      </c>
      <c r="Z306" s="417">
        <f t="shared" si="372"/>
        <v>0</v>
      </c>
      <c r="AA306" s="417">
        <f t="shared" si="372"/>
        <v>0</v>
      </c>
      <c r="AB306" s="417">
        <f t="shared" si="372"/>
        <v>0</v>
      </c>
      <c r="AC306" s="417">
        <f t="shared" si="372"/>
        <v>0</v>
      </c>
      <c r="AD306" s="417">
        <f t="shared" si="372"/>
        <v>0</v>
      </c>
      <c r="AE306" s="417">
        <f t="shared" si="372"/>
        <v>0</v>
      </c>
      <c r="AF306" s="417">
        <f t="shared" si="372"/>
        <v>0</v>
      </c>
      <c r="AG306" s="417">
        <f t="shared" si="372"/>
        <v>0</v>
      </c>
      <c r="AH306" s="417">
        <f t="shared" si="372"/>
        <v>0</v>
      </c>
      <c r="AI306" s="417">
        <f t="shared" si="372"/>
        <v>0</v>
      </c>
      <c r="AJ306" s="417">
        <f t="shared" si="372"/>
        <v>0</v>
      </c>
      <c r="AK306" s="417">
        <f t="shared" si="372"/>
        <v>0</v>
      </c>
      <c r="AL306" s="417">
        <f t="shared" si="372"/>
        <v>0</v>
      </c>
      <c r="AM306" s="417">
        <f t="shared" si="372"/>
        <v>0</v>
      </c>
      <c r="AN306" s="417">
        <f t="shared" si="372"/>
        <v>0</v>
      </c>
      <c r="AO306" s="417">
        <f t="shared" si="372"/>
        <v>0</v>
      </c>
      <c r="AP306" s="417">
        <f t="shared" si="372"/>
        <v>0</v>
      </c>
      <c r="AQ306" s="417">
        <f t="shared" si="372"/>
        <v>0</v>
      </c>
      <c r="AR306" s="417">
        <f t="shared" si="372"/>
        <v>0</v>
      </c>
      <c r="AS306" s="417">
        <f t="shared" si="372"/>
        <v>0</v>
      </c>
      <c r="AT306" s="417">
        <f t="shared" si="372"/>
        <v>0</v>
      </c>
      <c r="AU306" s="417">
        <f t="shared" si="372"/>
        <v>0</v>
      </c>
      <c r="AV306" s="417">
        <f t="shared" si="372"/>
        <v>0</v>
      </c>
      <c r="AW306" s="417">
        <f t="shared" si="372"/>
        <v>0</v>
      </c>
      <c r="AX306" s="417">
        <f t="shared" ref="AX306:BJ306" si="373">+AX299 * AX302</f>
        <v>0</v>
      </c>
      <c r="AY306" s="417">
        <f t="shared" si="373"/>
        <v>0</v>
      </c>
      <c r="AZ306" s="417">
        <f t="shared" si="373"/>
        <v>0</v>
      </c>
      <c r="BA306" s="417">
        <f t="shared" si="373"/>
        <v>0</v>
      </c>
      <c r="BB306" s="417">
        <f t="shared" si="373"/>
        <v>0</v>
      </c>
      <c r="BC306" s="417">
        <f t="shared" si="373"/>
        <v>0</v>
      </c>
      <c r="BD306" s="417">
        <f t="shared" si="373"/>
        <v>0</v>
      </c>
      <c r="BE306" s="417">
        <f t="shared" si="373"/>
        <v>0</v>
      </c>
      <c r="BF306" s="417">
        <f t="shared" si="373"/>
        <v>0</v>
      </c>
      <c r="BG306" s="417">
        <f t="shared" si="373"/>
        <v>0</v>
      </c>
      <c r="BH306" s="417">
        <f t="shared" si="373"/>
        <v>0</v>
      </c>
      <c r="BI306" s="417">
        <f t="shared" si="373"/>
        <v>0</v>
      </c>
      <c r="BJ306" s="417">
        <f t="shared" si="373"/>
        <v>0</v>
      </c>
      <c r="BK306" s="417"/>
      <c r="BL306" s="417"/>
      <c r="BM306" s="417"/>
      <c r="BN306" s="417"/>
      <c r="BO306" s="417"/>
      <c r="BP306" s="417"/>
      <c r="BQ306" s="417"/>
      <c r="BR306" s="417"/>
      <c r="BS306" s="417"/>
      <c r="BT306" s="417"/>
      <c r="BU306" s="417"/>
    </row>
    <row r="307" spans="1:73" x14ac:dyDescent="0.2">
      <c r="A307" s="299"/>
      <c r="B307" s="299"/>
      <c r="C307" s="299" t="s">
        <v>243</v>
      </c>
      <c r="D307" s="299"/>
      <c r="E307" s="299"/>
      <c r="F307" s="299"/>
      <c r="G307" s="299"/>
      <c r="H307" s="299"/>
      <c r="I307" s="299"/>
      <c r="J307" s="299"/>
      <c r="K307" s="410" t="s">
        <v>62</v>
      </c>
      <c r="L307" s="299"/>
      <c r="M307" s="299"/>
      <c r="N307" s="417">
        <f>SUM(Q307:BJ307)</f>
        <v>-207234.50432853866</v>
      </c>
      <c r="O307" s="417"/>
      <c r="P307" s="417"/>
      <c r="Q307" s="416"/>
      <c r="R307" s="417"/>
      <c r="S307" s="417">
        <f t="shared" ref="S307:AW307" si="374">-(+SUM(R308,S306) * S300)+S303</f>
        <v>0</v>
      </c>
      <c r="T307" s="417">
        <f t="shared" si="374"/>
        <v>-207234.50432853866</v>
      </c>
      <c r="U307" s="417">
        <f t="shared" si="374"/>
        <v>0</v>
      </c>
      <c r="V307" s="417">
        <f t="shared" si="374"/>
        <v>0</v>
      </c>
      <c r="W307" s="417">
        <f t="shared" si="374"/>
        <v>0</v>
      </c>
      <c r="X307" s="417">
        <f t="shared" si="374"/>
        <v>0</v>
      </c>
      <c r="Y307" s="417">
        <f t="shared" si="374"/>
        <v>0</v>
      </c>
      <c r="Z307" s="417">
        <f t="shared" si="374"/>
        <v>0</v>
      </c>
      <c r="AA307" s="417">
        <f t="shared" si="374"/>
        <v>0</v>
      </c>
      <c r="AB307" s="417">
        <f t="shared" si="374"/>
        <v>0</v>
      </c>
      <c r="AC307" s="417">
        <f t="shared" si="374"/>
        <v>0</v>
      </c>
      <c r="AD307" s="417">
        <f t="shared" si="374"/>
        <v>0</v>
      </c>
      <c r="AE307" s="417">
        <f t="shared" si="374"/>
        <v>0</v>
      </c>
      <c r="AF307" s="417">
        <f t="shared" si="374"/>
        <v>0</v>
      </c>
      <c r="AG307" s="417">
        <f t="shared" si="374"/>
        <v>0</v>
      </c>
      <c r="AH307" s="417">
        <f t="shared" si="374"/>
        <v>0</v>
      </c>
      <c r="AI307" s="417">
        <f t="shared" si="374"/>
        <v>0</v>
      </c>
      <c r="AJ307" s="417">
        <f t="shared" si="374"/>
        <v>0</v>
      </c>
      <c r="AK307" s="417">
        <f t="shared" si="374"/>
        <v>0</v>
      </c>
      <c r="AL307" s="417">
        <f t="shared" si="374"/>
        <v>0</v>
      </c>
      <c r="AM307" s="417">
        <f t="shared" si="374"/>
        <v>0</v>
      </c>
      <c r="AN307" s="417">
        <f t="shared" si="374"/>
        <v>0</v>
      </c>
      <c r="AO307" s="417">
        <f t="shared" si="374"/>
        <v>0</v>
      </c>
      <c r="AP307" s="417">
        <f t="shared" si="374"/>
        <v>0</v>
      </c>
      <c r="AQ307" s="417">
        <f t="shared" si="374"/>
        <v>0</v>
      </c>
      <c r="AR307" s="417">
        <f t="shared" si="374"/>
        <v>0</v>
      </c>
      <c r="AS307" s="417">
        <f t="shared" si="374"/>
        <v>0</v>
      </c>
      <c r="AT307" s="417">
        <f t="shared" si="374"/>
        <v>0</v>
      </c>
      <c r="AU307" s="417">
        <f t="shared" si="374"/>
        <v>0</v>
      </c>
      <c r="AV307" s="417">
        <f t="shared" si="374"/>
        <v>0</v>
      </c>
      <c r="AW307" s="417">
        <f t="shared" si="374"/>
        <v>0</v>
      </c>
      <c r="AX307" s="417">
        <f t="shared" ref="AX307:BJ307" si="375">-(+SUM(AW308,AX306) * AX300)+AX303</f>
        <v>0</v>
      </c>
      <c r="AY307" s="417">
        <f t="shared" si="375"/>
        <v>0</v>
      </c>
      <c r="AZ307" s="417">
        <f t="shared" si="375"/>
        <v>0</v>
      </c>
      <c r="BA307" s="417">
        <f t="shared" si="375"/>
        <v>0</v>
      </c>
      <c r="BB307" s="417">
        <f t="shared" si="375"/>
        <v>0</v>
      </c>
      <c r="BC307" s="417">
        <f t="shared" si="375"/>
        <v>0</v>
      </c>
      <c r="BD307" s="417">
        <f t="shared" si="375"/>
        <v>0</v>
      </c>
      <c r="BE307" s="417">
        <f t="shared" si="375"/>
        <v>0</v>
      </c>
      <c r="BF307" s="417">
        <f t="shared" si="375"/>
        <v>0</v>
      </c>
      <c r="BG307" s="417">
        <f t="shared" si="375"/>
        <v>0</v>
      </c>
      <c r="BH307" s="417">
        <f t="shared" si="375"/>
        <v>0</v>
      </c>
      <c r="BI307" s="417">
        <f t="shared" si="375"/>
        <v>0</v>
      </c>
      <c r="BJ307" s="417">
        <f t="shared" si="375"/>
        <v>0</v>
      </c>
      <c r="BK307" s="417"/>
      <c r="BL307" s="417"/>
      <c r="BM307" s="417"/>
      <c r="BN307" s="417"/>
      <c r="BO307" s="417"/>
      <c r="BP307" s="417"/>
      <c r="BQ307" s="417"/>
      <c r="BR307" s="417"/>
      <c r="BS307" s="417"/>
      <c r="BT307" s="417"/>
      <c r="BU307" s="417"/>
    </row>
    <row r="308" spans="1:73" ht="13.5" thickBot="1" x14ac:dyDescent="0.25">
      <c r="A308" s="299"/>
      <c r="B308" s="299"/>
      <c r="C308" s="299" t="s">
        <v>139</v>
      </c>
      <c r="D308" s="299"/>
      <c r="E308" s="299"/>
      <c r="F308" s="299"/>
      <c r="G308" s="299"/>
      <c r="H308" s="299"/>
      <c r="I308" s="299"/>
      <c r="J308" s="299"/>
      <c r="K308" s="410"/>
      <c r="L308" s="299"/>
      <c r="M308" s="299"/>
      <c r="N308" s="417"/>
      <c r="O308" s="417"/>
      <c r="P308" s="417"/>
      <c r="Q308" s="417"/>
      <c r="R308" s="416">
        <f>+Acc!R42</f>
        <v>92381.343480000025</v>
      </c>
      <c r="S308" s="417">
        <f t="shared" ref="S308:AO308" si="376">SUM(S305:S307)</f>
        <v>145303.99870894785</v>
      </c>
      <c r="T308" s="417">
        <f t="shared" si="376"/>
        <v>0</v>
      </c>
      <c r="U308" s="417">
        <f t="shared" si="376"/>
        <v>0</v>
      </c>
      <c r="V308" s="417">
        <f t="shared" si="376"/>
        <v>0</v>
      </c>
      <c r="W308" s="417">
        <f t="shared" si="376"/>
        <v>0</v>
      </c>
      <c r="X308" s="417">
        <f t="shared" si="376"/>
        <v>0</v>
      </c>
      <c r="Y308" s="417">
        <f t="shared" si="376"/>
        <v>0</v>
      </c>
      <c r="Z308" s="417">
        <f t="shared" si="376"/>
        <v>0</v>
      </c>
      <c r="AA308" s="417">
        <f t="shared" si="376"/>
        <v>0</v>
      </c>
      <c r="AB308" s="417">
        <f t="shared" si="376"/>
        <v>0</v>
      </c>
      <c r="AC308" s="417">
        <f t="shared" si="376"/>
        <v>0</v>
      </c>
      <c r="AD308" s="417">
        <f t="shared" si="376"/>
        <v>0</v>
      </c>
      <c r="AE308" s="417">
        <f t="shared" si="376"/>
        <v>0</v>
      </c>
      <c r="AF308" s="417">
        <f t="shared" si="376"/>
        <v>0</v>
      </c>
      <c r="AG308" s="417">
        <f t="shared" si="376"/>
        <v>0</v>
      </c>
      <c r="AH308" s="417">
        <f t="shared" si="376"/>
        <v>0</v>
      </c>
      <c r="AI308" s="417">
        <f t="shared" si="376"/>
        <v>0</v>
      </c>
      <c r="AJ308" s="417">
        <f t="shared" si="376"/>
        <v>0</v>
      </c>
      <c r="AK308" s="417">
        <f t="shared" si="376"/>
        <v>0</v>
      </c>
      <c r="AL308" s="417">
        <f t="shared" si="376"/>
        <v>0</v>
      </c>
      <c r="AM308" s="417">
        <f t="shared" si="376"/>
        <v>0</v>
      </c>
      <c r="AN308" s="417">
        <f t="shared" si="376"/>
        <v>0</v>
      </c>
      <c r="AO308" s="417">
        <f t="shared" si="376"/>
        <v>0</v>
      </c>
      <c r="AP308" s="417">
        <f t="shared" ref="AP308:BJ308" si="377">SUM(AP305:AP307)</f>
        <v>0</v>
      </c>
      <c r="AQ308" s="417">
        <f t="shared" si="377"/>
        <v>0</v>
      </c>
      <c r="AR308" s="417">
        <f t="shared" si="377"/>
        <v>0</v>
      </c>
      <c r="AS308" s="417">
        <f t="shared" si="377"/>
        <v>0</v>
      </c>
      <c r="AT308" s="417">
        <f t="shared" si="377"/>
        <v>0</v>
      </c>
      <c r="AU308" s="417">
        <f t="shared" si="377"/>
        <v>0</v>
      </c>
      <c r="AV308" s="417">
        <f t="shared" si="377"/>
        <v>0</v>
      </c>
      <c r="AW308" s="417">
        <f t="shared" si="377"/>
        <v>0</v>
      </c>
      <c r="AX308" s="417">
        <f t="shared" si="377"/>
        <v>0</v>
      </c>
      <c r="AY308" s="417">
        <f t="shared" si="377"/>
        <v>0</v>
      </c>
      <c r="AZ308" s="417">
        <f t="shared" si="377"/>
        <v>0</v>
      </c>
      <c r="BA308" s="417">
        <f t="shared" si="377"/>
        <v>0</v>
      </c>
      <c r="BB308" s="417">
        <f t="shared" si="377"/>
        <v>0</v>
      </c>
      <c r="BC308" s="417">
        <f t="shared" si="377"/>
        <v>0</v>
      </c>
      <c r="BD308" s="417">
        <f t="shared" si="377"/>
        <v>0</v>
      </c>
      <c r="BE308" s="417">
        <f t="shared" si="377"/>
        <v>0</v>
      </c>
      <c r="BF308" s="417">
        <f t="shared" si="377"/>
        <v>0</v>
      </c>
      <c r="BG308" s="417">
        <f t="shared" si="377"/>
        <v>0</v>
      </c>
      <c r="BH308" s="417">
        <f t="shared" si="377"/>
        <v>0</v>
      </c>
      <c r="BI308" s="417">
        <f t="shared" si="377"/>
        <v>0</v>
      </c>
      <c r="BJ308" s="417">
        <f t="shared" si="377"/>
        <v>0</v>
      </c>
      <c r="BK308" s="417"/>
      <c r="BL308" s="417"/>
      <c r="BM308" s="417"/>
      <c r="BN308" s="417"/>
      <c r="BO308" s="417"/>
      <c r="BP308" s="417"/>
      <c r="BQ308" s="417"/>
      <c r="BR308" s="417"/>
      <c r="BS308" s="417"/>
      <c r="BT308" s="417"/>
      <c r="BU308" s="417"/>
    </row>
    <row r="309" spans="1:73" ht="13.5" thickBot="1" x14ac:dyDescent="0.25">
      <c r="A309" s="299"/>
      <c r="B309" s="299"/>
      <c r="C309" s="299"/>
      <c r="D309" s="299"/>
      <c r="E309" s="299"/>
      <c r="F309" s="299"/>
      <c r="G309" s="299"/>
      <c r="H309" s="299"/>
      <c r="I309" s="299"/>
      <c r="J309" s="299"/>
      <c r="K309" s="410"/>
      <c r="L309" s="299"/>
      <c r="M309" s="299"/>
      <c r="N309" s="428">
        <f>IF(ROUND(SUM(N305:N307),2) = 0,0,1)</f>
        <v>0</v>
      </c>
      <c r="O309" s="417"/>
      <c r="P309" s="417"/>
      <c r="Q309" s="417"/>
      <c r="R309" s="417"/>
      <c r="S309" s="417"/>
      <c r="T309" s="417"/>
      <c r="U309" s="417"/>
      <c r="V309" s="417"/>
      <c r="W309" s="417"/>
      <c r="X309" s="417"/>
      <c r="Y309" s="417"/>
      <c r="Z309" s="417"/>
      <c r="AA309" s="417"/>
      <c r="AB309" s="417"/>
      <c r="AC309" s="417"/>
      <c r="AD309" s="417"/>
      <c r="AE309" s="417"/>
      <c r="AF309" s="417"/>
      <c r="AG309" s="417"/>
      <c r="AH309" s="417"/>
      <c r="AI309" s="417"/>
      <c r="AJ309" s="417"/>
      <c r="AK309" s="417"/>
      <c r="AL309" s="417"/>
      <c r="AM309" s="417"/>
      <c r="AN309" s="417"/>
      <c r="AO309" s="417"/>
      <c r="AP309" s="417"/>
      <c r="AQ309" s="417"/>
      <c r="AR309" s="417"/>
      <c r="AS309" s="417"/>
      <c r="AT309" s="417"/>
      <c r="AU309" s="417"/>
      <c r="AV309" s="417"/>
      <c r="AW309" s="417"/>
      <c r="AX309" s="417"/>
      <c r="AY309" s="417"/>
      <c r="AZ309" s="417"/>
      <c r="BA309" s="417"/>
      <c r="BB309" s="417"/>
      <c r="BC309" s="417"/>
      <c r="BD309" s="417"/>
      <c r="BE309" s="417"/>
      <c r="BF309" s="417"/>
      <c r="BG309" s="417"/>
      <c r="BH309" s="417"/>
      <c r="BI309" s="417"/>
      <c r="BJ309" s="417"/>
      <c r="BK309" s="417"/>
      <c r="BL309" s="417"/>
      <c r="BM309" s="417"/>
      <c r="BN309" s="417"/>
      <c r="BO309" s="417"/>
      <c r="BP309" s="417"/>
      <c r="BQ309" s="417"/>
      <c r="BR309" s="417"/>
      <c r="BS309" s="417"/>
      <c r="BT309" s="417"/>
      <c r="BU309" s="417"/>
    </row>
    <row r="310" spans="1:73" x14ac:dyDescent="0.2">
      <c r="A310" s="299"/>
      <c r="B310" s="299"/>
      <c r="C310" s="299"/>
      <c r="D310" s="299"/>
      <c r="E310" s="299"/>
      <c r="F310" s="299"/>
      <c r="G310" s="299"/>
      <c r="H310" s="299"/>
      <c r="I310" s="299"/>
      <c r="J310" s="299"/>
      <c r="K310" s="410"/>
      <c r="L310" s="299"/>
      <c r="M310" s="299"/>
      <c r="N310" s="417"/>
      <c r="O310" s="417"/>
      <c r="P310" s="417"/>
      <c r="Q310" s="417"/>
      <c r="R310" s="417"/>
      <c r="S310" s="417"/>
      <c r="T310" s="417"/>
      <c r="U310" s="417"/>
      <c r="V310" s="417"/>
      <c r="W310" s="417"/>
      <c r="X310" s="417"/>
      <c r="Y310" s="417"/>
      <c r="Z310" s="417"/>
      <c r="AA310" s="417"/>
      <c r="AB310" s="417"/>
      <c r="AC310" s="417"/>
      <c r="AD310" s="417"/>
      <c r="AE310" s="417"/>
      <c r="AF310" s="417"/>
      <c r="AG310" s="417"/>
      <c r="AH310" s="417"/>
      <c r="AI310" s="417"/>
      <c r="AJ310" s="417"/>
      <c r="AK310" s="417"/>
      <c r="AL310" s="417"/>
      <c r="AM310" s="417"/>
      <c r="AN310" s="417"/>
      <c r="AO310" s="417"/>
      <c r="AP310" s="417"/>
      <c r="AQ310" s="417"/>
      <c r="AR310" s="417"/>
      <c r="AS310" s="417"/>
      <c r="AT310" s="417"/>
      <c r="AU310" s="417"/>
      <c r="AV310" s="417"/>
      <c r="AW310" s="417"/>
      <c r="AX310" s="417"/>
      <c r="AY310" s="417"/>
      <c r="AZ310" s="417"/>
      <c r="BA310" s="417"/>
      <c r="BB310" s="417"/>
      <c r="BC310" s="417"/>
      <c r="BD310" s="417"/>
      <c r="BE310" s="417"/>
      <c r="BF310" s="417"/>
      <c r="BG310" s="417"/>
      <c r="BH310" s="417"/>
      <c r="BI310" s="417"/>
      <c r="BJ310" s="417"/>
      <c r="BK310" s="417"/>
      <c r="BL310" s="417"/>
      <c r="BM310" s="417"/>
      <c r="BN310" s="417"/>
      <c r="BO310" s="417"/>
      <c r="BP310" s="417"/>
      <c r="BQ310" s="417"/>
      <c r="BR310" s="417"/>
      <c r="BS310" s="417"/>
      <c r="BT310" s="417"/>
      <c r="BU310" s="417"/>
    </row>
    <row r="311" spans="1:73" ht="15.75" x14ac:dyDescent="0.25">
      <c r="A311" s="299"/>
      <c r="B311" s="299"/>
      <c r="C311" s="500" t="s">
        <v>344</v>
      </c>
      <c r="D311" s="299"/>
      <c r="E311" s="299"/>
      <c r="F311" s="299"/>
      <c r="G311" s="299"/>
      <c r="H311" s="299"/>
      <c r="I311" s="299"/>
      <c r="J311" s="299"/>
      <c r="K311" s="410"/>
      <c r="L311" s="299"/>
      <c r="M311" s="299"/>
      <c r="N311" s="505"/>
      <c r="O311" s="299"/>
      <c r="P311" s="299"/>
      <c r="Q311" s="299"/>
      <c r="R311" s="299"/>
      <c r="S311" s="299"/>
      <c r="T311" s="299"/>
      <c r="U311" s="299"/>
      <c r="V311" s="299"/>
      <c r="W311" s="299"/>
      <c r="X311" s="299"/>
      <c r="Y311" s="299"/>
      <c r="Z311" s="299"/>
      <c r="AA311" s="299"/>
      <c r="AB311" s="299"/>
      <c r="AC311" s="299"/>
      <c r="AD311" s="299"/>
      <c r="AE311" s="299"/>
      <c r="AF311" s="299"/>
      <c r="AG311" s="299"/>
      <c r="AH311" s="299"/>
      <c r="AI311" s="299"/>
      <c r="AJ311" s="299"/>
      <c r="AK311" s="299"/>
      <c r="AL311" s="299"/>
      <c r="AM311" s="299"/>
      <c r="AN311" s="299"/>
      <c r="AO311" s="299"/>
      <c r="AP311" s="299"/>
      <c r="AQ311" s="299"/>
      <c r="AR311" s="299"/>
      <c r="AS311" s="299"/>
      <c r="AT311" s="299"/>
      <c r="AU311" s="299"/>
      <c r="AV311" s="299"/>
      <c r="AW311" s="299"/>
      <c r="AX311" s="299"/>
      <c r="AY311" s="299"/>
      <c r="AZ311" s="299"/>
      <c r="BA311" s="299"/>
      <c r="BB311" s="299"/>
      <c r="BC311" s="299"/>
      <c r="BD311" s="299"/>
      <c r="BE311" s="299"/>
      <c r="BF311" s="299"/>
      <c r="BG311" s="299"/>
      <c r="BH311" s="299"/>
      <c r="BI311" s="299"/>
      <c r="BJ311" s="299"/>
      <c r="BK311" s="299"/>
      <c r="BL311" s="299"/>
      <c r="BM311" s="299"/>
      <c r="BN311" s="299"/>
      <c r="BO311" s="299"/>
      <c r="BP311" s="299"/>
      <c r="BQ311" s="299"/>
      <c r="BR311" s="299"/>
      <c r="BS311" s="299"/>
      <c r="BT311" s="299"/>
      <c r="BU311" s="299"/>
    </row>
    <row r="312" spans="1:73" x14ac:dyDescent="0.2">
      <c r="A312" s="299"/>
      <c r="B312" s="299"/>
      <c r="C312" s="355"/>
      <c r="D312" s="355"/>
      <c r="E312" s="355"/>
      <c r="F312" s="355"/>
      <c r="G312" s="355"/>
      <c r="H312" s="355"/>
      <c r="I312" s="355"/>
      <c r="J312" s="355"/>
      <c r="K312" s="631"/>
      <c r="L312" s="441"/>
      <c r="M312" s="299"/>
      <c r="N312" s="505"/>
      <c r="O312" s="299"/>
      <c r="P312" s="299"/>
      <c r="Q312" s="299"/>
      <c r="R312" s="299"/>
      <c r="S312" s="299"/>
      <c r="T312" s="299"/>
      <c r="U312" s="299"/>
      <c r="V312" s="299"/>
      <c r="W312" s="299"/>
      <c r="X312" s="299"/>
      <c r="Y312" s="299"/>
      <c r="Z312" s="299"/>
      <c r="AA312" s="299"/>
      <c r="AB312" s="299"/>
      <c r="AC312" s="299"/>
      <c r="AD312" s="299"/>
      <c r="AE312" s="299"/>
      <c r="AF312" s="299"/>
      <c r="AG312" s="299"/>
      <c r="AH312" s="299"/>
      <c r="AI312" s="299"/>
      <c r="AJ312" s="299"/>
      <c r="AK312" s="299"/>
      <c r="AL312" s="299"/>
      <c r="AM312" s="299"/>
      <c r="AN312" s="299"/>
      <c r="AO312" s="299"/>
      <c r="AP312" s="299"/>
      <c r="AQ312" s="299"/>
      <c r="AR312" s="299"/>
      <c r="AS312" s="299"/>
      <c r="AT312" s="299"/>
      <c r="AU312" s="299"/>
      <c r="AV312" s="299"/>
      <c r="AW312" s="299"/>
      <c r="AX312" s="299"/>
      <c r="AY312" s="299"/>
      <c r="AZ312" s="299"/>
      <c r="BA312" s="299"/>
      <c r="BB312" s="299"/>
      <c r="BC312" s="299"/>
      <c r="BD312" s="299"/>
      <c r="BE312" s="299"/>
      <c r="BF312" s="299"/>
      <c r="BG312" s="299"/>
      <c r="BH312" s="299"/>
      <c r="BI312" s="299"/>
      <c r="BJ312" s="299"/>
      <c r="BK312" s="299"/>
      <c r="BL312" s="299"/>
      <c r="BM312" s="299"/>
      <c r="BN312" s="299"/>
      <c r="BO312" s="299"/>
      <c r="BP312" s="299"/>
      <c r="BQ312" s="299"/>
      <c r="BR312" s="299"/>
      <c r="BS312" s="299"/>
      <c r="BT312" s="299"/>
      <c r="BU312" s="299"/>
    </row>
    <row r="313" spans="1:73" x14ac:dyDescent="0.2">
      <c r="A313" s="299"/>
      <c r="B313" s="299"/>
      <c r="C313" s="215" t="s">
        <v>313</v>
      </c>
      <c r="D313" s="299"/>
      <c r="E313" s="299"/>
      <c r="F313" s="299"/>
      <c r="G313" s="299"/>
      <c r="H313" s="299"/>
      <c r="I313" s="299"/>
      <c r="J313" s="299"/>
      <c r="K313" s="636" t="s">
        <v>50</v>
      </c>
      <c r="L313" s="299"/>
      <c r="M313" s="299"/>
      <c r="N313" s="505"/>
      <c r="O313" s="299"/>
      <c r="P313" s="299"/>
      <c r="Q313" s="414"/>
      <c r="R313" s="414">
        <f t="shared" ref="R313:BJ313" si="378">R13</f>
        <v>1</v>
      </c>
      <c r="S313" s="414">
        <f t="shared" si="378"/>
        <v>1</v>
      </c>
      <c r="T313" s="414">
        <f t="shared" si="378"/>
        <v>1</v>
      </c>
      <c r="U313" s="414">
        <f t="shared" si="378"/>
        <v>1</v>
      </c>
      <c r="V313" s="414">
        <f t="shared" si="378"/>
        <v>1</v>
      </c>
      <c r="W313" s="414">
        <f t="shared" si="378"/>
        <v>1</v>
      </c>
      <c r="X313" s="414">
        <f t="shared" si="378"/>
        <v>1</v>
      </c>
      <c r="Y313" s="414">
        <f t="shared" si="378"/>
        <v>1</v>
      </c>
      <c r="Z313" s="414">
        <f t="shared" si="378"/>
        <v>1</v>
      </c>
      <c r="AA313" s="414">
        <f t="shared" si="378"/>
        <v>1</v>
      </c>
      <c r="AB313" s="414">
        <f t="shared" si="378"/>
        <v>1</v>
      </c>
      <c r="AC313" s="414">
        <f t="shared" si="378"/>
        <v>1</v>
      </c>
      <c r="AD313" s="414">
        <f t="shared" si="378"/>
        <v>1</v>
      </c>
      <c r="AE313" s="414">
        <f t="shared" si="378"/>
        <v>1</v>
      </c>
      <c r="AF313" s="414">
        <f t="shared" si="378"/>
        <v>1</v>
      </c>
      <c r="AG313" s="414">
        <f t="shared" si="378"/>
        <v>1</v>
      </c>
      <c r="AH313" s="414">
        <f t="shared" si="378"/>
        <v>1</v>
      </c>
      <c r="AI313" s="414">
        <f t="shared" si="378"/>
        <v>1</v>
      </c>
      <c r="AJ313" s="414">
        <f t="shared" si="378"/>
        <v>1</v>
      </c>
      <c r="AK313" s="414">
        <f t="shared" si="378"/>
        <v>1</v>
      </c>
      <c r="AL313" s="414">
        <f t="shared" si="378"/>
        <v>1</v>
      </c>
      <c r="AM313" s="414">
        <f t="shared" si="378"/>
        <v>1</v>
      </c>
      <c r="AN313" s="414">
        <f t="shared" si="378"/>
        <v>1</v>
      </c>
      <c r="AO313" s="414">
        <f t="shared" si="378"/>
        <v>1</v>
      </c>
      <c r="AP313" s="414">
        <f t="shared" si="378"/>
        <v>1</v>
      </c>
      <c r="AQ313" s="414">
        <f t="shared" si="378"/>
        <v>1</v>
      </c>
      <c r="AR313" s="414">
        <f t="shared" si="378"/>
        <v>1</v>
      </c>
      <c r="AS313" s="414">
        <f t="shared" si="378"/>
        <v>1</v>
      </c>
      <c r="AT313" s="414">
        <f t="shared" si="378"/>
        <v>1</v>
      </c>
      <c r="AU313" s="414">
        <f t="shared" si="378"/>
        <v>1</v>
      </c>
      <c r="AV313" s="414">
        <f t="shared" si="378"/>
        <v>1</v>
      </c>
      <c r="AW313" s="414">
        <f t="shared" si="378"/>
        <v>1</v>
      </c>
      <c r="AX313" s="414">
        <f t="shared" si="378"/>
        <v>1</v>
      </c>
      <c r="AY313" s="414">
        <f t="shared" si="378"/>
        <v>1</v>
      </c>
      <c r="AZ313" s="414">
        <f t="shared" si="378"/>
        <v>1</v>
      </c>
      <c r="BA313" s="414">
        <f t="shared" si="378"/>
        <v>1</v>
      </c>
      <c r="BB313" s="414">
        <f t="shared" si="378"/>
        <v>1</v>
      </c>
      <c r="BC313" s="414">
        <f t="shared" si="378"/>
        <v>1</v>
      </c>
      <c r="BD313" s="414">
        <f t="shared" si="378"/>
        <v>1</v>
      </c>
      <c r="BE313" s="414">
        <f t="shared" si="378"/>
        <v>1</v>
      </c>
      <c r="BF313" s="414">
        <f t="shared" si="378"/>
        <v>1</v>
      </c>
      <c r="BG313" s="414">
        <f t="shared" si="378"/>
        <v>1</v>
      </c>
      <c r="BH313" s="414">
        <f t="shared" si="378"/>
        <v>1</v>
      </c>
      <c r="BI313" s="414">
        <f t="shared" si="378"/>
        <v>1</v>
      </c>
      <c r="BJ313" s="414">
        <f t="shared" si="378"/>
        <v>1</v>
      </c>
      <c r="BK313" s="414"/>
      <c r="BL313" s="414"/>
      <c r="BM313" s="414"/>
      <c r="BN313" s="414"/>
      <c r="BO313" s="414"/>
      <c r="BP313" s="414"/>
      <c r="BQ313" s="414"/>
      <c r="BR313" s="414"/>
      <c r="BS313" s="414"/>
      <c r="BT313" s="414"/>
      <c r="BU313" s="414"/>
    </row>
    <row r="314" spans="1:73" x14ac:dyDescent="0.2">
      <c r="A314" s="299"/>
      <c r="B314" s="299"/>
      <c r="C314" s="299"/>
      <c r="D314" s="299"/>
      <c r="E314" s="299"/>
      <c r="F314" s="299"/>
      <c r="G314" s="299"/>
      <c r="H314" s="299"/>
      <c r="I314" s="299"/>
      <c r="J314" s="299"/>
      <c r="K314" s="410"/>
      <c r="L314" s="299"/>
      <c r="M314" s="299"/>
      <c r="N314" s="505"/>
      <c r="O314" s="299"/>
      <c r="P314" s="299"/>
      <c r="Q314" s="414"/>
      <c r="R314" s="414"/>
      <c r="S314" s="414"/>
      <c r="T314" s="414"/>
      <c r="U314" s="414"/>
      <c r="V314" s="414"/>
      <c r="W314" s="414"/>
      <c r="X314" s="414"/>
      <c r="Y314" s="414"/>
      <c r="Z314" s="414"/>
      <c r="AA314" s="414"/>
      <c r="AB314" s="414"/>
      <c r="AC314" s="414"/>
      <c r="AD314" s="414"/>
      <c r="AE314" s="414"/>
      <c r="AF314" s="414"/>
      <c r="AG314" s="414"/>
      <c r="AH314" s="414"/>
      <c r="AI314" s="414"/>
      <c r="AJ314" s="414"/>
      <c r="AK314" s="414"/>
      <c r="AL314" s="414"/>
      <c r="AM314" s="414"/>
      <c r="AN314" s="414"/>
      <c r="AO314" s="414"/>
      <c r="AP314" s="414"/>
      <c r="AQ314" s="414"/>
      <c r="AR314" s="414"/>
      <c r="AS314" s="414"/>
      <c r="AT314" s="414"/>
      <c r="AU314" s="414"/>
      <c r="AV314" s="414"/>
      <c r="AW314" s="414"/>
      <c r="AX314" s="414"/>
      <c r="AY314" s="414"/>
      <c r="AZ314" s="414"/>
      <c r="BA314" s="414"/>
      <c r="BB314" s="414"/>
      <c r="BC314" s="414"/>
      <c r="BD314" s="414"/>
      <c r="BE314" s="414"/>
      <c r="BF314" s="414"/>
      <c r="BG314" s="414"/>
      <c r="BH314" s="414"/>
      <c r="BI314" s="414"/>
      <c r="BJ314" s="414"/>
      <c r="BK314" s="414"/>
      <c r="BL314" s="414"/>
      <c r="BM314" s="414"/>
      <c r="BN314" s="414"/>
      <c r="BO314" s="414"/>
      <c r="BP314" s="414"/>
      <c r="BQ314" s="414"/>
      <c r="BR314" s="414"/>
      <c r="BS314" s="414"/>
      <c r="BT314" s="414"/>
      <c r="BU314" s="414"/>
    </row>
    <row r="315" spans="1:73" x14ac:dyDescent="0.2">
      <c r="A315" s="299"/>
      <c r="B315" s="299"/>
      <c r="C315" s="215" t="s">
        <v>87</v>
      </c>
      <c r="D315" s="299"/>
      <c r="E315" s="299"/>
      <c r="F315" s="299"/>
      <c r="G315" s="299"/>
      <c r="H315" s="299"/>
      <c r="I315" s="299"/>
      <c r="J315" s="299"/>
      <c r="K315" s="636" t="s">
        <v>62</v>
      </c>
      <c r="L315" s="299"/>
      <c r="M315" s="299"/>
      <c r="N315" s="417">
        <f>R318</f>
        <v>2883.7478702290005</v>
      </c>
      <c r="O315" s="299"/>
      <c r="P315" s="299"/>
      <c r="Q315" s="414"/>
      <c r="R315" s="414">
        <f t="shared" ref="R315:AO315" si="379">Q318</f>
        <v>0</v>
      </c>
      <c r="S315" s="414">
        <f t="shared" si="379"/>
        <v>2883.7478702290005</v>
      </c>
      <c r="T315" s="414">
        <f t="shared" si="379"/>
        <v>2883.7478702290005</v>
      </c>
      <c r="U315" s="414">
        <f t="shared" si="379"/>
        <v>2883.7478702290005</v>
      </c>
      <c r="V315" s="414">
        <f t="shared" si="379"/>
        <v>2883.7478702290005</v>
      </c>
      <c r="W315" s="414">
        <f t="shared" si="379"/>
        <v>2883.7478702290005</v>
      </c>
      <c r="X315" s="414">
        <f t="shared" si="379"/>
        <v>2883.7478702290005</v>
      </c>
      <c r="Y315" s="414">
        <f t="shared" si="379"/>
        <v>2883.7478702290005</v>
      </c>
      <c r="Z315" s="414">
        <f t="shared" si="379"/>
        <v>2883.7478702290005</v>
      </c>
      <c r="AA315" s="414">
        <f t="shared" si="379"/>
        <v>2883.7478702290005</v>
      </c>
      <c r="AB315" s="414">
        <f t="shared" si="379"/>
        <v>2883.7478702290005</v>
      </c>
      <c r="AC315" s="414">
        <f t="shared" si="379"/>
        <v>2883.7478702290005</v>
      </c>
      <c r="AD315" s="414">
        <f t="shared" si="379"/>
        <v>2883.7478702290005</v>
      </c>
      <c r="AE315" s="414">
        <f t="shared" si="379"/>
        <v>2883.7478702290005</v>
      </c>
      <c r="AF315" s="414">
        <f t="shared" si="379"/>
        <v>2883.7478702290005</v>
      </c>
      <c r="AG315" s="414">
        <f t="shared" si="379"/>
        <v>2883.7478702290005</v>
      </c>
      <c r="AH315" s="414">
        <f t="shared" si="379"/>
        <v>2883.7478702290005</v>
      </c>
      <c r="AI315" s="414">
        <f t="shared" si="379"/>
        <v>2883.7478702290005</v>
      </c>
      <c r="AJ315" s="414">
        <f t="shared" si="379"/>
        <v>2883.7478702290005</v>
      </c>
      <c r="AK315" s="414">
        <f t="shared" si="379"/>
        <v>2883.7478702290005</v>
      </c>
      <c r="AL315" s="414">
        <f t="shared" si="379"/>
        <v>2883.7478702290005</v>
      </c>
      <c r="AM315" s="414">
        <f t="shared" si="379"/>
        <v>2883.7478702290005</v>
      </c>
      <c r="AN315" s="414">
        <f t="shared" si="379"/>
        <v>2883.7478702290005</v>
      </c>
      <c r="AO315" s="414">
        <f t="shared" si="379"/>
        <v>2883.7478702290005</v>
      </c>
      <c r="AP315" s="414">
        <f t="shared" ref="AP315:BJ315" si="380">AO318</f>
        <v>2883.7478702290005</v>
      </c>
      <c r="AQ315" s="414">
        <f t="shared" si="380"/>
        <v>2883.7478702290005</v>
      </c>
      <c r="AR315" s="414">
        <f t="shared" si="380"/>
        <v>2883.7478702290005</v>
      </c>
      <c r="AS315" s="414">
        <f t="shared" si="380"/>
        <v>2883.7478702290005</v>
      </c>
      <c r="AT315" s="414">
        <f t="shared" si="380"/>
        <v>2883.7478702290005</v>
      </c>
      <c r="AU315" s="414">
        <f t="shared" si="380"/>
        <v>2883.7478702290005</v>
      </c>
      <c r="AV315" s="414">
        <f t="shared" si="380"/>
        <v>2883.7478702290005</v>
      </c>
      <c r="AW315" s="414">
        <f t="shared" si="380"/>
        <v>2883.7478702290005</v>
      </c>
      <c r="AX315" s="414">
        <f t="shared" si="380"/>
        <v>2883.7478702290005</v>
      </c>
      <c r="AY315" s="414">
        <f t="shared" si="380"/>
        <v>2883.7478702290005</v>
      </c>
      <c r="AZ315" s="414">
        <f t="shared" si="380"/>
        <v>2883.7478702290005</v>
      </c>
      <c r="BA315" s="414">
        <f t="shared" si="380"/>
        <v>2883.7478702290005</v>
      </c>
      <c r="BB315" s="414">
        <f t="shared" si="380"/>
        <v>2883.7478702290005</v>
      </c>
      <c r="BC315" s="414">
        <f t="shared" si="380"/>
        <v>2883.7478702290005</v>
      </c>
      <c r="BD315" s="414">
        <f t="shared" si="380"/>
        <v>2883.7478702290005</v>
      </c>
      <c r="BE315" s="414">
        <f t="shared" si="380"/>
        <v>2883.7478702290005</v>
      </c>
      <c r="BF315" s="414">
        <f t="shared" si="380"/>
        <v>2883.7478702290005</v>
      </c>
      <c r="BG315" s="414">
        <f t="shared" si="380"/>
        <v>2883.7478702290005</v>
      </c>
      <c r="BH315" s="414">
        <f t="shared" si="380"/>
        <v>2883.7478702290005</v>
      </c>
      <c r="BI315" s="414">
        <f t="shared" si="380"/>
        <v>2883.7478702290005</v>
      </c>
      <c r="BJ315" s="414">
        <f t="shared" si="380"/>
        <v>2883.7478702290005</v>
      </c>
      <c r="BK315" s="414"/>
      <c r="BL315" s="414"/>
      <c r="BM315" s="414"/>
      <c r="BN315" s="414"/>
      <c r="BO315" s="414"/>
      <c r="BP315" s="414"/>
      <c r="BQ315" s="414"/>
      <c r="BR315" s="414"/>
      <c r="BS315" s="414"/>
      <c r="BT315" s="414"/>
      <c r="BU315" s="414"/>
    </row>
    <row r="316" spans="1:73" x14ac:dyDescent="0.2">
      <c r="A316" s="299"/>
      <c r="B316" s="299"/>
      <c r="C316" s="215" t="s">
        <v>177</v>
      </c>
      <c r="D316" s="299"/>
      <c r="E316" s="299"/>
      <c r="F316" s="299"/>
      <c r="G316" s="299"/>
      <c r="H316" s="299"/>
      <c r="I316" s="299"/>
      <c r="J316" s="299"/>
      <c r="K316" s="636" t="s">
        <v>62</v>
      </c>
      <c r="L316" s="299"/>
      <c r="M316" s="299"/>
      <c r="N316" s="417">
        <f>SUM(Q316:BJ316)</f>
        <v>0</v>
      </c>
      <c r="O316" s="299"/>
      <c r="P316" s="299"/>
      <c r="Q316" s="417"/>
      <c r="R316" s="416"/>
      <c r="S316" s="417"/>
      <c r="T316" s="417"/>
      <c r="U316" s="417"/>
      <c r="V316" s="417"/>
      <c r="W316" s="417"/>
      <c r="X316" s="417"/>
      <c r="Y316" s="417"/>
      <c r="Z316" s="417"/>
      <c r="AA316" s="417"/>
      <c r="AB316" s="417"/>
      <c r="AC316" s="417"/>
      <c r="AD316" s="417"/>
      <c r="AE316" s="417"/>
      <c r="AF316" s="417"/>
      <c r="AG316" s="417"/>
      <c r="AH316" s="417"/>
      <c r="AI316" s="417"/>
      <c r="AJ316" s="417"/>
      <c r="AK316" s="417"/>
      <c r="AL316" s="417"/>
      <c r="AM316" s="417"/>
      <c r="AN316" s="417"/>
      <c r="AO316" s="417"/>
      <c r="AP316" s="417"/>
      <c r="AQ316" s="417"/>
      <c r="AR316" s="417"/>
      <c r="AS316" s="417"/>
      <c r="AT316" s="417"/>
      <c r="AU316" s="417"/>
      <c r="AV316" s="417"/>
      <c r="AW316" s="417"/>
      <c r="AX316" s="417"/>
      <c r="AY316" s="417"/>
      <c r="AZ316" s="417"/>
      <c r="BA316" s="417"/>
      <c r="BB316" s="417"/>
      <c r="BC316" s="417"/>
      <c r="BD316" s="417"/>
      <c r="BE316" s="417"/>
      <c r="BF316" s="417"/>
      <c r="BG316" s="417"/>
      <c r="BH316" s="417"/>
      <c r="BI316" s="417"/>
      <c r="BJ316" s="417"/>
      <c r="BK316" s="417"/>
      <c r="BL316" s="417"/>
      <c r="BM316" s="417"/>
      <c r="BN316" s="417"/>
      <c r="BO316" s="417"/>
      <c r="BP316" s="417"/>
      <c r="BQ316" s="417"/>
      <c r="BR316" s="417"/>
      <c r="BS316" s="417"/>
      <c r="BT316" s="417"/>
      <c r="BU316" s="417"/>
    </row>
    <row r="317" spans="1:73" ht="15.75" x14ac:dyDescent="0.25">
      <c r="A317" s="299"/>
      <c r="B317" s="299"/>
      <c r="C317" s="217" t="s">
        <v>243</v>
      </c>
      <c r="D317" s="350"/>
      <c r="E317" s="350"/>
      <c r="F317" s="350"/>
      <c r="G317" s="350"/>
      <c r="H317" s="299"/>
      <c r="I317" s="299"/>
      <c r="J317" s="299"/>
      <c r="K317" s="636" t="s">
        <v>62</v>
      </c>
      <c r="L317" s="441"/>
      <c r="M317" s="299"/>
      <c r="N317" s="417">
        <f>SUM(Q317:BJ317)</f>
        <v>-2883.7478702290005</v>
      </c>
      <c r="O317" s="299"/>
      <c r="P317" s="299"/>
      <c r="Q317" s="417"/>
      <c r="R317" s="417">
        <f t="shared" ref="R317:AO317" si="381">-SUM(R315:R316)*IF(AND(R313=1,S313=0),1,0)</f>
        <v>0</v>
      </c>
      <c r="S317" s="417">
        <f t="shared" si="381"/>
        <v>0</v>
      </c>
      <c r="T317" s="417">
        <f t="shared" si="381"/>
        <v>0</v>
      </c>
      <c r="U317" s="417">
        <f t="shared" si="381"/>
        <v>0</v>
      </c>
      <c r="V317" s="417">
        <f t="shared" si="381"/>
        <v>0</v>
      </c>
      <c r="W317" s="417">
        <f t="shared" si="381"/>
        <v>0</v>
      </c>
      <c r="X317" s="417">
        <f t="shared" si="381"/>
        <v>0</v>
      </c>
      <c r="Y317" s="417">
        <f t="shared" si="381"/>
        <v>0</v>
      </c>
      <c r="Z317" s="417">
        <f t="shared" si="381"/>
        <v>0</v>
      </c>
      <c r="AA317" s="417">
        <f t="shared" si="381"/>
        <v>0</v>
      </c>
      <c r="AB317" s="417">
        <f t="shared" si="381"/>
        <v>0</v>
      </c>
      <c r="AC317" s="417">
        <f t="shared" si="381"/>
        <v>0</v>
      </c>
      <c r="AD317" s="417">
        <f t="shared" si="381"/>
        <v>0</v>
      </c>
      <c r="AE317" s="417">
        <f t="shared" si="381"/>
        <v>0</v>
      </c>
      <c r="AF317" s="417">
        <f t="shared" si="381"/>
        <v>0</v>
      </c>
      <c r="AG317" s="417">
        <f t="shared" si="381"/>
        <v>0</v>
      </c>
      <c r="AH317" s="417">
        <f t="shared" si="381"/>
        <v>0</v>
      </c>
      <c r="AI317" s="417">
        <f t="shared" si="381"/>
        <v>0</v>
      </c>
      <c r="AJ317" s="417">
        <f t="shared" si="381"/>
        <v>0</v>
      </c>
      <c r="AK317" s="417">
        <f t="shared" si="381"/>
        <v>0</v>
      </c>
      <c r="AL317" s="417">
        <f t="shared" si="381"/>
        <v>0</v>
      </c>
      <c r="AM317" s="417">
        <f t="shared" si="381"/>
        <v>0</v>
      </c>
      <c r="AN317" s="417">
        <f t="shared" si="381"/>
        <v>0</v>
      </c>
      <c r="AO317" s="417">
        <f t="shared" si="381"/>
        <v>0</v>
      </c>
      <c r="AP317" s="417">
        <f t="shared" ref="AP317:BJ317" si="382">-SUM(AP315:AP316)*IF(AND(AP313=1,AQ313=0),1,0)</f>
        <v>0</v>
      </c>
      <c r="AQ317" s="417">
        <f t="shared" si="382"/>
        <v>0</v>
      </c>
      <c r="AR317" s="417">
        <f t="shared" si="382"/>
        <v>0</v>
      </c>
      <c r="AS317" s="417">
        <f t="shared" si="382"/>
        <v>0</v>
      </c>
      <c r="AT317" s="417">
        <f t="shared" si="382"/>
        <v>0</v>
      </c>
      <c r="AU317" s="417">
        <f t="shared" si="382"/>
        <v>0</v>
      </c>
      <c r="AV317" s="417">
        <f t="shared" si="382"/>
        <v>0</v>
      </c>
      <c r="AW317" s="417">
        <f t="shared" si="382"/>
        <v>0</v>
      </c>
      <c r="AX317" s="417">
        <f t="shared" si="382"/>
        <v>0</v>
      </c>
      <c r="AY317" s="417">
        <f t="shared" si="382"/>
        <v>0</v>
      </c>
      <c r="AZ317" s="417">
        <f t="shared" si="382"/>
        <v>0</v>
      </c>
      <c r="BA317" s="417">
        <f t="shared" si="382"/>
        <v>0</v>
      </c>
      <c r="BB317" s="417">
        <f t="shared" si="382"/>
        <v>0</v>
      </c>
      <c r="BC317" s="417">
        <f t="shared" si="382"/>
        <v>0</v>
      </c>
      <c r="BD317" s="417">
        <f t="shared" si="382"/>
        <v>0</v>
      </c>
      <c r="BE317" s="417">
        <f t="shared" si="382"/>
        <v>0</v>
      </c>
      <c r="BF317" s="417">
        <f t="shared" si="382"/>
        <v>0</v>
      </c>
      <c r="BG317" s="417">
        <f t="shared" si="382"/>
        <v>0</v>
      </c>
      <c r="BH317" s="417">
        <f t="shared" si="382"/>
        <v>0</v>
      </c>
      <c r="BI317" s="417">
        <f t="shared" si="382"/>
        <v>0</v>
      </c>
      <c r="BJ317" s="417">
        <f t="shared" si="382"/>
        <v>-2883.7478702290005</v>
      </c>
      <c r="BK317" s="417"/>
      <c r="BL317" s="417"/>
      <c r="BM317" s="417"/>
      <c r="BN317" s="417"/>
      <c r="BO317" s="417"/>
      <c r="BP317" s="417"/>
      <c r="BQ317" s="417"/>
      <c r="BR317" s="417"/>
      <c r="BS317" s="417"/>
      <c r="BT317" s="417"/>
      <c r="BU317" s="417"/>
    </row>
    <row r="318" spans="1:73" ht="13.5" thickBot="1" x14ac:dyDescent="0.25">
      <c r="A318" s="299"/>
      <c r="B318" s="299"/>
      <c r="C318" s="217" t="s">
        <v>88</v>
      </c>
      <c r="D318" s="299"/>
      <c r="E318" s="299"/>
      <c r="F318" s="299"/>
      <c r="G318" s="299"/>
      <c r="H318" s="299"/>
      <c r="I318" s="299"/>
      <c r="J318" s="299"/>
      <c r="K318" s="636" t="s">
        <v>62</v>
      </c>
      <c r="L318" s="299"/>
      <c r="M318" s="299"/>
      <c r="N318" s="299"/>
      <c r="O318" s="299"/>
      <c r="P318" s="299"/>
      <c r="Q318" s="416"/>
      <c r="R318" s="416">
        <f>+Inputs!$L$196</f>
        <v>2883.7478702290005</v>
      </c>
      <c r="S318" s="417">
        <f t="shared" ref="S318:AO318" si="383">SUM(S315:S317)</f>
        <v>2883.7478702290005</v>
      </c>
      <c r="T318" s="417">
        <f t="shared" si="383"/>
        <v>2883.7478702290005</v>
      </c>
      <c r="U318" s="417">
        <f t="shared" si="383"/>
        <v>2883.7478702290005</v>
      </c>
      <c r="V318" s="417">
        <f t="shared" si="383"/>
        <v>2883.7478702290005</v>
      </c>
      <c r="W318" s="417">
        <f t="shared" si="383"/>
        <v>2883.7478702290005</v>
      </c>
      <c r="X318" s="417">
        <f t="shared" si="383"/>
        <v>2883.7478702290005</v>
      </c>
      <c r="Y318" s="417">
        <f t="shared" si="383"/>
        <v>2883.7478702290005</v>
      </c>
      <c r="Z318" s="417">
        <f t="shared" si="383"/>
        <v>2883.7478702290005</v>
      </c>
      <c r="AA318" s="417">
        <f t="shared" si="383"/>
        <v>2883.7478702290005</v>
      </c>
      <c r="AB318" s="417">
        <f t="shared" si="383"/>
        <v>2883.7478702290005</v>
      </c>
      <c r="AC318" s="417">
        <f t="shared" si="383"/>
        <v>2883.7478702290005</v>
      </c>
      <c r="AD318" s="417">
        <f t="shared" si="383"/>
        <v>2883.7478702290005</v>
      </c>
      <c r="AE318" s="417">
        <f t="shared" si="383"/>
        <v>2883.7478702290005</v>
      </c>
      <c r="AF318" s="417">
        <f t="shared" si="383"/>
        <v>2883.7478702290005</v>
      </c>
      <c r="AG318" s="417">
        <f t="shared" si="383"/>
        <v>2883.7478702290005</v>
      </c>
      <c r="AH318" s="417">
        <f t="shared" si="383"/>
        <v>2883.7478702290005</v>
      </c>
      <c r="AI318" s="417">
        <f t="shared" si="383"/>
        <v>2883.7478702290005</v>
      </c>
      <c r="AJ318" s="417">
        <f t="shared" si="383"/>
        <v>2883.7478702290005</v>
      </c>
      <c r="AK318" s="417">
        <f t="shared" si="383"/>
        <v>2883.7478702290005</v>
      </c>
      <c r="AL318" s="417">
        <f t="shared" si="383"/>
        <v>2883.7478702290005</v>
      </c>
      <c r="AM318" s="417">
        <f t="shared" si="383"/>
        <v>2883.7478702290005</v>
      </c>
      <c r="AN318" s="417">
        <f t="shared" si="383"/>
        <v>2883.7478702290005</v>
      </c>
      <c r="AO318" s="417">
        <f t="shared" si="383"/>
        <v>2883.7478702290005</v>
      </c>
      <c r="AP318" s="417">
        <f t="shared" ref="AP318:BJ318" si="384">SUM(AP315:AP317)</f>
        <v>2883.7478702290005</v>
      </c>
      <c r="AQ318" s="417">
        <f t="shared" si="384"/>
        <v>2883.7478702290005</v>
      </c>
      <c r="AR318" s="417">
        <f t="shared" si="384"/>
        <v>2883.7478702290005</v>
      </c>
      <c r="AS318" s="417">
        <f t="shared" si="384"/>
        <v>2883.7478702290005</v>
      </c>
      <c r="AT318" s="417">
        <f t="shared" si="384"/>
        <v>2883.7478702290005</v>
      </c>
      <c r="AU318" s="417">
        <f t="shared" si="384"/>
        <v>2883.7478702290005</v>
      </c>
      <c r="AV318" s="417">
        <f t="shared" si="384"/>
        <v>2883.7478702290005</v>
      </c>
      <c r="AW318" s="417">
        <f t="shared" si="384"/>
        <v>2883.7478702290005</v>
      </c>
      <c r="AX318" s="417">
        <f t="shared" si="384"/>
        <v>2883.7478702290005</v>
      </c>
      <c r="AY318" s="417">
        <f t="shared" si="384"/>
        <v>2883.7478702290005</v>
      </c>
      <c r="AZ318" s="417">
        <f t="shared" si="384"/>
        <v>2883.7478702290005</v>
      </c>
      <c r="BA318" s="417">
        <f t="shared" si="384"/>
        <v>2883.7478702290005</v>
      </c>
      <c r="BB318" s="417">
        <f t="shared" si="384"/>
        <v>2883.7478702290005</v>
      </c>
      <c r="BC318" s="417">
        <f t="shared" si="384"/>
        <v>2883.7478702290005</v>
      </c>
      <c r="BD318" s="417">
        <f t="shared" si="384"/>
        <v>2883.7478702290005</v>
      </c>
      <c r="BE318" s="417">
        <f t="shared" si="384"/>
        <v>2883.7478702290005</v>
      </c>
      <c r="BF318" s="417">
        <f t="shared" si="384"/>
        <v>2883.7478702290005</v>
      </c>
      <c r="BG318" s="417">
        <f t="shared" si="384"/>
        <v>2883.7478702290005</v>
      </c>
      <c r="BH318" s="417">
        <f t="shared" si="384"/>
        <v>2883.7478702290005</v>
      </c>
      <c r="BI318" s="417">
        <f t="shared" si="384"/>
        <v>2883.7478702290005</v>
      </c>
      <c r="BJ318" s="417">
        <f t="shared" si="384"/>
        <v>0</v>
      </c>
      <c r="BK318" s="417"/>
      <c r="BL318" s="417"/>
      <c r="BM318" s="417"/>
      <c r="BN318" s="417"/>
      <c r="BO318" s="417"/>
      <c r="BP318" s="417"/>
      <c r="BQ318" s="417"/>
      <c r="BR318" s="417"/>
      <c r="BS318" s="417"/>
      <c r="BT318" s="417"/>
      <c r="BU318" s="417"/>
    </row>
    <row r="319" spans="1:73" ht="16.5" thickBot="1" x14ac:dyDescent="0.3">
      <c r="A319" s="299"/>
      <c r="B319" s="299"/>
      <c r="C319" s="500"/>
      <c r="D319" s="299"/>
      <c r="E319" s="299"/>
      <c r="F319" s="299"/>
      <c r="G319" s="299"/>
      <c r="H319" s="299"/>
      <c r="I319" s="299"/>
      <c r="J319" s="299"/>
      <c r="K319" s="410"/>
      <c r="L319" s="299"/>
      <c r="M319" s="299"/>
      <c r="N319" s="656">
        <f>IF(ROUND(SUM(N315:N317),2) = 0,0,1)</f>
        <v>0</v>
      </c>
      <c r="O319" s="299"/>
      <c r="P319" s="299"/>
      <c r="Q319" s="299"/>
      <c r="R319" s="299"/>
      <c r="S319" s="299"/>
      <c r="T319" s="299"/>
      <c r="U319" s="299"/>
      <c r="V319" s="299"/>
      <c r="W319" s="299"/>
      <c r="X319" s="299"/>
      <c r="Y319" s="299"/>
      <c r="Z319" s="299"/>
      <c r="AA319" s="299"/>
      <c r="AB319" s="299"/>
      <c r="AC319" s="299"/>
      <c r="AD319" s="299"/>
      <c r="AE319" s="299"/>
      <c r="AF319" s="299"/>
      <c r="AG319" s="299"/>
      <c r="AH319" s="299"/>
      <c r="AI319" s="299"/>
      <c r="AJ319" s="299"/>
      <c r="AK319" s="299"/>
      <c r="AL319" s="299"/>
      <c r="AM319" s="299"/>
      <c r="AN319" s="299"/>
      <c r="AO319" s="299"/>
      <c r="AP319" s="299"/>
      <c r="AQ319" s="299"/>
      <c r="AR319" s="299"/>
      <c r="AS319" s="299"/>
      <c r="AT319" s="299"/>
      <c r="AU319" s="299"/>
      <c r="AV319" s="299"/>
      <c r="AW319" s="299"/>
      <c r="AX319" s="299"/>
      <c r="AY319" s="299"/>
      <c r="AZ319" s="299"/>
      <c r="BA319" s="299"/>
      <c r="BB319" s="299"/>
      <c r="BC319" s="299"/>
      <c r="BD319" s="299"/>
      <c r="BE319" s="299"/>
      <c r="BF319" s="299"/>
      <c r="BG319" s="299"/>
      <c r="BH319" s="299"/>
      <c r="BI319" s="299"/>
      <c r="BJ319" s="299"/>
      <c r="BK319" s="299"/>
      <c r="BL319" s="299"/>
      <c r="BM319" s="299"/>
      <c r="BN319" s="299"/>
      <c r="BO319" s="299"/>
      <c r="BP319" s="299"/>
      <c r="BQ319" s="299"/>
      <c r="BR319" s="299"/>
      <c r="BS319" s="299"/>
      <c r="BT319" s="299"/>
      <c r="BU319" s="299"/>
    </row>
    <row r="320" spans="1:73" ht="15.75" x14ac:dyDescent="0.25">
      <c r="A320" s="299"/>
      <c r="B320" s="299"/>
      <c r="C320" s="500"/>
      <c r="D320" s="299"/>
      <c r="E320" s="299"/>
      <c r="F320" s="299"/>
      <c r="G320" s="299"/>
      <c r="H320" s="299"/>
      <c r="I320" s="299"/>
      <c r="J320" s="299"/>
      <c r="K320" s="410"/>
      <c r="L320" s="299"/>
      <c r="M320" s="299"/>
      <c r="N320" s="505"/>
      <c r="O320" s="299"/>
      <c r="P320" s="299"/>
      <c r="Q320" s="299"/>
      <c r="R320" s="299"/>
      <c r="S320" s="299"/>
      <c r="T320" s="299"/>
      <c r="U320" s="299"/>
      <c r="V320" s="299"/>
      <c r="W320" s="299"/>
      <c r="X320" s="299"/>
      <c r="Y320" s="299"/>
      <c r="Z320" s="299"/>
      <c r="AA320" s="299"/>
      <c r="AB320" s="299"/>
      <c r="AC320" s="299"/>
      <c r="AD320" s="299"/>
      <c r="AE320" s="299"/>
      <c r="AF320" s="299"/>
      <c r="AG320" s="299"/>
      <c r="AH320" s="299"/>
      <c r="AI320" s="299"/>
      <c r="AJ320" s="299"/>
      <c r="AK320" s="299"/>
      <c r="AL320" s="299"/>
      <c r="AM320" s="299"/>
      <c r="AN320" s="299"/>
      <c r="AO320" s="299"/>
      <c r="AP320" s="299"/>
      <c r="AQ320" s="299"/>
      <c r="AR320" s="299"/>
      <c r="AS320" s="299"/>
      <c r="AT320" s="299"/>
      <c r="AU320" s="299"/>
      <c r="AV320" s="299"/>
      <c r="AW320" s="299"/>
      <c r="AX320" s="299"/>
      <c r="AY320" s="299"/>
      <c r="AZ320" s="299"/>
      <c r="BA320" s="299"/>
      <c r="BB320" s="299"/>
      <c r="BC320" s="299"/>
      <c r="BD320" s="299"/>
      <c r="BE320" s="299"/>
      <c r="BF320" s="299"/>
      <c r="BG320" s="299"/>
      <c r="BH320" s="299"/>
      <c r="BI320" s="299"/>
      <c r="BJ320" s="299"/>
      <c r="BK320" s="299"/>
      <c r="BL320" s="299"/>
      <c r="BM320" s="299"/>
      <c r="BN320" s="299"/>
      <c r="BO320" s="299"/>
      <c r="BP320" s="299"/>
      <c r="BQ320" s="299"/>
      <c r="BR320" s="299"/>
      <c r="BS320" s="299"/>
      <c r="BT320" s="299"/>
      <c r="BU320" s="299"/>
    </row>
    <row r="321" spans="1:73" ht="15.75" x14ac:dyDescent="0.25">
      <c r="A321" s="299"/>
      <c r="B321" s="299"/>
      <c r="C321" s="500" t="s">
        <v>72</v>
      </c>
      <c r="D321" s="299"/>
      <c r="E321" s="299"/>
      <c r="F321" s="299"/>
      <c r="G321" s="299"/>
      <c r="H321" s="299"/>
      <c r="I321" s="299"/>
      <c r="J321" s="299"/>
      <c r="K321" s="410"/>
      <c r="L321" s="299"/>
      <c r="M321" s="299"/>
      <c r="N321" s="299"/>
      <c r="O321" s="299"/>
      <c r="P321" s="299"/>
      <c r="Q321" s="299"/>
      <c r="R321" s="299"/>
      <c r="S321" s="299"/>
      <c r="T321" s="299"/>
      <c r="U321" s="299"/>
      <c r="V321" s="299"/>
      <c r="W321" s="299"/>
      <c r="X321" s="299"/>
      <c r="Y321" s="299"/>
      <c r="Z321" s="299"/>
      <c r="AA321" s="299"/>
      <c r="AB321" s="299"/>
      <c r="AC321" s="299"/>
      <c r="AD321" s="299"/>
      <c r="AE321" s="299"/>
      <c r="AF321" s="299"/>
      <c r="AG321" s="299"/>
      <c r="AH321" s="299"/>
      <c r="AI321" s="299"/>
      <c r="AJ321" s="299"/>
      <c r="AK321" s="299"/>
      <c r="AL321" s="299"/>
      <c r="AM321" s="299"/>
      <c r="AN321" s="299"/>
      <c r="AO321" s="299"/>
      <c r="AP321" s="299"/>
      <c r="AQ321" s="299"/>
      <c r="AR321" s="299"/>
      <c r="AS321" s="299"/>
      <c r="AT321" s="299"/>
      <c r="AU321" s="299"/>
      <c r="AV321" s="299"/>
      <c r="AW321" s="299"/>
      <c r="AX321" s="299"/>
      <c r="AY321" s="299"/>
      <c r="AZ321" s="299"/>
      <c r="BA321" s="299"/>
      <c r="BB321" s="299"/>
      <c r="BC321" s="299"/>
      <c r="BD321" s="299"/>
      <c r="BE321" s="299"/>
      <c r="BF321" s="299"/>
      <c r="BG321" s="299"/>
      <c r="BH321" s="299"/>
      <c r="BI321" s="299"/>
      <c r="BJ321" s="299"/>
      <c r="BK321" s="299"/>
      <c r="BL321" s="299"/>
      <c r="BM321" s="299"/>
      <c r="BN321" s="299"/>
      <c r="BO321" s="299"/>
      <c r="BP321" s="299"/>
      <c r="BQ321" s="299"/>
      <c r="BR321" s="299"/>
      <c r="BS321" s="299"/>
      <c r="BT321" s="299"/>
      <c r="BU321" s="299"/>
    </row>
    <row r="322" spans="1:73" x14ac:dyDescent="0.2">
      <c r="A322" s="299"/>
      <c r="B322" s="439"/>
      <c r="C322" s="299"/>
      <c r="D322" s="299"/>
      <c r="E322" s="299"/>
      <c r="F322" s="299"/>
      <c r="G322" s="299"/>
      <c r="H322" s="299"/>
      <c r="I322" s="299"/>
      <c r="J322" s="299"/>
      <c r="K322" s="410"/>
      <c r="L322" s="299"/>
      <c r="M322" s="299"/>
      <c r="N322" s="299"/>
      <c r="O322" s="299"/>
      <c r="P322" s="299"/>
      <c r="Q322" s="299"/>
      <c r="R322" s="299"/>
      <c r="S322" s="299"/>
      <c r="T322" s="299"/>
      <c r="U322" s="299"/>
      <c r="V322" s="299"/>
      <c r="W322" s="299"/>
      <c r="X322" s="299"/>
      <c r="Y322" s="299"/>
      <c r="Z322" s="299"/>
      <c r="AA322" s="299"/>
      <c r="AB322" s="299"/>
      <c r="AC322" s="299"/>
      <c r="AD322" s="299"/>
      <c r="AE322" s="299"/>
      <c r="AF322" s="299"/>
      <c r="AG322" s="299"/>
      <c r="AH322" s="299"/>
      <c r="AI322" s="299"/>
      <c r="AJ322" s="299"/>
      <c r="AK322" s="299"/>
      <c r="AL322" s="299"/>
      <c r="AM322" s="299"/>
      <c r="AN322" s="299"/>
      <c r="AO322" s="299"/>
      <c r="AP322" s="299"/>
      <c r="AQ322" s="299"/>
      <c r="AR322" s="299"/>
      <c r="AS322" s="299"/>
      <c r="AT322" s="299"/>
      <c r="AU322" s="299"/>
      <c r="AV322" s="299"/>
      <c r="AW322" s="299"/>
      <c r="AX322" s="299"/>
      <c r="AY322" s="299"/>
      <c r="AZ322" s="299"/>
      <c r="BA322" s="299"/>
      <c r="BB322" s="299"/>
      <c r="BC322" s="299"/>
      <c r="BD322" s="299"/>
      <c r="BE322" s="299"/>
      <c r="BF322" s="299"/>
      <c r="BG322" s="299"/>
      <c r="BH322" s="299"/>
      <c r="BI322" s="299"/>
      <c r="BJ322" s="299"/>
      <c r="BK322" s="299"/>
      <c r="BL322" s="299"/>
      <c r="BM322" s="299"/>
      <c r="BN322" s="299"/>
      <c r="BO322" s="299"/>
      <c r="BP322" s="299"/>
      <c r="BQ322" s="299"/>
      <c r="BR322" s="299"/>
      <c r="BS322" s="299"/>
      <c r="BT322" s="299"/>
      <c r="BU322" s="299"/>
    </row>
    <row r="323" spans="1:73" x14ac:dyDescent="0.2">
      <c r="A323" s="299"/>
      <c r="B323" s="439" t="s">
        <v>249</v>
      </c>
      <c r="C323" s="299"/>
      <c r="D323" s="299"/>
      <c r="E323" s="299"/>
      <c r="F323" s="299"/>
      <c r="G323" s="299"/>
      <c r="H323" s="299"/>
      <c r="I323" s="299"/>
      <c r="J323" s="299"/>
      <c r="K323" s="410"/>
      <c r="L323" s="299"/>
      <c r="M323" s="299"/>
      <c r="N323" s="299"/>
      <c r="O323" s="299"/>
      <c r="P323" s="299"/>
      <c r="Q323" s="417"/>
      <c r="R323" s="417"/>
      <c r="S323" s="417"/>
      <c r="T323" s="417"/>
      <c r="U323" s="417"/>
      <c r="V323" s="417"/>
      <c r="W323" s="417"/>
      <c r="X323" s="417"/>
      <c r="Y323" s="417"/>
      <c r="Z323" s="417"/>
      <c r="AA323" s="417"/>
      <c r="AB323" s="417"/>
      <c r="AC323" s="417"/>
      <c r="AD323" s="417"/>
      <c r="AE323" s="417"/>
      <c r="AF323" s="417"/>
      <c r="AG323" s="417"/>
      <c r="AH323" s="417"/>
      <c r="AI323" s="417"/>
      <c r="AJ323" s="417"/>
      <c r="AK323" s="417"/>
      <c r="AL323" s="417"/>
      <c r="AM323" s="417"/>
      <c r="AN323" s="417"/>
      <c r="AO323" s="417"/>
      <c r="AP323" s="417"/>
      <c r="AQ323" s="417"/>
      <c r="AR323" s="417"/>
      <c r="AS323" s="417"/>
      <c r="AT323" s="417"/>
      <c r="AU323" s="417"/>
      <c r="AV323" s="417"/>
      <c r="AW323" s="417"/>
      <c r="AX323" s="417"/>
      <c r="AY323" s="417"/>
      <c r="AZ323" s="417"/>
      <c r="BA323" s="417"/>
      <c r="BB323" s="417"/>
      <c r="BC323" s="417"/>
      <c r="BD323" s="417"/>
      <c r="BE323" s="417"/>
      <c r="BF323" s="417"/>
      <c r="BG323" s="417"/>
      <c r="BH323" s="417"/>
      <c r="BI323" s="417"/>
      <c r="BJ323" s="417"/>
      <c r="BK323" s="417"/>
      <c r="BL323" s="417"/>
      <c r="BM323" s="417"/>
      <c r="BN323" s="417"/>
      <c r="BO323" s="417"/>
      <c r="BP323" s="417"/>
      <c r="BQ323" s="417"/>
      <c r="BR323" s="417"/>
      <c r="BS323" s="417"/>
      <c r="BT323" s="417"/>
      <c r="BU323" s="417"/>
    </row>
    <row r="324" spans="1:73" x14ac:dyDescent="0.2">
      <c r="A324" s="299"/>
      <c r="B324" s="299"/>
      <c r="C324" s="299" t="s">
        <v>32</v>
      </c>
      <c r="D324" s="299"/>
      <c r="E324" s="299"/>
      <c r="F324" s="299"/>
      <c r="G324" s="299"/>
      <c r="H324" s="299"/>
      <c r="I324" s="299"/>
      <c r="J324" s="299"/>
      <c r="K324" s="410" t="s">
        <v>62</v>
      </c>
      <c r="L324" s="299"/>
      <c r="M324" s="299"/>
      <c r="N324" s="299"/>
      <c r="O324" s="299"/>
      <c r="P324" s="299"/>
      <c r="Q324" s="417"/>
      <c r="R324" s="417">
        <f t="shared" ref="R324:BJ324" si="385">+R249+R250</f>
        <v>0</v>
      </c>
      <c r="S324" s="417">
        <f t="shared" si="385"/>
        <v>20000</v>
      </c>
      <c r="T324" s="417">
        <f t="shared" si="385"/>
        <v>20000</v>
      </c>
      <c r="U324" s="417">
        <f t="shared" si="385"/>
        <v>12563.890311304778</v>
      </c>
      <c r="V324" s="417">
        <f t="shared" si="385"/>
        <v>14756.141199515881</v>
      </c>
      <c r="W324" s="417">
        <f t="shared" si="385"/>
        <v>15908.524110196922</v>
      </c>
      <c r="X324" s="417">
        <f t="shared" si="385"/>
        <v>17074.213720211905</v>
      </c>
      <c r="Y324" s="417">
        <f t="shared" si="385"/>
        <v>18151.552804278828</v>
      </c>
      <c r="Z324" s="417">
        <f t="shared" si="385"/>
        <v>19030.349725480504</v>
      </c>
      <c r="AA324" s="417">
        <f t="shared" si="385"/>
        <v>19591.208486375075</v>
      </c>
      <c r="AB324" s="417">
        <f t="shared" si="385"/>
        <v>19704.80644033349</v>
      </c>
      <c r="AC324" s="417">
        <f t="shared" si="385"/>
        <v>19894.631789310341</v>
      </c>
      <c r="AD324" s="417">
        <f t="shared" si="385"/>
        <v>20267.553157169252</v>
      </c>
      <c r="AE324" s="417">
        <f t="shared" si="385"/>
        <v>20939.041814714692</v>
      </c>
      <c r="AF324" s="417">
        <f t="shared" si="385"/>
        <v>22033.820358395467</v>
      </c>
      <c r="AG324" s="417">
        <f t="shared" si="385"/>
        <v>23686.56006561231</v>
      </c>
      <c r="AH324" s="417">
        <f t="shared" si="385"/>
        <v>25488.550728063128</v>
      </c>
      <c r="AI324" s="417">
        <f t="shared" si="385"/>
        <v>27486.998469936781</v>
      </c>
      <c r="AJ324" s="417">
        <f t="shared" si="385"/>
        <v>29735.932207806396</v>
      </c>
      <c r="AK324" s="417">
        <f t="shared" si="385"/>
        <v>32297.014522554295</v>
      </c>
      <c r="AL324" s="417">
        <f t="shared" si="385"/>
        <v>35240.440612957937</v>
      </c>
      <c r="AM324" s="417">
        <f t="shared" si="385"/>
        <v>38021.254210962274</v>
      </c>
      <c r="AN324" s="417">
        <f t="shared" si="385"/>
        <v>40087.451320097607</v>
      </c>
      <c r="AO324" s="417">
        <f t="shared" si="385"/>
        <v>40883.227741441588</v>
      </c>
      <c r="AP324" s="417">
        <f t="shared" si="385"/>
        <v>39844.606313149081</v>
      </c>
      <c r="AQ324" s="417">
        <f t="shared" si="385"/>
        <v>36395.014225641971</v>
      </c>
      <c r="AR324" s="417">
        <f t="shared" si="385"/>
        <v>33592.811347877549</v>
      </c>
      <c r="AS324" s="417">
        <f t="shared" si="385"/>
        <v>31895.627257733944</v>
      </c>
      <c r="AT324" s="417">
        <f t="shared" si="385"/>
        <v>31793.198712632835</v>
      </c>
      <c r="AU324" s="417">
        <f t="shared" si="385"/>
        <v>33814.605467792782</v>
      </c>
      <c r="AV324" s="417">
        <f t="shared" si="385"/>
        <v>38536.27815554609</v>
      </c>
      <c r="AW324" s="417">
        <f t="shared" si="385"/>
        <v>43294.036563673508</v>
      </c>
      <c r="AX324" s="417">
        <f t="shared" si="385"/>
        <v>47305.995724505468</v>
      </c>
      <c r="AY324" s="417">
        <f t="shared" si="385"/>
        <v>49736.697686133921</v>
      </c>
      <c r="AZ324" s="417">
        <f t="shared" si="385"/>
        <v>49685.701801538125</v>
      </c>
      <c r="BA324" s="417">
        <f t="shared" si="385"/>
        <v>46174.85946658122</v>
      </c>
      <c r="BB324" s="417">
        <f t="shared" si="385"/>
        <v>43585.441150537576</v>
      </c>
      <c r="BC324" s="417">
        <f t="shared" si="385"/>
        <v>42923.245497392287</v>
      </c>
      <c r="BD324" s="417">
        <f t="shared" si="385"/>
        <v>45398.327747783354</v>
      </c>
      <c r="BE324" s="417">
        <f t="shared" si="385"/>
        <v>0</v>
      </c>
      <c r="BF324" s="417">
        <f t="shared" si="385"/>
        <v>0</v>
      </c>
      <c r="BG324" s="417">
        <f t="shared" si="385"/>
        <v>0</v>
      </c>
      <c r="BH324" s="417">
        <f t="shared" si="385"/>
        <v>0</v>
      </c>
      <c r="BI324" s="417">
        <f t="shared" si="385"/>
        <v>0</v>
      </c>
      <c r="BJ324" s="417">
        <f t="shared" si="385"/>
        <v>0</v>
      </c>
      <c r="BK324" s="417"/>
      <c r="BL324" s="417"/>
      <c r="BM324" s="417"/>
      <c r="BN324" s="417"/>
      <c r="BO324" s="417"/>
      <c r="BP324" s="417"/>
      <c r="BQ324" s="417"/>
      <c r="BR324" s="417"/>
      <c r="BS324" s="417"/>
      <c r="BT324" s="417"/>
      <c r="BU324" s="417"/>
    </row>
    <row r="325" spans="1:73" x14ac:dyDescent="0.2">
      <c r="A325" s="299"/>
      <c r="B325" s="299"/>
      <c r="C325" s="299" t="s">
        <v>42</v>
      </c>
      <c r="D325" s="299"/>
      <c r="E325" s="299"/>
      <c r="F325" s="299"/>
      <c r="G325" s="299"/>
      <c r="H325" s="299"/>
      <c r="I325" s="299"/>
      <c r="J325" s="299"/>
      <c r="K325" s="410" t="s">
        <v>62</v>
      </c>
      <c r="L325" s="299"/>
      <c r="M325" s="299"/>
      <c r="N325" s="299"/>
      <c r="O325" s="299"/>
      <c r="P325" s="299"/>
      <c r="Q325" s="417"/>
      <c r="R325" s="417">
        <f t="shared" ref="R325:BJ325" si="386">+R274+R275</f>
        <v>0</v>
      </c>
      <c r="S325" s="417">
        <f t="shared" si="386"/>
        <v>40000</v>
      </c>
      <c r="T325" s="417">
        <f t="shared" si="386"/>
        <v>40000</v>
      </c>
      <c r="U325" s="417">
        <f t="shared" si="386"/>
        <v>26879.103090938956</v>
      </c>
      <c r="V325" s="417">
        <f t="shared" si="386"/>
        <v>30002.865623482852</v>
      </c>
      <c r="W325" s="417">
        <f t="shared" si="386"/>
        <v>31746.605478152331</v>
      </c>
      <c r="X325" s="417">
        <f t="shared" si="386"/>
        <v>32030.484547014006</v>
      </c>
      <c r="Y325" s="417">
        <f t="shared" si="386"/>
        <v>32428.840003345693</v>
      </c>
      <c r="Z325" s="417">
        <f t="shared" si="386"/>
        <v>32962.846902482386</v>
      </c>
      <c r="AA325" s="417">
        <f t="shared" si="386"/>
        <v>34016.177323830176</v>
      </c>
      <c r="AB325" s="417">
        <f t="shared" si="386"/>
        <v>35045.816012695825</v>
      </c>
      <c r="AC325" s="417">
        <f t="shared" si="386"/>
        <v>35944.544872108192</v>
      </c>
      <c r="AD325" s="417">
        <f t="shared" si="386"/>
        <v>36496.686917501516</v>
      </c>
      <c r="AE325" s="417">
        <f t="shared" si="386"/>
        <v>36944.466548383905</v>
      </c>
      <c r="AF325" s="417">
        <f t="shared" si="386"/>
        <v>37526.138793610335</v>
      </c>
      <c r="AG325" s="417">
        <f t="shared" si="386"/>
        <v>38890.293453783153</v>
      </c>
      <c r="AH325" s="417">
        <f t="shared" si="386"/>
        <v>40581.532561227978</v>
      </c>
      <c r="AI325" s="417">
        <f t="shared" si="386"/>
        <v>43083.895127427772</v>
      </c>
      <c r="AJ325" s="417">
        <f t="shared" si="386"/>
        <v>46742.833184973511</v>
      </c>
      <c r="AK325" s="417">
        <f t="shared" si="386"/>
        <v>51718.757009774708</v>
      </c>
      <c r="AL325" s="417">
        <f t="shared" si="386"/>
        <v>57444.124051783656</v>
      </c>
      <c r="AM325" s="417">
        <f t="shared" si="386"/>
        <v>64981.882092569635</v>
      </c>
      <c r="AN325" s="417">
        <f t="shared" si="386"/>
        <v>89198.686125918917</v>
      </c>
      <c r="AO325" s="417">
        <f t="shared" si="386"/>
        <v>75247.537943107614</v>
      </c>
      <c r="AP325" s="417">
        <f t="shared" si="386"/>
        <v>75848.411660478436</v>
      </c>
      <c r="AQ325" s="417">
        <f t="shared" si="386"/>
        <v>76690.153839572173</v>
      </c>
      <c r="AR325" s="417">
        <f t="shared" si="386"/>
        <v>77459.021232605737</v>
      </c>
      <c r="AS325" s="417">
        <f t="shared" si="386"/>
        <v>78375.463668142591</v>
      </c>
      <c r="AT325" s="417">
        <f t="shared" si="386"/>
        <v>78802.822302612563</v>
      </c>
      <c r="AU325" s="417">
        <f t="shared" si="386"/>
        <v>188410.84936429397</v>
      </c>
      <c r="AV325" s="417">
        <f t="shared" si="386"/>
        <v>188772.07217223092</v>
      </c>
      <c r="AW325" s="417">
        <f t="shared" si="386"/>
        <v>189114.35296921036</v>
      </c>
      <c r="AX325" s="417">
        <f t="shared" si="386"/>
        <v>188757.30892537074</v>
      </c>
      <c r="AY325" s="417">
        <f t="shared" si="386"/>
        <v>203167.43662351585</v>
      </c>
      <c r="AZ325" s="417">
        <f t="shared" si="386"/>
        <v>202952.72587694094</v>
      </c>
      <c r="BA325" s="417">
        <f t="shared" si="386"/>
        <v>202825.76667157147</v>
      </c>
      <c r="BB325" s="417">
        <f t="shared" si="386"/>
        <v>202488.8956447104</v>
      </c>
      <c r="BC325" s="417">
        <f t="shared" si="386"/>
        <v>202238.56149674815</v>
      </c>
      <c r="BD325" s="417">
        <f t="shared" si="386"/>
        <v>201975.08480601796</v>
      </c>
      <c r="BE325" s="417">
        <f t="shared" si="386"/>
        <v>0</v>
      </c>
      <c r="BF325" s="417">
        <f t="shared" si="386"/>
        <v>0</v>
      </c>
      <c r="BG325" s="417">
        <f t="shared" si="386"/>
        <v>0</v>
      </c>
      <c r="BH325" s="417">
        <f t="shared" si="386"/>
        <v>0</v>
      </c>
      <c r="BI325" s="417">
        <f t="shared" si="386"/>
        <v>0</v>
      </c>
      <c r="BJ325" s="417">
        <f t="shared" si="386"/>
        <v>0</v>
      </c>
      <c r="BK325" s="417"/>
      <c r="BL325" s="417"/>
      <c r="BM325" s="417"/>
      <c r="BN325" s="417"/>
      <c r="BO325" s="417"/>
      <c r="BP325" s="417"/>
      <c r="BQ325" s="417"/>
      <c r="BR325" s="417"/>
      <c r="BS325" s="417"/>
      <c r="BT325" s="417"/>
      <c r="BU325" s="417"/>
    </row>
    <row r="326" spans="1:73" x14ac:dyDescent="0.2">
      <c r="A326" s="299"/>
      <c r="B326" s="299"/>
      <c r="C326" s="299" t="s">
        <v>74</v>
      </c>
      <c r="D326" s="299"/>
      <c r="E326" s="299"/>
      <c r="F326" s="299"/>
      <c r="G326" s="299"/>
      <c r="H326" s="299"/>
      <c r="I326" s="299"/>
      <c r="J326" s="299"/>
      <c r="K326" s="410" t="s">
        <v>62</v>
      </c>
      <c r="L326" s="299"/>
      <c r="M326" s="299"/>
      <c r="N326" s="299"/>
      <c r="O326" s="299"/>
      <c r="P326" s="299"/>
      <c r="Q326" s="417"/>
      <c r="R326" s="417">
        <f t="shared" ref="R326:BJ326" si="387">+R305</f>
        <v>0</v>
      </c>
      <c r="S326" s="417">
        <f t="shared" si="387"/>
        <v>92381.343480000025</v>
      </c>
      <c r="T326" s="417">
        <f t="shared" si="387"/>
        <v>145303.99870894785</v>
      </c>
      <c r="U326" s="417">
        <f t="shared" si="387"/>
        <v>0</v>
      </c>
      <c r="V326" s="417">
        <f t="shared" si="387"/>
        <v>0</v>
      </c>
      <c r="W326" s="417">
        <f t="shared" si="387"/>
        <v>0</v>
      </c>
      <c r="X326" s="417">
        <f t="shared" si="387"/>
        <v>0</v>
      </c>
      <c r="Y326" s="417">
        <f t="shared" si="387"/>
        <v>0</v>
      </c>
      <c r="Z326" s="417">
        <f t="shared" si="387"/>
        <v>0</v>
      </c>
      <c r="AA326" s="417">
        <f t="shared" si="387"/>
        <v>0</v>
      </c>
      <c r="AB326" s="417">
        <f t="shared" si="387"/>
        <v>0</v>
      </c>
      <c r="AC326" s="417">
        <f t="shared" si="387"/>
        <v>0</v>
      </c>
      <c r="AD326" s="417">
        <f t="shared" si="387"/>
        <v>0</v>
      </c>
      <c r="AE326" s="417">
        <f t="shared" si="387"/>
        <v>0</v>
      </c>
      <c r="AF326" s="417">
        <f t="shared" si="387"/>
        <v>0</v>
      </c>
      <c r="AG326" s="417">
        <f t="shared" si="387"/>
        <v>0</v>
      </c>
      <c r="AH326" s="417">
        <f t="shared" si="387"/>
        <v>0</v>
      </c>
      <c r="AI326" s="417">
        <f t="shared" si="387"/>
        <v>0</v>
      </c>
      <c r="AJ326" s="417">
        <f t="shared" si="387"/>
        <v>0</v>
      </c>
      <c r="AK326" s="417">
        <f t="shared" si="387"/>
        <v>0</v>
      </c>
      <c r="AL326" s="417">
        <f t="shared" si="387"/>
        <v>0</v>
      </c>
      <c r="AM326" s="417">
        <f t="shared" si="387"/>
        <v>0</v>
      </c>
      <c r="AN326" s="417">
        <f t="shared" si="387"/>
        <v>0</v>
      </c>
      <c r="AO326" s="417">
        <f t="shared" si="387"/>
        <v>0</v>
      </c>
      <c r="AP326" s="417">
        <f t="shared" si="387"/>
        <v>0</v>
      </c>
      <c r="AQ326" s="417">
        <f t="shared" si="387"/>
        <v>0</v>
      </c>
      <c r="AR326" s="417">
        <f t="shared" si="387"/>
        <v>0</v>
      </c>
      <c r="AS326" s="417">
        <f t="shared" si="387"/>
        <v>0</v>
      </c>
      <c r="AT326" s="417">
        <f t="shared" si="387"/>
        <v>0</v>
      </c>
      <c r="AU326" s="417">
        <f t="shared" si="387"/>
        <v>0</v>
      </c>
      <c r="AV326" s="417">
        <f t="shared" si="387"/>
        <v>0</v>
      </c>
      <c r="AW326" s="417">
        <f t="shared" si="387"/>
        <v>0</v>
      </c>
      <c r="AX326" s="417">
        <f t="shared" si="387"/>
        <v>0</v>
      </c>
      <c r="AY326" s="417">
        <f t="shared" si="387"/>
        <v>0</v>
      </c>
      <c r="AZ326" s="417">
        <f t="shared" si="387"/>
        <v>0</v>
      </c>
      <c r="BA326" s="417">
        <f t="shared" si="387"/>
        <v>0</v>
      </c>
      <c r="BB326" s="417">
        <f t="shared" si="387"/>
        <v>0</v>
      </c>
      <c r="BC326" s="417">
        <f t="shared" si="387"/>
        <v>0</v>
      </c>
      <c r="BD326" s="417">
        <f t="shared" si="387"/>
        <v>0</v>
      </c>
      <c r="BE326" s="417">
        <f t="shared" si="387"/>
        <v>0</v>
      </c>
      <c r="BF326" s="417">
        <f t="shared" si="387"/>
        <v>0</v>
      </c>
      <c r="BG326" s="417">
        <f t="shared" si="387"/>
        <v>0</v>
      </c>
      <c r="BH326" s="417">
        <f t="shared" si="387"/>
        <v>0</v>
      </c>
      <c r="BI326" s="417">
        <f t="shared" si="387"/>
        <v>0</v>
      </c>
      <c r="BJ326" s="417">
        <f t="shared" si="387"/>
        <v>0</v>
      </c>
      <c r="BK326" s="417"/>
      <c r="BL326" s="417"/>
      <c r="BM326" s="417"/>
      <c r="BN326" s="417"/>
      <c r="BO326" s="417"/>
      <c r="BP326" s="417"/>
      <c r="BQ326" s="417"/>
      <c r="BR326" s="417"/>
      <c r="BS326" s="417"/>
      <c r="BT326" s="417"/>
      <c r="BU326" s="417"/>
    </row>
    <row r="327" spans="1:73" x14ac:dyDescent="0.2">
      <c r="A327" s="299"/>
      <c r="B327" s="299"/>
      <c r="C327" s="215" t="s">
        <v>314</v>
      </c>
      <c r="D327" s="299"/>
      <c r="E327" s="299"/>
      <c r="F327" s="299"/>
      <c r="G327" s="299"/>
      <c r="H327" s="299"/>
      <c r="I327" s="299"/>
      <c r="J327" s="299"/>
      <c r="K327" s="410" t="s">
        <v>62</v>
      </c>
      <c r="L327" s="299"/>
      <c r="M327" s="299"/>
      <c r="N327" s="299"/>
      <c r="O327" s="299"/>
      <c r="P327" s="299"/>
      <c r="Q327" s="417"/>
      <c r="R327" s="417">
        <f t="shared" ref="R327:BJ327" si="388">R288+R289</f>
        <v>0</v>
      </c>
      <c r="S327" s="417">
        <f t="shared" si="388"/>
        <v>0</v>
      </c>
      <c r="T327" s="417">
        <f t="shared" si="388"/>
        <v>0</v>
      </c>
      <c r="U327" s="417">
        <f t="shared" si="388"/>
        <v>0</v>
      </c>
      <c r="V327" s="417">
        <f t="shared" si="388"/>
        <v>0</v>
      </c>
      <c r="W327" s="417">
        <f t="shared" si="388"/>
        <v>0</v>
      </c>
      <c r="X327" s="417">
        <f t="shared" si="388"/>
        <v>0</v>
      </c>
      <c r="Y327" s="417">
        <f t="shared" si="388"/>
        <v>0</v>
      </c>
      <c r="Z327" s="417">
        <f t="shared" si="388"/>
        <v>0</v>
      </c>
      <c r="AA327" s="417">
        <f t="shared" si="388"/>
        <v>0</v>
      </c>
      <c r="AB327" s="417">
        <f t="shared" si="388"/>
        <v>0</v>
      </c>
      <c r="AC327" s="417">
        <f t="shared" si="388"/>
        <v>0</v>
      </c>
      <c r="AD327" s="417">
        <f t="shared" si="388"/>
        <v>0</v>
      </c>
      <c r="AE327" s="417">
        <f t="shared" si="388"/>
        <v>0</v>
      </c>
      <c r="AF327" s="417">
        <f t="shared" si="388"/>
        <v>0</v>
      </c>
      <c r="AG327" s="417">
        <f t="shared" si="388"/>
        <v>0</v>
      </c>
      <c r="AH327" s="417">
        <f t="shared" si="388"/>
        <v>0</v>
      </c>
      <c r="AI327" s="417">
        <f t="shared" si="388"/>
        <v>0</v>
      </c>
      <c r="AJ327" s="417">
        <f t="shared" si="388"/>
        <v>0</v>
      </c>
      <c r="AK327" s="417">
        <f t="shared" si="388"/>
        <v>0</v>
      </c>
      <c r="AL327" s="417">
        <f t="shared" si="388"/>
        <v>0</v>
      </c>
      <c r="AM327" s="417">
        <f t="shared" si="388"/>
        <v>0</v>
      </c>
      <c r="AN327" s="417">
        <f t="shared" si="388"/>
        <v>0</v>
      </c>
      <c r="AO327" s="417">
        <f t="shared" si="388"/>
        <v>0</v>
      </c>
      <c r="AP327" s="417">
        <f t="shared" si="388"/>
        <v>0</v>
      </c>
      <c r="AQ327" s="417">
        <f t="shared" si="388"/>
        <v>0</v>
      </c>
      <c r="AR327" s="417">
        <f t="shared" si="388"/>
        <v>0</v>
      </c>
      <c r="AS327" s="417">
        <f t="shared" si="388"/>
        <v>0</v>
      </c>
      <c r="AT327" s="417">
        <f t="shared" si="388"/>
        <v>0</v>
      </c>
      <c r="AU327" s="417">
        <f t="shared" si="388"/>
        <v>0</v>
      </c>
      <c r="AV327" s="417">
        <f t="shared" si="388"/>
        <v>0</v>
      </c>
      <c r="AW327" s="417">
        <f t="shared" si="388"/>
        <v>0</v>
      </c>
      <c r="AX327" s="417">
        <f t="shared" si="388"/>
        <v>0</v>
      </c>
      <c r="AY327" s="417">
        <f t="shared" si="388"/>
        <v>0</v>
      </c>
      <c r="AZ327" s="417">
        <f t="shared" si="388"/>
        <v>0</v>
      </c>
      <c r="BA327" s="417">
        <f t="shared" si="388"/>
        <v>0</v>
      </c>
      <c r="BB327" s="417">
        <f t="shared" si="388"/>
        <v>0</v>
      </c>
      <c r="BC327" s="417">
        <f t="shared" si="388"/>
        <v>0</v>
      </c>
      <c r="BD327" s="417">
        <f t="shared" si="388"/>
        <v>0</v>
      </c>
      <c r="BE327" s="417">
        <f t="shared" si="388"/>
        <v>146693.04009146197</v>
      </c>
      <c r="BF327" s="417">
        <f t="shared" si="388"/>
        <v>143269.05167515849</v>
      </c>
      <c r="BG327" s="417">
        <f t="shared" si="388"/>
        <v>126051.90591748834</v>
      </c>
      <c r="BH327" s="417">
        <f t="shared" si="388"/>
        <v>104408.27924592944</v>
      </c>
      <c r="BI327" s="417">
        <f t="shared" si="388"/>
        <v>77200.135568042242</v>
      </c>
      <c r="BJ327" s="417">
        <f t="shared" si="388"/>
        <v>42996.852835886624</v>
      </c>
      <c r="BK327" s="417"/>
      <c r="BL327" s="417"/>
      <c r="BM327" s="417"/>
      <c r="BN327" s="417"/>
      <c r="BO327" s="417"/>
      <c r="BP327" s="417"/>
      <c r="BQ327" s="417"/>
      <c r="BR327" s="417"/>
      <c r="BS327" s="417"/>
      <c r="BT327" s="417"/>
      <c r="BU327" s="417"/>
    </row>
    <row r="328" spans="1:73" x14ac:dyDescent="0.2">
      <c r="A328" s="299"/>
      <c r="B328" s="299"/>
      <c r="C328" s="299" t="s">
        <v>90</v>
      </c>
      <c r="D328" s="299"/>
      <c r="E328" s="299"/>
      <c r="F328" s="299"/>
      <c r="G328" s="299"/>
      <c r="H328" s="299"/>
      <c r="I328" s="299"/>
      <c r="J328" s="299"/>
      <c r="K328" s="410" t="s">
        <v>62</v>
      </c>
      <c r="L328" s="299"/>
      <c r="M328" s="299"/>
      <c r="N328" s="299"/>
      <c r="O328" s="299"/>
      <c r="P328" s="299"/>
      <c r="Q328" s="417"/>
      <c r="R328" s="417">
        <f>+CF!R54</f>
        <v>0</v>
      </c>
      <c r="S328" s="417">
        <f>+CF!S54</f>
        <v>0</v>
      </c>
      <c r="T328" s="417">
        <f>+CF!T54</f>
        <v>0</v>
      </c>
      <c r="U328" s="417">
        <f>+CF!U54</f>
        <v>0</v>
      </c>
      <c r="V328" s="417">
        <f>+CF!V54</f>
        <v>0</v>
      </c>
      <c r="W328" s="417">
        <f>+CF!W54</f>
        <v>0</v>
      </c>
      <c r="X328" s="417">
        <f>+CF!X54</f>
        <v>0</v>
      </c>
      <c r="Y328" s="417">
        <f>+CF!Y54</f>
        <v>0</v>
      </c>
      <c r="Z328" s="417">
        <f>+CF!Z54</f>
        <v>0</v>
      </c>
      <c r="AA328" s="417">
        <f>+CF!AA54</f>
        <v>0</v>
      </c>
      <c r="AB328" s="417">
        <f>+CF!AB54</f>
        <v>0</v>
      </c>
      <c r="AC328" s="417">
        <f>+CF!AC54</f>
        <v>0</v>
      </c>
      <c r="AD328" s="417">
        <f>+CF!AD54</f>
        <v>0</v>
      </c>
      <c r="AE328" s="417">
        <f>+CF!AE54</f>
        <v>0</v>
      </c>
      <c r="AF328" s="417">
        <f>+CF!AF54</f>
        <v>0</v>
      </c>
      <c r="AG328" s="417">
        <f>+CF!AG54</f>
        <v>0</v>
      </c>
      <c r="AH328" s="417">
        <f>+CF!AH54</f>
        <v>0</v>
      </c>
      <c r="AI328" s="417">
        <f>+CF!AI54</f>
        <v>0</v>
      </c>
      <c r="AJ328" s="417">
        <f>+CF!AJ54</f>
        <v>0</v>
      </c>
      <c r="AK328" s="417">
        <f>+CF!AK54</f>
        <v>0</v>
      </c>
      <c r="AL328" s="417">
        <f>+CF!AL54</f>
        <v>0</v>
      </c>
      <c r="AM328" s="417">
        <f>+CF!AM54</f>
        <v>0</v>
      </c>
      <c r="AN328" s="417">
        <f>+CF!AN54</f>
        <v>0</v>
      </c>
      <c r="AO328" s="417">
        <f>+CF!AO54</f>
        <v>0</v>
      </c>
      <c r="AP328" s="417">
        <f>+CF!AP54</f>
        <v>0</v>
      </c>
      <c r="AQ328" s="417">
        <f>+CF!AQ54</f>
        <v>0</v>
      </c>
      <c r="AR328" s="417">
        <f>+CF!AR54</f>
        <v>0</v>
      </c>
      <c r="AS328" s="417">
        <f>+CF!AS54</f>
        <v>0</v>
      </c>
      <c r="AT328" s="417">
        <f>+CF!AT54</f>
        <v>0</v>
      </c>
      <c r="AU328" s="417">
        <f>+CF!AU54</f>
        <v>0</v>
      </c>
      <c r="AV328" s="417">
        <f>+CF!AV54</f>
        <v>0</v>
      </c>
      <c r="AW328" s="417">
        <f>+CF!AW54</f>
        <v>0</v>
      </c>
      <c r="AX328" s="417">
        <f>+CF!AX54</f>
        <v>0</v>
      </c>
      <c r="AY328" s="417">
        <f>+CF!AY54</f>
        <v>0</v>
      </c>
      <c r="AZ328" s="417">
        <f>+CF!AZ54</f>
        <v>0</v>
      </c>
      <c r="BA328" s="417">
        <f>+CF!BA54</f>
        <v>0</v>
      </c>
      <c r="BB328" s="417">
        <f>+CF!BB54</f>
        <v>0</v>
      </c>
      <c r="BC328" s="417">
        <f>+CF!BC54</f>
        <v>0</v>
      </c>
      <c r="BD328" s="417">
        <f>+CF!BD54</f>
        <v>0</v>
      </c>
      <c r="BE328" s="417">
        <f>+CF!BE54</f>
        <v>0</v>
      </c>
      <c r="BF328" s="417">
        <f>+CF!BF54</f>
        <v>0</v>
      </c>
      <c r="BG328" s="417">
        <f>+CF!BG54</f>
        <v>0</v>
      </c>
      <c r="BH328" s="417">
        <f>+CF!BH54</f>
        <v>0</v>
      </c>
      <c r="BI328" s="417">
        <f>+CF!BI54</f>
        <v>0</v>
      </c>
      <c r="BJ328" s="417">
        <f>+CF!BJ54</f>
        <v>0</v>
      </c>
      <c r="BK328" s="417"/>
      <c r="BL328" s="417"/>
      <c r="BM328" s="417"/>
      <c r="BN328" s="417"/>
      <c r="BO328" s="417"/>
      <c r="BP328" s="417"/>
      <c r="BQ328" s="417"/>
      <c r="BR328" s="417"/>
      <c r="BS328" s="417"/>
      <c r="BT328" s="417"/>
      <c r="BU328" s="417"/>
    </row>
    <row r="329" spans="1:73" x14ac:dyDescent="0.2">
      <c r="A329" s="299"/>
      <c r="B329" s="299"/>
      <c r="C329" s="299"/>
      <c r="D329" s="299"/>
      <c r="E329" s="299"/>
      <c r="F329" s="299"/>
      <c r="G329" s="299"/>
      <c r="H329" s="299"/>
      <c r="I329" s="299"/>
      <c r="J329" s="299"/>
      <c r="K329" s="410"/>
      <c r="L329" s="299"/>
      <c r="M329" s="299"/>
      <c r="N329" s="417"/>
      <c r="O329" s="299"/>
      <c r="P329" s="299"/>
      <c r="Q329" s="417"/>
      <c r="R329" s="417"/>
      <c r="S329" s="417"/>
      <c r="T329" s="417"/>
      <c r="U329" s="417"/>
      <c r="V329" s="417"/>
      <c r="W329" s="417"/>
      <c r="X329" s="417"/>
      <c r="Y329" s="417"/>
      <c r="Z329" s="417"/>
      <c r="AA329" s="417"/>
      <c r="AB329" s="417"/>
      <c r="AC329" s="417"/>
      <c r="AD329" s="417"/>
      <c r="AE329" s="417"/>
      <c r="AF329" s="417"/>
      <c r="AG329" s="417"/>
      <c r="AH329" s="417"/>
      <c r="AI329" s="417"/>
      <c r="AJ329" s="417"/>
      <c r="AK329" s="417"/>
      <c r="AL329" s="417"/>
      <c r="AM329" s="417"/>
      <c r="AN329" s="417"/>
      <c r="AO329" s="417"/>
      <c r="AP329" s="417"/>
      <c r="AQ329" s="417"/>
      <c r="AR329" s="417"/>
      <c r="AS329" s="417"/>
      <c r="AT329" s="417"/>
      <c r="AU329" s="417"/>
      <c r="AV329" s="417"/>
      <c r="AW329" s="417"/>
      <c r="AX329" s="417"/>
      <c r="AY329" s="417"/>
      <c r="AZ329" s="417"/>
      <c r="BA329" s="417"/>
      <c r="BB329" s="417"/>
      <c r="BC329" s="417"/>
      <c r="BD329" s="417"/>
      <c r="BE329" s="417"/>
      <c r="BF329" s="417"/>
      <c r="BG329" s="417"/>
      <c r="BH329" s="417"/>
      <c r="BI329" s="417"/>
      <c r="BJ329" s="417"/>
      <c r="BK329" s="417"/>
      <c r="BL329" s="417"/>
      <c r="BM329" s="417"/>
      <c r="BN329" s="417"/>
      <c r="BO329" s="417"/>
      <c r="BP329" s="417"/>
      <c r="BQ329" s="417"/>
      <c r="BR329" s="417"/>
      <c r="BS329" s="417"/>
      <c r="BT329" s="417"/>
      <c r="BU329" s="417"/>
    </row>
    <row r="330" spans="1:73" x14ac:dyDescent="0.2">
      <c r="A330" s="299"/>
      <c r="B330" s="299"/>
      <c r="C330" s="299" t="s">
        <v>250</v>
      </c>
      <c r="D330" s="299"/>
      <c r="E330" s="299"/>
      <c r="F330" s="299"/>
      <c r="G330" s="299"/>
      <c r="H330" s="299"/>
      <c r="I330" s="299"/>
      <c r="J330" s="299"/>
      <c r="K330" s="410" t="s">
        <v>62</v>
      </c>
      <c r="L330" s="299"/>
      <c r="M330" s="299"/>
      <c r="N330" s="417">
        <f>SUM(Q330:BJ330)</f>
        <v>5392917.2633562889</v>
      </c>
      <c r="O330" s="299"/>
      <c r="P330" s="299"/>
      <c r="Q330" s="417"/>
      <c r="R330" s="417">
        <f t="shared" ref="R330:AO330" si="389">SUMIF(R324:R328,"&gt;=0")</f>
        <v>0</v>
      </c>
      <c r="S330" s="417">
        <f t="shared" si="389"/>
        <v>152381.34348000004</v>
      </c>
      <c r="T330" s="417">
        <f t="shared" si="389"/>
        <v>205303.99870894785</v>
      </c>
      <c r="U330" s="417">
        <f t="shared" si="389"/>
        <v>39442.993402243737</v>
      </c>
      <c r="V330" s="417">
        <f t="shared" si="389"/>
        <v>44759.006822998737</v>
      </c>
      <c r="W330" s="417">
        <f t="shared" si="389"/>
        <v>47655.129588349257</v>
      </c>
      <c r="X330" s="417">
        <f t="shared" si="389"/>
        <v>49104.698267225911</v>
      </c>
      <c r="Y330" s="417">
        <f t="shared" si="389"/>
        <v>50580.392807624521</v>
      </c>
      <c r="Z330" s="417">
        <f t="shared" si="389"/>
        <v>51993.19662796289</v>
      </c>
      <c r="AA330" s="417">
        <f t="shared" si="389"/>
        <v>53607.385810205247</v>
      </c>
      <c r="AB330" s="417">
        <f t="shared" si="389"/>
        <v>54750.622453029311</v>
      </c>
      <c r="AC330" s="417">
        <f t="shared" si="389"/>
        <v>55839.176661418533</v>
      </c>
      <c r="AD330" s="417">
        <f t="shared" si="389"/>
        <v>56764.240074670772</v>
      </c>
      <c r="AE330" s="417">
        <f t="shared" si="389"/>
        <v>57883.508363098597</v>
      </c>
      <c r="AF330" s="417">
        <f t="shared" si="389"/>
        <v>59559.959152005802</v>
      </c>
      <c r="AG330" s="417">
        <f t="shared" si="389"/>
        <v>62576.853519395459</v>
      </c>
      <c r="AH330" s="417">
        <f t="shared" si="389"/>
        <v>66070.083289291098</v>
      </c>
      <c r="AI330" s="417">
        <f t="shared" si="389"/>
        <v>70570.893597364557</v>
      </c>
      <c r="AJ330" s="417">
        <f t="shared" si="389"/>
        <v>76478.765392779911</v>
      </c>
      <c r="AK330" s="417">
        <f t="shared" si="389"/>
        <v>84015.771532329003</v>
      </c>
      <c r="AL330" s="417">
        <f t="shared" si="389"/>
        <v>92684.5646647416</v>
      </c>
      <c r="AM330" s="417">
        <f t="shared" si="389"/>
        <v>103003.13630353191</v>
      </c>
      <c r="AN330" s="417">
        <f t="shared" si="389"/>
        <v>129286.13744601652</v>
      </c>
      <c r="AO330" s="417">
        <f t="shared" si="389"/>
        <v>116130.7656845492</v>
      </c>
      <c r="AP330" s="417">
        <f t="shared" ref="AP330:BJ330" si="390">SUMIF(AP324:AP328,"&gt;=0")</f>
        <v>115693.01797362752</v>
      </c>
      <c r="AQ330" s="417">
        <f t="shared" si="390"/>
        <v>113085.16806521415</v>
      </c>
      <c r="AR330" s="417">
        <f t="shared" si="390"/>
        <v>111051.83258048329</v>
      </c>
      <c r="AS330" s="417">
        <f t="shared" si="390"/>
        <v>110271.09092587653</v>
      </c>
      <c r="AT330" s="417">
        <f t="shared" si="390"/>
        <v>110596.02101524539</v>
      </c>
      <c r="AU330" s="417">
        <f t="shared" si="390"/>
        <v>222225.45483208675</v>
      </c>
      <c r="AV330" s="417">
        <f t="shared" si="390"/>
        <v>227308.35032777701</v>
      </c>
      <c r="AW330" s="417">
        <f t="shared" si="390"/>
        <v>232408.38953288388</v>
      </c>
      <c r="AX330" s="417">
        <f t="shared" si="390"/>
        <v>236063.3046498762</v>
      </c>
      <c r="AY330" s="417">
        <f t="shared" si="390"/>
        <v>252904.13430964976</v>
      </c>
      <c r="AZ330" s="417">
        <f t="shared" si="390"/>
        <v>252638.42767847906</v>
      </c>
      <c r="BA330" s="417">
        <f t="shared" si="390"/>
        <v>249000.6261381527</v>
      </c>
      <c r="BB330" s="417">
        <f t="shared" si="390"/>
        <v>246074.33679524797</v>
      </c>
      <c r="BC330" s="417">
        <f t="shared" si="390"/>
        <v>245161.80699414044</v>
      </c>
      <c r="BD330" s="417">
        <f t="shared" si="390"/>
        <v>247373.41255380132</v>
      </c>
      <c r="BE330" s="417">
        <f t="shared" si="390"/>
        <v>146693.04009146197</v>
      </c>
      <c r="BF330" s="417">
        <f t="shared" si="390"/>
        <v>143269.05167515849</v>
      </c>
      <c r="BG330" s="417">
        <f t="shared" si="390"/>
        <v>126051.90591748834</v>
      </c>
      <c r="BH330" s="417">
        <f t="shared" si="390"/>
        <v>104408.27924592944</v>
      </c>
      <c r="BI330" s="417">
        <f t="shared" si="390"/>
        <v>77200.135568042242</v>
      </c>
      <c r="BJ330" s="417">
        <f t="shared" si="390"/>
        <v>42996.852835886624</v>
      </c>
      <c r="BK330" s="417"/>
      <c r="BL330" s="417"/>
      <c r="BM330" s="417"/>
      <c r="BN330" s="417"/>
      <c r="BO330" s="417"/>
      <c r="BP330" s="417"/>
      <c r="BQ330" s="417"/>
      <c r="BR330" s="417"/>
      <c r="BS330" s="417"/>
      <c r="BT330" s="417"/>
      <c r="BU330" s="417"/>
    </row>
    <row r="331" spans="1:73" x14ac:dyDescent="0.2">
      <c r="A331" s="299"/>
      <c r="B331" s="299"/>
      <c r="C331" s="299" t="s">
        <v>251</v>
      </c>
      <c r="D331" s="299"/>
      <c r="E331" s="299"/>
      <c r="F331" s="299"/>
      <c r="G331" s="299"/>
      <c r="H331" s="299"/>
      <c r="I331" s="299"/>
      <c r="J331" s="299"/>
      <c r="K331" s="410" t="s">
        <v>62</v>
      </c>
      <c r="L331" s="299"/>
      <c r="M331" s="299"/>
      <c r="N331" s="417">
        <f>SUM(Q331:BJ331)</f>
        <v>0</v>
      </c>
      <c r="O331" s="299"/>
      <c r="P331" s="299"/>
      <c r="Q331" s="417"/>
      <c r="R331" s="417">
        <f t="shared" ref="R331:AO331" si="391">SUMIF(R324:R328,"&lt;0")</f>
        <v>0</v>
      </c>
      <c r="S331" s="417">
        <f t="shared" si="391"/>
        <v>0</v>
      </c>
      <c r="T331" s="417">
        <f t="shared" si="391"/>
        <v>0</v>
      </c>
      <c r="U331" s="417">
        <f t="shared" si="391"/>
        <v>0</v>
      </c>
      <c r="V331" s="417">
        <f t="shared" si="391"/>
        <v>0</v>
      </c>
      <c r="W331" s="417">
        <f t="shared" si="391"/>
        <v>0</v>
      </c>
      <c r="X331" s="417">
        <f t="shared" si="391"/>
        <v>0</v>
      </c>
      <c r="Y331" s="417">
        <f t="shared" si="391"/>
        <v>0</v>
      </c>
      <c r="Z331" s="417">
        <f t="shared" si="391"/>
        <v>0</v>
      </c>
      <c r="AA331" s="417">
        <f t="shared" si="391"/>
        <v>0</v>
      </c>
      <c r="AB331" s="417">
        <f t="shared" si="391"/>
        <v>0</v>
      </c>
      <c r="AC331" s="417">
        <f t="shared" si="391"/>
        <v>0</v>
      </c>
      <c r="AD331" s="417">
        <f t="shared" si="391"/>
        <v>0</v>
      </c>
      <c r="AE331" s="417">
        <f t="shared" si="391"/>
        <v>0</v>
      </c>
      <c r="AF331" s="417">
        <f t="shared" si="391"/>
        <v>0</v>
      </c>
      <c r="AG331" s="417">
        <f t="shared" si="391"/>
        <v>0</v>
      </c>
      <c r="AH331" s="417">
        <f t="shared" si="391"/>
        <v>0</v>
      </c>
      <c r="AI331" s="417">
        <f t="shared" si="391"/>
        <v>0</v>
      </c>
      <c r="AJ331" s="417">
        <f t="shared" si="391"/>
        <v>0</v>
      </c>
      <c r="AK331" s="417">
        <f t="shared" si="391"/>
        <v>0</v>
      </c>
      <c r="AL331" s="417">
        <f t="shared" si="391"/>
        <v>0</v>
      </c>
      <c r="AM331" s="417">
        <f t="shared" si="391"/>
        <v>0</v>
      </c>
      <c r="AN331" s="417">
        <f t="shared" si="391"/>
        <v>0</v>
      </c>
      <c r="AO331" s="417">
        <f t="shared" si="391"/>
        <v>0</v>
      </c>
      <c r="AP331" s="417">
        <f t="shared" ref="AP331:BJ331" si="392">SUMIF(AP324:AP328,"&lt;0")</f>
        <v>0</v>
      </c>
      <c r="AQ331" s="417">
        <f t="shared" si="392"/>
        <v>0</v>
      </c>
      <c r="AR331" s="417">
        <f t="shared" si="392"/>
        <v>0</v>
      </c>
      <c r="AS331" s="417">
        <f t="shared" si="392"/>
        <v>0</v>
      </c>
      <c r="AT331" s="417">
        <f t="shared" si="392"/>
        <v>0</v>
      </c>
      <c r="AU331" s="417">
        <f t="shared" si="392"/>
        <v>0</v>
      </c>
      <c r="AV331" s="417">
        <f t="shared" si="392"/>
        <v>0</v>
      </c>
      <c r="AW331" s="417">
        <f t="shared" si="392"/>
        <v>0</v>
      </c>
      <c r="AX331" s="417">
        <f t="shared" si="392"/>
        <v>0</v>
      </c>
      <c r="AY331" s="417">
        <f t="shared" si="392"/>
        <v>0</v>
      </c>
      <c r="AZ331" s="417">
        <f t="shared" si="392"/>
        <v>0</v>
      </c>
      <c r="BA331" s="417">
        <f t="shared" si="392"/>
        <v>0</v>
      </c>
      <c r="BB331" s="417">
        <f t="shared" si="392"/>
        <v>0</v>
      </c>
      <c r="BC331" s="417">
        <f t="shared" si="392"/>
        <v>0</v>
      </c>
      <c r="BD331" s="417">
        <f t="shared" si="392"/>
        <v>0</v>
      </c>
      <c r="BE331" s="417">
        <f t="shared" si="392"/>
        <v>0</v>
      </c>
      <c r="BF331" s="417">
        <f t="shared" si="392"/>
        <v>0</v>
      </c>
      <c r="BG331" s="417">
        <f t="shared" si="392"/>
        <v>0</v>
      </c>
      <c r="BH331" s="417">
        <f t="shared" si="392"/>
        <v>0</v>
      </c>
      <c r="BI331" s="417">
        <f t="shared" si="392"/>
        <v>0</v>
      </c>
      <c r="BJ331" s="417">
        <f t="shared" si="392"/>
        <v>0</v>
      </c>
      <c r="BK331" s="417"/>
      <c r="BL331" s="417"/>
      <c r="BM331" s="417"/>
      <c r="BN331" s="417"/>
      <c r="BO331" s="417"/>
      <c r="BP331" s="417"/>
      <c r="BQ331" s="417"/>
      <c r="BR331" s="417"/>
      <c r="BS331" s="417"/>
      <c r="BT331" s="417"/>
      <c r="BU331" s="417"/>
    </row>
    <row r="332" spans="1:73" x14ac:dyDescent="0.2">
      <c r="A332" s="299"/>
      <c r="B332" s="355"/>
      <c r="C332" s="299"/>
      <c r="D332" s="299"/>
      <c r="E332" s="299"/>
      <c r="F332" s="299"/>
      <c r="G332" s="299"/>
      <c r="H332" s="299"/>
      <c r="I332" s="299"/>
      <c r="J332" s="299"/>
      <c r="K332" s="410"/>
      <c r="L332" s="299"/>
      <c r="M332" s="299"/>
      <c r="N332" s="299"/>
      <c r="O332" s="299"/>
      <c r="P332" s="299"/>
      <c r="Q332" s="417"/>
      <c r="R332" s="425"/>
      <c r="S332" s="417"/>
      <c r="T332" s="417"/>
      <c r="U332" s="417"/>
      <c r="V332" s="417"/>
      <c r="W332" s="417"/>
      <c r="X332" s="417"/>
      <c r="Y332" s="417"/>
      <c r="Z332" s="417"/>
      <c r="AA332" s="417"/>
      <c r="AB332" s="417"/>
      <c r="AC332" s="417"/>
      <c r="AD332" s="417"/>
      <c r="AE332" s="417"/>
      <c r="AF332" s="417"/>
      <c r="AG332" s="417"/>
      <c r="AH332" s="417"/>
      <c r="AI332" s="417"/>
      <c r="AJ332" s="417"/>
      <c r="AK332" s="417"/>
      <c r="AL332" s="417"/>
      <c r="AM332" s="417"/>
      <c r="AN332" s="417"/>
      <c r="AO332" s="417"/>
      <c r="AP332" s="417"/>
      <c r="AQ332" s="417"/>
      <c r="AR332" s="417"/>
      <c r="AS332" s="417"/>
      <c r="AT332" s="417"/>
      <c r="AU332" s="417"/>
      <c r="AV332" s="417"/>
      <c r="AW332" s="417"/>
      <c r="AX332" s="417"/>
      <c r="AY332" s="417"/>
      <c r="AZ332" s="417"/>
      <c r="BA332" s="417"/>
      <c r="BB332" s="417"/>
      <c r="BC332" s="417"/>
      <c r="BD332" s="417"/>
      <c r="BE332" s="417"/>
      <c r="BF332" s="417"/>
      <c r="BG332" s="417"/>
      <c r="BH332" s="417"/>
      <c r="BI332" s="417"/>
      <c r="BJ332" s="417"/>
      <c r="BK332" s="417"/>
      <c r="BL332" s="417"/>
      <c r="BM332" s="417"/>
      <c r="BN332" s="417"/>
      <c r="BO332" s="417"/>
      <c r="BP332" s="417"/>
      <c r="BQ332" s="417"/>
      <c r="BR332" s="417"/>
      <c r="BS332" s="417"/>
      <c r="BT332" s="417"/>
      <c r="BU332" s="417"/>
    </row>
    <row r="333" spans="1:73" x14ac:dyDescent="0.2">
      <c r="A333" s="299"/>
      <c r="B333" s="355"/>
      <c r="C333" s="299" t="s">
        <v>329</v>
      </c>
      <c r="D333" s="299"/>
      <c r="E333" s="299"/>
      <c r="F333" s="713">
        <v>0.5</v>
      </c>
      <c r="G333" s="299"/>
      <c r="H333" s="299"/>
      <c r="I333" s="299"/>
      <c r="J333" s="299"/>
      <c r="K333" s="410" t="s">
        <v>62</v>
      </c>
      <c r="L333" s="299"/>
      <c r="M333" s="299"/>
      <c r="N333" s="417">
        <f>SUM(Q333:BJ333)</f>
        <v>14402135.273077257</v>
      </c>
      <c r="O333" s="299"/>
      <c r="P333" s="299"/>
      <c r="Q333" s="417"/>
      <c r="R333" s="417">
        <f>(CF!R25+CF!R26+CF!R27)*$F$333</f>
        <v>0</v>
      </c>
      <c r="S333" s="417">
        <f>(CF!S25+CF!S26+CF!S27)*$F$333</f>
        <v>41439.290739473901</v>
      </c>
      <c r="T333" s="417">
        <f>(CF!T25+CF!T26+CF!T27)*$F$333</f>
        <v>46320.459533813351</v>
      </c>
      <c r="U333" s="417">
        <f>(CF!U25+CF!U26+CF!U27)*$F$333</f>
        <v>51757.781482530576</v>
      </c>
      <c r="V333" s="417">
        <f>(CF!V25+CF!V26+CF!V27)*$F$333</f>
        <v>57813.470369260504</v>
      </c>
      <c r="W333" s="417">
        <f>(CF!W25+CF!W26+CF!W27)*$F$333</f>
        <v>63184.938635495608</v>
      </c>
      <c r="X333" s="417">
        <f>(CF!X25+CF!X26+CF!X27)*$F$333</f>
        <v>69032.492945888225</v>
      </c>
      <c r="Y333" s="417">
        <f>(CF!Y25+CF!Y26+CF!Y27)*$F$333</f>
        <v>75397.449781140778</v>
      </c>
      <c r="Z333" s="417">
        <f>(CF!Z25+CF!Z26+CF!Z27)*$F$333</f>
        <v>82324.675876488007</v>
      </c>
      <c r="AA333" s="417">
        <f>(CF!AA25+CF!AA26+CF!AA27)*$F$333</f>
        <v>89862.89183979643</v>
      </c>
      <c r="AB333" s="417">
        <f>(CF!AB25+CF!AB26+CF!AB27)*$F$333</f>
        <v>95830.349021708098</v>
      </c>
      <c r="AC333" s="417">
        <f>(CF!AC25+CF!AC26+CF!AC27)*$F$333</f>
        <v>102186.40776163863</v>
      </c>
      <c r="AD333" s="417">
        <f>(CF!AD25+CF!AD26+CF!AD27)*$F$333</f>
        <v>108956.08062674032</v>
      </c>
      <c r="AE333" s="417">
        <f>(CF!AE25+CF!AE26+CF!AE27)*$F$333</f>
        <v>116165.97870932415</v>
      </c>
      <c r="AF333" s="417">
        <f>(CF!AF25+CF!AF26+CF!AF27)*$F$333</f>
        <v>123844.41333655028</v>
      </c>
      <c r="AG333" s="417">
        <f>(CF!AG25+CF!AG26+CF!AG27)*$F$333</f>
        <v>136542.60047813319</v>
      </c>
      <c r="AH333" s="417">
        <f>(CF!AH25+CF!AH26+CF!AH27)*$F$333</f>
        <v>150511.34418970655</v>
      </c>
      <c r="AI333" s="417">
        <f>(CF!AI25+CF!AI26+CF!AI27)*$F$333</f>
        <v>165876.14153315546</v>
      </c>
      <c r="AJ333" s="417">
        <f>(CF!AJ25+CF!AJ26+CF!AJ27)*$F$333</f>
        <v>182774.7984503902</v>
      </c>
      <c r="AK333" s="417">
        <f>(CF!AK25+CF!AK26+CF!AK27)*$F$333</f>
        <v>201358.63234699739</v>
      </c>
      <c r="AL333" s="417">
        <f>(CF!AL25+CF!AL26+CF!AL27)*$F$333</f>
        <v>221986.5528626584</v>
      </c>
      <c r="AM333" s="417">
        <f>(CF!AM25+CF!AM26+CF!AM27)*$F$333</f>
        <v>244695.30461536074</v>
      </c>
      <c r="AN333" s="417">
        <f>(CF!AN25+CF!AN26+CF!AN27)*$F$333</f>
        <v>269692.90551826404</v>
      </c>
      <c r="AO333" s="417">
        <f>(CF!AO25+CF!AO26+CF!AO27)*$F$333</f>
        <v>297208.05728799058</v>
      </c>
      <c r="AP333" s="417">
        <f>(CF!AP25+CF!AP26+CF!AP27)*$F$333</f>
        <v>327492.19544137048</v>
      </c>
      <c r="AQ333" s="417">
        <f>(CF!AQ25+CF!AQ26+CF!AQ27)*$F$333</f>
        <v>346906.13785336626</v>
      </c>
      <c r="AR333" s="417">
        <f>(CF!AR25+CF!AR26+CF!AR27)*$F$333</f>
        <v>367463.16815915779</v>
      </c>
      <c r="AS333" s="417">
        <f>(CF!AS25+CF!AS26+CF!AS27)*$F$333</f>
        <v>389230.27420226118</v>
      </c>
      <c r="AT333" s="417">
        <f>(CF!AT25+CF!AT26+CF!AT27)*$F$333</f>
        <v>412278.35649395181</v>
      </c>
      <c r="AU333" s="417">
        <f>(CF!AU25+CF!AU26+CF!AU27)*$F$333</f>
        <v>436682.45621182211</v>
      </c>
      <c r="AV333" s="417">
        <f>(CF!AV25+CF!AV26+CF!AV27)*$F$333</f>
        <v>462145.21728921554</v>
      </c>
      <c r="AW333" s="417">
        <f>(CF!AW25+CF!AW26+CF!AW27)*$F$333</f>
        <v>489085.81998676481</v>
      </c>
      <c r="AX333" s="417">
        <f>(CF!AX25+CF!AX26+CF!AX27)*$F$333</f>
        <v>517589.74404907308</v>
      </c>
      <c r="AY333" s="417">
        <f>(CF!AY25+CF!AY26+CF!AY27)*$F$333</f>
        <v>547747.40089783003</v>
      </c>
      <c r="AZ333" s="417">
        <f>(CF!AZ25+CF!AZ26+CF!AZ27)*$F$333</f>
        <v>579654.41762133001</v>
      </c>
      <c r="BA333" s="417">
        <f>(CF!BA25+CF!BA26+CF!BA27)*$F$333</f>
        <v>607022.22837941418</v>
      </c>
      <c r="BB333" s="417">
        <f>(CF!BB25+CF!BB26+CF!BB27)*$F$333</f>
        <v>634452.95492667716</v>
      </c>
      <c r="BC333" s="417">
        <f>(CF!BC25+CF!BC26+CF!BC27)*$F$333</f>
        <v>651489.43397620239</v>
      </c>
      <c r="BD333" s="417">
        <f>(CF!BD25+CF!BD26+CF!BD27)*$F$333</f>
        <v>681421.04334545054</v>
      </c>
      <c r="BE333" s="417">
        <f>(CF!BE25+CF!BE26+CF!BE27)*$F$333</f>
        <v>712781.67604674678</v>
      </c>
      <c r="BF333" s="417">
        <f>(CF!BF25+CF!BF26+CF!BF27)*$F$333</f>
        <v>739211.13858224114</v>
      </c>
      <c r="BG333" s="417">
        <f>(CF!BG25+CF!BG26+CF!BG27)*$F$333</f>
        <v>766704.95540575718</v>
      </c>
      <c r="BH333" s="417">
        <f>(CF!BH25+CF!BH26+CF!BH27)*$F$333</f>
        <v>795055.97266552562</v>
      </c>
      <c r="BI333" s="417">
        <f>(CF!BI25+CF!BI26+CF!BI27)*$F$333</f>
        <v>755573.09932273009</v>
      </c>
      <c r="BJ333" s="417">
        <f>(CF!BJ25+CF!BJ26+CF!BJ27)*$F$333</f>
        <v>187384.56427785856</v>
      </c>
      <c r="BK333" s="417"/>
      <c r="BL333" s="417"/>
      <c r="BM333" s="417"/>
      <c r="BN333" s="417"/>
      <c r="BO333" s="417"/>
      <c r="BP333" s="417"/>
      <c r="BQ333" s="417"/>
      <c r="BR333" s="417"/>
      <c r="BS333" s="417"/>
      <c r="BT333" s="417"/>
      <c r="BU333" s="417"/>
    </row>
    <row r="334" spans="1:73" x14ac:dyDescent="0.2">
      <c r="A334" s="299"/>
      <c r="B334" s="355"/>
      <c r="C334" s="299" t="s">
        <v>331</v>
      </c>
      <c r="D334" s="299"/>
      <c r="E334" s="299"/>
      <c r="F334" s="506"/>
      <c r="G334" s="299"/>
      <c r="H334" s="299"/>
      <c r="I334" s="299"/>
      <c r="J334" s="299"/>
      <c r="K334" s="410"/>
      <c r="L334" s="299"/>
      <c r="M334" s="299"/>
      <c r="N334" s="417"/>
      <c r="O334" s="299"/>
      <c r="P334" s="299"/>
      <c r="Q334" s="417"/>
      <c r="R334" s="507">
        <f t="shared" ref="R334:BG334" si="393">R336</f>
        <v>0</v>
      </c>
      <c r="S334" s="507">
        <f t="shared" si="393"/>
        <v>1.1284000000000001E-2</v>
      </c>
      <c r="T334" s="507">
        <f t="shared" si="393"/>
        <v>1.2841999999999999E-2</v>
      </c>
      <c r="U334" s="507">
        <f t="shared" si="393"/>
        <v>1.44E-2</v>
      </c>
      <c r="V334" s="507">
        <f t="shared" si="393"/>
        <v>1.6022999999999999E-2</v>
      </c>
      <c r="W334" s="507">
        <f t="shared" si="393"/>
        <v>1.7576000000000001E-2</v>
      </c>
      <c r="X334" s="507">
        <f t="shared" si="393"/>
        <v>1.8749999999999999E-2</v>
      </c>
      <c r="Y334" s="507">
        <f t="shared" si="393"/>
        <v>1.9633999999999999E-2</v>
      </c>
      <c r="Z334" s="507">
        <f t="shared" si="393"/>
        <v>2.0428000000000002E-2</v>
      </c>
      <c r="AA334" s="507">
        <f t="shared" si="393"/>
        <v>2.1055000000000001E-2</v>
      </c>
      <c r="AB334" s="507">
        <f t="shared" si="393"/>
        <v>2.1554000000000004E-2</v>
      </c>
      <c r="AC334" s="507">
        <f t="shared" si="393"/>
        <v>2.1793E-2</v>
      </c>
      <c r="AD334" s="507">
        <f t="shared" si="393"/>
        <v>2.1739000000000001E-2</v>
      </c>
      <c r="AE334" s="507">
        <f t="shared" si="393"/>
        <v>2.2240000000000003E-2</v>
      </c>
      <c r="AF334" s="507">
        <f t="shared" si="393"/>
        <v>2.2193999999999998E-2</v>
      </c>
      <c r="AG334" s="507">
        <f t="shared" si="393"/>
        <v>2.1701999999999999E-2</v>
      </c>
      <c r="AH334" s="507">
        <f t="shared" si="393"/>
        <v>2.1977000000000003E-2</v>
      </c>
      <c r="AI334" s="507">
        <f t="shared" si="393"/>
        <v>2.2224000000000001E-2</v>
      </c>
      <c r="AJ334" s="507">
        <f t="shared" si="393"/>
        <v>2.2446999999999998E-2</v>
      </c>
      <c r="AK334" s="507">
        <f t="shared" si="393"/>
        <v>2.2055999999999999E-2</v>
      </c>
      <c r="AL334" s="507">
        <f t="shared" si="393"/>
        <v>2.1213000000000003E-2</v>
      </c>
      <c r="AM334" s="507">
        <f t="shared" si="393"/>
        <v>2.1288000000000001E-2</v>
      </c>
      <c r="AN334" s="507">
        <f t="shared" si="393"/>
        <v>2.1347999999999999E-2</v>
      </c>
      <c r="AO334" s="507">
        <f t="shared" si="393"/>
        <v>2.1396000000000002E-2</v>
      </c>
      <c r="AP334" s="507">
        <f t="shared" si="393"/>
        <v>2.1197000000000001E-2</v>
      </c>
      <c r="AQ334" s="507">
        <f t="shared" si="393"/>
        <v>2.0817000000000002E-2</v>
      </c>
      <c r="AR334" s="507">
        <f t="shared" si="393"/>
        <v>2.0809000000000001E-2</v>
      </c>
      <c r="AS334" s="507">
        <f t="shared" si="393"/>
        <v>2.0792000000000001E-2</v>
      </c>
      <c r="AT334" s="507">
        <f t="shared" si="393"/>
        <v>2.0766E-2</v>
      </c>
      <c r="AU334" s="507">
        <f t="shared" si="393"/>
        <v>2.0442999999999999E-2</v>
      </c>
      <c r="AV334" s="507">
        <f t="shared" si="393"/>
        <v>1.9909E-2</v>
      </c>
      <c r="AW334" s="507">
        <f t="shared" si="393"/>
        <v>1.9844999999999998E-2</v>
      </c>
      <c r="AX334" s="507">
        <f t="shared" si="393"/>
        <v>1.9779000000000001E-2</v>
      </c>
      <c r="AY334" s="507">
        <f t="shared" si="393"/>
        <v>1.9708E-2</v>
      </c>
      <c r="AZ334" s="507">
        <f t="shared" si="393"/>
        <v>1.9633999999999999E-2</v>
      </c>
      <c r="BA334" s="507">
        <f t="shared" si="393"/>
        <v>1.9557999999999999E-2</v>
      </c>
      <c r="BB334" s="507">
        <f t="shared" si="393"/>
        <v>1.9477000000000001E-2</v>
      </c>
      <c r="BC334" s="507">
        <f t="shared" si="393"/>
        <v>1.9394000000000002E-2</v>
      </c>
      <c r="BD334" s="507">
        <f t="shared" si="393"/>
        <v>1.9309E-2</v>
      </c>
      <c r="BE334" s="507">
        <f t="shared" si="393"/>
        <v>1.9167E-2</v>
      </c>
      <c r="BF334" s="507">
        <f t="shared" si="393"/>
        <v>1.8985000000000002E-2</v>
      </c>
      <c r="BG334" s="507">
        <f t="shared" si="393"/>
        <v>1.8893E-2</v>
      </c>
      <c r="BH334" s="507">
        <f>BH336</f>
        <v>1.8796999999999998E-2</v>
      </c>
      <c r="BI334" s="507">
        <f t="shared" ref="BI334:BJ334" si="394">BI336</f>
        <v>1.8701000000000002E-2</v>
      </c>
      <c r="BJ334" s="507">
        <f t="shared" si="394"/>
        <v>1.8603999999999999E-2</v>
      </c>
      <c r="BK334" s="507"/>
      <c r="BL334" s="507"/>
      <c r="BM334" s="507"/>
      <c r="BN334" s="507"/>
      <c r="BO334" s="507"/>
      <c r="BP334" s="507"/>
      <c r="BQ334" s="507"/>
      <c r="BR334" s="507"/>
      <c r="BS334" s="507"/>
      <c r="BT334" s="507"/>
      <c r="BU334" s="507"/>
    </row>
    <row r="335" spans="1:73" x14ac:dyDescent="0.2">
      <c r="A335" s="299"/>
      <c r="B335" s="355"/>
      <c r="C335" s="299"/>
      <c r="D335" s="299"/>
      <c r="E335" s="299"/>
      <c r="F335" s="299"/>
      <c r="G335" s="299"/>
      <c r="H335" s="299"/>
      <c r="I335" s="299"/>
      <c r="J335" s="299"/>
      <c r="K335" s="410"/>
      <c r="L335" s="311"/>
      <c r="M335" s="299"/>
      <c r="N335" s="299"/>
      <c r="O335" s="299"/>
      <c r="P335" s="299"/>
      <c r="Q335" s="299"/>
      <c r="R335" s="299"/>
      <c r="S335" s="299"/>
      <c r="T335" s="299"/>
      <c r="U335" s="299"/>
      <c r="V335" s="299"/>
      <c r="W335" s="299"/>
      <c r="X335" s="299"/>
      <c r="Y335" s="299"/>
      <c r="Z335" s="299"/>
      <c r="AA335" s="299"/>
      <c r="AB335" s="299"/>
      <c r="AC335" s="299"/>
      <c r="AD335" s="299"/>
      <c r="AE335" s="299"/>
      <c r="AF335" s="299"/>
      <c r="AG335" s="299"/>
      <c r="AH335" s="299"/>
      <c r="AI335" s="299"/>
      <c r="AJ335" s="299"/>
      <c r="AK335" s="299"/>
      <c r="AL335" s="299"/>
      <c r="AM335" s="299"/>
      <c r="AN335" s="299"/>
      <c r="AO335" s="299"/>
      <c r="AP335" s="299"/>
      <c r="AQ335" s="299"/>
      <c r="AR335" s="299"/>
      <c r="AS335" s="299"/>
      <c r="AT335" s="299"/>
      <c r="AU335" s="299"/>
      <c r="AV335" s="299"/>
      <c r="AW335" s="299"/>
      <c r="AX335" s="299"/>
      <c r="AY335" s="299"/>
      <c r="AZ335" s="299"/>
      <c r="BA335" s="299"/>
      <c r="BB335" s="299"/>
      <c r="BC335" s="299"/>
      <c r="BD335" s="299"/>
      <c r="BE335" s="299"/>
      <c r="BF335" s="299"/>
      <c r="BG335" s="299"/>
      <c r="BH335" s="299"/>
      <c r="BI335" s="299"/>
      <c r="BJ335" s="299"/>
      <c r="BK335" s="299"/>
      <c r="BL335" s="299"/>
      <c r="BM335" s="299"/>
      <c r="BN335" s="299"/>
      <c r="BO335" s="299"/>
      <c r="BP335" s="299"/>
      <c r="BQ335" s="299"/>
      <c r="BR335" s="299"/>
      <c r="BS335" s="299"/>
      <c r="BT335" s="299"/>
      <c r="BU335" s="299"/>
    </row>
    <row r="336" spans="1:73" s="404" customFormat="1" x14ac:dyDescent="0.2">
      <c r="A336" s="385"/>
      <c r="B336" s="525"/>
      <c r="C336" s="385" t="s">
        <v>460</v>
      </c>
      <c r="D336" s="385"/>
      <c r="E336" s="385"/>
      <c r="F336" s="385"/>
      <c r="G336" s="385"/>
      <c r="H336" s="385"/>
      <c r="I336" s="385"/>
      <c r="J336" s="385"/>
      <c r="K336" s="644" t="s">
        <v>20</v>
      </c>
      <c r="L336" s="526"/>
      <c r="M336" s="385"/>
      <c r="N336" s="385"/>
      <c r="O336" s="385"/>
      <c r="P336" s="385"/>
      <c r="Q336" s="574"/>
      <c r="R336" s="574"/>
      <c r="S336" s="712">
        <v>1.1284000000000001E-2</v>
      </c>
      <c r="T336" s="712">
        <v>1.2841999999999999E-2</v>
      </c>
      <c r="U336" s="712">
        <v>1.44E-2</v>
      </c>
      <c r="V336" s="712">
        <v>1.6022999999999999E-2</v>
      </c>
      <c r="W336" s="712">
        <v>1.7576000000000001E-2</v>
      </c>
      <c r="X336" s="712">
        <v>1.8749999999999999E-2</v>
      </c>
      <c r="Y336" s="712">
        <v>1.9633999999999999E-2</v>
      </c>
      <c r="Z336" s="712">
        <v>2.0428000000000002E-2</v>
      </c>
      <c r="AA336" s="712">
        <v>2.1055000000000001E-2</v>
      </c>
      <c r="AB336" s="712">
        <v>2.1554000000000004E-2</v>
      </c>
      <c r="AC336" s="712">
        <v>2.1793E-2</v>
      </c>
      <c r="AD336" s="712">
        <v>2.1739000000000001E-2</v>
      </c>
      <c r="AE336" s="712">
        <v>2.2240000000000003E-2</v>
      </c>
      <c r="AF336" s="712">
        <v>2.2193999999999998E-2</v>
      </c>
      <c r="AG336" s="712">
        <v>2.1701999999999999E-2</v>
      </c>
      <c r="AH336" s="712">
        <v>2.1977000000000003E-2</v>
      </c>
      <c r="AI336" s="712">
        <v>2.2224000000000001E-2</v>
      </c>
      <c r="AJ336" s="712">
        <v>2.2446999999999998E-2</v>
      </c>
      <c r="AK336" s="712">
        <v>2.2055999999999999E-2</v>
      </c>
      <c r="AL336" s="712">
        <v>2.1213000000000003E-2</v>
      </c>
      <c r="AM336" s="712">
        <v>2.1288000000000001E-2</v>
      </c>
      <c r="AN336" s="712">
        <v>2.1347999999999999E-2</v>
      </c>
      <c r="AO336" s="712">
        <v>2.1396000000000002E-2</v>
      </c>
      <c r="AP336" s="712">
        <v>2.1197000000000001E-2</v>
      </c>
      <c r="AQ336" s="712">
        <v>2.0817000000000002E-2</v>
      </c>
      <c r="AR336" s="712">
        <v>2.0809000000000001E-2</v>
      </c>
      <c r="AS336" s="712">
        <v>2.0792000000000001E-2</v>
      </c>
      <c r="AT336" s="712">
        <v>2.0766E-2</v>
      </c>
      <c r="AU336" s="712">
        <v>2.0442999999999999E-2</v>
      </c>
      <c r="AV336" s="712">
        <v>1.9909E-2</v>
      </c>
      <c r="AW336" s="712">
        <v>1.9844999999999998E-2</v>
      </c>
      <c r="AX336" s="712">
        <v>1.9779000000000001E-2</v>
      </c>
      <c r="AY336" s="712">
        <v>1.9708E-2</v>
      </c>
      <c r="AZ336" s="712">
        <v>1.9633999999999999E-2</v>
      </c>
      <c r="BA336" s="712">
        <v>1.9557999999999999E-2</v>
      </c>
      <c r="BB336" s="712">
        <v>1.9477000000000001E-2</v>
      </c>
      <c r="BC336" s="712">
        <v>1.9394000000000002E-2</v>
      </c>
      <c r="BD336" s="712">
        <v>1.9309E-2</v>
      </c>
      <c r="BE336" s="712">
        <v>1.9167E-2</v>
      </c>
      <c r="BF336" s="712">
        <v>1.8985000000000002E-2</v>
      </c>
      <c r="BG336" s="712">
        <v>1.8893E-2</v>
      </c>
      <c r="BH336" s="712">
        <v>1.8796999999999998E-2</v>
      </c>
      <c r="BI336" s="712">
        <v>1.8701000000000002E-2</v>
      </c>
      <c r="BJ336" s="712">
        <v>1.8603999999999999E-2</v>
      </c>
      <c r="BK336" s="527"/>
      <c r="BL336" s="527"/>
      <c r="BM336" s="527"/>
      <c r="BN336" s="527"/>
      <c r="BO336" s="527"/>
      <c r="BP336" s="527"/>
      <c r="BQ336" s="527"/>
      <c r="BR336" s="527"/>
      <c r="BS336" s="527"/>
      <c r="BT336" s="527"/>
      <c r="BU336" s="527"/>
    </row>
    <row r="337" spans="1:74" x14ac:dyDescent="0.2">
      <c r="A337" s="299"/>
      <c r="B337" s="355"/>
      <c r="C337" s="299" t="s">
        <v>28</v>
      </c>
      <c r="D337" s="299"/>
      <c r="E337" s="299"/>
      <c r="F337" s="299"/>
      <c r="G337" s="299"/>
      <c r="H337" s="299"/>
      <c r="I337" s="299"/>
      <c r="J337" s="299"/>
      <c r="K337" s="410" t="s">
        <v>20</v>
      </c>
      <c r="L337" s="506"/>
      <c r="M337" s="299"/>
      <c r="N337" s="299"/>
      <c r="O337" s="299"/>
      <c r="P337" s="299"/>
      <c r="Q337" s="299"/>
      <c r="R337" s="299"/>
      <c r="S337" s="299"/>
      <c r="T337" s="299"/>
      <c r="U337" s="299"/>
      <c r="V337" s="299"/>
      <c r="W337" s="299"/>
      <c r="X337" s="299"/>
      <c r="Y337" s="299"/>
      <c r="Z337" s="299"/>
      <c r="AA337" s="299"/>
      <c r="AB337" s="299"/>
      <c r="AC337" s="299"/>
      <c r="AD337" s="299"/>
      <c r="AE337" s="299"/>
      <c r="AF337" s="299"/>
      <c r="AG337" s="299"/>
      <c r="AH337" s="299"/>
      <c r="AI337" s="299"/>
      <c r="AJ337" s="299"/>
      <c r="AK337" s="299"/>
      <c r="AL337" s="299"/>
      <c r="AM337" s="299"/>
      <c r="AN337" s="299"/>
      <c r="AO337" s="299"/>
      <c r="AP337" s="299"/>
      <c r="AQ337" s="299"/>
      <c r="AR337" s="299"/>
      <c r="AS337" s="299"/>
      <c r="AT337" s="299"/>
      <c r="AU337" s="299"/>
      <c r="AV337" s="299"/>
      <c r="AW337" s="299"/>
      <c r="AX337" s="299"/>
      <c r="AY337" s="299"/>
      <c r="AZ337" s="299"/>
      <c r="BA337" s="299"/>
      <c r="BB337" s="299"/>
      <c r="BC337" s="299"/>
      <c r="BD337" s="299"/>
      <c r="BE337" s="299"/>
      <c r="BF337" s="299"/>
      <c r="BG337" s="299"/>
      <c r="BH337" s="299"/>
      <c r="BI337" s="299"/>
      <c r="BJ337" s="299"/>
      <c r="BK337" s="299"/>
      <c r="BL337" s="299"/>
      <c r="BM337" s="299"/>
      <c r="BN337" s="299"/>
      <c r="BO337" s="299"/>
      <c r="BP337" s="299"/>
      <c r="BQ337" s="299"/>
      <c r="BR337" s="299"/>
      <c r="BS337" s="299"/>
      <c r="BT337" s="299"/>
      <c r="BU337" s="299"/>
    </row>
    <row r="338" spans="1:74" ht="12" customHeight="1" x14ac:dyDescent="0.2">
      <c r="A338" s="299"/>
      <c r="B338" s="355"/>
      <c r="C338" s="299"/>
      <c r="D338" s="299"/>
      <c r="E338" s="299"/>
      <c r="F338" s="299"/>
      <c r="G338" s="299"/>
      <c r="H338" s="299"/>
      <c r="I338" s="299"/>
      <c r="J338" s="299"/>
      <c r="K338" s="410"/>
      <c r="L338" s="299"/>
      <c r="M338" s="299"/>
      <c r="N338" s="417"/>
      <c r="O338" s="299"/>
      <c r="P338" s="299"/>
      <c r="Q338" s="417"/>
      <c r="R338" s="417"/>
      <c r="S338" s="417"/>
      <c r="T338" s="417"/>
      <c r="U338" s="417"/>
      <c r="V338" s="417"/>
      <c r="W338" s="417"/>
      <c r="X338" s="417"/>
      <c r="Y338" s="417"/>
      <c r="Z338" s="417"/>
      <c r="AA338" s="417"/>
      <c r="AB338" s="417"/>
      <c r="AC338" s="417"/>
      <c r="AD338" s="417"/>
      <c r="AE338" s="417"/>
      <c r="AF338" s="417"/>
      <c r="AG338" s="417"/>
      <c r="AH338" s="417"/>
      <c r="AI338" s="417"/>
      <c r="AJ338" s="417"/>
      <c r="AK338" s="417"/>
      <c r="AL338" s="417"/>
      <c r="AM338" s="417"/>
      <c r="AN338" s="417"/>
      <c r="AO338" s="417"/>
      <c r="AP338" s="417"/>
      <c r="AQ338" s="417"/>
      <c r="AR338" s="417"/>
      <c r="AS338" s="417"/>
      <c r="AT338" s="417"/>
      <c r="AU338" s="417"/>
      <c r="AV338" s="417"/>
      <c r="AW338" s="417"/>
      <c r="AX338" s="417"/>
      <c r="AY338" s="417"/>
      <c r="AZ338" s="417"/>
      <c r="BA338" s="417"/>
      <c r="BB338" s="417"/>
      <c r="BC338" s="417"/>
      <c r="BD338" s="417"/>
      <c r="BE338" s="417"/>
      <c r="BF338" s="417"/>
      <c r="BG338" s="417"/>
      <c r="BH338" s="417"/>
      <c r="BI338" s="417"/>
      <c r="BJ338" s="417"/>
      <c r="BK338" s="417"/>
      <c r="BL338" s="417"/>
      <c r="BM338" s="417"/>
      <c r="BN338" s="417"/>
      <c r="BO338" s="417"/>
      <c r="BP338" s="417"/>
      <c r="BQ338" s="417"/>
      <c r="BR338" s="417"/>
      <c r="BS338" s="417"/>
      <c r="BT338" s="417"/>
      <c r="BU338" s="417"/>
    </row>
    <row r="339" spans="1:74" x14ac:dyDescent="0.2">
      <c r="A339" s="299"/>
      <c r="B339" s="508"/>
      <c r="C339" s="299" t="s">
        <v>72</v>
      </c>
      <c r="D339" s="299"/>
      <c r="E339" s="299"/>
      <c r="F339" s="299"/>
      <c r="G339" s="299"/>
      <c r="H339" s="299"/>
      <c r="I339" s="299"/>
      <c r="J339" s="299"/>
      <c r="K339" s="410" t="s">
        <v>62</v>
      </c>
      <c r="L339" s="299"/>
      <c r="M339" s="299"/>
      <c r="N339" s="417">
        <f>SUM(Q339:BJ339)</f>
        <v>103167.3858153654</v>
      </c>
      <c r="O339" s="299"/>
      <c r="P339" s="299"/>
      <c r="Q339" s="416"/>
      <c r="R339" s="417"/>
      <c r="S339" s="785"/>
      <c r="T339" s="417">
        <f>(T330 * (T$336) + T331 * ($L337))*Oper!T12</f>
        <v>2636.5139514203083</v>
      </c>
      <c r="U339" s="417">
        <f>(U330 * (U$336) + U331 * ($L337))*Oper!U12</f>
        <v>567.97910499230977</v>
      </c>
      <c r="V339" s="417">
        <f>(V330 * (V$336) + V331 * ($L337))*Oper!V12</f>
        <v>717.17356632490873</v>
      </c>
      <c r="W339" s="417">
        <f>(W330 * (W$336) + W331 * ($L337))*Oper!W12</f>
        <v>837.5865576448266</v>
      </c>
      <c r="X339" s="417">
        <f>(X330 * (X$336) + X331 * ($L337))*Oper!X12</f>
        <v>920.71309251048581</v>
      </c>
      <c r="Y339" s="417">
        <f>(Y330 * (Y$336) + Y331 * ($L337))*Oper!Y12</f>
        <v>993.09543238489982</v>
      </c>
      <c r="Z339" s="417">
        <f>(Z330 * (Z$336) + Z331 * ($L337))*Oper!Z12</f>
        <v>1062.117020716026</v>
      </c>
      <c r="AA339" s="417">
        <f>(AA330 * (AA$336) + AA331 * ($L337))*Oper!AA12</f>
        <v>1128.7035082338716</v>
      </c>
      <c r="AB339" s="417">
        <f>(AB330 * (AB$336) + AB331 * ($L337))*Oper!AB12</f>
        <v>1180.0949163525941</v>
      </c>
      <c r="AC339" s="417">
        <f>(AC330 * (AC$336) + AC331 * ($L337))*Oper!AC12</f>
        <v>1216.9031769822941</v>
      </c>
      <c r="AD339" s="417">
        <f>(AD330 * (AD$336) + AD331 * ($L337))*Oper!AD12</f>
        <v>1233.997814983268</v>
      </c>
      <c r="AE339" s="417">
        <f>(AE330 * (AE$336) + AE331 * ($L337))*Oper!AE12</f>
        <v>1287.329225995313</v>
      </c>
      <c r="AF339" s="417">
        <f>(AF330 * (AF$336) + AF331 * ($L337))*Oper!AF12</f>
        <v>1321.8737334196167</v>
      </c>
      <c r="AG339" s="417">
        <f>(AG330 * (AG$336) + AG331 * ($L337))*Oper!AG12</f>
        <v>1358.0428750779201</v>
      </c>
      <c r="AH339" s="417">
        <f>(AH330 * (AH$336) + AH331 * ($L337))*Oper!AH12</f>
        <v>1452.0222204487507</v>
      </c>
      <c r="AI339" s="417">
        <f>(AI330 * (AI$336) + AI331 * ($L337))*Oper!AI12</f>
        <v>1568.3675393078299</v>
      </c>
      <c r="AJ339" s="417">
        <f>(AJ330 * (AJ$336) + AJ331 * ($L337))*Oper!AJ12</f>
        <v>1716.7188467717306</v>
      </c>
      <c r="AK339" s="417">
        <f>(AK330 * (AK$336) + AK331 * ($L337))*Oper!AK12</f>
        <v>1853.0518569170483</v>
      </c>
      <c r="AL339" s="417">
        <f>(AL330 * (AL$336) + AL331 * ($L337))*Oper!AL12</f>
        <v>1966.1176702331638</v>
      </c>
      <c r="AM339" s="417">
        <f>(AM330 * (AM$336) + AM331 * ($L337))*Oper!AM12</f>
        <v>2192.7307656295875</v>
      </c>
      <c r="AN339" s="417">
        <f>(AN330 * (AN$336) + AN331 * ($L337))*Oper!AN12</f>
        <v>2760.0004621975604</v>
      </c>
      <c r="AO339" s="417">
        <f>(AO330 * (AO$336) + AO331 * ($L337))*Oper!AO12</f>
        <v>2484.733862586615</v>
      </c>
      <c r="AP339" s="417">
        <f>(AP330 * (AP$336) + AP331 * ($L337))*Oper!AP12</f>
        <v>2452.3449019869827</v>
      </c>
      <c r="AQ339" s="417">
        <f>(AQ330 * (AQ$336) + AQ331 * ($L337))*Oper!AQ12</f>
        <v>2354.0939436135632</v>
      </c>
      <c r="AR339" s="417">
        <f>(AR330 * (AR$336) + AR331 * ($L337))*Oper!AR12</f>
        <v>2310.8775841672768</v>
      </c>
      <c r="AS339" s="417">
        <f>(AS330 * (AS$336) + AS331 * ($L337))*Oper!AS12</f>
        <v>2292.7565225308249</v>
      </c>
      <c r="AT339" s="417">
        <f>(AT330 * (AT$336) + AT331 * ($L337))*Oper!AT12</f>
        <v>2296.6369724025858</v>
      </c>
      <c r="AU339" s="417">
        <f>(AU330 * (AU$336) + AU331 * ($L337))*Oper!AU12</f>
        <v>4542.9549731323496</v>
      </c>
      <c r="AV339" s="417">
        <f>(AV330 * (AV$336) + AV331 * ($L337))*Oper!AV12</f>
        <v>4525.4819466757126</v>
      </c>
      <c r="AW339" s="417">
        <f>(AW330 * (AW$336) + AW331 * ($L337))*Oper!AW12</f>
        <v>4612.1444902800804</v>
      </c>
      <c r="AX339" s="417">
        <f>(AX330 * (AX$336) + AX331 * ($L337))*Oper!AX12</f>
        <v>4669.0961026699015</v>
      </c>
      <c r="AY339" s="417">
        <f>(AY330 * (AY$336) + AY331 * ($L337))*Oper!AY12</f>
        <v>4984.234678974577</v>
      </c>
      <c r="AZ339" s="417">
        <f>(AZ330 * (AZ$336) + AZ331 * ($L337))*Oper!AZ12</f>
        <v>4960.302889039257</v>
      </c>
      <c r="BA339" s="417">
        <f>(BA330 * (BA$336) + BA331 * ($L337))*Oper!BA12</f>
        <v>4869.9542460099901</v>
      </c>
      <c r="BB339" s="417">
        <f>(BB330 * (BB$336) + BB331 * ($L337))*Oper!BB12</f>
        <v>4792.7898577610449</v>
      </c>
      <c r="BC339" s="417">
        <f>(BC330 * (BC$336) + BC331 * ($L337))*Oper!BC12</f>
        <v>4754.6680848443602</v>
      </c>
      <c r="BD339" s="417">
        <f>(BD330 * (BD$336) + BD331 * ($L337))*Oper!BD12</f>
        <v>4776.5332230013491</v>
      </c>
      <c r="BE339" s="417">
        <f>(BE330 * (BE$336) + BE331 * ($L337))*Oper!BE12</f>
        <v>2811.6654994330515</v>
      </c>
      <c r="BF339" s="417">
        <f>(BF330 * (BF$336) + BF331 * ($L337))*Oper!BF12</f>
        <v>2719.9629460528845</v>
      </c>
      <c r="BG339" s="417">
        <f>(BG330 * (BG$336) + BG331 * ($L337))*Oper!BG12</f>
        <v>2381.4986584991075</v>
      </c>
      <c r="BH339" s="417">
        <f>(BH330 * (BH$336) + BH331 * ($L337))*Oper!BH12</f>
        <v>1962.5624249857356</v>
      </c>
      <c r="BI339" s="417">
        <f>(BI330 * (BI$336) + BI331 * ($L337))*Oper!BI12</f>
        <v>1443.7197352579581</v>
      </c>
      <c r="BJ339" s="417">
        <f>(BJ330 * (BJ$336) + BJ331 * ($L337))*Oper!BJ12</f>
        <v>197.23893291587706</v>
      </c>
      <c r="BK339" s="417"/>
      <c r="BL339" s="417"/>
      <c r="BM339" s="417"/>
      <c r="BN339" s="417"/>
      <c r="BO339" s="417"/>
      <c r="BP339" s="417"/>
      <c r="BQ339" s="417"/>
      <c r="BR339" s="417"/>
      <c r="BS339" s="417"/>
      <c r="BT339" s="417"/>
      <c r="BU339" s="417"/>
    </row>
    <row r="340" spans="1:74" x14ac:dyDescent="0.2">
      <c r="A340" s="299"/>
      <c r="B340" s="508"/>
      <c r="C340" s="299" t="s">
        <v>330</v>
      </c>
      <c r="D340" s="299"/>
      <c r="E340" s="299"/>
      <c r="F340" s="299"/>
      <c r="G340" s="299"/>
      <c r="H340" s="299"/>
      <c r="I340" s="299"/>
      <c r="J340" s="299"/>
      <c r="K340" s="410" t="s">
        <v>62</v>
      </c>
      <c r="L340" s="299"/>
      <c r="M340" s="299"/>
      <c r="N340" s="417">
        <f>SUM(Q340:BJ340)</f>
        <v>142864.95019064652</v>
      </c>
      <c r="O340" s="299"/>
      <c r="P340" s="299"/>
      <c r="Q340" s="416"/>
      <c r="R340" s="417"/>
      <c r="S340" s="785"/>
      <c r="T340" s="417">
        <f t="shared" ref="T340:BJ340" si="395">T333*T334*50%</f>
        <v>297.42367066661552</v>
      </c>
      <c r="U340" s="417">
        <f t="shared" si="395"/>
        <v>372.65602667422013</v>
      </c>
      <c r="V340" s="417">
        <f t="shared" si="395"/>
        <v>463.17261786333052</v>
      </c>
      <c r="W340" s="417">
        <f t="shared" si="395"/>
        <v>555.26924072873544</v>
      </c>
      <c r="X340" s="417">
        <f t="shared" si="395"/>
        <v>647.17962136770211</v>
      </c>
      <c r="Y340" s="417">
        <f t="shared" si="395"/>
        <v>740.17676450145893</v>
      </c>
      <c r="Z340" s="417">
        <f t="shared" si="395"/>
        <v>840.86423940244856</v>
      </c>
      <c r="AA340" s="417">
        <f t="shared" si="395"/>
        <v>946.0315938434569</v>
      </c>
      <c r="AB340" s="417">
        <f t="shared" si="395"/>
        <v>1032.7636714069483</v>
      </c>
      <c r="AC340" s="417">
        <f t="shared" si="395"/>
        <v>1113.4741921746954</v>
      </c>
      <c r="AD340" s="417">
        <f t="shared" si="395"/>
        <v>1184.2981183723541</v>
      </c>
      <c r="AE340" s="417">
        <f t="shared" si="395"/>
        <v>1291.7656832476846</v>
      </c>
      <c r="AF340" s="417">
        <f t="shared" si="395"/>
        <v>1374.3014547956984</v>
      </c>
      <c r="AG340" s="417">
        <f t="shared" si="395"/>
        <v>1481.6237577882232</v>
      </c>
      <c r="AH340" s="417">
        <f t="shared" si="395"/>
        <v>1653.8939056285906</v>
      </c>
      <c r="AI340" s="417">
        <f t="shared" si="395"/>
        <v>1843.2156847164235</v>
      </c>
      <c r="AJ340" s="417">
        <f t="shared" si="395"/>
        <v>2051.3729504079542</v>
      </c>
      <c r="AK340" s="417">
        <f t="shared" si="395"/>
        <v>2220.582997522687</v>
      </c>
      <c r="AL340" s="417">
        <f t="shared" si="395"/>
        <v>2354.5003729377868</v>
      </c>
      <c r="AM340" s="417">
        <f t="shared" si="395"/>
        <v>2604.5368223258997</v>
      </c>
      <c r="AN340" s="417">
        <f t="shared" si="395"/>
        <v>2878.7020735019501</v>
      </c>
      <c r="AO340" s="417">
        <f t="shared" si="395"/>
        <v>3179.5317968669233</v>
      </c>
      <c r="AP340" s="417">
        <f t="shared" si="395"/>
        <v>3470.9260333853649</v>
      </c>
      <c r="AQ340" s="417">
        <f t="shared" si="395"/>
        <v>3610.7725358467633</v>
      </c>
      <c r="AR340" s="417">
        <f t="shared" si="395"/>
        <v>3823.2705331119573</v>
      </c>
      <c r="AS340" s="417">
        <f t="shared" si="395"/>
        <v>4046.4379306067076</v>
      </c>
      <c r="AT340" s="417">
        <f t="shared" si="395"/>
        <v>4280.6861754767015</v>
      </c>
      <c r="AU340" s="417">
        <f t="shared" si="395"/>
        <v>4463.5497261691398</v>
      </c>
      <c r="AV340" s="417">
        <f t="shared" si="395"/>
        <v>4600.4245655054956</v>
      </c>
      <c r="AW340" s="417">
        <f t="shared" si="395"/>
        <v>4852.9540488186731</v>
      </c>
      <c r="AX340" s="417">
        <f t="shared" si="395"/>
        <v>5118.703773773309</v>
      </c>
      <c r="AY340" s="417">
        <f t="shared" si="395"/>
        <v>5397.5028884472167</v>
      </c>
      <c r="AZ340" s="417">
        <f t="shared" si="395"/>
        <v>5690.4674177885963</v>
      </c>
      <c r="BA340" s="417">
        <f t="shared" si="395"/>
        <v>5936.0703713222911</v>
      </c>
      <c r="BB340" s="417">
        <f t="shared" si="395"/>
        <v>6178.6201015534461</v>
      </c>
      <c r="BC340" s="417">
        <f t="shared" si="395"/>
        <v>6317.4930412672347</v>
      </c>
      <c r="BD340" s="417">
        <f t="shared" si="395"/>
        <v>6578.7794629786522</v>
      </c>
      <c r="BE340" s="417">
        <f t="shared" si="395"/>
        <v>6830.9431923939974</v>
      </c>
      <c r="BF340" s="417">
        <f t="shared" si="395"/>
        <v>7016.9617329919247</v>
      </c>
      <c r="BG340" s="417">
        <f t="shared" si="395"/>
        <v>7242.6783612404852</v>
      </c>
      <c r="BH340" s="417">
        <f t="shared" si="395"/>
        <v>7472.3335590969418</v>
      </c>
      <c r="BI340" s="417">
        <f t="shared" si="395"/>
        <v>7064.9862652171887</v>
      </c>
      <c r="BJ340" s="417">
        <f t="shared" si="395"/>
        <v>1743.0512169126403</v>
      </c>
      <c r="BK340" s="417"/>
      <c r="BL340" s="417"/>
      <c r="BM340" s="417"/>
      <c r="BN340" s="417"/>
      <c r="BO340" s="417"/>
      <c r="BP340" s="417"/>
      <c r="BQ340" s="417"/>
      <c r="BR340" s="417"/>
      <c r="BS340" s="417"/>
      <c r="BT340" s="417"/>
      <c r="BU340" s="417"/>
    </row>
    <row r="341" spans="1:74" x14ac:dyDescent="0.2">
      <c r="A341" s="452"/>
      <c r="B341" s="432"/>
      <c r="C341" s="217" t="s">
        <v>252</v>
      </c>
      <c r="D341" s="215"/>
      <c r="E341" s="215"/>
      <c r="F341" s="215"/>
      <c r="G341" s="215"/>
      <c r="H341" s="215"/>
      <c r="I341" s="215"/>
      <c r="J341" s="215"/>
      <c r="K341" s="636" t="s">
        <v>62</v>
      </c>
      <c r="L341" s="215"/>
      <c r="M341" s="215"/>
      <c r="N341" s="467">
        <f>SUM(Q341:BJ341)</f>
        <v>246032.33600601187</v>
      </c>
      <c r="O341" s="452"/>
      <c r="P341" s="452"/>
      <c r="Q341" s="467"/>
      <c r="R341" s="467"/>
      <c r="S341" s="786"/>
      <c r="T341" s="467">
        <f t="shared" ref="T341:BJ341" si="396">SUM(T339:T340)</f>
        <v>2933.937622086924</v>
      </c>
      <c r="U341" s="467">
        <f t="shared" si="396"/>
        <v>940.6351316665299</v>
      </c>
      <c r="V341" s="467">
        <f t="shared" si="396"/>
        <v>1180.3461841882392</v>
      </c>
      <c r="W341" s="467">
        <f t="shared" si="396"/>
        <v>1392.855798373562</v>
      </c>
      <c r="X341" s="467">
        <f t="shared" si="396"/>
        <v>1567.8927138781878</v>
      </c>
      <c r="Y341" s="467">
        <f t="shared" si="396"/>
        <v>1733.2721968863589</v>
      </c>
      <c r="Z341" s="467">
        <f t="shared" si="396"/>
        <v>1902.9812601184744</v>
      </c>
      <c r="AA341" s="467">
        <f t="shared" si="396"/>
        <v>2074.7351020773285</v>
      </c>
      <c r="AB341" s="467">
        <f t="shared" si="396"/>
        <v>2212.8585877595424</v>
      </c>
      <c r="AC341" s="467">
        <f t="shared" si="396"/>
        <v>2330.3773691569895</v>
      </c>
      <c r="AD341" s="467">
        <f t="shared" si="396"/>
        <v>2418.2959333556219</v>
      </c>
      <c r="AE341" s="467">
        <f t="shared" si="396"/>
        <v>2579.0949092429973</v>
      </c>
      <c r="AF341" s="467">
        <f t="shared" si="396"/>
        <v>2696.1751882153148</v>
      </c>
      <c r="AG341" s="467">
        <f t="shared" si="396"/>
        <v>2839.6666328661431</v>
      </c>
      <c r="AH341" s="467">
        <f t="shared" si="396"/>
        <v>3105.9161260773412</v>
      </c>
      <c r="AI341" s="467">
        <f t="shared" si="396"/>
        <v>3411.5832240242535</v>
      </c>
      <c r="AJ341" s="467">
        <f t="shared" si="396"/>
        <v>3768.0917971796848</v>
      </c>
      <c r="AK341" s="467">
        <f t="shared" si="396"/>
        <v>4073.6348544397351</v>
      </c>
      <c r="AL341" s="467">
        <f t="shared" si="396"/>
        <v>4320.6180431709508</v>
      </c>
      <c r="AM341" s="467">
        <f t="shared" si="396"/>
        <v>4797.2675879554872</v>
      </c>
      <c r="AN341" s="467">
        <f t="shared" si="396"/>
        <v>5638.7025356995109</v>
      </c>
      <c r="AO341" s="467">
        <f t="shared" si="396"/>
        <v>5664.2656594535383</v>
      </c>
      <c r="AP341" s="467">
        <f t="shared" si="396"/>
        <v>5923.2709353723476</v>
      </c>
      <c r="AQ341" s="467">
        <f t="shared" si="396"/>
        <v>5964.8664794603264</v>
      </c>
      <c r="AR341" s="467">
        <f t="shared" si="396"/>
        <v>6134.1481172792337</v>
      </c>
      <c r="AS341" s="467">
        <f t="shared" si="396"/>
        <v>6339.194453137532</v>
      </c>
      <c r="AT341" s="467">
        <f t="shared" si="396"/>
        <v>6577.3231478792877</v>
      </c>
      <c r="AU341" s="467">
        <f t="shared" si="396"/>
        <v>9006.5046993014894</v>
      </c>
      <c r="AV341" s="467">
        <f t="shared" si="396"/>
        <v>9125.9065121812091</v>
      </c>
      <c r="AW341" s="467">
        <f t="shared" si="396"/>
        <v>9465.0985390987535</v>
      </c>
      <c r="AX341" s="467">
        <f t="shared" si="396"/>
        <v>9787.7998764432105</v>
      </c>
      <c r="AY341" s="467">
        <f t="shared" si="396"/>
        <v>10381.737567421795</v>
      </c>
      <c r="AZ341" s="467">
        <f t="shared" si="396"/>
        <v>10650.770306827853</v>
      </c>
      <c r="BA341" s="467">
        <f t="shared" si="396"/>
        <v>10806.024617332281</v>
      </c>
      <c r="BB341" s="467">
        <f t="shared" si="396"/>
        <v>10971.409959314491</v>
      </c>
      <c r="BC341" s="467">
        <f t="shared" si="396"/>
        <v>11072.161126111594</v>
      </c>
      <c r="BD341" s="467">
        <f t="shared" si="396"/>
        <v>11355.312685980001</v>
      </c>
      <c r="BE341" s="467">
        <f t="shared" si="396"/>
        <v>9642.6086918270485</v>
      </c>
      <c r="BF341" s="467">
        <f t="shared" si="396"/>
        <v>9736.9246790448087</v>
      </c>
      <c r="BG341" s="467">
        <f t="shared" si="396"/>
        <v>9624.1770197395927</v>
      </c>
      <c r="BH341" s="467">
        <f t="shared" si="396"/>
        <v>9434.8959840826774</v>
      </c>
      <c r="BI341" s="467">
        <f t="shared" si="396"/>
        <v>8508.7060004751474</v>
      </c>
      <c r="BJ341" s="467">
        <f t="shared" si="396"/>
        <v>1940.2901498285173</v>
      </c>
      <c r="BK341" s="467"/>
      <c r="BL341" s="467"/>
      <c r="BM341" s="467"/>
      <c r="BN341" s="467"/>
      <c r="BO341" s="467"/>
      <c r="BP341" s="467"/>
      <c r="BQ341" s="467"/>
      <c r="BR341" s="467"/>
      <c r="BS341" s="467"/>
      <c r="BT341" s="467"/>
      <c r="BU341" s="467"/>
    </row>
    <row r="342" spans="1:74" x14ac:dyDescent="0.2">
      <c r="A342" s="299"/>
      <c r="B342" s="415"/>
      <c r="C342" s="415"/>
      <c r="D342" s="299"/>
      <c r="E342" s="299"/>
      <c r="F342" s="299"/>
      <c r="G342" s="299"/>
      <c r="H342" s="299"/>
      <c r="I342" s="299"/>
      <c r="J342" s="299"/>
      <c r="K342" s="410"/>
      <c r="L342" s="299"/>
      <c r="M342" s="299"/>
      <c r="N342" s="299"/>
      <c r="O342" s="299"/>
      <c r="P342" s="299"/>
      <c r="Q342" s="299"/>
      <c r="R342" s="299"/>
      <c r="S342" s="299"/>
      <c r="T342" s="299"/>
      <c r="U342" s="299"/>
      <c r="V342" s="299"/>
      <c r="W342" s="299"/>
      <c r="X342" s="299"/>
      <c r="Y342" s="299"/>
      <c r="Z342" s="299"/>
      <c r="AA342" s="299"/>
      <c r="AB342" s="299"/>
      <c r="AC342" s="299"/>
      <c r="AD342" s="299"/>
      <c r="AE342" s="299"/>
      <c r="AF342" s="299"/>
      <c r="AG342" s="299"/>
      <c r="AH342" s="299"/>
      <c r="AI342" s="299"/>
      <c r="AJ342" s="299"/>
      <c r="AK342" s="299"/>
      <c r="AL342" s="299"/>
      <c r="AM342" s="299"/>
      <c r="AN342" s="299"/>
      <c r="AO342" s="299"/>
      <c r="AP342" s="299"/>
      <c r="AQ342" s="299"/>
      <c r="AR342" s="299"/>
      <c r="AS342" s="299"/>
      <c r="AT342" s="299"/>
      <c r="AU342" s="299"/>
      <c r="AV342" s="299"/>
      <c r="AW342" s="299"/>
      <c r="AX342" s="299"/>
      <c r="AY342" s="299"/>
      <c r="AZ342" s="299"/>
      <c r="BA342" s="299"/>
      <c r="BB342" s="299"/>
      <c r="BC342" s="299"/>
      <c r="BD342" s="299"/>
      <c r="BE342" s="299"/>
      <c r="BF342" s="299"/>
      <c r="BG342" s="299"/>
      <c r="BH342" s="299"/>
      <c r="BI342" s="299"/>
      <c r="BJ342" s="299"/>
      <c r="BK342" s="299"/>
      <c r="BL342" s="299"/>
      <c r="BM342" s="299"/>
      <c r="BN342" s="299"/>
      <c r="BO342" s="299"/>
      <c r="BP342" s="299"/>
      <c r="BQ342" s="299"/>
      <c r="BR342" s="299"/>
      <c r="BS342" s="299"/>
      <c r="BT342" s="299"/>
      <c r="BU342" s="299"/>
    </row>
    <row r="343" spans="1:74" ht="15.75" x14ac:dyDescent="0.25">
      <c r="A343" s="418"/>
      <c r="B343" s="418" t="s">
        <v>206</v>
      </c>
      <c r="C343" s="418"/>
      <c r="D343" s="418"/>
      <c r="E343" s="418"/>
      <c r="F343" s="418"/>
      <c r="G343" s="418"/>
      <c r="H343" s="418"/>
      <c r="I343" s="418"/>
      <c r="J343" s="418"/>
      <c r="K343" s="628"/>
      <c r="L343" s="418"/>
      <c r="M343" s="418"/>
      <c r="N343" s="418"/>
      <c r="O343" s="419"/>
      <c r="P343" s="420"/>
      <c r="Q343" s="420"/>
      <c r="R343" s="420"/>
      <c r="S343" s="420"/>
      <c r="T343" s="420"/>
      <c r="U343" s="420"/>
      <c r="V343" s="420"/>
      <c r="W343" s="420"/>
      <c r="X343" s="420"/>
      <c r="Y343" s="420"/>
      <c r="Z343" s="420"/>
      <c r="AA343" s="420"/>
      <c r="AB343" s="420"/>
      <c r="AC343" s="420"/>
      <c r="AD343" s="420"/>
      <c r="AE343" s="420"/>
      <c r="AF343" s="420"/>
      <c r="AG343" s="420"/>
      <c r="AH343" s="420"/>
      <c r="AI343" s="420"/>
      <c r="AJ343" s="420"/>
      <c r="AK343" s="420"/>
      <c r="AL343" s="420"/>
      <c r="AM343" s="420"/>
      <c r="AN343" s="420"/>
      <c r="AO343" s="420"/>
      <c r="AP343" s="420"/>
      <c r="AQ343" s="420"/>
      <c r="AR343" s="420"/>
      <c r="AS343" s="420"/>
      <c r="AT343" s="420"/>
      <c r="AU343" s="420"/>
      <c r="AV343" s="420"/>
      <c r="AW343" s="420"/>
      <c r="AX343" s="420"/>
      <c r="AY343" s="420"/>
      <c r="AZ343" s="420"/>
      <c r="BA343" s="420"/>
      <c r="BB343" s="420"/>
      <c r="BC343" s="420"/>
      <c r="BD343" s="420"/>
      <c r="BE343" s="420"/>
      <c r="BF343" s="420"/>
      <c r="BG343" s="420"/>
      <c r="BH343" s="420"/>
      <c r="BI343" s="420"/>
      <c r="BJ343" s="421"/>
      <c r="BK343" s="420"/>
      <c r="BL343" s="420"/>
      <c r="BM343" s="420"/>
      <c r="BN343" s="420"/>
      <c r="BO343" s="420"/>
      <c r="BP343" s="420"/>
      <c r="BQ343" s="420"/>
      <c r="BR343" s="420"/>
      <c r="BS343" s="420"/>
      <c r="BT343" s="420"/>
      <c r="BU343" s="420"/>
    </row>
    <row r="344" spans="1:74" x14ac:dyDescent="0.2">
      <c r="A344" s="299"/>
      <c r="B344" s="299"/>
      <c r="C344" s="299"/>
      <c r="D344" s="299"/>
      <c r="E344" s="299"/>
      <c r="F344" s="299"/>
      <c r="G344" s="299"/>
      <c r="H344" s="299"/>
      <c r="I344" s="299"/>
      <c r="J344" s="299"/>
      <c r="K344" s="410"/>
      <c r="L344" s="299"/>
      <c r="M344" s="299"/>
      <c r="N344" s="299"/>
      <c r="O344" s="299"/>
      <c r="P344" s="299"/>
      <c r="Q344" s="299"/>
      <c r="R344" s="299"/>
      <c r="S344" s="299"/>
      <c r="T344" s="299"/>
      <c r="U344" s="299"/>
      <c r="V344" s="299"/>
      <c r="W344" s="299"/>
      <c r="X344" s="299"/>
      <c r="Y344" s="299"/>
      <c r="Z344" s="299"/>
      <c r="AA344" s="299"/>
      <c r="AB344" s="299"/>
      <c r="AC344" s="299"/>
      <c r="AD344" s="299"/>
      <c r="AE344" s="299"/>
      <c r="AF344" s="299"/>
      <c r="AG344" s="299"/>
      <c r="AH344" s="299"/>
      <c r="AI344" s="299"/>
      <c r="AJ344" s="299"/>
      <c r="AK344" s="299"/>
      <c r="AL344" s="299"/>
      <c r="AM344" s="299"/>
      <c r="AN344" s="299"/>
      <c r="AO344" s="299"/>
      <c r="AP344" s="299"/>
      <c r="AQ344" s="299"/>
      <c r="AR344" s="299"/>
      <c r="AS344" s="299"/>
      <c r="AT344" s="299"/>
      <c r="AU344" s="299"/>
      <c r="AV344" s="299"/>
      <c r="AW344" s="299"/>
      <c r="AX344" s="299"/>
      <c r="AY344" s="299"/>
      <c r="AZ344" s="299"/>
      <c r="BA344" s="299"/>
      <c r="BB344" s="299"/>
      <c r="BC344" s="299"/>
      <c r="BD344" s="299"/>
      <c r="BE344" s="299"/>
      <c r="BF344" s="299"/>
      <c r="BG344" s="299"/>
      <c r="BH344" s="299"/>
      <c r="BI344" s="299"/>
      <c r="BJ344" s="299"/>
      <c r="BK344" s="299"/>
      <c r="BL344" s="299"/>
      <c r="BM344" s="299"/>
      <c r="BN344" s="299"/>
      <c r="BO344" s="299"/>
      <c r="BP344" s="299"/>
      <c r="BQ344" s="299"/>
      <c r="BR344" s="299"/>
      <c r="BS344" s="299"/>
      <c r="BT344" s="299"/>
      <c r="BU344" s="299"/>
    </row>
    <row r="345" spans="1:74" x14ac:dyDescent="0.2">
      <c r="A345" s="299"/>
      <c r="B345" s="299"/>
      <c r="C345" s="430" t="s">
        <v>276</v>
      </c>
      <c r="D345" s="299"/>
      <c r="E345" s="299"/>
      <c r="F345" s="299"/>
      <c r="G345" s="299"/>
      <c r="H345" s="299"/>
      <c r="I345" s="299"/>
      <c r="J345" s="299"/>
      <c r="K345" s="410" t="s">
        <v>62</v>
      </c>
      <c r="L345" s="413"/>
      <c r="M345" s="299"/>
      <c r="N345" s="417">
        <f>SUM(Q345:BJ345)</f>
        <v>31170658.306342017</v>
      </c>
      <c r="O345" s="299"/>
      <c r="P345" s="299"/>
      <c r="Q345" s="417"/>
      <c r="R345" s="417"/>
      <c r="S345" s="417">
        <f>+Acc!S16</f>
        <v>99995.383361491404</v>
      </c>
      <c r="T345" s="417">
        <f>+Acc!T16</f>
        <v>110892.63499175895</v>
      </c>
      <c r="U345" s="417">
        <f>+Acc!U16</f>
        <v>122977.44237811655</v>
      </c>
      <c r="V345" s="417">
        <f>+Acc!V16</f>
        <v>136379.22243426612</v>
      </c>
      <c r="W345" s="417">
        <f>+Acc!W16</f>
        <v>147989.64874127222</v>
      </c>
      <c r="X345" s="417">
        <f>+Acc!X16</f>
        <v>160588.51006516948</v>
      </c>
      <c r="Y345" s="417">
        <f>+Acc!Y16</f>
        <v>174259.95523536199</v>
      </c>
      <c r="Z345" s="417">
        <f>+Acc!Z16</f>
        <v>189095.29695684407</v>
      </c>
      <c r="AA345" s="417">
        <f>+Acc!AA16</f>
        <v>205193.6216952556</v>
      </c>
      <c r="AB345" s="417">
        <f>+Acc!AB16</f>
        <v>218151.68779285997</v>
      </c>
      <c r="AC345" s="417">
        <f>+Acc!AC16</f>
        <v>231928.06137781523</v>
      </c>
      <c r="AD345" s="417">
        <f>+Acc!AD16</f>
        <v>246574.41892242918</v>
      </c>
      <c r="AE345" s="417">
        <f>+Acc!AE16</f>
        <v>262145.70029062143</v>
      </c>
      <c r="AF345" s="417">
        <f>+Acc!AF16</f>
        <v>278700.31482251739</v>
      </c>
      <c r="AG345" s="417">
        <f>+Acc!AG16</f>
        <v>305795.33461873961</v>
      </c>
      <c r="AH345" s="417">
        <f>+Acc!AH16</f>
        <v>335524.51038362371</v>
      </c>
      <c r="AI345" s="417">
        <f>+Acc!AI16</f>
        <v>368143.9326356274</v>
      </c>
      <c r="AJ345" s="417">
        <f>+Acc!AJ16</f>
        <v>403934.58880684001</v>
      </c>
      <c r="AK345" s="417">
        <f>+Acc!AK16</f>
        <v>443204.78370084305</v>
      </c>
      <c r="AL345" s="417">
        <f>+Acc!AL16</f>
        <v>486909.90690950124</v>
      </c>
      <c r="AM345" s="417">
        <f>+Acc!AM16</f>
        <v>534924.8612953726</v>
      </c>
      <c r="AN345" s="417">
        <f>+Acc!AN16</f>
        <v>587674.64611283329</v>
      </c>
      <c r="AO345" s="417">
        <f>+Acc!AO16</f>
        <v>645626.17046348774</v>
      </c>
      <c r="AP345" s="417">
        <f>+Acc!AP16</f>
        <v>709292.3860923493</v>
      </c>
      <c r="AQ345" s="417">
        <f>+Acc!AQ16</f>
        <v>750382.9050056797</v>
      </c>
      <c r="AR345" s="417">
        <f>+Acc!AR16</f>
        <v>793853.86783420376</v>
      </c>
      <c r="AS345" s="417">
        <f>+Acc!AS16</f>
        <v>839843.17775810137</v>
      </c>
      <c r="AT345" s="417">
        <f>+Acc!AT16</f>
        <v>888496.72692422429</v>
      </c>
      <c r="AU345" s="417">
        <f>+Acc!AU16</f>
        <v>939968.8592605762</v>
      </c>
      <c r="AV345" s="417">
        <f>+Acc!AV16</f>
        <v>993784.81824656378</v>
      </c>
      <c r="AW345" s="417">
        <f>+Acc!AW16</f>
        <v>1050681.8978601643</v>
      </c>
      <c r="AX345" s="417">
        <f>+Acc!AX16</f>
        <v>1110836.5012446234</v>
      </c>
      <c r="AY345" s="417">
        <f>+Acc!AY16</f>
        <v>1174435.131137687</v>
      </c>
      <c r="AZ345" s="417">
        <f>+Acc!AZ16</f>
        <v>1241674.9681028472</v>
      </c>
      <c r="BA345" s="417">
        <f>+Acc!BA16</f>
        <v>1299492.443952414</v>
      </c>
      <c r="BB345" s="417">
        <f>+Acc!BB16</f>
        <v>1357551.063654965</v>
      </c>
      <c r="BC345" s="417">
        <f>+Acc!BC16</f>
        <v>1394940.8152210829</v>
      </c>
      <c r="BD345" s="417">
        <f>+Acc!BD16</f>
        <v>1458244.9303068535</v>
      </c>
      <c r="BE345" s="417">
        <f>+Acc!BE16</f>
        <v>1524535.8384352427</v>
      </c>
      <c r="BF345" s="417">
        <f>+Acc!BF16</f>
        <v>1580645.9331800339</v>
      </c>
      <c r="BG345" s="417">
        <f>+Acc!BG16</f>
        <v>1638991.5349116041</v>
      </c>
      <c r="BH345" s="417">
        <f>+Acc!BH16</f>
        <v>1699161.8441716556</v>
      </c>
      <c r="BI345" s="417">
        <f>+Acc!BI16</f>
        <v>1623778.3023709413</v>
      </c>
      <c r="BJ345" s="417">
        <f>+Acc!BJ16</f>
        <v>403453.72667755489</v>
      </c>
      <c r="BK345" s="417"/>
      <c r="BL345" s="417"/>
      <c r="BM345" s="417"/>
      <c r="BN345" s="417"/>
      <c r="BO345" s="417"/>
      <c r="BP345" s="417"/>
      <c r="BQ345" s="417"/>
      <c r="BR345" s="417"/>
      <c r="BS345" s="417"/>
      <c r="BT345" s="417"/>
      <c r="BU345" s="417"/>
    </row>
    <row r="346" spans="1:74" x14ac:dyDescent="0.2">
      <c r="A346" s="299"/>
      <c r="B346" s="299"/>
      <c r="C346" s="430" t="s">
        <v>64</v>
      </c>
      <c r="D346" s="299"/>
      <c r="E346" s="299"/>
      <c r="F346" s="299"/>
      <c r="G346" s="299"/>
      <c r="H346" s="299"/>
      <c r="I346" s="299"/>
      <c r="J346" s="299"/>
      <c r="K346" s="410" t="s">
        <v>62</v>
      </c>
      <c r="L346" s="299"/>
      <c r="M346" s="299"/>
      <c r="N346" s="417">
        <f>SUM(Q346:BJ346)</f>
        <v>-2463761.5831894916</v>
      </c>
      <c r="O346" s="299"/>
      <c r="P346" s="299"/>
      <c r="Q346" s="417"/>
      <c r="R346" s="417"/>
      <c r="S346" s="417">
        <f>+Acc!S17</f>
        <v>-17116.801882543594</v>
      </c>
      <c r="T346" s="417">
        <f>+Acc!T17</f>
        <v>-18251.715924132259</v>
      </c>
      <c r="U346" s="417">
        <f>+Acc!U17</f>
        <v>-19461.879413055398</v>
      </c>
      <c r="V346" s="417">
        <f>+Acc!V17</f>
        <v>-20752.281695745118</v>
      </c>
      <c r="W346" s="417">
        <f>+Acc!W17</f>
        <v>-21619.771470281008</v>
      </c>
      <c r="X346" s="417">
        <f>+Acc!X17</f>
        <v>-22523.524173393016</v>
      </c>
      <c r="Y346" s="417">
        <f>+Acc!Y17</f>
        <v>-23465.055673080424</v>
      </c>
      <c r="Z346" s="417">
        <f>+Acc!Z17</f>
        <v>-24445.945203868072</v>
      </c>
      <c r="AA346" s="417">
        <f>+Acc!AA17</f>
        <v>-25467.838015662743</v>
      </c>
      <c r="AB346" s="417">
        <f>+Acc!AB17</f>
        <v>-26490.989749443772</v>
      </c>
      <c r="AC346" s="417">
        <f>+Acc!AC17</f>
        <v>-27555.245854537963</v>
      </c>
      <c r="AD346" s="417">
        <f>+Acc!AD17</f>
        <v>-28662.257668948518</v>
      </c>
      <c r="AE346" s="417">
        <f>+Acc!AE17</f>
        <v>-29813.742871973129</v>
      </c>
      <c r="AF346" s="417">
        <f>+Acc!AF17</f>
        <v>-31011.48814941684</v>
      </c>
      <c r="AG346" s="417">
        <f>+Acc!AG17</f>
        <v>-32710.13366247325</v>
      </c>
      <c r="AH346" s="417">
        <f>+Acc!AH17</f>
        <v>-34501.822004210582</v>
      </c>
      <c r="AI346" s="417">
        <f>+Acc!AI17</f>
        <v>-36391.649569316498</v>
      </c>
      <c r="AJ346" s="417">
        <f>+Acc!AJ17</f>
        <v>-38384.991906059637</v>
      </c>
      <c r="AK346" s="417">
        <f>+Acc!AK17</f>
        <v>-40487.519006848277</v>
      </c>
      <c r="AL346" s="417">
        <f>+Acc!AL17</f>
        <v>-42936.801184184449</v>
      </c>
      <c r="AM346" s="417">
        <f>+Acc!AM17</f>
        <v>-45534.252064651133</v>
      </c>
      <c r="AN346" s="417">
        <f>+Acc!AN17</f>
        <v>-48288.835076305142</v>
      </c>
      <c r="AO346" s="417">
        <f>+Acc!AO17</f>
        <v>-51210.055887506605</v>
      </c>
      <c r="AP346" s="417">
        <f>+Acc!AP17</f>
        <v>-54307.995209608394</v>
      </c>
      <c r="AQ346" s="417">
        <f>+Acc!AQ17</f>
        <v>-56570.629298947191</v>
      </c>
      <c r="AR346" s="417">
        <f>+Acc!AR17</f>
        <v>-58927.531515888171</v>
      </c>
      <c r="AS346" s="417">
        <f>+Acc!AS17</f>
        <v>-61382.629353579039</v>
      </c>
      <c r="AT346" s="417">
        <f>+Acc!AT17</f>
        <v>-63940.013936320618</v>
      </c>
      <c r="AU346" s="417">
        <f>+Acc!AU17</f>
        <v>-66603.946836931951</v>
      </c>
      <c r="AV346" s="417">
        <f>+Acc!AV17</f>
        <v>-69494.383668132767</v>
      </c>
      <c r="AW346" s="417">
        <f>+Acc!AW17</f>
        <v>-72510.257886634616</v>
      </c>
      <c r="AX346" s="417">
        <f>+Acc!AX17</f>
        <v>-75657.0131464773</v>
      </c>
      <c r="AY346" s="417">
        <f>+Acc!AY17</f>
        <v>-78940.329342026875</v>
      </c>
      <c r="AZ346" s="417">
        <f>+Acc!AZ17</f>
        <v>-82366.132860187121</v>
      </c>
      <c r="BA346" s="417">
        <f>+Acc!BA17</f>
        <v>-85447.987193585664</v>
      </c>
      <c r="BB346" s="417">
        <f>+Acc!BB17</f>
        <v>-88645.153801610621</v>
      </c>
      <c r="BC346" s="417">
        <f>+Acc!BC17</f>
        <v>-91961.947268678021</v>
      </c>
      <c r="BD346" s="417">
        <f>+Acc!BD17</f>
        <v>-95402.843615952515</v>
      </c>
      <c r="BE346" s="417">
        <f>+Acc!BE17</f>
        <v>-98972.486341749158</v>
      </c>
      <c r="BF346" s="417">
        <f>+Acc!BF17</f>
        <v>-102223.65601555163</v>
      </c>
      <c r="BG346" s="417">
        <f>+Acc!BG17</f>
        <v>-105581.62410008973</v>
      </c>
      <c r="BH346" s="417">
        <f>+Acc!BH17</f>
        <v>-109049.89884060444</v>
      </c>
      <c r="BI346" s="417">
        <f>+Acc!BI17</f>
        <v>-112632.10372548105</v>
      </c>
      <c r="BJ346" s="417">
        <f>+Acc!BJ17</f>
        <v>-126058.42112381772</v>
      </c>
      <c r="BK346" s="417"/>
      <c r="BL346" s="417"/>
      <c r="BM346" s="417"/>
      <c r="BN346" s="417"/>
      <c r="BO346" s="417"/>
      <c r="BP346" s="417"/>
      <c r="BQ346" s="417"/>
      <c r="BR346" s="417"/>
      <c r="BS346" s="417"/>
      <c r="BT346" s="417"/>
      <c r="BU346" s="417"/>
    </row>
    <row r="347" spans="1:74" x14ac:dyDescent="0.2">
      <c r="A347" s="299"/>
      <c r="B347" s="299"/>
      <c r="C347" s="430" t="s">
        <v>271</v>
      </c>
      <c r="D347" s="299"/>
      <c r="E347" s="299"/>
      <c r="F347" s="299"/>
      <c r="G347" s="299"/>
      <c r="H347" s="299"/>
      <c r="I347" s="299"/>
      <c r="J347" s="299"/>
      <c r="K347" s="410" t="s">
        <v>62</v>
      </c>
      <c r="L347" s="299"/>
      <c r="M347" s="299"/>
      <c r="N347" s="417">
        <f>SUM(Q347:BJ347)</f>
        <v>-167120.29139333681</v>
      </c>
      <c r="O347" s="299"/>
      <c r="P347" s="299"/>
      <c r="Q347" s="417"/>
      <c r="R347" s="417"/>
      <c r="S347" s="417">
        <f>+CF!S32</f>
        <v>-361.09300000000002</v>
      </c>
      <c r="T347" s="417">
        <f>+CF!T32</f>
        <v>-597.58950622269083</v>
      </c>
      <c r="U347" s="417">
        <f>+CF!U32</f>
        <v>-650.56990692636111</v>
      </c>
      <c r="V347" s="417">
        <f>+CF!V32</f>
        <v>-722.18773524688527</v>
      </c>
      <c r="W347" s="417">
        <f>+CF!W32</f>
        <v>-784.25814883314024</v>
      </c>
      <c r="X347" s="417">
        <f>+CF!X32</f>
        <v>-851.32111459000021</v>
      </c>
      <c r="Y347" s="417">
        <f>+CF!Y32</f>
        <v>-923.96444401930376</v>
      </c>
      <c r="Z347" s="417">
        <f>+CF!Z32</f>
        <v>-1002.7409606390532</v>
      </c>
      <c r="AA347" s="417">
        <f>+CF!AA32</f>
        <v>-1088.1588731859977</v>
      </c>
      <c r="AB347" s="417">
        <f>+CF!AB32</f>
        <v>-1156.9138684982522</v>
      </c>
      <c r="AC347" s="417">
        <f>+CF!AC32</f>
        <v>-1229.8568034216039</v>
      </c>
      <c r="AD347" s="417">
        <f>+CF!AD32</f>
        <v>-1307.2117529928701</v>
      </c>
      <c r="AE347" s="417">
        <f>+CF!AE32</f>
        <v>-1389.8051747992881</v>
      </c>
      <c r="AF347" s="417">
        <f>+CF!AF32</f>
        <v>-1477.3315725563468</v>
      </c>
      <c r="AG347" s="417">
        <f>+CF!AG32</f>
        <v>-1620.3337565709298</v>
      </c>
      <c r="AH347" s="417">
        <f>+CF!AH32</f>
        <v>-1777.8097391759304</v>
      </c>
      <c r="AI347" s="417">
        <f>+CF!AI32</f>
        <v>-1950.6664582631711</v>
      </c>
      <c r="AJ347" s="417">
        <f>+CF!AJ32</f>
        <v>-2140.4390731711032</v>
      </c>
      <c r="AK347" s="417">
        <f>+CF!AK32</f>
        <v>-2348.2116974152345</v>
      </c>
      <c r="AL347" s="417">
        <f>+CF!AL32</f>
        <v>-2578.9602560015287</v>
      </c>
      <c r="AM347" s="417">
        <f>+CF!AM32</f>
        <v>-2833.5411766374718</v>
      </c>
      <c r="AN347" s="417">
        <f>+CF!AN32</f>
        <v>-3114.8950804047963</v>
      </c>
      <c r="AO347" s="417">
        <f>+CF!AO32</f>
        <v>-3419.2747896454416</v>
      </c>
      <c r="AP347" s="417">
        <f>+CF!AP32</f>
        <v>-3754.882199395538</v>
      </c>
      <c r="AQ347" s="417">
        <f>+CF!AQ32</f>
        <v>-3970.8258002969851</v>
      </c>
      <c r="AR347" s="417">
        <f>+CF!AR32</f>
        <v>-4199.9370837452852</v>
      </c>
      <c r="AS347" s="417">
        <f>+CF!AS32</f>
        <v>-4442.4574541090042</v>
      </c>
      <c r="AT347" s="417">
        <f>+CF!AT32</f>
        <v>-4699.1387628785442</v>
      </c>
      <c r="AU347" s="417">
        <f>+CF!AU32</f>
        <v>-4982.1206607893573</v>
      </c>
      <c r="AV347" s="417">
        <f>+CF!AV32</f>
        <v>-5265.2813049834103</v>
      </c>
      <c r="AW347" s="417">
        <f>+CF!AW32</f>
        <v>-5565.7717310961307</v>
      </c>
      <c r="AX347" s="417">
        <f>+CF!AX32</f>
        <v>-5883.2775808855986</v>
      </c>
      <c r="AY347" s="417">
        <f>+CF!AY32</f>
        <v>-6220.2885607018206</v>
      </c>
      <c r="AZ347" s="417">
        <f>+CF!AZ32</f>
        <v>-6574.7101266507943</v>
      </c>
      <c r="BA347" s="417">
        <f>+CF!BA32</f>
        <v>-6879.0669599911671</v>
      </c>
      <c r="BB347" s="417">
        <f>+CF!BB32</f>
        <v>-7197.6111291899551</v>
      </c>
      <c r="BC347" s="417">
        <f>+CF!BC32</f>
        <v>-7530.6082607729713</v>
      </c>
      <c r="BD347" s="417">
        <f>+CF!BD32</f>
        <v>-7880.0440759600906</v>
      </c>
      <c r="BE347" s="417">
        <f>+CF!BE32</f>
        <v>-8235.2035936389293</v>
      </c>
      <c r="BF347" s="417">
        <f>+CF!BF32</f>
        <v>-8538.9392552796307</v>
      </c>
      <c r="BG347" s="417">
        <f>+CF!BG32</f>
        <v>-8852.8229607396916</v>
      </c>
      <c r="BH347" s="417">
        <f>+CF!BH32</f>
        <v>-9177.9562579234662</v>
      </c>
      <c r="BI347" s="417">
        <f>+CF!BI32</f>
        <v>-9511.3038617391248</v>
      </c>
      <c r="BJ347" s="417">
        <f>+CF!BJ32</f>
        <v>-2430.9088833519277</v>
      </c>
      <c r="BK347" s="417"/>
      <c r="BL347" s="417"/>
      <c r="BM347" s="417"/>
      <c r="BN347" s="417"/>
      <c r="BO347" s="417"/>
      <c r="BP347" s="417"/>
      <c r="BQ347" s="417"/>
      <c r="BR347" s="417"/>
      <c r="BS347" s="417"/>
      <c r="BT347" s="417"/>
      <c r="BU347" s="417"/>
    </row>
    <row r="348" spans="1:74" x14ac:dyDescent="0.2">
      <c r="A348" s="299"/>
      <c r="B348" s="299"/>
      <c r="C348" s="430" t="s">
        <v>72</v>
      </c>
      <c r="D348" s="299"/>
      <c r="E348" s="299"/>
      <c r="F348" s="299"/>
      <c r="G348" s="299"/>
      <c r="H348" s="299"/>
      <c r="I348" s="299"/>
      <c r="J348" s="299"/>
      <c r="K348" s="410" t="s">
        <v>62</v>
      </c>
      <c r="L348" s="413"/>
      <c r="M348" s="299"/>
      <c r="N348" s="417">
        <f>SUM(Q348:BJ348)</f>
        <v>246032.33600601187</v>
      </c>
      <c r="O348" s="299"/>
      <c r="P348" s="299"/>
      <c r="Q348" s="417"/>
      <c r="R348" s="417"/>
      <c r="S348" s="417">
        <f>+Acc!S28 * S12</f>
        <v>0</v>
      </c>
      <c r="T348" s="417">
        <f>+Acc!T28 * T12</f>
        <v>2933.937622086924</v>
      </c>
      <c r="U348" s="417">
        <f>+Acc!U28 * U12</f>
        <v>940.6351316665299</v>
      </c>
      <c r="V348" s="417">
        <f>+Acc!V28 * V12</f>
        <v>1180.3461841882392</v>
      </c>
      <c r="W348" s="417">
        <f>+Acc!W28 * W12</f>
        <v>1392.855798373562</v>
      </c>
      <c r="X348" s="417">
        <f>+Acc!X28 * X12</f>
        <v>1567.8927138781878</v>
      </c>
      <c r="Y348" s="417">
        <f>+Acc!Y28 * Y12</f>
        <v>1733.2721968863589</v>
      </c>
      <c r="Z348" s="417">
        <f>+Acc!Z28 * Z12</f>
        <v>1902.9812601184744</v>
      </c>
      <c r="AA348" s="417">
        <f>+Acc!AA28 * AA12</f>
        <v>2074.7351020773285</v>
      </c>
      <c r="AB348" s="417">
        <f>+Acc!AB28 * AB12</f>
        <v>2212.8585877595424</v>
      </c>
      <c r="AC348" s="417">
        <f>+Acc!AC28 * AC12</f>
        <v>2330.3773691569895</v>
      </c>
      <c r="AD348" s="417">
        <f>+Acc!AD28 * AD12</f>
        <v>2418.2959333556219</v>
      </c>
      <c r="AE348" s="417">
        <f>+Acc!AE28 * AE12</f>
        <v>2579.0949092429973</v>
      </c>
      <c r="AF348" s="417">
        <f>+Acc!AF28 * AF12</f>
        <v>2696.1751882153148</v>
      </c>
      <c r="AG348" s="417">
        <f>+Acc!AG28 * AG12</f>
        <v>2839.6666328661431</v>
      </c>
      <c r="AH348" s="417">
        <f>+Acc!AH28 * AH12</f>
        <v>3105.9161260773412</v>
      </c>
      <c r="AI348" s="417">
        <f>+Acc!AI28 * AI12</f>
        <v>3411.5832240242535</v>
      </c>
      <c r="AJ348" s="417">
        <f>+Acc!AJ28 * AJ12</f>
        <v>3768.0917971796848</v>
      </c>
      <c r="AK348" s="417">
        <f>+Acc!AK28 * AK12</f>
        <v>4073.6348544397351</v>
      </c>
      <c r="AL348" s="417">
        <f>+Acc!AL28 * AL12</f>
        <v>4320.6180431709508</v>
      </c>
      <c r="AM348" s="417">
        <f>+Acc!AM28 * AM12</f>
        <v>4797.2675879554872</v>
      </c>
      <c r="AN348" s="417">
        <f>+Acc!AN28 * AN12</f>
        <v>5638.7025356995109</v>
      </c>
      <c r="AO348" s="417">
        <f>+Acc!AO28 * AO12</f>
        <v>5664.2656594535383</v>
      </c>
      <c r="AP348" s="417">
        <f>+Acc!AP28 * AP12</f>
        <v>5923.2709353723476</v>
      </c>
      <c r="AQ348" s="417">
        <f>+Acc!AQ28 * AQ12</f>
        <v>5964.8664794603264</v>
      </c>
      <c r="AR348" s="417">
        <f>+Acc!AR28 * AR12</f>
        <v>6134.1481172792337</v>
      </c>
      <c r="AS348" s="417">
        <f>+Acc!AS28 * AS12</f>
        <v>6339.194453137532</v>
      </c>
      <c r="AT348" s="417">
        <f>+Acc!AT28 * AT12</f>
        <v>6577.3231478792877</v>
      </c>
      <c r="AU348" s="417">
        <f>+Acc!AU28 * AU12</f>
        <v>9006.5046993014894</v>
      </c>
      <c r="AV348" s="417">
        <f>+Acc!AV28 * AV12</f>
        <v>9125.9065121812091</v>
      </c>
      <c r="AW348" s="417">
        <f>+Acc!AW28 * AW12</f>
        <v>9465.0985390987535</v>
      </c>
      <c r="AX348" s="417">
        <f>+Acc!AX28 * AX12</f>
        <v>9787.7998764432105</v>
      </c>
      <c r="AY348" s="417">
        <f>+Acc!AY28 * AY12</f>
        <v>10381.737567421795</v>
      </c>
      <c r="AZ348" s="417">
        <f>+Acc!AZ28 * AZ12</f>
        <v>10650.770306827853</v>
      </c>
      <c r="BA348" s="417">
        <f>+Acc!BA28 * BA12</f>
        <v>10806.024617332281</v>
      </c>
      <c r="BB348" s="417">
        <f>+Acc!BB28 * BB12</f>
        <v>10971.409959314491</v>
      </c>
      <c r="BC348" s="417">
        <f>+Acc!BC28 * BC12</f>
        <v>11072.161126111594</v>
      </c>
      <c r="BD348" s="417">
        <f>+Acc!BD28 * BD12</f>
        <v>11355.312685980001</v>
      </c>
      <c r="BE348" s="417">
        <f>+Acc!BE28 * BE12</f>
        <v>9642.6086918270485</v>
      </c>
      <c r="BF348" s="417">
        <f>+Acc!BF28 * BF12</f>
        <v>9736.9246790448087</v>
      </c>
      <c r="BG348" s="417">
        <f>+Acc!BG28 * BG12</f>
        <v>9624.1770197395927</v>
      </c>
      <c r="BH348" s="417">
        <f>+Acc!BH28 * BH12</f>
        <v>9434.8959840826774</v>
      </c>
      <c r="BI348" s="417">
        <f>+Acc!BI28 * BI12</f>
        <v>8508.7060004751474</v>
      </c>
      <c r="BJ348" s="417">
        <f>+Acc!BJ28 * BJ12</f>
        <v>1940.2901498285173</v>
      </c>
      <c r="BK348" s="417"/>
      <c r="BL348" s="417"/>
      <c r="BM348" s="417"/>
      <c r="BN348" s="417"/>
      <c r="BO348" s="417"/>
      <c r="BP348" s="417"/>
      <c r="BQ348" s="417"/>
      <c r="BR348" s="417"/>
      <c r="BS348" s="417"/>
      <c r="BT348" s="417"/>
      <c r="BU348" s="417"/>
    </row>
    <row r="349" spans="1:74" x14ac:dyDescent="0.2">
      <c r="A349" s="452"/>
      <c r="B349" s="452"/>
      <c r="C349" s="509" t="s">
        <v>207</v>
      </c>
      <c r="D349" s="510"/>
      <c r="E349" s="510"/>
      <c r="F349" s="510"/>
      <c r="G349" s="510"/>
      <c r="H349" s="510"/>
      <c r="I349" s="510"/>
      <c r="J349" s="510"/>
      <c r="K349" s="645" t="s">
        <v>62</v>
      </c>
      <c r="L349" s="510"/>
      <c r="M349" s="510"/>
      <c r="N349" s="511">
        <f>SUM(Q349:BJ349)</f>
        <v>28785808.767765202</v>
      </c>
      <c r="O349" s="510"/>
      <c r="P349" s="510"/>
      <c r="Q349" s="511"/>
      <c r="R349" s="511"/>
      <c r="S349" s="511">
        <f t="shared" ref="S349:AO349" si="397">SUM(S345:S348)</f>
        <v>82517.488478947809</v>
      </c>
      <c r="T349" s="511">
        <f t="shared" si="397"/>
        <v>94977.267183490942</v>
      </c>
      <c r="U349" s="511">
        <f t="shared" si="397"/>
        <v>103805.62818980131</v>
      </c>
      <c r="V349" s="511">
        <f t="shared" si="397"/>
        <v>116085.09918746236</v>
      </c>
      <c r="W349" s="511">
        <f t="shared" si="397"/>
        <v>126978.47492053165</v>
      </c>
      <c r="X349" s="511">
        <f t="shared" si="397"/>
        <v>138781.55749106462</v>
      </c>
      <c r="Y349" s="511">
        <f t="shared" si="397"/>
        <v>151604.20731514861</v>
      </c>
      <c r="Z349" s="511">
        <f t="shared" si="397"/>
        <v>165549.59205245544</v>
      </c>
      <c r="AA349" s="511">
        <f t="shared" si="397"/>
        <v>180712.35990848418</v>
      </c>
      <c r="AB349" s="511">
        <f t="shared" si="397"/>
        <v>192716.64276267748</v>
      </c>
      <c r="AC349" s="511">
        <f t="shared" si="397"/>
        <v>205473.33608901265</v>
      </c>
      <c r="AD349" s="511">
        <f t="shared" si="397"/>
        <v>219023.2454338434</v>
      </c>
      <c r="AE349" s="511">
        <f t="shared" si="397"/>
        <v>233521.247153092</v>
      </c>
      <c r="AF349" s="511">
        <f t="shared" si="397"/>
        <v>248907.67028875952</v>
      </c>
      <c r="AG349" s="511">
        <f t="shared" si="397"/>
        <v>274304.53383256157</v>
      </c>
      <c r="AH349" s="511">
        <f t="shared" si="397"/>
        <v>302350.7947663145</v>
      </c>
      <c r="AI349" s="511">
        <f t="shared" si="397"/>
        <v>333213.19983207202</v>
      </c>
      <c r="AJ349" s="511">
        <f t="shared" si="397"/>
        <v>367177.24962478894</v>
      </c>
      <c r="AK349" s="511">
        <f t="shared" si="397"/>
        <v>404442.68785101932</v>
      </c>
      <c r="AL349" s="511">
        <f t="shared" si="397"/>
        <v>445714.76351248624</v>
      </c>
      <c r="AM349" s="511">
        <f t="shared" si="397"/>
        <v>491354.33564203948</v>
      </c>
      <c r="AN349" s="511">
        <f t="shared" si="397"/>
        <v>541909.61849182274</v>
      </c>
      <c r="AO349" s="511">
        <f t="shared" si="397"/>
        <v>596661.10544578929</v>
      </c>
      <c r="AP349" s="511">
        <f t="shared" ref="AP349:BJ349" si="398">SUM(AP345:AP348)</f>
        <v>657152.77961871773</v>
      </c>
      <c r="AQ349" s="511">
        <f t="shared" si="398"/>
        <v>695806.31638589595</v>
      </c>
      <c r="AR349" s="511">
        <f t="shared" si="398"/>
        <v>736860.54735184961</v>
      </c>
      <c r="AS349" s="511">
        <f t="shared" si="398"/>
        <v>780357.28540355095</v>
      </c>
      <c r="AT349" s="511">
        <f t="shared" si="398"/>
        <v>826434.89737290447</v>
      </c>
      <c r="AU349" s="511">
        <f t="shared" si="398"/>
        <v>877389.29646215634</v>
      </c>
      <c r="AV349" s="511">
        <f t="shared" si="398"/>
        <v>928151.05978562881</v>
      </c>
      <c r="AW349" s="511">
        <f t="shared" si="398"/>
        <v>982070.96678153228</v>
      </c>
      <c r="AX349" s="511">
        <f t="shared" si="398"/>
        <v>1039084.0103937038</v>
      </c>
      <c r="AY349" s="511">
        <f t="shared" si="398"/>
        <v>1099656.25080238</v>
      </c>
      <c r="AZ349" s="511">
        <f t="shared" si="398"/>
        <v>1163384.8954228372</v>
      </c>
      <c r="BA349" s="511">
        <f t="shared" si="398"/>
        <v>1217971.4144161695</v>
      </c>
      <c r="BB349" s="511">
        <f t="shared" si="398"/>
        <v>1272679.7086834789</v>
      </c>
      <c r="BC349" s="511">
        <f t="shared" si="398"/>
        <v>1306520.4208177435</v>
      </c>
      <c r="BD349" s="511">
        <f t="shared" si="398"/>
        <v>1366317.355300921</v>
      </c>
      <c r="BE349" s="511">
        <f t="shared" si="398"/>
        <v>1426970.7571916818</v>
      </c>
      <c r="BF349" s="511">
        <f t="shared" si="398"/>
        <v>1479620.2625882474</v>
      </c>
      <c r="BG349" s="511">
        <f t="shared" si="398"/>
        <v>1534181.2648705142</v>
      </c>
      <c r="BH349" s="511">
        <f t="shared" si="398"/>
        <v>1590368.8850572105</v>
      </c>
      <c r="BI349" s="511">
        <f t="shared" si="398"/>
        <v>1510143.6007841963</v>
      </c>
      <c r="BJ349" s="511">
        <f t="shared" si="398"/>
        <v>276904.68682021374</v>
      </c>
      <c r="BK349" s="511"/>
      <c r="BL349" s="511"/>
      <c r="BM349" s="511"/>
      <c r="BN349" s="511"/>
      <c r="BO349" s="511"/>
      <c r="BP349" s="511"/>
      <c r="BQ349" s="511"/>
      <c r="BR349" s="511"/>
      <c r="BS349" s="511"/>
      <c r="BT349" s="511"/>
      <c r="BU349" s="511"/>
      <c r="BV349" s="512"/>
    </row>
    <row r="350" spans="1:74" ht="15" x14ac:dyDescent="0.2">
      <c r="A350" s="299"/>
      <c r="B350" s="299"/>
      <c r="C350" s="415"/>
      <c r="D350" s="513"/>
      <c r="E350" s="299"/>
      <c r="F350" s="299"/>
      <c r="G350" s="299"/>
      <c r="H350" s="514"/>
      <c r="I350" s="299"/>
      <c r="J350" s="299"/>
      <c r="K350" s="410"/>
      <c r="L350" s="417"/>
      <c r="M350" s="299"/>
      <c r="N350" s="515"/>
      <c r="O350" s="299"/>
      <c r="P350" s="299"/>
      <c r="Q350" s="417"/>
      <c r="R350" s="417"/>
      <c r="S350" s="417"/>
      <c r="T350" s="417"/>
      <c r="U350" s="417"/>
      <c r="V350" s="417"/>
      <c r="W350" s="417"/>
      <c r="X350" s="417"/>
      <c r="Y350" s="417"/>
      <c r="Z350" s="417"/>
      <c r="AA350" s="417"/>
      <c r="AB350" s="417"/>
      <c r="AC350" s="417"/>
      <c r="AD350" s="417"/>
      <c r="AE350" s="417"/>
      <c r="AF350" s="417"/>
      <c r="AG350" s="417"/>
      <c r="AH350" s="417"/>
      <c r="AI350" s="417"/>
      <c r="AJ350" s="417"/>
      <c r="AK350" s="417"/>
      <c r="AL350" s="417"/>
      <c r="AM350" s="417"/>
      <c r="AN350" s="417"/>
      <c r="AO350" s="417"/>
      <c r="AP350" s="417"/>
      <c r="AQ350" s="417"/>
      <c r="AR350" s="417"/>
      <c r="AS350" s="417"/>
      <c r="AT350" s="417"/>
      <c r="AU350" s="417"/>
      <c r="AV350" s="417"/>
      <c r="AW350" s="417"/>
      <c r="AX350" s="417"/>
      <c r="AY350" s="417"/>
      <c r="AZ350" s="417"/>
      <c r="BA350" s="417"/>
      <c r="BB350" s="417"/>
      <c r="BC350" s="417"/>
      <c r="BD350" s="417"/>
      <c r="BE350" s="417"/>
      <c r="BF350" s="417"/>
      <c r="BG350" s="417"/>
      <c r="BH350" s="417"/>
      <c r="BI350" s="417"/>
      <c r="BJ350" s="417"/>
      <c r="BK350" s="417"/>
      <c r="BL350" s="417"/>
      <c r="BM350" s="417"/>
      <c r="BN350" s="417"/>
      <c r="BO350" s="417"/>
      <c r="BP350" s="417"/>
      <c r="BQ350" s="417"/>
      <c r="BR350" s="417"/>
      <c r="BS350" s="417"/>
      <c r="BT350" s="417"/>
      <c r="BU350" s="417"/>
    </row>
    <row r="351" spans="1:74" s="308" customFormat="1" x14ac:dyDescent="0.2">
      <c r="A351" s="299"/>
      <c r="B351" s="299"/>
      <c r="C351" s="430" t="s">
        <v>208</v>
      </c>
      <c r="D351" s="299"/>
      <c r="E351" s="299"/>
      <c r="F351" s="299"/>
      <c r="G351" s="299"/>
      <c r="H351" s="299"/>
      <c r="I351" s="299"/>
      <c r="J351" s="299"/>
      <c r="K351" s="410" t="s">
        <v>62</v>
      </c>
      <c r="L351" s="299"/>
      <c r="M351" s="299"/>
      <c r="N351" s="417">
        <f>SUM(Q351:BJ351)</f>
        <v>-48737.918654028967</v>
      </c>
      <c r="O351" s="299"/>
      <c r="P351" s="299"/>
      <c r="Q351" s="417"/>
      <c r="R351" s="417"/>
      <c r="S351" s="417">
        <f>+(CF!S47+S252)*S$12</f>
        <v>0</v>
      </c>
      <c r="T351" s="417">
        <f>+(CF!T47+T252)*T$12</f>
        <v>0</v>
      </c>
      <c r="U351" s="417">
        <f>+(CF!U47+U252)*U$12</f>
        <v>-2192.2508882111033</v>
      </c>
      <c r="V351" s="417">
        <f>+(CF!V47+V252)*V$12</f>
        <v>-1152.3829106810408</v>
      </c>
      <c r="W351" s="417">
        <f>+(CF!W47+W252)*W$12</f>
        <v>-1165.6896100149825</v>
      </c>
      <c r="X351" s="417">
        <f>+(CF!X47+X252)*X$12</f>
        <v>-1077.3390840669235</v>
      </c>
      <c r="Y351" s="417">
        <f>+(CF!Y47+Y252)*Y$12</f>
        <v>-878.79692120167601</v>
      </c>
      <c r="Z351" s="417">
        <f>+(CF!Z47+Z252)*Z$12</f>
        <v>-560.85876089457088</v>
      </c>
      <c r="AA351" s="417">
        <f>+(CF!AA47+AA252)*AA$12</f>
        <v>-113.59795395841502</v>
      </c>
      <c r="AB351" s="417">
        <f>+(CF!AB47+AB252)*AB$12</f>
        <v>-189.82534897685036</v>
      </c>
      <c r="AC351" s="417">
        <f>+(CF!AC47+AC252)*AC$12</f>
        <v>-372.92136785891125</v>
      </c>
      <c r="AD351" s="417">
        <f>+(CF!AD47+AD252)*AD$12</f>
        <v>-671.48865754544022</v>
      </c>
      <c r="AE351" s="417">
        <f>+(CF!AE47+AE252)*AE$12</f>
        <v>-1094.7785436807753</v>
      </c>
      <c r="AF351" s="417">
        <f>+(CF!AF47+AF252)*AF$12</f>
        <v>-1652.7397072168424</v>
      </c>
      <c r="AG351" s="417">
        <f>+(CF!AG47+AG252)*AG$12</f>
        <v>-1801.9906624508185</v>
      </c>
      <c r="AH351" s="417">
        <f>+(CF!AH47+AH252)*AH$12</f>
        <v>-1998.4477418736533</v>
      </c>
      <c r="AI351" s="417">
        <f>+(CF!AI47+AI252)*AI$12</f>
        <v>-2248.9337378696146</v>
      </c>
      <c r="AJ351" s="417">
        <f>+(CF!AJ47+AJ252)*AJ$12</f>
        <v>-2561.0823147478986</v>
      </c>
      <c r="AK351" s="417">
        <f>+(CF!AK47+AK252)*AK$12</f>
        <v>-2943.4260904036419</v>
      </c>
      <c r="AL351" s="417">
        <f>+(CF!AL47+AL252)*AL$12</f>
        <v>-2780.8135980043371</v>
      </c>
      <c r="AM351" s="417">
        <f>+(CF!AM47+AM252)*AM$12</f>
        <v>-2066.1971091353334</v>
      </c>
      <c r="AN351" s="417">
        <f>+(CF!AN47+AN252)*AN$12</f>
        <v>-795.77642134398047</v>
      </c>
      <c r="AO351" s="417">
        <f>+(CF!AO47+AO252)*AO$12</f>
        <v>0</v>
      </c>
      <c r="AP351" s="417">
        <f>+(CF!AP47+AP252)*AP$12</f>
        <v>0</v>
      </c>
      <c r="AQ351" s="417">
        <f>+(CF!AQ47+AQ252)*AQ$12</f>
        <v>0</v>
      </c>
      <c r="AR351" s="417">
        <f>+(CF!AR47+AR252)*AR$12</f>
        <v>0</v>
      </c>
      <c r="AS351" s="417">
        <f>+(CF!AS47+AS252)*AS$12</f>
        <v>0</v>
      </c>
      <c r="AT351" s="417">
        <f>+(CF!AT47+AT252)*AT$12</f>
        <v>-2021.4067551599474</v>
      </c>
      <c r="AU351" s="417">
        <f>+(CF!AU47+AU252)*AU$12</f>
        <v>-4721.6726877533074</v>
      </c>
      <c r="AV351" s="417">
        <f>+(CF!AV47+AV252)*AV$12</f>
        <v>-4757.7584081274181</v>
      </c>
      <c r="AW351" s="417">
        <f>+(CF!AW47+AW252)*AW$12</f>
        <v>-4011.9591608319606</v>
      </c>
      <c r="AX351" s="417">
        <f>+(CF!AX47+AX252)*AX$12</f>
        <v>-2430.7019616284524</v>
      </c>
      <c r="AY351" s="417">
        <f>+(CF!AY47+AY252)*AY$12</f>
        <v>0</v>
      </c>
      <c r="AZ351" s="417">
        <f>+(CF!AZ47+AZ252)*AZ$12</f>
        <v>0</v>
      </c>
      <c r="BA351" s="417">
        <f>+(CF!BA47+BA252)*BA$12</f>
        <v>0</v>
      </c>
      <c r="BB351" s="417">
        <f>+(CF!BB47+BB252)*BB$12</f>
        <v>0</v>
      </c>
      <c r="BC351" s="417">
        <f>+(CF!BC47+BC252)*BC$12</f>
        <v>-2475.0822503910676</v>
      </c>
      <c r="BD351" s="417">
        <f>+(CF!BD47+BD252)*BD$12</f>
        <v>0</v>
      </c>
      <c r="BE351" s="417">
        <f>+(CF!BE47+BE252)*BE$12</f>
        <v>0</v>
      </c>
      <c r="BF351" s="417">
        <f>+(CF!BF47+BF252)*BF$12</f>
        <v>0</v>
      </c>
      <c r="BG351" s="417">
        <f>+(CF!BG47+BG252)*BG$12</f>
        <v>0</v>
      </c>
      <c r="BH351" s="417">
        <f>+(CF!BH47+BH252)*BH$12</f>
        <v>0</v>
      </c>
      <c r="BI351" s="417">
        <f>+(CF!BI47+BI252)*BI$12</f>
        <v>0</v>
      </c>
      <c r="BJ351" s="417">
        <f>+(CF!BJ47+BJ252)*BJ$12</f>
        <v>0</v>
      </c>
      <c r="BK351" s="417"/>
      <c r="BL351" s="417"/>
      <c r="BM351" s="417"/>
      <c r="BN351" s="417"/>
      <c r="BO351" s="417"/>
      <c r="BP351" s="417"/>
      <c r="BQ351" s="417"/>
      <c r="BR351" s="417"/>
      <c r="BS351" s="417"/>
      <c r="BT351" s="417"/>
      <c r="BU351" s="417"/>
    </row>
    <row r="352" spans="1:74" x14ac:dyDescent="0.2">
      <c r="A352" s="299"/>
      <c r="B352" s="299"/>
      <c r="C352" s="430" t="s">
        <v>209</v>
      </c>
      <c r="D352" s="299"/>
      <c r="E352" s="299"/>
      <c r="F352" s="299"/>
      <c r="G352" s="299"/>
      <c r="H352" s="299"/>
      <c r="I352" s="299"/>
      <c r="J352" s="299"/>
      <c r="K352" s="410" t="s">
        <v>62</v>
      </c>
      <c r="L352" s="413"/>
      <c r="M352" s="299"/>
      <c r="N352" s="417">
        <f>SUM(Q352:BJ352)</f>
        <v>-554873.30688708287</v>
      </c>
      <c r="O352" s="299"/>
      <c r="P352" s="299"/>
      <c r="Q352" s="417"/>
      <c r="R352" s="417"/>
      <c r="S352" s="780">
        <f>+(CF!S28+Oper!S20) * S$12</f>
        <v>-1554.051999999996</v>
      </c>
      <c r="T352" s="780">
        <f>+(CF!T28+Oper!T20) * T$12</f>
        <v>-2271.9001843671922</v>
      </c>
      <c r="U352" s="780">
        <f>+(CF!U28+Oper!U20) * U$12</f>
        <v>-3321.3370258702384</v>
      </c>
      <c r="V352" s="780">
        <f>+(CF!V28+Oper!V20) * V$12</f>
        <v>-4855.5300603970763</v>
      </c>
      <c r="W352" s="780">
        <f>+(CF!W28+Oper!W20) * W$12</f>
        <v>-5234.7233595289154</v>
      </c>
      <c r="X352" s="780">
        <f>+(CF!X28+Oper!X20) * X$12</f>
        <v>-5643.5298123881421</v>
      </c>
      <c r="Y352" s="780">
        <f>+(CF!Y28+Oper!Y20) * Y$12</f>
        <v>-6084.2620623566136</v>
      </c>
      <c r="Z352" s="780">
        <f>+(CF!Z28+Oper!Z20) * Z$12</f>
        <v>-6559.4133590245247</v>
      </c>
      <c r="AA352" s="780">
        <f>+(CF!AA28+Oper!AA20) * AA$12</f>
        <v>-7071.6716626575071</v>
      </c>
      <c r="AB352" s="780">
        <f>+(CF!AB28+Oper!AB20) * AB$12</f>
        <v>-7112.6761485473016</v>
      </c>
      <c r="AC352" s="780">
        <f>+(CF!AC28+Oper!AC20) * AC$12</f>
        <v>-7153.9183954564542</v>
      </c>
      <c r="AD352" s="780">
        <f>+(CF!AD28+Oper!AD20) * AD$12</f>
        <v>-7195.3997820219884</v>
      </c>
      <c r="AE352" s="780">
        <f>+(CF!AE28+Oper!AE20) * AE$12</f>
        <v>-7237.1216948748361</v>
      </c>
      <c r="AF352" s="780">
        <f>+(CF!AF28+Oper!AF20) * AF$12</f>
        <v>-7279.0855286861879</v>
      </c>
      <c r="AG352" s="780">
        <f>+(CF!AG28+Oper!AG20) * AG$12</f>
        <v>-7825.0840659259275</v>
      </c>
      <c r="AH352" s="780">
        <f>+(CF!AH28+Oper!AH20) * AH$12</f>
        <v>-8412.0375282717268</v>
      </c>
      <c r="AI352" s="780">
        <f>+(CF!AI28+Oper!AI20) * AI$12</f>
        <v>-9043.0179127639458</v>
      </c>
      <c r="AJ352" s="780">
        <f>+(CF!AJ28+Oper!AJ20) * AJ$12</f>
        <v>-9721.3276445487663</v>
      </c>
      <c r="AK352" s="780">
        <f>+(CF!AK28+Oper!AK20) * AK$12</f>
        <v>-10450.516861110962</v>
      </c>
      <c r="AL352" s="780">
        <f>+(CF!AL28+Oper!AL20) * AL$12</f>
        <v>-11402.936904942444</v>
      </c>
      <c r="AM352" s="780">
        <f>+(CF!AM28+Oper!AM20) * AM$12</f>
        <v>-12442.156860390503</v>
      </c>
      <c r="AN352" s="780">
        <f>+(CF!AN28+Oper!AN20) * AN$12</f>
        <v>-13576.087338645486</v>
      </c>
      <c r="AO352" s="780">
        <f>+(CF!AO28+Oper!AO20) * AO$12</f>
        <v>-14813.35989367567</v>
      </c>
      <c r="AP352" s="780">
        <f>+(CF!AP28+Oper!AP20) * AP$12</f>
        <v>-16163.392726188255</v>
      </c>
      <c r="AQ352" s="780">
        <f>+(CF!AQ28+Oper!AQ20) * AQ$12</f>
        <v>-14764.028626131159</v>
      </c>
      <c r="AR352" s="780">
        <f>+(CF!AR28+Oper!AR20) * AR$12</f>
        <v>-13485.816063854612</v>
      </c>
      <c r="AS352" s="780">
        <f>+(CF!AS28+Oper!AS20) * AS$12</f>
        <v>-12318.266207248376</v>
      </c>
      <c r="AT352" s="780">
        <f>+(CF!AT28+Oper!AT20) * AT$12</f>
        <v>-11251.798306766013</v>
      </c>
      <c r="AU352" s="780">
        <f>+(CF!AU28+Oper!AU20) * AU$12</f>
        <v>-10277.661077144619</v>
      </c>
      <c r="AV352" s="780">
        <f>+(CF!AV28+Oper!AV20) * AV$12</f>
        <v>-11712.773240383072</v>
      </c>
      <c r="AW352" s="780">
        <f>+(CF!AW28+Oper!AW20) * AW$12</f>
        <v>-13348.276028065735</v>
      </c>
      <c r="AX352" s="780">
        <f>+(CF!AX28+Oper!AX20) * AX$12</f>
        <v>-15212.150808753046</v>
      </c>
      <c r="AY352" s="780">
        <f>+(CF!AY28+Oper!AY20) * AY$12</f>
        <v>-17336.286104789135</v>
      </c>
      <c r="AZ352" s="780">
        <f>+(CF!AZ28+Oper!AZ20) * AZ$12</f>
        <v>-19757.023164283295</v>
      </c>
      <c r="BA352" s="780">
        <f>+(CF!BA28+Oper!BA20) * BA$12</f>
        <v>-18360.971768753996</v>
      </c>
      <c r="BB352" s="780">
        <f>+(CF!BB28+Oper!BB20) * BB$12</f>
        <v>-17063.566787856769</v>
      </c>
      <c r="BC352" s="780">
        <f>+(CF!BC28+Oper!BC20) * BC$12</f>
        <v>-15857.837765381382</v>
      </c>
      <c r="BD352" s="780">
        <f>+(CF!BD28+Oper!BD20) * BD$12</f>
        <v>-14737.306784658558</v>
      </c>
      <c r="BE352" s="780">
        <f>+(CF!BE28+Oper!BE20) * BE$12</f>
        <v>-13695.953665213941</v>
      </c>
      <c r="BF352" s="780">
        <f>+(CF!BF28+Oper!BF20) * BF$12</f>
        <v>-17217.14575767015</v>
      </c>
      <c r="BG352" s="780">
        <f>+(CF!BG28+Oper!BG20) * BG$12</f>
        <v>-21643.626671558894</v>
      </c>
      <c r="BH352" s="780">
        <f>+(CF!BH28+Oper!BH20) * BH$12</f>
        <v>-27208.143677887198</v>
      </c>
      <c r="BI352" s="780">
        <f>+(CF!BI28+Oper!BI20) * BI$12</f>
        <v>-34203.282732155618</v>
      </c>
      <c r="BJ352" s="780">
        <f>+(CF!BJ28+Oper!BJ20) * BJ$12</f>
        <v>-42996.852835886602</v>
      </c>
      <c r="BK352" s="417"/>
      <c r="BL352" s="417"/>
      <c r="BM352" s="417"/>
      <c r="BN352" s="417"/>
      <c r="BO352" s="417"/>
      <c r="BP352" s="417"/>
      <c r="BQ352" s="417"/>
      <c r="BR352" s="417"/>
      <c r="BS352" s="417"/>
      <c r="BT352" s="417"/>
      <c r="BU352" s="417"/>
    </row>
    <row r="353" spans="1:73" x14ac:dyDescent="0.2">
      <c r="A353" s="299"/>
      <c r="B353" s="299"/>
      <c r="C353" s="431" t="s">
        <v>210</v>
      </c>
      <c r="D353" s="426"/>
      <c r="E353" s="426"/>
      <c r="F353" s="426"/>
      <c r="G353" s="426"/>
      <c r="H353" s="426"/>
      <c r="I353" s="426"/>
      <c r="J353" s="426"/>
      <c r="K353" s="630" t="s">
        <v>62</v>
      </c>
      <c r="L353" s="516"/>
      <c r="M353" s="426"/>
      <c r="N353" s="427">
        <f>SUM(Q353:BJ353)</f>
        <v>258863.13267827081</v>
      </c>
      <c r="O353" s="426"/>
      <c r="P353" s="426"/>
      <c r="Q353" s="427"/>
      <c r="R353" s="427"/>
      <c r="S353" s="427">
        <f t="shared" ref="S353:BJ353" si="399">+S214</f>
        <v>0</v>
      </c>
      <c r="T353" s="427">
        <f t="shared" si="399"/>
        <v>0</v>
      </c>
      <c r="U353" s="427">
        <f t="shared" si="399"/>
        <v>3321.3370258702384</v>
      </c>
      <c r="V353" s="427">
        <f t="shared" si="399"/>
        <v>4855.5300603970763</v>
      </c>
      <c r="W353" s="427">
        <f t="shared" si="399"/>
        <v>5234.7233595289154</v>
      </c>
      <c r="X353" s="427">
        <f t="shared" si="399"/>
        <v>5643.5298123881421</v>
      </c>
      <c r="Y353" s="427">
        <f t="shared" si="399"/>
        <v>6084.2620623566136</v>
      </c>
      <c r="Z353" s="427">
        <f t="shared" si="399"/>
        <v>6559.4133590245247</v>
      </c>
      <c r="AA353" s="427">
        <f t="shared" si="399"/>
        <v>7071.6716626575071</v>
      </c>
      <c r="AB353" s="427">
        <f t="shared" si="399"/>
        <v>7112.6761485473016</v>
      </c>
      <c r="AC353" s="427">
        <f t="shared" si="399"/>
        <v>7153.9183954564542</v>
      </c>
      <c r="AD353" s="427">
        <f t="shared" si="399"/>
        <v>7195.3997820219884</v>
      </c>
      <c r="AE353" s="427">
        <f t="shared" si="399"/>
        <v>7237.1216948748361</v>
      </c>
      <c r="AF353" s="427">
        <f t="shared" si="399"/>
        <v>7279.0855286861879</v>
      </c>
      <c r="AG353" s="427">
        <f t="shared" si="399"/>
        <v>7825.0840659259275</v>
      </c>
      <c r="AH353" s="427">
        <f t="shared" si="399"/>
        <v>8412.0375282717268</v>
      </c>
      <c r="AI353" s="427">
        <f t="shared" si="399"/>
        <v>9043.0179127639458</v>
      </c>
      <c r="AJ353" s="427">
        <f t="shared" si="399"/>
        <v>9721.3276445487663</v>
      </c>
      <c r="AK353" s="427">
        <f t="shared" si="399"/>
        <v>10450.516861110962</v>
      </c>
      <c r="AL353" s="427">
        <f t="shared" si="399"/>
        <v>11402.936904942444</v>
      </c>
      <c r="AM353" s="427">
        <f t="shared" si="399"/>
        <v>12442.156860390503</v>
      </c>
      <c r="AN353" s="427">
        <f t="shared" si="399"/>
        <v>13576.087338645486</v>
      </c>
      <c r="AO353" s="427">
        <f t="shared" si="399"/>
        <v>14813.35989367567</v>
      </c>
      <c r="AP353" s="427">
        <f t="shared" si="399"/>
        <v>16163.392726188255</v>
      </c>
      <c r="AQ353" s="427">
        <f t="shared" si="399"/>
        <v>14764.028626131159</v>
      </c>
      <c r="AR353" s="427">
        <f t="shared" si="399"/>
        <v>13485.816063854612</v>
      </c>
      <c r="AS353" s="427">
        <f t="shared" si="399"/>
        <v>12318.266207248376</v>
      </c>
      <c r="AT353" s="427">
        <f t="shared" si="399"/>
        <v>11251.798306766013</v>
      </c>
      <c r="AU353" s="427">
        <f t="shared" si="399"/>
        <v>10277.661077144619</v>
      </c>
      <c r="AV353" s="427">
        <f t="shared" si="399"/>
        <v>8166.9757688525569</v>
      </c>
      <c r="AW353" s="427">
        <f t="shared" si="399"/>
        <v>0</v>
      </c>
      <c r="AX353" s="427">
        <f t="shared" si="399"/>
        <v>0</v>
      </c>
      <c r="AY353" s="427">
        <f t="shared" si="399"/>
        <v>0</v>
      </c>
      <c r="AZ353" s="427">
        <f t="shared" si="399"/>
        <v>0</v>
      </c>
      <c r="BA353" s="427">
        <f t="shared" si="399"/>
        <v>0</v>
      </c>
      <c r="BB353" s="427">
        <f t="shared" si="399"/>
        <v>0</v>
      </c>
      <c r="BC353" s="427">
        <f t="shared" si="399"/>
        <v>0</v>
      </c>
      <c r="BD353" s="427">
        <f t="shared" si="399"/>
        <v>0</v>
      </c>
      <c r="BE353" s="427">
        <f t="shared" si="399"/>
        <v>0</v>
      </c>
      <c r="BF353" s="427">
        <f t="shared" si="399"/>
        <v>0</v>
      </c>
      <c r="BG353" s="427">
        <f t="shared" si="399"/>
        <v>0</v>
      </c>
      <c r="BH353" s="427">
        <f t="shared" si="399"/>
        <v>0</v>
      </c>
      <c r="BI353" s="427">
        <f t="shared" si="399"/>
        <v>0</v>
      </c>
      <c r="BJ353" s="427">
        <f t="shared" si="399"/>
        <v>0</v>
      </c>
      <c r="BK353" s="427"/>
      <c r="BL353" s="427"/>
      <c r="BM353" s="427"/>
      <c r="BN353" s="427"/>
      <c r="BO353" s="427"/>
      <c r="BP353" s="427"/>
      <c r="BQ353" s="427"/>
      <c r="BR353" s="427"/>
      <c r="BS353" s="427"/>
      <c r="BT353" s="427"/>
      <c r="BU353" s="427"/>
    </row>
    <row r="354" spans="1:73" x14ac:dyDescent="0.2">
      <c r="A354" s="452"/>
      <c r="B354" s="452"/>
      <c r="C354" s="432" t="s">
        <v>211</v>
      </c>
      <c r="D354" s="452"/>
      <c r="E354" s="452"/>
      <c r="F354" s="452"/>
      <c r="G354" s="452"/>
      <c r="H354" s="452"/>
      <c r="I354" s="452"/>
      <c r="J354" s="452"/>
      <c r="K354" s="646" t="s">
        <v>62</v>
      </c>
      <c r="L354" s="452"/>
      <c r="M354" s="452"/>
      <c r="N354" s="495">
        <f>SUM(Q354:BJ354)</f>
        <v>28441060.674902361</v>
      </c>
      <c r="O354" s="452"/>
      <c r="P354" s="452"/>
      <c r="Q354" s="495"/>
      <c r="R354" s="495"/>
      <c r="S354" s="495">
        <f t="shared" ref="S354:AO354" si="400">SUM(S349:S353)</f>
        <v>80963.436478947813</v>
      </c>
      <c r="T354" s="495">
        <f t="shared" si="400"/>
        <v>92705.366999123755</v>
      </c>
      <c r="U354" s="495">
        <f t="shared" si="400"/>
        <v>101613.37730159021</v>
      </c>
      <c r="V354" s="495">
        <f t="shared" si="400"/>
        <v>114932.71627678131</v>
      </c>
      <c r="W354" s="495">
        <f t="shared" si="400"/>
        <v>125812.78531051666</v>
      </c>
      <c r="X354" s="495">
        <f t="shared" si="400"/>
        <v>137704.21840699771</v>
      </c>
      <c r="Y354" s="495">
        <f t="shared" si="400"/>
        <v>150725.41039394692</v>
      </c>
      <c r="Z354" s="495">
        <f t="shared" si="400"/>
        <v>164988.73329156087</v>
      </c>
      <c r="AA354" s="495">
        <f t="shared" si="400"/>
        <v>180598.76195452578</v>
      </c>
      <c r="AB354" s="495">
        <f t="shared" si="400"/>
        <v>192526.81741370063</v>
      </c>
      <c r="AC354" s="495">
        <f t="shared" si="400"/>
        <v>205100.41472115373</v>
      </c>
      <c r="AD354" s="495">
        <f t="shared" si="400"/>
        <v>218351.75677629796</v>
      </c>
      <c r="AE354" s="495">
        <f t="shared" si="400"/>
        <v>232426.46860941121</v>
      </c>
      <c r="AF354" s="495">
        <f t="shared" si="400"/>
        <v>247254.93058154266</v>
      </c>
      <c r="AG354" s="495">
        <f t="shared" si="400"/>
        <v>272502.54317011073</v>
      </c>
      <c r="AH354" s="495">
        <f t="shared" si="400"/>
        <v>300352.34702444082</v>
      </c>
      <c r="AI354" s="495">
        <f t="shared" si="400"/>
        <v>330964.26609420241</v>
      </c>
      <c r="AJ354" s="495">
        <f t="shared" si="400"/>
        <v>364616.16731004103</v>
      </c>
      <c r="AK354" s="495">
        <f t="shared" si="400"/>
        <v>401499.26176061569</v>
      </c>
      <c r="AL354" s="495">
        <f t="shared" si="400"/>
        <v>442933.9499144819</v>
      </c>
      <c r="AM354" s="495">
        <f t="shared" si="400"/>
        <v>489288.13853290415</v>
      </c>
      <c r="AN354" s="495">
        <f t="shared" si="400"/>
        <v>541113.84207047871</v>
      </c>
      <c r="AO354" s="495">
        <f t="shared" si="400"/>
        <v>596661.10544578929</v>
      </c>
      <c r="AP354" s="495">
        <f t="shared" ref="AP354:BJ354" si="401">SUM(AP349:AP353)</f>
        <v>657152.77961871773</v>
      </c>
      <c r="AQ354" s="495">
        <f t="shared" si="401"/>
        <v>695806.31638589595</v>
      </c>
      <c r="AR354" s="495">
        <f t="shared" si="401"/>
        <v>736860.54735184961</v>
      </c>
      <c r="AS354" s="495">
        <f t="shared" si="401"/>
        <v>780357.28540355095</v>
      </c>
      <c r="AT354" s="495">
        <f t="shared" si="401"/>
        <v>824413.49061774451</v>
      </c>
      <c r="AU354" s="495">
        <f t="shared" si="401"/>
        <v>872667.62377440301</v>
      </c>
      <c r="AV354" s="495">
        <f t="shared" si="401"/>
        <v>919847.50390597084</v>
      </c>
      <c r="AW354" s="495">
        <f t="shared" si="401"/>
        <v>964710.73159263458</v>
      </c>
      <c r="AX354" s="495">
        <f t="shared" si="401"/>
        <v>1021441.1576233223</v>
      </c>
      <c r="AY354" s="495">
        <f t="shared" si="401"/>
        <v>1082319.9646975908</v>
      </c>
      <c r="AZ354" s="495">
        <f t="shared" si="401"/>
        <v>1143627.872258554</v>
      </c>
      <c r="BA354" s="495">
        <f t="shared" si="401"/>
        <v>1199610.4426474154</v>
      </c>
      <c r="BB354" s="495">
        <f t="shared" si="401"/>
        <v>1255616.141895622</v>
      </c>
      <c r="BC354" s="495">
        <f t="shared" si="401"/>
        <v>1288187.5008019709</v>
      </c>
      <c r="BD354" s="495">
        <f t="shared" si="401"/>
        <v>1351580.0485162626</v>
      </c>
      <c r="BE354" s="495">
        <f t="shared" si="401"/>
        <v>1413274.8035264679</v>
      </c>
      <c r="BF354" s="495">
        <f t="shared" si="401"/>
        <v>1462403.1168305774</v>
      </c>
      <c r="BG354" s="495">
        <f t="shared" si="401"/>
        <v>1512537.6381989552</v>
      </c>
      <c r="BH354" s="495">
        <f t="shared" si="401"/>
        <v>1563160.7413793232</v>
      </c>
      <c r="BI354" s="495">
        <f t="shared" si="401"/>
        <v>1475940.3180520406</v>
      </c>
      <c r="BJ354" s="495">
        <f t="shared" si="401"/>
        <v>233907.83398432715</v>
      </c>
      <c r="BK354" s="495"/>
      <c r="BL354" s="495"/>
      <c r="BM354" s="495"/>
      <c r="BN354" s="495"/>
      <c r="BO354" s="495"/>
      <c r="BP354" s="495"/>
      <c r="BQ354" s="495"/>
      <c r="BR354" s="495"/>
      <c r="BS354" s="495"/>
      <c r="BT354" s="495"/>
      <c r="BU354" s="495"/>
    </row>
    <row r="355" spans="1:73" x14ac:dyDescent="0.2">
      <c r="A355" s="299"/>
      <c r="B355" s="299"/>
      <c r="C355" s="432"/>
      <c r="D355" s="508"/>
      <c r="E355" s="508"/>
      <c r="F355" s="299"/>
      <c r="G355" s="299"/>
      <c r="H355" s="299"/>
      <c r="I355" s="299"/>
      <c r="J355" s="299"/>
      <c r="K355" s="646"/>
      <c r="L355" s="517"/>
      <c r="M355" s="452"/>
      <c r="N355" s="495"/>
      <c r="O355" s="299"/>
      <c r="P355" s="299"/>
      <c r="Q355" s="495"/>
      <c r="R355" s="495"/>
      <c r="S355" s="495"/>
      <c r="T355" s="495"/>
      <c r="U355" s="495"/>
      <c r="V355" s="495"/>
      <c r="W355" s="495"/>
      <c r="X355" s="495"/>
      <c r="Y355" s="495"/>
      <c r="Z355" s="495"/>
      <c r="AA355" s="495"/>
      <c r="AB355" s="495"/>
      <c r="AC355" s="495"/>
      <c r="AD355" s="495"/>
      <c r="AE355" s="495"/>
      <c r="AF355" s="495"/>
      <c r="AG355" s="495"/>
      <c r="AH355" s="495"/>
      <c r="AI355" s="495"/>
      <c r="AJ355" s="495"/>
      <c r="AK355" s="495"/>
      <c r="AL355" s="495"/>
      <c r="AM355" s="495"/>
      <c r="AN355" s="495"/>
      <c r="AO355" s="495"/>
      <c r="AP355" s="495"/>
      <c r="AQ355" s="495"/>
      <c r="AR355" s="495"/>
      <c r="AS355" s="495"/>
      <c r="AT355" s="495"/>
      <c r="AU355" s="495"/>
      <c r="AV355" s="495"/>
      <c r="AW355" s="495"/>
      <c r="AX355" s="495"/>
      <c r="AY355" s="495"/>
      <c r="AZ355" s="495"/>
      <c r="BA355" s="495"/>
      <c r="BB355" s="495"/>
      <c r="BC355" s="495"/>
      <c r="BD355" s="495"/>
      <c r="BE355" s="495"/>
      <c r="BF355" s="495"/>
      <c r="BG355" s="495"/>
      <c r="BH355" s="495"/>
      <c r="BI355" s="495"/>
      <c r="BJ355" s="495"/>
      <c r="BK355" s="495"/>
      <c r="BL355" s="495"/>
      <c r="BM355" s="495"/>
      <c r="BN355" s="495"/>
      <c r="BO355" s="495"/>
      <c r="BP355" s="495"/>
      <c r="BQ355" s="495"/>
      <c r="BR355" s="495"/>
      <c r="BS355" s="495"/>
      <c r="BT355" s="495"/>
      <c r="BU355" s="495"/>
    </row>
    <row r="356" spans="1:73" x14ac:dyDescent="0.2">
      <c r="A356" s="299"/>
      <c r="B356" s="299"/>
      <c r="C356" s="430" t="s">
        <v>212</v>
      </c>
      <c r="D356" s="299"/>
      <c r="E356" s="299"/>
      <c r="F356" s="299"/>
      <c r="G356" s="299"/>
      <c r="H356" s="299"/>
      <c r="I356" s="299"/>
      <c r="J356" s="299"/>
      <c r="K356" s="410" t="s">
        <v>62</v>
      </c>
      <c r="L356" s="299"/>
      <c r="M356" s="299"/>
      <c r="N356" s="417">
        <f>SUM(Q356:BJ356)</f>
        <v>-39919.832607139397</v>
      </c>
      <c r="O356" s="299"/>
      <c r="P356" s="299"/>
      <c r="Q356" s="417"/>
      <c r="R356" s="417"/>
      <c r="S356" s="417">
        <f>-(S60+S61+S63)* S$12*IF(S7=YEAR(Inputs!$L$29),((S9-Inputs!$L$29-1)/S15),1)</f>
        <v>0</v>
      </c>
      <c r="T356" s="417">
        <f>-(T60+T61+T63)* T$12*IF(T7=YEAR(Inputs!$L$29),((T9-Inputs!$L$29-1)/T15),1)</f>
        <v>-4059.6772151712776</v>
      </c>
      <c r="U356" s="417">
        <f>-(U60+U61+U63)* U$12*IF(U7=YEAR(Inputs!$L$29),((U9-Inputs!$L$29-1)/U15),1)</f>
        <v>-4243.6010544680348</v>
      </c>
      <c r="V356" s="417">
        <f>-(V60+V61+V63)* V$12*IF(V7=YEAR(Inputs!$L$29),((V9-Inputs!$L$29-1)/V15),1)</f>
        <v>-620.06160627387226</v>
      </c>
      <c r="W356" s="417">
        <f>-(W60+W61+W63)* W$12*IF(W7=YEAR(Inputs!$L$29),((W9-Inputs!$L$29-1)/W15),1)</f>
        <v>-598.19009871718208</v>
      </c>
      <c r="X356" s="417">
        <f>-(X60+X61+X63)* X$12*IF(X7=YEAR(Inputs!$L$29),((X9-Inputs!$L$29-1)/X15),1)</f>
        <v>-574.53146916952301</v>
      </c>
      <c r="Y356" s="417">
        <f>-(Y60+Y61+Y63)* Y$12*IF(Y7=YEAR(Inputs!$L$29),((Y9-Inputs!$L$29-1)/Y15),1)</f>
        <v>-571.84275998474368</v>
      </c>
      <c r="Z356" s="417">
        <f>-(Z60+Z61+Z63)* Z$12*IF(Z7=YEAR(Inputs!$L$29),((Z9-Inputs!$L$29-1)/Z15),1)</f>
        <v>-651.90116846485</v>
      </c>
      <c r="AA356" s="417">
        <f>-(AA60+AA61+AA63)* AA$12*IF(AA7=YEAR(Inputs!$L$29),((AA9-Inputs!$L$29-1)/AA15),1)</f>
        <v>-623.53257767851881</v>
      </c>
      <c r="AB356" s="417">
        <f>-(AB60+AB61+AB63)* AB$12*IF(AB7=YEAR(Inputs!$L$29),((AB9-Inputs!$L$29-1)/AB15),1)</f>
        <v>-552.9810486270876</v>
      </c>
      <c r="AC356" s="417">
        <f>-(AC60+AC61+AC63)* AC$12*IF(AC7=YEAR(Inputs!$L$29),((AC9-Inputs!$L$29-1)/AC15),1)</f>
        <v>-481.74077636285961</v>
      </c>
      <c r="AD356" s="417">
        <f>-(AD60+AD61+AD63)* AD$12*IF(AD7=YEAR(Inputs!$L$29),((AD9-Inputs!$L$29-1)/AD15),1)</f>
        <v>-1012.2851988190803</v>
      </c>
      <c r="AE356" s="417">
        <f>-(AE60+AE61+AE63)* AE$12*IF(AE7=YEAR(Inputs!$L$29),((AE9-Inputs!$L$29-1)/AE15),1)</f>
        <v>-4557.8948267262786</v>
      </c>
      <c r="AF356" s="417">
        <f>-(AF60+AF61+AF63)* AF$12*IF(AF7=YEAR(Inputs!$L$29),((AF9-Inputs!$L$29-1)/AF15),1)</f>
        <v>-805.37209364478747</v>
      </c>
      <c r="AG356" s="417">
        <f>-(AG60+AG61+AG63)* AG$12*IF(AG7=YEAR(Inputs!$L$29),((AG9-Inputs!$L$29-1)/AG15),1)</f>
        <v>-852.49144883395263</v>
      </c>
      <c r="AH356" s="417">
        <f>-(AH60+AH61+AH63)* AH$12*IF(AH7=YEAR(Inputs!$L$29),((AH9-Inputs!$L$29-1)/AH15),1)</f>
        <v>-918.38573709862681</v>
      </c>
      <c r="AI356" s="417">
        <f>-(AI60+AI61+AI63)* AI$12*IF(AI7=YEAR(Inputs!$L$29),((AI9-Inputs!$L$29-1)/AI15),1)</f>
        <v>-1101.2525622817232</v>
      </c>
      <c r="AJ356" s="417">
        <f>-(AJ60+AJ61+AJ63)* AJ$12*IF(AJ7=YEAR(Inputs!$L$29),((AJ9-Inputs!$L$29-1)/AJ15),1)</f>
        <v>-1302.9166437631004</v>
      </c>
      <c r="AK356" s="417">
        <f>-(AK60+AK61+AK63)* AK$12*IF(AK7=YEAR(Inputs!$L$29),((AK9-Inputs!$L$29-1)/AK15),1)</f>
        <v>-1425.8379476089751</v>
      </c>
      <c r="AL356" s="417">
        <f>-(AL60+AL61+AL63)* AL$12*IF(AL7=YEAR(Inputs!$L$29),((AL9-Inputs!$L$29-1)/AL15),1)</f>
        <v>-1578.9161503247726</v>
      </c>
      <c r="AM356" s="417">
        <f>-(AM60+AM61+AM63)* AM$12*IF(AM7=YEAR(Inputs!$L$29),((AM9-Inputs!$L$29-1)/AM15),1)</f>
        <v>-2159.404213224615</v>
      </c>
      <c r="AN356" s="417">
        <f>-(AN60+AN61+AN63)* AN$12*IF(AN7=YEAR(Inputs!$L$29),((AN9-Inputs!$L$29-1)/AN15),1)</f>
        <v>-3346.9204904898156</v>
      </c>
      <c r="AO356" s="417">
        <f>-(AO60+AO61+AO63)* AO$12*IF(AO7=YEAR(Inputs!$L$29),((AO9-Inputs!$L$29-1)/AO15),1)</f>
        <v>-3639.5562601556812</v>
      </c>
      <c r="AP356" s="417">
        <f>-(AP60+AP61+AP63)* AP$12*IF(AP7=YEAR(Inputs!$L$29),((AP9-Inputs!$L$29-1)/AP15),1)</f>
        <v>-513.17546139057026</v>
      </c>
      <c r="AQ356" s="417">
        <f>-(AQ60+AQ61+AQ63)* AQ$12*IF(AQ7=YEAR(Inputs!$L$29),((AQ9-Inputs!$L$29-1)/AQ15),1)</f>
        <v>-437.85256747595884</v>
      </c>
      <c r="AR356" s="417">
        <f>-(AR60+AR61+AR63)* AR$12*IF(AR7=YEAR(Inputs!$L$29),((AR9-Inputs!$L$29-1)/AR15),1)</f>
        <v>-369.29863323855659</v>
      </c>
      <c r="AS356" s="417">
        <f>-(AS60+AS61+AS63)* AS$12*IF(AS7=YEAR(Inputs!$L$29),((AS9-Inputs!$L$29-1)/AS15),1)</f>
        <v>-306.93332757294644</v>
      </c>
      <c r="AT356" s="417">
        <f>-(AT60+AT61+AT63)* AT$12*IF(AT7=YEAR(Inputs!$L$29),((AT9-Inputs!$L$29-1)/AT15),1)</f>
        <v>-250.22669328218672</v>
      </c>
      <c r="AU356" s="417">
        <f>-(AU60+AU61+AU63)* AU$12*IF(AU7=YEAR(Inputs!$L$29),((AU9-Inputs!$L$29-1)/AU15),1)</f>
        <v>-198.69478891433511</v>
      </c>
      <c r="AV356" s="417">
        <f>-(AV60+AV61+AV63)* AV$12*IF(AV7=YEAR(Inputs!$L$29),((AV9-Inputs!$L$29-1)/AV15),1)</f>
        <v>-151.89570798127258</v>
      </c>
      <c r="AW356" s="417">
        <f>-(AW60+AW61+AW63)* AW$12*IF(AW7=YEAR(Inputs!$L$29),((AW9-Inputs!$L$29-1)/AW15),1)</f>
        <v>-115.28619144946826</v>
      </c>
      <c r="AX356" s="417">
        <f>-(AX60+AX61+AX63)* AX$12*IF(AX7=YEAR(Inputs!$L$29),((AX9-Inputs!$L$29-1)/AX15),1)</f>
        <v>-1130.3507605514185</v>
      </c>
      <c r="AY356" s="417">
        <f>-(AY60+AY61+AY63)* AY$12*IF(AY7=YEAR(Inputs!$L$29),((AY9-Inputs!$L$29-1)/AY15),1)</f>
        <v>-120.65034265142054</v>
      </c>
      <c r="AZ356" s="417">
        <f>-(AZ60+AZ61+AZ63)* AZ$12*IF(AZ7=YEAR(Inputs!$L$29),((AZ9-Inputs!$L$29-1)/AZ15),1)</f>
        <v>-123.4253005324032</v>
      </c>
      <c r="BA356" s="417">
        <f>-(BA60+BA61+BA63)* BA$12*IF(BA7=YEAR(Inputs!$L$29),((BA9-Inputs!$L$29-1)/BA15),1)</f>
        <v>-126.26408244464847</v>
      </c>
      <c r="BB356" s="417">
        <f>-(BB60+BB61+BB63)* BB$12*IF(BB7=YEAR(Inputs!$L$29),((BB9-Inputs!$L$29-1)/BB15),1)</f>
        <v>-129.16815634087538</v>
      </c>
      <c r="BC356" s="417">
        <f>-(BC60+BC61+BC63)* BC$12*IF(BC7=YEAR(Inputs!$L$29),((BC9-Inputs!$L$29-1)/BC15),1)</f>
        <v>-132.13902393671552</v>
      </c>
      <c r="BD356" s="417">
        <f>-(BD60+BD61+BD63)* BD$12*IF(BD7=YEAR(Inputs!$L$29),((BD9-Inputs!$L$29-1)/BD15),1)</f>
        <v>-135.17822148725995</v>
      </c>
      <c r="BE356" s="417">
        <f>-(BE60+BE61+BE63)* BE$12*IF(BE7=YEAR(Inputs!$L$29),((BE9-Inputs!$L$29-1)/BE15),1)</f>
        <v>0</v>
      </c>
      <c r="BF356" s="417">
        <f>-(BF60+BF61+BF63)* BF$12*IF(BF7=YEAR(Inputs!$L$29),((BF9-Inputs!$L$29-1)/BF15),1)</f>
        <v>0</v>
      </c>
      <c r="BG356" s="417">
        <f>-(BG60+BG61+BG63)* BG$12*IF(BG7=YEAR(Inputs!$L$29),((BG9-Inputs!$L$29-1)/BG15),1)</f>
        <v>0</v>
      </c>
      <c r="BH356" s="417">
        <f>-(BH60+BH61+BH63)* BH$12*IF(BH7=YEAR(Inputs!$L$29),((BH9-Inputs!$L$29-1)/BH15),1)</f>
        <v>0</v>
      </c>
      <c r="BI356" s="417">
        <f>-(BI60+BI61+BI63)* BI$12*IF(BI7=YEAR(Inputs!$L$29),((BI9-Inputs!$L$29-1)/BI15),1)</f>
        <v>0</v>
      </c>
      <c r="BJ356" s="417">
        <f>-(BJ60+BJ61+BJ63)* BJ$12*IF(BJ7=YEAR(Inputs!$L$29),((BJ9-Inputs!$L$29-1)/BJ15),1)</f>
        <v>0</v>
      </c>
      <c r="BK356" s="417"/>
      <c r="BL356" s="417"/>
      <c r="BM356" s="417"/>
      <c r="BN356" s="417"/>
      <c r="BO356" s="417"/>
      <c r="BP356" s="417"/>
      <c r="BQ356" s="417"/>
      <c r="BR356" s="417"/>
      <c r="BS356" s="417"/>
      <c r="BT356" s="417"/>
      <c r="BU356" s="417"/>
    </row>
    <row r="357" spans="1:73" x14ac:dyDescent="0.2">
      <c r="A357" s="299"/>
      <c r="B357" s="299"/>
      <c r="C357" s="430" t="s">
        <v>213</v>
      </c>
      <c r="D357" s="299"/>
      <c r="E357" s="299"/>
      <c r="F357" s="299"/>
      <c r="G357" s="299"/>
      <c r="H357" s="299"/>
      <c r="I357" s="299"/>
      <c r="J357" s="299"/>
      <c r="K357" s="410" t="s">
        <v>62</v>
      </c>
      <c r="L357" s="299"/>
      <c r="M357" s="417"/>
      <c r="N357" s="417">
        <f>SUM(Q357:BJ357)</f>
        <v>-1610978.7670126478</v>
      </c>
      <c r="O357" s="299"/>
      <c r="P357" s="299"/>
      <c r="Q357" s="417"/>
      <c r="R357" s="417"/>
      <c r="S357" s="417">
        <f>+(S23+S55+S31)*S$12 * Oper!S12</f>
        <v>-27873.78125</v>
      </c>
      <c r="T357" s="417">
        <f>+(T23+T55+T31)*T$12 * Oper!T12</f>
        <v>-27873.78125</v>
      </c>
      <c r="U357" s="417">
        <f>+(U23+U55+U31)*U$12 * Oper!U12</f>
        <v>-21394.319090938956</v>
      </c>
      <c r="V357" s="417">
        <f>+(V23+V55+V31)*V$12 * Oper!V12</f>
        <v>-21533.072623482854</v>
      </c>
      <c r="W357" s="417">
        <f>+(W23+W55+W31)*W$12 * Oper!W12</f>
        <v>-21796.574478152332</v>
      </c>
      <c r="X357" s="417">
        <f>+(X23+X55+X31)*X$12 * Oper!X12</f>
        <v>-22080.654547014004</v>
      </c>
      <c r="Y357" s="417">
        <f>+(Y23+Y55+Y31)*Y$12 * Oper!Y12</f>
        <v>-22478.809003345694</v>
      </c>
      <c r="Z357" s="417">
        <f>+(Z23+Z55+Z31)*Z$12 * Oper!Z12</f>
        <v>-23012.815902482387</v>
      </c>
      <c r="AA357" s="417">
        <f>+(AA23+AA55+AA31)*AA$12 * Oper!AA12</f>
        <v>-24066.146323830177</v>
      </c>
      <c r="AB357" s="417">
        <f>+(AB23+AB55+AB31)*AB$12 * Oper!AB12</f>
        <v>-25095.786012695826</v>
      </c>
      <c r="AC357" s="417">
        <f>+(AC23+AC55+AC31)*AC$12 * Oper!AC12</f>
        <v>-25994.513872108193</v>
      </c>
      <c r="AD357" s="417">
        <f>+(AD23+AD55+AD31)*AD$12 * Oper!AD12</f>
        <v>-26546.655917501525</v>
      </c>
      <c r="AE357" s="417">
        <f>+(AE23+AE55+AE31)*AE$12 * Oper!AE12</f>
        <v>-26994.435548383903</v>
      </c>
      <c r="AF357" s="417">
        <f>+(AF23+AF55+AF31)*AF$12 * Oper!AF12</f>
        <v>-27576.108793610329</v>
      </c>
      <c r="AG357" s="417">
        <f>+(AG23+AG55+AG31)*AG$12 * Oper!AG12</f>
        <v>-28940.262453783151</v>
      </c>
      <c r="AH357" s="417">
        <f>+(AH23+AH55+AH31)*AH$12 * Oper!AH12</f>
        <v>-30631.501561227979</v>
      </c>
      <c r="AI357" s="417">
        <f>+(AI23+AI55+AI31)*AI$12 * Oper!AI12</f>
        <v>-33133.864127427769</v>
      </c>
      <c r="AJ357" s="417">
        <f>+(AJ23+AJ55+AJ31)*AJ$12 * Oper!AJ12</f>
        <v>-36877.707184973508</v>
      </c>
      <c r="AK357" s="417">
        <f>+(AK23+AK55+AK31)*AK$12 * Oper!AK12</f>
        <v>-41966.709009774713</v>
      </c>
      <c r="AL357" s="417">
        <f>+(AL23+AL55+AL31)*AL$12 * Oper!AL12</f>
        <v>-47805.075051783657</v>
      </c>
      <c r="AM357" s="417">
        <f>+(AM23+AM55+AM31)*AM$12 * Oper!AM12</f>
        <v>-55455.834092569632</v>
      </c>
      <c r="AN357" s="417">
        <f>+(AN23+AN55+AN31)*AN$12 * Oper!AN12</f>
        <v>-66051.790461043929</v>
      </c>
      <c r="AO357" s="417">
        <f>+(AO23+AO55+AO31)*AO$12 * Oper!AO12</f>
        <v>-75247.537943107614</v>
      </c>
      <c r="AP357" s="417">
        <f>+(AP23+AP55+AP31)*AP$12 * Oper!AP12</f>
        <v>-75848.411660478436</v>
      </c>
      <c r="AQ357" s="417">
        <f>+(AQ23+AQ55+AQ31)*AQ$12 * Oper!AQ12</f>
        <v>-76690.153839572173</v>
      </c>
      <c r="AR357" s="417">
        <f>+(AR23+AR55+AR31)*AR$12 * Oper!AR12</f>
        <v>-77459.021232605737</v>
      </c>
      <c r="AS357" s="417">
        <f>+(AS23+AS55+AS31)*AS$12 * Oper!AS12</f>
        <v>-78375.463668142591</v>
      </c>
      <c r="AT357" s="417">
        <f>+(AT23+AT55+AT31)*AT$12 * Oper!AT12</f>
        <v>-78802.822302612563</v>
      </c>
      <c r="AU357" s="417">
        <f>+(AU23+AU55+AU31)*AU$12 * Oper!AU12</f>
        <v>-77918.428145632293</v>
      </c>
      <c r="AV357" s="417">
        <f>+(AV23+AV55+AV31)*AV$12 * Oper!AV12</f>
        <v>-72478.798839589537</v>
      </c>
      <c r="AW357" s="417">
        <f>+(AW23+AW55+AW31)*AW$12 * Oper!AW12</f>
        <v>-66715.682786605292</v>
      </c>
      <c r="AX357" s="417">
        <f>+(AX23+AX55+AX31)*AX$12 * Oper!AX12</f>
        <v>-59932.708558178914</v>
      </c>
      <c r="AY357" s="417">
        <f>+(AY23+AY55+AY31)*AY$12 * Oper!AY12</f>
        <v>-52788.654653238365</v>
      </c>
      <c r="AZ357" s="417">
        <f>+(AZ23+AZ55+AZ31)*AZ$12 * Oper!AZ12</f>
        <v>-44679.057853223916</v>
      </c>
      <c r="BA357" s="417">
        <f>+(BA23+BA55+BA31)*BA$12 * Oper!BA12</f>
        <v>-36242.731076609285</v>
      </c>
      <c r="BB357" s="417">
        <f>+(BB23+BB55+BB31)*BB$12 * Oper!BB12</f>
        <v>-27160.250681012705</v>
      </c>
      <c r="BC357" s="417">
        <f>+(BC23+BC55+BC31)*BC$12 * Oper!BC12</f>
        <v>-17705.162672456412</v>
      </c>
      <c r="BD357" s="417">
        <f>+(BD23+BD55+BD31)*BD$12 * Oper!BD12</f>
        <v>-7753.6825434509183</v>
      </c>
      <c r="BE357" s="417">
        <f>+(BE23+BE55+BE31)*BE$12 * Oper!BE12</f>
        <v>0</v>
      </c>
      <c r="BF357" s="417">
        <f>+(BF23+BF55+BF31)*BF$12 * Oper!BF12</f>
        <v>0</v>
      </c>
      <c r="BG357" s="417">
        <f>+(BG23+BG55+BG31)*BG$12 * Oper!BG12</f>
        <v>0</v>
      </c>
      <c r="BH357" s="417">
        <f>+(BH23+BH55+BH31)*BH$12 * Oper!BH12</f>
        <v>0</v>
      </c>
      <c r="BI357" s="417">
        <f>+(BI23+BI55+BI31)*BI$12 * Oper!BI12</f>
        <v>0</v>
      </c>
      <c r="BJ357" s="417">
        <f>+(BJ23+BJ55+BJ31)*BJ$12 * Oper!BJ12</f>
        <v>0</v>
      </c>
      <c r="BK357" s="417"/>
      <c r="BL357" s="417"/>
      <c r="BM357" s="417"/>
      <c r="BN357" s="417"/>
      <c r="BO357" s="417"/>
      <c r="BP357" s="417"/>
      <c r="BQ357" s="417"/>
      <c r="BR357" s="417"/>
      <c r="BS357" s="417"/>
      <c r="BT357" s="417"/>
      <c r="BU357" s="417"/>
    </row>
    <row r="358" spans="1:73" x14ac:dyDescent="0.2">
      <c r="A358" s="299"/>
      <c r="B358" s="299"/>
      <c r="C358" s="431" t="s">
        <v>214</v>
      </c>
      <c r="D358" s="426"/>
      <c r="E358" s="426"/>
      <c r="F358" s="426"/>
      <c r="G358" s="426"/>
      <c r="H358" s="426"/>
      <c r="I358" s="426"/>
      <c r="J358" s="426"/>
      <c r="K358" s="630" t="s">
        <v>62</v>
      </c>
      <c r="L358" s="426"/>
      <c r="M358" s="426"/>
      <c r="N358" s="427">
        <f>SUM(Q358:BJ358)</f>
        <v>-1248464.7640623425</v>
      </c>
      <c r="O358" s="426"/>
      <c r="P358" s="426"/>
      <c r="Q358" s="427"/>
      <c r="R358" s="427"/>
      <c r="S358" s="427">
        <f>+S24+S56+S51+S50</f>
        <v>0</v>
      </c>
      <c r="T358" s="427">
        <f t="shared" ref="T358:BJ358" si="402">+T24+T56+T51+T50</f>
        <v>0</v>
      </c>
      <c r="U358" s="427">
        <f t="shared" si="402"/>
        <v>0</v>
      </c>
      <c r="V358" s="427">
        <f t="shared" si="402"/>
        <v>0</v>
      </c>
      <c r="W358" s="427">
        <f t="shared" si="402"/>
        <v>0</v>
      </c>
      <c r="X358" s="427">
        <f t="shared" si="402"/>
        <v>0</v>
      </c>
      <c r="Y358" s="427">
        <f t="shared" si="402"/>
        <v>0</v>
      </c>
      <c r="Z358" s="427">
        <f t="shared" si="402"/>
        <v>0</v>
      </c>
      <c r="AA358" s="427">
        <f t="shared" si="402"/>
        <v>0</v>
      </c>
      <c r="AB358" s="427">
        <f t="shared" si="402"/>
        <v>0</v>
      </c>
      <c r="AC358" s="427">
        <f t="shared" si="402"/>
        <v>0</v>
      </c>
      <c r="AD358" s="427">
        <f t="shared" si="402"/>
        <v>60232.461668248776</v>
      </c>
      <c r="AE358" s="427">
        <f t="shared" si="402"/>
        <v>0</v>
      </c>
      <c r="AF358" s="427">
        <f t="shared" si="402"/>
        <v>0</v>
      </c>
      <c r="AG358" s="427">
        <f t="shared" si="402"/>
        <v>0</v>
      </c>
      <c r="AH358" s="427">
        <f t="shared" si="402"/>
        <v>0</v>
      </c>
      <c r="AI358" s="427">
        <f t="shared" si="402"/>
        <v>0</v>
      </c>
      <c r="AJ358" s="427">
        <f t="shared" si="402"/>
        <v>0</v>
      </c>
      <c r="AK358" s="427">
        <f t="shared" si="402"/>
        <v>0</v>
      </c>
      <c r="AL358" s="427">
        <f t="shared" si="402"/>
        <v>0</v>
      </c>
      <c r="AM358" s="427">
        <f t="shared" si="402"/>
        <v>0</v>
      </c>
      <c r="AN358" s="427">
        <f t="shared" si="402"/>
        <v>97389.372340160786</v>
      </c>
      <c r="AO358" s="427">
        <f t="shared" si="402"/>
        <v>0</v>
      </c>
      <c r="AP358" s="427">
        <f t="shared" si="402"/>
        <v>0</v>
      </c>
      <c r="AQ358" s="427">
        <f t="shared" si="402"/>
        <v>0</v>
      </c>
      <c r="AR358" s="427">
        <f t="shared" si="402"/>
        <v>0</v>
      </c>
      <c r="AS358" s="427">
        <f t="shared" si="402"/>
        <v>0</v>
      </c>
      <c r="AT358" s="427">
        <f t="shared" si="402"/>
        <v>0</v>
      </c>
      <c r="AU358" s="427">
        <f t="shared" si="402"/>
        <v>-110492.42121866169</v>
      </c>
      <c r="AV358" s="427">
        <f t="shared" si="402"/>
        <v>-116293.2733326414</v>
      </c>
      <c r="AW358" s="427">
        <f t="shared" si="402"/>
        <v>-122398.67018260507</v>
      </c>
      <c r="AX358" s="427">
        <f t="shared" si="402"/>
        <v>-27583.301697330578</v>
      </c>
      <c r="AY358" s="427">
        <f t="shared" si="402"/>
        <v>-150378.78197027749</v>
      </c>
      <c r="AZ358" s="427">
        <f t="shared" si="402"/>
        <v>-158273.66802371704</v>
      </c>
      <c r="BA358" s="427">
        <f t="shared" si="402"/>
        <v>-166583.03559496219</v>
      </c>
      <c r="BB358" s="427">
        <f t="shared" si="402"/>
        <v>-175328.6449636977</v>
      </c>
      <c r="BC358" s="427">
        <f t="shared" si="402"/>
        <v>-184533.39882429174</v>
      </c>
      <c r="BD358" s="427">
        <f t="shared" si="402"/>
        <v>-194221.40226256705</v>
      </c>
      <c r="BE358" s="427">
        <f t="shared" si="402"/>
        <v>0</v>
      </c>
      <c r="BF358" s="427">
        <f t="shared" si="402"/>
        <v>0</v>
      </c>
      <c r="BG358" s="427">
        <f t="shared" si="402"/>
        <v>0</v>
      </c>
      <c r="BH358" s="427">
        <f t="shared" si="402"/>
        <v>0</v>
      </c>
      <c r="BI358" s="427">
        <f t="shared" si="402"/>
        <v>0</v>
      </c>
      <c r="BJ358" s="427">
        <f t="shared" si="402"/>
        <v>0</v>
      </c>
      <c r="BK358" s="427"/>
      <c r="BL358" s="427"/>
      <c r="BM358" s="427"/>
      <c r="BN358" s="427"/>
      <c r="BO358" s="427"/>
      <c r="BP358" s="427"/>
      <c r="BQ358" s="427"/>
      <c r="BR358" s="427"/>
      <c r="BS358" s="427"/>
      <c r="BT358" s="427"/>
      <c r="BU358" s="427"/>
    </row>
    <row r="359" spans="1:73" x14ac:dyDescent="0.2">
      <c r="A359" s="452"/>
      <c r="B359" s="452"/>
      <c r="C359" s="432" t="s">
        <v>215</v>
      </c>
      <c r="D359" s="452"/>
      <c r="E359" s="452"/>
      <c r="F359" s="452"/>
      <c r="G359" s="452"/>
      <c r="H359" s="452"/>
      <c r="I359" s="452"/>
      <c r="J359" s="452"/>
      <c r="K359" s="646" t="s">
        <v>62</v>
      </c>
      <c r="L359" s="452"/>
      <c r="M359" s="452"/>
      <c r="N359" s="495">
        <f>SUM(Q359:BJ359)</f>
        <v>-2899363.363682129</v>
      </c>
      <c r="O359" s="452"/>
      <c r="P359" s="452"/>
      <c r="Q359" s="495"/>
      <c r="R359" s="495"/>
      <c r="S359" s="495">
        <f t="shared" ref="S359:AO359" si="403">SUM(S356:S358)</f>
        <v>-27873.78125</v>
      </c>
      <c r="T359" s="495">
        <f t="shared" si="403"/>
        <v>-31933.458465171279</v>
      </c>
      <c r="U359" s="495">
        <f t="shared" si="403"/>
        <v>-25637.920145406992</v>
      </c>
      <c r="V359" s="495">
        <f t="shared" si="403"/>
        <v>-22153.134229756728</v>
      </c>
      <c r="W359" s="495">
        <f t="shared" si="403"/>
        <v>-22394.764576869515</v>
      </c>
      <c r="X359" s="495">
        <f t="shared" si="403"/>
        <v>-22655.186016183528</v>
      </c>
      <c r="Y359" s="495">
        <f t="shared" si="403"/>
        <v>-23050.651763330439</v>
      </c>
      <c r="Z359" s="495">
        <f t="shared" si="403"/>
        <v>-23664.717070947238</v>
      </c>
      <c r="AA359" s="495">
        <f t="shared" si="403"/>
        <v>-24689.678901508694</v>
      </c>
      <c r="AB359" s="495">
        <f t="shared" si="403"/>
        <v>-25648.767061322913</v>
      </c>
      <c r="AC359" s="495">
        <f t="shared" si="403"/>
        <v>-26476.254648471051</v>
      </c>
      <c r="AD359" s="495">
        <f t="shared" si="403"/>
        <v>32673.52055192817</v>
      </c>
      <c r="AE359" s="495">
        <f t="shared" si="403"/>
        <v>-31552.330375110181</v>
      </c>
      <c r="AF359" s="495">
        <f t="shared" si="403"/>
        <v>-28381.480887255115</v>
      </c>
      <c r="AG359" s="495">
        <f t="shared" si="403"/>
        <v>-29792.753902617103</v>
      </c>
      <c r="AH359" s="495">
        <f t="shared" si="403"/>
        <v>-31549.887298326605</v>
      </c>
      <c r="AI359" s="495">
        <f t="shared" si="403"/>
        <v>-34235.116689709495</v>
      </c>
      <c r="AJ359" s="495">
        <f t="shared" si="403"/>
        <v>-38180.623828736607</v>
      </c>
      <c r="AK359" s="495">
        <f t="shared" si="403"/>
        <v>-43392.546957383689</v>
      </c>
      <c r="AL359" s="495">
        <f t="shared" si="403"/>
        <v>-49383.991202108431</v>
      </c>
      <c r="AM359" s="495">
        <f t="shared" si="403"/>
        <v>-57615.23830579425</v>
      </c>
      <c r="AN359" s="495">
        <f t="shared" si="403"/>
        <v>27990.661388627035</v>
      </c>
      <c r="AO359" s="495">
        <f t="shared" si="403"/>
        <v>-78887.094203263288</v>
      </c>
      <c r="AP359" s="495">
        <f t="shared" ref="AP359:BJ359" si="404">SUM(AP356:AP358)</f>
        <v>-76361.587121869001</v>
      </c>
      <c r="AQ359" s="495">
        <f t="shared" si="404"/>
        <v>-77128.006407048131</v>
      </c>
      <c r="AR359" s="495">
        <f t="shared" si="404"/>
        <v>-77828.3198658443</v>
      </c>
      <c r="AS359" s="495">
        <f t="shared" si="404"/>
        <v>-78682.396995715535</v>
      </c>
      <c r="AT359" s="495">
        <f t="shared" si="404"/>
        <v>-79053.048995894744</v>
      </c>
      <c r="AU359" s="495">
        <f t="shared" si="404"/>
        <v>-188609.54415320832</v>
      </c>
      <c r="AV359" s="495">
        <f t="shared" si="404"/>
        <v>-188923.96788021221</v>
      </c>
      <c r="AW359" s="495">
        <f t="shared" si="404"/>
        <v>-189229.63916065983</v>
      </c>
      <c r="AX359" s="495">
        <f t="shared" si="404"/>
        <v>-88646.36101606091</v>
      </c>
      <c r="AY359" s="495">
        <f t="shared" si="404"/>
        <v>-203288.08696616726</v>
      </c>
      <c r="AZ359" s="495">
        <f t="shared" si="404"/>
        <v>-203076.15117747337</v>
      </c>
      <c r="BA359" s="495">
        <f t="shared" si="404"/>
        <v>-202952.03075401613</v>
      </c>
      <c r="BB359" s="495">
        <f t="shared" si="404"/>
        <v>-202618.06380105129</v>
      </c>
      <c r="BC359" s="495">
        <f t="shared" si="404"/>
        <v>-202370.70052068486</v>
      </c>
      <c r="BD359" s="495">
        <f t="shared" si="404"/>
        <v>-202110.26302750522</v>
      </c>
      <c r="BE359" s="495">
        <f t="shared" si="404"/>
        <v>0</v>
      </c>
      <c r="BF359" s="495">
        <f t="shared" si="404"/>
        <v>0</v>
      </c>
      <c r="BG359" s="495">
        <f t="shared" si="404"/>
        <v>0</v>
      </c>
      <c r="BH359" s="495">
        <f t="shared" si="404"/>
        <v>0</v>
      </c>
      <c r="BI359" s="495">
        <f t="shared" si="404"/>
        <v>0</v>
      </c>
      <c r="BJ359" s="495">
        <f t="shared" si="404"/>
        <v>0</v>
      </c>
      <c r="BK359" s="495"/>
      <c r="BL359" s="495"/>
      <c r="BM359" s="495"/>
      <c r="BN359" s="495"/>
      <c r="BO359" s="495"/>
      <c r="BP359" s="495"/>
      <c r="BQ359" s="495"/>
      <c r="BR359" s="495"/>
      <c r="BS359" s="495"/>
      <c r="BT359" s="495"/>
      <c r="BU359" s="495"/>
    </row>
    <row r="360" spans="1:73" x14ac:dyDescent="0.2">
      <c r="A360" s="299"/>
      <c r="B360" s="299"/>
      <c r="C360" s="430"/>
      <c r="D360" s="299"/>
      <c r="E360" s="299"/>
      <c r="F360" s="299"/>
      <c r="G360" s="299"/>
      <c r="H360" s="299"/>
      <c r="I360" s="299"/>
      <c r="J360" s="299"/>
      <c r="K360" s="410"/>
      <c r="L360" s="299"/>
      <c r="M360" s="299"/>
      <c r="N360" s="299"/>
      <c r="O360" s="299"/>
      <c r="P360" s="299"/>
      <c r="Q360" s="417"/>
      <c r="R360" s="417"/>
      <c r="S360" s="417"/>
      <c r="T360" s="417"/>
      <c r="U360" s="417"/>
      <c r="V360" s="417"/>
      <c r="W360" s="417"/>
      <c r="X360" s="417"/>
      <c r="Y360" s="417"/>
      <c r="Z360" s="417"/>
      <c r="AA360" s="417"/>
      <c r="AB360" s="417"/>
      <c r="AC360" s="417"/>
      <c r="AD360" s="417"/>
      <c r="AE360" s="417"/>
      <c r="AF360" s="417"/>
      <c r="AG360" s="417"/>
      <c r="AH360" s="417"/>
      <c r="AI360" s="417"/>
      <c r="AJ360" s="417"/>
      <c r="AK360" s="417"/>
      <c r="AL360" s="417"/>
      <c r="AM360" s="417"/>
      <c r="AN360" s="417"/>
      <c r="AO360" s="417"/>
      <c r="AP360" s="417"/>
      <c r="AQ360" s="417"/>
      <c r="AR360" s="417"/>
      <c r="AS360" s="417"/>
      <c r="AT360" s="417"/>
      <c r="AU360" s="417"/>
      <c r="AV360" s="417"/>
      <c r="AW360" s="417"/>
      <c r="AX360" s="417"/>
      <c r="AY360" s="417"/>
      <c r="AZ360" s="417"/>
      <c r="BA360" s="417"/>
      <c r="BB360" s="417"/>
      <c r="BC360" s="417"/>
      <c r="BD360" s="417"/>
      <c r="BE360" s="417"/>
      <c r="BF360" s="417"/>
      <c r="BG360" s="417"/>
      <c r="BH360" s="417"/>
      <c r="BI360" s="417"/>
      <c r="BJ360" s="417"/>
      <c r="BK360" s="417"/>
      <c r="BL360" s="417"/>
      <c r="BM360" s="417"/>
      <c r="BN360" s="417"/>
      <c r="BO360" s="417"/>
      <c r="BP360" s="417"/>
      <c r="BQ360" s="417"/>
      <c r="BR360" s="417"/>
      <c r="BS360" s="417"/>
      <c r="BT360" s="417"/>
      <c r="BU360" s="417"/>
    </row>
    <row r="361" spans="1:73" x14ac:dyDescent="0.2">
      <c r="A361" s="299"/>
      <c r="B361" s="299"/>
      <c r="C361" s="430" t="s">
        <v>216</v>
      </c>
      <c r="D361" s="299"/>
      <c r="E361" s="299"/>
      <c r="F361" s="299"/>
      <c r="G361" s="299"/>
      <c r="H361" s="299"/>
      <c r="I361" s="299"/>
      <c r="J361" s="299"/>
      <c r="K361" s="410" t="s">
        <v>62</v>
      </c>
      <c r="L361" s="299"/>
      <c r="M361" s="299"/>
      <c r="N361" s="417">
        <f>SUM(Q361:BJ361)</f>
        <v>-1794.4636664588454</v>
      </c>
      <c r="O361" s="299"/>
      <c r="P361" s="299"/>
      <c r="Q361" s="417"/>
      <c r="R361" s="417"/>
      <c r="S361" s="417">
        <f t="shared" ref="S361:BJ361" si="405">-(S123) * S$12</f>
        <v>0</v>
      </c>
      <c r="T361" s="417">
        <f t="shared" si="405"/>
        <v>-67.491689346742817</v>
      </c>
      <c r="U361" s="417">
        <f t="shared" si="405"/>
        <v>-69.010252357044521</v>
      </c>
      <c r="V361" s="417">
        <f t="shared" si="405"/>
        <v>-70.56298303507802</v>
      </c>
      <c r="W361" s="417">
        <f t="shared" si="405"/>
        <v>-72.185931644884803</v>
      </c>
      <c r="X361" s="417">
        <f t="shared" si="405"/>
        <v>-73.846208072717147</v>
      </c>
      <c r="Y361" s="417">
        <f t="shared" si="405"/>
        <v>-75.544670858389637</v>
      </c>
      <c r="Z361" s="417">
        <f t="shared" si="405"/>
        <v>-77.282198288132577</v>
      </c>
      <c r="AA361" s="417">
        <f t="shared" si="405"/>
        <v>-79.059688848759635</v>
      </c>
      <c r="AB361" s="417">
        <f t="shared" si="405"/>
        <v>-80.878061692281079</v>
      </c>
      <c r="AC361" s="417">
        <f t="shared" si="405"/>
        <v>-82.738257111203552</v>
      </c>
      <c r="AD361" s="417">
        <f t="shared" si="405"/>
        <v>-84.64123702476121</v>
      </c>
      <c r="AE361" s="417">
        <f t="shared" si="405"/>
        <v>-86.587985476330715</v>
      </c>
      <c r="AF361" s="417">
        <f t="shared" si="405"/>
        <v>-88.579509142286327</v>
      </c>
      <c r="AG361" s="417">
        <f t="shared" si="405"/>
        <v>-90.616837852558902</v>
      </c>
      <c r="AH361" s="417">
        <f t="shared" si="405"/>
        <v>-92.701025123167753</v>
      </c>
      <c r="AI361" s="417">
        <f t="shared" si="405"/>
        <v>-94.833148701000596</v>
      </c>
      <c r="AJ361" s="417">
        <f t="shared" si="405"/>
        <v>-97.014311121123598</v>
      </c>
      <c r="AK361" s="417">
        <f t="shared" si="405"/>
        <v>-99.245640276909427</v>
      </c>
      <c r="AL361" s="417">
        <f t="shared" si="405"/>
        <v>-101.52829000327834</v>
      </c>
      <c r="AM361" s="417">
        <f t="shared" si="405"/>
        <v>-103.86344067335374</v>
      </c>
      <c r="AN361" s="417">
        <f t="shared" si="405"/>
        <v>-106.25229980884086</v>
      </c>
      <c r="AO361" s="417">
        <f t="shared" si="405"/>
        <v>0</v>
      </c>
      <c r="AP361" s="417">
        <f t="shared" si="405"/>
        <v>0</v>
      </c>
      <c r="AQ361" s="417">
        <f t="shared" si="405"/>
        <v>0</v>
      </c>
      <c r="AR361" s="417">
        <f t="shared" si="405"/>
        <v>0</v>
      </c>
      <c r="AS361" s="417">
        <f t="shared" si="405"/>
        <v>0</v>
      </c>
      <c r="AT361" s="417">
        <f t="shared" si="405"/>
        <v>0</v>
      </c>
      <c r="AU361" s="417">
        <f t="shared" si="405"/>
        <v>0</v>
      </c>
      <c r="AV361" s="417">
        <f t="shared" si="405"/>
        <v>0</v>
      </c>
      <c r="AW361" s="417">
        <f t="shared" si="405"/>
        <v>0</v>
      </c>
      <c r="AX361" s="417">
        <f t="shared" si="405"/>
        <v>0</v>
      </c>
      <c r="AY361" s="417">
        <f t="shared" si="405"/>
        <v>0</v>
      </c>
      <c r="AZ361" s="417">
        <f t="shared" si="405"/>
        <v>0</v>
      </c>
      <c r="BA361" s="417">
        <f t="shared" si="405"/>
        <v>0</v>
      </c>
      <c r="BB361" s="417">
        <f t="shared" si="405"/>
        <v>0</v>
      </c>
      <c r="BC361" s="417">
        <f t="shared" si="405"/>
        <v>0</v>
      </c>
      <c r="BD361" s="417">
        <f t="shared" si="405"/>
        <v>0</v>
      </c>
      <c r="BE361" s="417">
        <f t="shared" si="405"/>
        <v>0</v>
      </c>
      <c r="BF361" s="417">
        <f t="shared" si="405"/>
        <v>0</v>
      </c>
      <c r="BG361" s="417">
        <f t="shared" si="405"/>
        <v>0</v>
      </c>
      <c r="BH361" s="417">
        <f t="shared" si="405"/>
        <v>0</v>
      </c>
      <c r="BI361" s="417">
        <f t="shared" si="405"/>
        <v>0</v>
      </c>
      <c r="BJ361" s="417">
        <f t="shared" si="405"/>
        <v>0</v>
      </c>
      <c r="BK361" s="417"/>
      <c r="BL361" s="417"/>
      <c r="BM361" s="417"/>
      <c r="BN361" s="417"/>
      <c r="BO361" s="417"/>
      <c r="BP361" s="417"/>
      <c r="BQ361" s="417"/>
      <c r="BR361" s="417"/>
      <c r="BS361" s="417"/>
      <c r="BT361" s="417"/>
      <c r="BU361" s="417"/>
    </row>
    <row r="362" spans="1:73" x14ac:dyDescent="0.2">
      <c r="A362" s="299"/>
      <c r="B362" s="299"/>
      <c r="C362" s="430" t="s">
        <v>217</v>
      </c>
      <c r="D362" s="299"/>
      <c r="E362" s="299"/>
      <c r="F362" s="299"/>
      <c r="G362" s="299"/>
      <c r="H362" s="299"/>
      <c r="I362" s="299"/>
      <c r="J362" s="299"/>
      <c r="K362" s="410" t="s">
        <v>62</v>
      </c>
      <c r="L362" s="299"/>
      <c r="M362" s="299"/>
      <c r="N362" s="417">
        <f>SUM(Q362:BJ362)</f>
        <v>-675562.56448415481</v>
      </c>
      <c r="O362" s="299"/>
      <c r="P362" s="299"/>
      <c r="Q362" s="417"/>
      <c r="R362" s="417"/>
      <c r="S362" s="417">
        <f t="shared" ref="S362:BJ362" si="406">+S131+S132</f>
        <v>0</v>
      </c>
      <c r="T362" s="417">
        <f t="shared" si="406"/>
        <v>-19330.9178227712</v>
      </c>
      <c r="U362" s="417">
        <f t="shared" si="406"/>
        <v>-38350.607335617889</v>
      </c>
      <c r="V362" s="417">
        <f t="shared" si="406"/>
        <v>-38350.607335617889</v>
      </c>
      <c r="W362" s="417">
        <f t="shared" si="406"/>
        <v>-38350.607335617889</v>
      </c>
      <c r="X362" s="417">
        <f t="shared" si="406"/>
        <v>-38350.607335617889</v>
      </c>
      <c r="Y362" s="417">
        <f t="shared" si="406"/>
        <v>-38337.669724726009</v>
      </c>
      <c r="Z362" s="417">
        <f t="shared" si="406"/>
        <v>-38173.303355345735</v>
      </c>
      <c r="AA362" s="417">
        <f t="shared" si="406"/>
        <v>-37582.005737129424</v>
      </c>
      <c r="AB362" s="417">
        <f t="shared" si="406"/>
        <v>-37006.189673607616</v>
      </c>
      <c r="AC362" s="417">
        <f t="shared" si="406"/>
        <v>-36603.405771874575</v>
      </c>
      <c r="AD362" s="417">
        <f t="shared" si="406"/>
        <v>-36375.960420083495</v>
      </c>
      <c r="AE362" s="417">
        <f t="shared" si="406"/>
        <v>-36312.339336189019</v>
      </c>
      <c r="AF362" s="417">
        <f t="shared" si="406"/>
        <v>-36229.168988251433</v>
      </c>
      <c r="AG362" s="417">
        <f t="shared" si="406"/>
        <v>-35518.460701668344</v>
      </c>
      <c r="AH362" s="417">
        <f t="shared" si="406"/>
        <v>-34432.923214893875</v>
      </c>
      <c r="AI362" s="417">
        <f t="shared" si="406"/>
        <v>-32820.442946167299</v>
      </c>
      <c r="AJ362" s="417">
        <f t="shared" si="406"/>
        <v>-30195.111254534899</v>
      </c>
      <c r="AK362" s="417">
        <f t="shared" si="406"/>
        <v>-26513.453107909398</v>
      </c>
      <c r="AL362" s="417">
        <f t="shared" si="406"/>
        <v>-22055.204026455205</v>
      </c>
      <c r="AM362" s="417">
        <f t="shared" si="406"/>
        <v>-16443.386713211112</v>
      </c>
      <c r="AN362" s="417">
        <f t="shared" si="406"/>
        <v>-8230.1923468647765</v>
      </c>
      <c r="AO362" s="417">
        <f t="shared" si="406"/>
        <v>0</v>
      </c>
      <c r="AP362" s="417">
        <f t="shared" si="406"/>
        <v>0</v>
      </c>
      <c r="AQ362" s="417">
        <f t="shared" si="406"/>
        <v>0</v>
      </c>
      <c r="AR362" s="417">
        <f t="shared" si="406"/>
        <v>0</v>
      </c>
      <c r="AS362" s="417">
        <f t="shared" si="406"/>
        <v>0</v>
      </c>
      <c r="AT362" s="417">
        <f t="shared" si="406"/>
        <v>0</v>
      </c>
      <c r="AU362" s="417">
        <f t="shared" si="406"/>
        <v>0</v>
      </c>
      <c r="AV362" s="417">
        <f t="shared" si="406"/>
        <v>0</v>
      </c>
      <c r="AW362" s="417">
        <f t="shared" si="406"/>
        <v>0</v>
      </c>
      <c r="AX362" s="417">
        <f t="shared" si="406"/>
        <v>0</v>
      </c>
      <c r="AY362" s="417">
        <f t="shared" si="406"/>
        <v>0</v>
      </c>
      <c r="AZ362" s="417">
        <f t="shared" si="406"/>
        <v>0</v>
      </c>
      <c r="BA362" s="417">
        <f t="shared" si="406"/>
        <v>0</v>
      </c>
      <c r="BB362" s="417">
        <f t="shared" si="406"/>
        <v>0</v>
      </c>
      <c r="BC362" s="417">
        <f t="shared" si="406"/>
        <v>0</v>
      </c>
      <c r="BD362" s="417">
        <f t="shared" si="406"/>
        <v>0</v>
      </c>
      <c r="BE362" s="417">
        <f t="shared" si="406"/>
        <v>0</v>
      </c>
      <c r="BF362" s="417">
        <f t="shared" si="406"/>
        <v>0</v>
      </c>
      <c r="BG362" s="417">
        <f t="shared" si="406"/>
        <v>0</v>
      </c>
      <c r="BH362" s="417">
        <f t="shared" si="406"/>
        <v>0</v>
      </c>
      <c r="BI362" s="417">
        <f t="shared" si="406"/>
        <v>0</v>
      </c>
      <c r="BJ362" s="417">
        <f t="shared" si="406"/>
        <v>0</v>
      </c>
      <c r="BK362" s="417"/>
      <c r="BL362" s="417"/>
      <c r="BM362" s="417"/>
      <c r="BN362" s="417"/>
      <c r="BO362" s="417"/>
      <c r="BP362" s="417"/>
      <c r="BQ362" s="417"/>
      <c r="BR362" s="417"/>
      <c r="BS362" s="417"/>
      <c r="BT362" s="417"/>
      <c r="BU362" s="417"/>
    </row>
    <row r="363" spans="1:73" x14ac:dyDescent="0.2">
      <c r="A363" s="299"/>
      <c r="B363" s="299"/>
      <c r="C363" s="431" t="s">
        <v>218</v>
      </c>
      <c r="D363" s="426"/>
      <c r="E363" s="426"/>
      <c r="F363" s="426"/>
      <c r="G363" s="426"/>
      <c r="H363" s="426"/>
      <c r="I363" s="426"/>
      <c r="J363" s="426"/>
      <c r="K363" s="630" t="s">
        <v>62</v>
      </c>
      <c r="L363" s="426"/>
      <c r="M363" s="426"/>
      <c r="N363" s="427">
        <f>SUM(Q363:BJ363)</f>
        <v>-848464.76406234258</v>
      </c>
      <c r="O363" s="426"/>
      <c r="P363" s="426"/>
      <c r="Q363" s="427"/>
      <c r="R363" s="427"/>
      <c r="S363" s="427">
        <f t="shared" ref="S363:BJ363" si="407">+S134+S135+S137+S139+S140</f>
        <v>0</v>
      </c>
      <c r="T363" s="427">
        <f t="shared" si="407"/>
        <v>0</v>
      </c>
      <c r="U363" s="427">
        <f t="shared" si="407"/>
        <v>0</v>
      </c>
      <c r="V363" s="427">
        <f t="shared" si="407"/>
        <v>0</v>
      </c>
      <c r="W363" s="427">
        <f t="shared" si="407"/>
        <v>0</v>
      </c>
      <c r="X363" s="427">
        <f t="shared" si="407"/>
        <v>0</v>
      </c>
      <c r="Y363" s="427">
        <f t="shared" si="407"/>
        <v>-2289.8426357308053</v>
      </c>
      <c r="Z363" s="427">
        <f t="shared" si="407"/>
        <v>-13062.494360553101</v>
      </c>
      <c r="AA363" s="427">
        <f t="shared" si="407"/>
        <v>-13216.985178130475</v>
      </c>
      <c r="AB363" s="427">
        <f t="shared" si="407"/>
        <v>-9395.4512790708977</v>
      </c>
      <c r="AC363" s="427">
        <f t="shared" si="407"/>
        <v>-5521.0271939429222</v>
      </c>
      <c r="AD363" s="427">
        <f t="shared" si="407"/>
        <v>-1608.6241186972475</v>
      </c>
      <c r="AE363" s="427">
        <f t="shared" si="407"/>
        <v>0</v>
      </c>
      <c r="AF363" s="427">
        <f t="shared" si="407"/>
        <v>-14720.415564174065</v>
      </c>
      <c r="AG363" s="427">
        <f t="shared" si="407"/>
        <v>-22746.16832212609</v>
      </c>
      <c r="AH363" s="427">
        <f t="shared" si="407"/>
        <v>-32907.350377765193</v>
      </c>
      <c r="AI363" s="427">
        <f t="shared" si="407"/>
        <v>-55043.28518335562</v>
      </c>
      <c r="AJ363" s="427">
        <f t="shared" si="407"/>
        <v>-79357.480111625744</v>
      </c>
      <c r="AK363" s="427">
        <f t="shared" si="407"/>
        <v>-96118.55012578849</v>
      </c>
      <c r="AL363" s="427">
        <f t="shared" si="407"/>
        <v>-116240.78300517774</v>
      </c>
      <c r="AM363" s="427">
        <f t="shared" si="407"/>
        <v>-179556.52130784356</v>
      </c>
      <c r="AN363" s="427">
        <f t="shared" si="407"/>
        <v>-206679.78529836063</v>
      </c>
      <c r="AO363" s="427">
        <f t="shared" si="407"/>
        <v>0</v>
      </c>
      <c r="AP363" s="427">
        <f t="shared" si="407"/>
        <v>0</v>
      </c>
      <c r="AQ363" s="427">
        <f t="shared" si="407"/>
        <v>0</v>
      </c>
      <c r="AR363" s="427">
        <f t="shared" si="407"/>
        <v>0</v>
      </c>
      <c r="AS363" s="427">
        <f t="shared" si="407"/>
        <v>0</v>
      </c>
      <c r="AT363" s="427">
        <f t="shared" si="407"/>
        <v>0</v>
      </c>
      <c r="AU363" s="427">
        <f t="shared" si="407"/>
        <v>0</v>
      </c>
      <c r="AV363" s="427">
        <f t="shared" si="407"/>
        <v>0</v>
      </c>
      <c r="AW363" s="427">
        <f t="shared" si="407"/>
        <v>0</v>
      </c>
      <c r="AX363" s="427">
        <f t="shared" si="407"/>
        <v>0</v>
      </c>
      <c r="AY363" s="427">
        <f t="shared" si="407"/>
        <v>0</v>
      </c>
      <c r="AZ363" s="427">
        <f t="shared" si="407"/>
        <v>0</v>
      </c>
      <c r="BA363" s="427">
        <f t="shared" si="407"/>
        <v>0</v>
      </c>
      <c r="BB363" s="427">
        <f t="shared" si="407"/>
        <v>0</v>
      </c>
      <c r="BC363" s="427">
        <f t="shared" si="407"/>
        <v>0</v>
      </c>
      <c r="BD363" s="427">
        <f t="shared" si="407"/>
        <v>0</v>
      </c>
      <c r="BE363" s="427">
        <f t="shared" si="407"/>
        <v>0</v>
      </c>
      <c r="BF363" s="427">
        <f t="shared" si="407"/>
        <v>0</v>
      </c>
      <c r="BG363" s="427">
        <f t="shared" si="407"/>
        <v>0</v>
      </c>
      <c r="BH363" s="427">
        <f t="shared" si="407"/>
        <v>0</v>
      </c>
      <c r="BI363" s="427">
        <f t="shared" si="407"/>
        <v>0</v>
      </c>
      <c r="BJ363" s="427">
        <f t="shared" si="407"/>
        <v>0</v>
      </c>
      <c r="BK363" s="427"/>
      <c r="BL363" s="427"/>
      <c r="BM363" s="427"/>
      <c r="BN363" s="427"/>
      <c r="BO363" s="427"/>
      <c r="BP363" s="427"/>
      <c r="BQ363" s="427"/>
      <c r="BR363" s="427"/>
      <c r="BS363" s="427"/>
      <c r="BT363" s="427"/>
      <c r="BU363" s="427"/>
    </row>
    <row r="364" spans="1:73" x14ac:dyDescent="0.2">
      <c r="A364" s="452"/>
      <c r="B364" s="452"/>
      <c r="C364" s="432" t="s">
        <v>219</v>
      </c>
      <c r="D364" s="452"/>
      <c r="E364" s="452"/>
      <c r="F364" s="452"/>
      <c r="G364" s="452"/>
      <c r="H364" s="452"/>
      <c r="I364" s="452"/>
      <c r="J364" s="452"/>
      <c r="K364" s="646" t="s">
        <v>62</v>
      </c>
      <c r="L364" s="452"/>
      <c r="M364" s="452"/>
      <c r="N364" s="495">
        <f>SUM(Q364:BJ364)</f>
        <v>-1525821.7922129561</v>
      </c>
      <c r="O364" s="452"/>
      <c r="P364" s="452"/>
      <c r="Q364" s="495"/>
      <c r="R364" s="495"/>
      <c r="S364" s="495">
        <f t="shared" ref="S364:AO364" si="408">SUM(S361:S363)</f>
        <v>0</v>
      </c>
      <c r="T364" s="495">
        <f t="shared" si="408"/>
        <v>-19398.409512117942</v>
      </c>
      <c r="U364" s="495">
        <f t="shared" si="408"/>
        <v>-38419.617587974935</v>
      </c>
      <c r="V364" s="495">
        <f t="shared" si="408"/>
        <v>-38421.17031865297</v>
      </c>
      <c r="W364" s="495">
        <f t="shared" si="408"/>
        <v>-38422.793267262772</v>
      </c>
      <c r="X364" s="495">
        <f t="shared" si="408"/>
        <v>-38424.453543690608</v>
      </c>
      <c r="Y364" s="495">
        <f t="shared" si="408"/>
        <v>-40703.057031315206</v>
      </c>
      <c r="Z364" s="495">
        <f t="shared" si="408"/>
        <v>-51313.079914186972</v>
      </c>
      <c r="AA364" s="495">
        <f t="shared" si="408"/>
        <v>-50878.050604108656</v>
      </c>
      <c r="AB364" s="495">
        <f t="shared" si="408"/>
        <v>-46482.519014370795</v>
      </c>
      <c r="AC364" s="495">
        <f t="shared" si="408"/>
        <v>-42207.1712229287</v>
      </c>
      <c r="AD364" s="495">
        <f t="shared" si="408"/>
        <v>-38069.225775805506</v>
      </c>
      <c r="AE364" s="495">
        <f t="shared" si="408"/>
        <v>-36398.927321665353</v>
      </c>
      <c r="AF364" s="495">
        <f t="shared" si="408"/>
        <v>-51038.164061567782</v>
      </c>
      <c r="AG364" s="495">
        <f t="shared" si="408"/>
        <v>-58355.245861646996</v>
      </c>
      <c r="AH364" s="495">
        <f t="shared" si="408"/>
        <v>-67432.974617782238</v>
      </c>
      <c r="AI364" s="495">
        <f t="shared" si="408"/>
        <v>-87958.561278223919</v>
      </c>
      <c r="AJ364" s="495">
        <f t="shared" si="408"/>
        <v>-109649.60567728177</v>
      </c>
      <c r="AK364" s="495">
        <f t="shared" si="408"/>
        <v>-122731.24887397479</v>
      </c>
      <c r="AL364" s="495">
        <f t="shared" si="408"/>
        <v>-138397.51532163622</v>
      </c>
      <c r="AM364" s="495">
        <f t="shared" si="408"/>
        <v>-196103.77146172803</v>
      </c>
      <c r="AN364" s="495">
        <f t="shared" si="408"/>
        <v>-215016.22994503425</v>
      </c>
      <c r="AO364" s="495">
        <f t="shared" si="408"/>
        <v>0</v>
      </c>
      <c r="AP364" s="495">
        <f t="shared" ref="AP364:BJ364" si="409">SUM(AP361:AP363)</f>
        <v>0</v>
      </c>
      <c r="AQ364" s="495">
        <f t="shared" si="409"/>
        <v>0</v>
      </c>
      <c r="AR364" s="495">
        <f t="shared" si="409"/>
        <v>0</v>
      </c>
      <c r="AS364" s="495">
        <f t="shared" si="409"/>
        <v>0</v>
      </c>
      <c r="AT364" s="495">
        <f t="shared" si="409"/>
        <v>0</v>
      </c>
      <c r="AU364" s="495">
        <f t="shared" si="409"/>
        <v>0</v>
      </c>
      <c r="AV364" s="495">
        <f t="shared" si="409"/>
        <v>0</v>
      </c>
      <c r="AW364" s="495">
        <f t="shared" si="409"/>
        <v>0</v>
      </c>
      <c r="AX364" s="495">
        <f t="shared" si="409"/>
        <v>0</v>
      </c>
      <c r="AY364" s="495">
        <f t="shared" si="409"/>
        <v>0</v>
      </c>
      <c r="AZ364" s="495">
        <f t="shared" si="409"/>
        <v>0</v>
      </c>
      <c r="BA364" s="495">
        <f t="shared" si="409"/>
        <v>0</v>
      </c>
      <c r="BB364" s="495">
        <f t="shared" si="409"/>
        <v>0</v>
      </c>
      <c r="BC364" s="495">
        <f t="shared" si="409"/>
        <v>0</v>
      </c>
      <c r="BD364" s="495">
        <f t="shared" si="409"/>
        <v>0</v>
      </c>
      <c r="BE364" s="495">
        <f t="shared" si="409"/>
        <v>0</v>
      </c>
      <c r="BF364" s="495">
        <f t="shared" si="409"/>
        <v>0</v>
      </c>
      <c r="BG364" s="495">
        <f t="shared" si="409"/>
        <v>0</v>
      </c>
      <c r="BH364" s="495">
        <f t="shared" si="409"/>
        <v>0</v>
      </c>
      <c r="BI364" s="495">
        <f t="shared" si="409"/>
        <v>0</v>
      </c>
      <c r="BJ364" s="495">
        <f t="shared" si="409"/>
        <v>0</v>
      </c>
      <c r="BK364" s="495"/>
      <c r="BL364" s="495"/>
      <c r="BM364" s="495"/>
      <c r="BN364" s="495"/>
      <c r="BO364" s="495"/>
      <c r="BP364" s="495"/>
      <c r="BQ364" s="495"/>
      <c r="BR364" s="495"/>
      <c r="BS364" s="495"/>
      <c r="BT364" s="495"/>
      <c r="BU364" s="495"/>
    </row>
    <row r="365" spans="1:73" x14ac:dyDescent="0.2">
      <c r="A365" s="299"/>
      <c r="B365" s="299"/>
      <c r="C365" s="518"/>
      <c r="D365" s="299"/>
      <c r="E365" s="299"/>
      <c r="F365" s="299"/>
      <c r="G365" s="299"/>
      <c r="H365" s="299"/>
      <c r="I365" s="299"/>
      <c r="J365" s="299"/>
      <c r="K365" s="646"/>
      <c r="L365" s="299"/>
      <c r="M365" s="299"/>
      <c r="N365" s="495"/>
      <c r="O365" s="299"/>
      <c r="P365" s="299"/>
      <c r="Q365" s="495"/>
      <c r="R365" s="495"/>
      <c r="S365" s="495"/>
      <c r="T365" s="495"/>
      <c r="U365" s="495"/>
      <c r="V365" s="495"/>
      <c r="W365" s="495"/>
      <c r="X365" s="495"/>
      <c r="Y365" s="495"/>
      <c r="Z365" s="495"/>
      <c r="AA365" s="495"/>
      <c r="AB365" s="495"/>
      <c r="AC365" s="495"/>
      <c r="AD365" s="495"/>
      <c r="AE365" s="495"/>
      <c r="AF365" s="495"/>
      <c r="AG365" s="495"/>
      <c r="AH365" s="495"/>
      <c r="AI365" s="495"/>
      <c r="AJ365" s="495"/>
      <c r="AK365" s="495"/>
      <c r="AL365" s="495"/>
      <c r="AM365" s="495"/>
      <c r="AN365" s="495"/>
      <c r="AO365" s="495"/>
      <c r="AP365" s="495"/>
      <c r="AQ365" s="495"/>
      <c r="AR365" s="495"/>
      <c r="AS365" s="495"/>
      <c r="AT365" s="495"/>
      <c r="AU365" s="495"/>
      <c r="AV365" s="495"/>
      <c r="AW365" s="495"/>
      <c r="AX365" s="495"/>
      <c r="AY365" s="495"/>
      <c r="AZ365" s="495"/>
      <c r="BA365" s="495"/>
      <c r="BB365" s="495"/>
      <c r="BC365" s="495"/>
      <c r="BD365" s="495"/>
      <c r="BE365" s="495"/>
      <c r="BF365" s="495"/>
      <c r="BG365" s="495"/>
      <c r="BH365" s="495"/>
      <c r="BI365" s="495"/>
      <c r="BJ365" s="495"/>
      <c r="BK365" s="495"/>
      <c r="BL365" s="495"/>
      <c r="BM365" s="495"/>
      <c r="BN365" s="495"/>
      <c r="BO365" s="495"/>
      <c r="BP365" s="495"/>
      <c r="BQ365" s="495"/>
      <c r="BR365" s="495"/>
      <c r="BS365" s="495"/>
      <c r="BT365" s="495"/>
      <c r="BU365" s="495"/>
    </row>
    <row r="366" spans="1:73" x14ac:dyDescent="0.2">
      <c r="A366" s="519"/>
      <c r="B366" s="519"/>
      <c r="C366" s="520" t="s">
        <v>501</v>
      </c>
      <c r="D366" s="520"/>
      <c r="E366" s="520"/>
      <c r="F366" s="520"/>
      <c r="G366" s="520"/>
      <c r="H366" s="520"/>
      <c r="I366" s="520"/>
      <c r="J366" s="520"/>
      <c r="K366" s="647" t="s">
        <v>179</v>
      </c>
      <c r="L366" s="520"/>
      <c r="M366" s="520"/>
      <c r="N366" s="520"/>
      <c r="O366" s="520"/>
      <c r="P366" s="520"/>
      <c r="Q366" s="521"/>
      <c r="R366" s="521"/>
      <c r="S366" s="711">
        <f t="shared" ref="S366:AO366" si="410">+IF(ROUND(S359+S364,2)= 0, "n/a", S354/(-S359-S364))</f>
        <v>2.9046448973961083</v>
      </c>
      <c r="T366" s="711">
        <f t="shared" si="410"/>
        <v>1.8060002616725233</v>
      </c>
      <c r="U366" s="711">
        <f t="shared" si="410"/>
        <v>1.5862829090390878</v>
      </c>
      <c r="V366" s="711">
        <f t="shared" si="410"/>
        <v>1.8973840002559095</v>
      </c>
      <c r="W366" s="711">
        <f t="shared" si="410"/>
        <v>2.068691834567888</v>
      </c>
      <c r="X366" s="711">
        <f t="shared" si="410"/>
        <v>2.2545027999389435</v>
      </c>
      <c r="Y366" s="711">
        <f t="shared" si="410"/>
        <v>2.3641826215858615</v>
      </c>
      <c r="Z366" s="711">
        <f t="shared" si="410"/>
        <v>2.2005012140363776</v>
      </c>
      <c r="AA366" s="711">
        <f t="shared" si="410"/>
        <v>2.3898926583615419</v>
      </c>
      <c r="AB366" s="711">
        <f t="shared" si="410"/>
        <v>2.6691166605800611</v>
      </c>
      <c r="AC366" s="711">
        <f t="shared" si="410"/>
        <v>2.9861704205782629</v>
      </c>
      <c r="AD366" s="711">
        <f t="shared" si="410"/>
        <v>40.467695642459709</v>
      </c>
      <c r="AE366" s="711">
        <f t="shared" si="410"/>
        <v>3.42048810408465</v>
      </c>
      <c r="AF366" s="711">
        <f t="shared" si="410"/>
        <v>3.1132716690041979</v>
      </c>
      <c r="AG366" s="711">
        <f t="shared" si="410"/>
        <v>3.0914206096436625</v>
      </c>
      <c r="AH366" s="711">
        <f t="shared" si="410"/>
        <v>3.0343873798981393</v>
      </c>
      <c r="AI366" s="711">
        <f t="shared" si="410"/>
        <v>2.7085220086513435</v>
      </c>
      <c r="AJ366" s="711">
        <f t="shared" si="410"/>
        <v>2.4664520141003838</v>
      </c>
      <c r="AK366" s="711">
        <f t="shared" si="410"/>
        <v>2.4168678529847702</v>
      </c>
      <c r="AL366" s="711">
        <f t="shared" si="410"/>
        <v>2.3587730129243245</v>
      </c>
      <c r="AM366" s="711">
        <f t="shared" si="410"/>
        <v>1.9284646388192561</v>
      </c>
      <c r="AN366" s="711">
        <f t="shared" si="410"/>
        <v>2.8932613131304441</v>
      </c>
      <c r="AO366" s="711">
        <f t="shared" si="410"/>
        <v>7.5634818530444425</v>
      </c>
      <c r="AP366" s="711">
        <f t="shared" ref="AP366:BJ366" si="411">+IF(ROUND(AP359+AP364,2)= 0, "n/a", AP354/(-AP359-AP364))</f>
        <v>8.6058030534375494</v>
      </c>
      <c r="AQ366" s="711">
        <f t="shared" si="411"/>
        <v>9.0214482235380533</v>
      </c>
      <c r="AR366" s="711">
        <f t="shared" si="411"/>
        <v>9.4677689126786344</v>
      </c>
      <c r="AS366" s="711">
        <f t="shared" si="411"/>
        <v>9.9178128170910131</v>
      </c>
      <c r="AT366" s="711">
        <f t="shared" si="411"/>
        <v>10.428610927588089</v>
      </c>
      <c r="AU366" s="711">
        <f t="shared" si="411"/>
        <v>4.626847637495648</v>
      </c>
      <c r="AV366" s="711">
        <f t="shared" si="411"/>
        <v>4.868876692708481</v>
      </c>
      <c r="AW366" s="711">
        <f t="shared" si="411"/>
        <v>5.0980952871424936</v>
      </c>
      <c r="AX366" s="711">
        <f t="shared" si="411"/>
        <v>11.522651871048131</v>
      </c>
      <c r="AY366" s="711">
        <f t="shared" si="411"/>
        <v>5.3240698008915723</v>
      </c>
      <c r="AZ366" s="711">
        <f t="shared" si="411"/>
        <v>5.6315222916506267</v>
      </c>
      <c r="BA366" s="711">
        <f t="shared" si="411"/>
        <v>5.9108077814770859</v>
      </c>
      <c r="BB366" s="711">
        <f t="shared" si="411"/>
        <v>6.1969605194159749</v>
      </c>
      <c r="BC366" s="711">
        <f t="shared" si="411"/>
        <v>6.365484220233264</v>
      </c>
      <c r="BD366" s="711">
        <f t="shared" si="411"/>
        <v>6.6873400106966647</v>
      </c>
      <c r="BE366" s="711" t="str">
        <f t="shared" si="411"/>
        <v>n/a</v>
      </c>
      <c r="BF366" s="711" t="str">
        <f t="shared" si="411"/>
        <v>n/a</v>
      </c>
      <c r="BG366" s="711" t="str">
        <f t="shared" si="411"/>
        <v>n/a</v>
      </c>
      <c r="BH366" s="711" t="str">
        <f t="shared" si="411"/>
        <v>n/a</v>
      </c>
      <c r="BI366" s="711" t="str">
        <f t="shared" si="411"/>
        <v>n/a</v>
      </c>
      <c r="BJ366" s="711" t="str">
        <f t="shared" si="411"/>
        <v>n/a</v>
      </c>
      <c r="BK366" s="521"/>
      <c r="BL366" s="521"/>
      <c r="BM366" s="521"/>
      <c r="BN366" s="521"/>
      <c r="BO366" s="521"/>
      <c r="BP366" s="521"/>
      <c r="BQ366" s="521"/>
      <c r="BR366" s="521"/>
      <c r="BS366" s="521"/>
      <c r="BT366" s="521"/>
      <c r="BU366" s="521"/>
    </row>
    <row r="367" spans="1:73" x14ac:dyDescent="0.2">
      <c r="A367" s="299"/>
      <c r="B367" s="299"/>
      <c r="C367" s="415"/>
      <c r="D367" s="415" t="s">
        <v>220</v>
      </c>
      <c r="E367" s="299"/>
      <c r="F367" s="299"/>
      <c r="G367" s="299"/>
      <c r="H367" s="299"/>
      <c r="I367" s="299"/>
      <c r="J367" s="299"/>
      <c r="K367" s="410" t="s">
        <v>179</v>
      </c>
      <c r="L367" s="522">
        <f>MIN($R$366:$BU$366)</f>
        <v>1.5862829090390878</v>
      </c>
      <c r="M367" s="523"/>
      <c r="N367" s="299"/>
      <c r="O367" s="299"/>
      <c r="P367" s="299"/>
      <c r="Q367" s="299"/>
      <c r="R367" s="299"/>
      <c r="S367" s="299"/>
      <c r="T367" s="299"/>
      <c r="U367" s="299"/>
      <c r="V367" s="299"/>
      <c r="W367" s="299"/>
      <c r="X367" s="299"/>
      <c r="Y367" s="299"/>
      <c r="Z367" s="299"/>
      <c r="AA367" s="299"/>
      <c r="AB367" s="299"/>
      <c r="AC367" s="299"/>
      <c r="AD367" s="299"/>
      <c r="AE367" s="299"/>
      <c r="AF367" s="299"/>
      <c r="AG367" s="299"/>
      <c r="AH367" s="299"/>
      <c r="AI367" s="299"/>
      <c r="AJ367" s="299"/>
      <c r="AK367" s="299"/>
      <c r="AL367" s="299"/>
      <c r="AM367" s="299"/>
      <c r="AN367" s="299"/>
      <c r="AO367" s="299"/>
      <c r="AP367" s="299"/>
      <c r="AQ367" s="299"/>
      <c r="AR367" s="299"/>
      <c r="AS367" s="299"/>
      <c r="AT367" s="299"/>
      <c r="AU367" s="299"/>
      <c r="AV367" s="299"/>
      <c r="AW367" s="299"/>
      <c r="AX367" s="299"/>
      <c r="AY367" s="299"/>
      <c r="AZ367" s="299"/>
      <c r="BA367" s="299"/>
      <c r="BB367" s="299"/>
      <c r="BC367" s="299"/>
      <c r="BD367" s="299"/>
      <c r="BE367" s="299"/>
      <c r="BF367" s="299"/>
      <c r="BG367" s="299"/>
      <c r="BH367" s="299"/>
      <c r="BI367" s="299"/>
      <c r="BJ367" s="299"/>
      <c r="BK367" s="299"/>
      <c r="BL367" s="299"/>
      <c r="BM367" s="299"/>
      <c r="BN367" s="299"/>
      <c r="BO367" s="299"/>
      <c r="BP367" s="299"/>
      <c r="BQ367" s="299"/>
      <c r="BR367" s="299"/>
      <c r="BS367" s="299"/>
      <c r="BT367" s="299"/>
      <c r="BU367" s="299"/>
    </row>
    <row r="368" spans="1:73" x14ac:dyDescent="0.2">
      <c r="A368" s="299"/>
      <c r="B368" s="299"/>
      <c r="C368" s="415"/>
      <c r="D368" s="415" t="s">
        <v>170</v>
      </c>
      <c r="E368" s="299"/>
      <c r="F368" s="299"/>
      <c r="G368" s="299"/>
      <c r="H368" s="299"/>
      <c r="I368" s="299"/>
      <c r="J368" s="299"/>
      <c r="K368" s="410" t="s">
        <v>179</v>
      </c>
      <c r="L368" s="522">
        <f>MAX($R$366:$BU$366)</f>
        <v>40.467695642459709</v>
      </c>
      <c r="M368" s="523"/>
      <c r="N368" s="299"/>
      <c r="O368" s="299"/>
      <c r="P368" s="299"/>
      <c r="Q368" s="524"/>
      <c r="R368" s="524"/>
      <c r="S368" s="524"/>
      <c r="T368" s="524"/>
      <c r="U368" s="524"/>
      <c r="V368" s="524"/>
      <c r="W368" s="524"/>
      <c r="X368" s="524"/>
      <c r="Y368" s="524"/>
      <c r="Z368" s="524"/>
      <c r="AA368" s="524"/>
      <c r="AB368" s="524"/>
      <c r="AC368" s="524"/>
      <c r="AD368" s="524"/>
      <c r="AE368" s="524"/>
      <c r="AF368" s="524"/>
      <c r="AG368" s="524"/>
      <c r="AH368" s="524"/>
      <c r="AI368" s="524"/>
      <c r="AJ368" s="524"/>
      <c r="AK368" s="524"/>
      <c r="AL368" s="524"/>
      <c r="AM368" s="524"/>
      <c r="AN368" s="524"/>
      <c r="AO368" s="524"/>
      <c r="AP368" s="524"/>
      <c r="AQ368" s="524"/>
      <c r="AR368" s="524"/>
      <c r="AS368" s="524"/>
      <c r="AT368" s="524"/>
      <c r="AU368" s="524"/>
      <c r="AV368" s="524"/>
      <c r="AW368" s="524"/>
      <c r="AX368" s="524"/>
      <c r="AY368" s="524"/>
      <c r="AZ368" s="524"/>
      <c r="BA368" s="524"/>
      <c r="BB368" s="524"/>
      <c r="BC368" s="524"/>
      <c r="BD368" s="524"/>
      <c r="BE368" s="524"/>
      <c r="BF368" s="524"/>
      <c r="BG368" s="299"/>
      <c r="BH368" s="299"/>
      <c r="BI368" s="299"/>
      <c r="BJ368" s="299"/>
      <c r="BK368" s="299"/>
      <c r="BL368" s="299"/>
      <c r="BM368" s="299"/>
      <c r="BN368" s="299"/>
      <c r="BO368" s="299"/>
      <c r="BP368" s="299"/>
      <c r="BQ368" s="299"/>
      <c r="BR368" s="299"/>
      <c r="BS368" s="299"/>
      <c r="BT368" s="299"/>
      <c r="BU368" s="299"/>
    </row>
    <row r="369" spans="1:73" x14ac:dyDescent="0.2">
      <c r="A369" s="299"/>
      <c r="B369" s="299"/>
      <c r="C369" s="415"/>
      <c r="D369" s="415" t="s">
        <v>221</v>
      </c>
      <c r="E369" s="299"/>
      <c r="F369" s="299"/>
      <c r="G369" s="299"/>
      <c r="H369" s="299"/>
      <c r="I369" s="299"/>
      <c r="J369" s="299"/>
      <c r="K369" s="410" t="s">
        <v>179</v>
      </c>
      <c r="L369" s="522">
        <f>IF(L368, AVERAGE(R366:BU366), "n/a")</f>
        <v>5.5332778006276619</v>
      </c>
      <c r="M369" s="413"/>
      <c r="N369" s="299"/>
      <c r="O369" s="299"/>
      <c r="P369" s="299"/>
      <c r="Q369" s="299"/>
      <c r="R369" s="299"/>
      <c r="S369" s="425"/>
      <c r="T369" s="425"/>
      <c r="U369" s="425"/>
      <c r="V369" s="425"/>
      <c r="W369" s="425"/>
      <c r="X369" s="425"/>
      <c r="Y369" s="425"/>
      <c r="Z369" s="425"/>
      <c r="AA369" s="425"/>
      <c r="AB369" s="425"/>
      <c r="AC369" s="425"/>
      <c r="AD369" s="425"/>
      <c r="AE369" s="425"/>
      <c r="AF369" s="425"/>
      <c r="AG369" s="425"/>
      <c r="AH369" s="425"/>
      <c r="AI369" s="425"/>
      <c r="AJ369" s="425"/>
      <c r="AK369" s="425"/>
      <c r="AL369" s="425"/>
      <c r="AM369" s="425"/>
      <c r="AN369" s="425"/>
      <c r="AO369" s="425"/>
      <c r="AP369" s="425"/>
      <c r="AQ369" s="425"/>
      <c r="AR369" s="425"/>
      <c r="AS369" s="425"/>
      <c r="AT369" s="425"/>
      <c r="AU369" s="425"/>
      <c r="AV369" s="425"/>
      <c r="AW369" s="425"/>
      <c r="AX369" s="425"/>
      <c r="AY369" s="425"/>
      <c r="AZ369" s="425"/>
      <c r="BA369" s="425"/>
      <c r="BB369" s="425"/>
      <c r="BC369" s="425"/>
      <c r="BD369" s="425"/>
      <c r="BE369" s="425"/>
      <c r="BF369" s="425"/>
      <c r="BG369" s="425"/>
      <c r="BH369" s="425"/>
      <c r="BI369" s="425"/>
      <c r="BJ369" s="425"/>
      <c r="BK369" s="425"/>
      <c r="BL369" s="299"/>
      <c r="BM369" s="299"/>
      <c r="BN369" s="299"/>
      <c r="BO369" s="299"/>
      <c r="BP369" s="299"/>
      <c r="BQ369" s="299"/>
      <c r="BR369" s="299"/>
      <c r="BS369" s="299"/>
      <c r="BT369" s="299"/>
      <c r="BU369" s="299"/>
    </row>
    <row r="370" spans="1:73" x14ac:dyDescent="0.2">
      <c r="A370" s="299"/>
      <c r="B370" s="299"/>
      <c r="C370" s="415"/>
      <c r="D370" s="415"/>
      <c r="E370" s="299"/>
      <c r="F370" s="299"/>
      <c r="G370" s="299"/>
      <c r="H370" s="299"/>
      <c r="I370" s="299"/>
      <c r="J370" s="299"/>
      <c r="K370" s="410"/>
      <c r="L370" s="522"/>
      <c r="M370" s="413"/>
      <c r="N370" s="299"/>
      <c r="O370" s="299"/>
      <c r="P370" s="299"/>
      <c r="Q370" s="299"/>
      <c r="R370" s="299"/>
      <c r="S370" s="417"/>
      <c r="T370" s="417"/>
      <c r="U370" s="417"/>
      <c r="V370" s="417"/>
      <c r="W370" s="417"/>
      <c r="X370" s="417"/>
      <c r="Y370" s="417"/>
      <c r="Z370" s="417"/>
      <c r="AA370" s="417"/>
      <c r="AB370" s="417"/>
      <c r="AC370" s="417"/>
      <c r="AD370" s="417"/>
      <c r="AE370" s="417"/>
      <c r="AF370" s="417"/>
      <c r="AG370" s="417"/>
      <c r="AH370" s="417"/>
      <c r="AI370" s="417"/>
      <c r="AJ370" s="417"/>
      <c r="AK370" s="417"/>
      <c r="AL370" s="417"/>
      <c r="AM370" s="417"/>
      <c r="AN370" s="417"/>
      <c r="AO370" s="417"/>
      <c r="AP370" s="417"/>
      <c r="AQ370" s="417"/>
      <c r="AR370" s="417"/>
      <c r="AS370" s="417"/>
      <c r="AT370" s="417"/>
      <c r="AU370" s="417"/>
      <c r="AV370" s="417"/>
      <c r="AW370" s="417"/>
      <c r="AX370" s="417"/>
      <c r="AY370" s="417"/>
      <c r="AZ370" s="417"/>
      <c r="BA370" s="417"/>
      <c r="BB370" s="417"/>
      <c r="BC370" s="417"/>
      <c r="BD370" s="417"/>
      <c r="BE370" s="417"/>
      <c r="BF370" s="417"/>
      <c r="BG370" s="417"/>
      <c r="BH370" s="417"/>
      <c r="BI370" s="417"/>
      <c r="BJ370" s="417"/>
      <c r="BK370" s="417"/>
      <c r="BL370" s="299"/>
      <c r="BM370" s="299"/>
      <c r="BN370" s="299"/>
      <c r="BO370" s="299"/>
      <c r="BP370" s="299"/>
      <c r="BQ370" s="299"/>
      <c r="BR370" s="299"/>
      <c r="BS370" s="299"/>
      <c r="BT370" s="299"/>
      <c r="BU370" s="299"/>
    </row>
    <row r="371" spans="1:73" x14ac:dyDescent="0.2">
      <c r="A371" s="299"/>
      <c r="B371" s="299"/>
      <c r="C371" s="415"/>
      <c r="D371" s="415"/>
      <c r="E371" s="299"/>
      <c r="F371" s="299"/>
      <c r="G371" s="299"/>
      <c r="H371" s="299"/>
      <c r="I371" s="299"/>
      <c r="J371" s="299"/>
      <c r="K371" s="410"/>
      <c r="L371" s="522"/>
      <c r="M371" s="413"/>
      <c r="N371" s="299"/>
      <c r="O371" s="299"/>
      <c r="P371" s="299"/>
      <c r="Q371" s="299"/>
      <c r="R371" s="299"/>
      <c r="S371" s="417"/>
      <c r="T371" s="417"/>
      <c r="U371" s="417"/>
      <c r="V371" s="417"/>
      <c r="W371" s="417"/>
      <c r="X371" s="417"/>
      <c r="Y371" s="417"/>
      <c r="Z371" s="417"/>
      <c r="AA371" s="417"/>
      <c r="AB371" s="417"/>
      <c r="AC371" s="417"/>
      <c r="AD371" s="417"/>
      <c r="AE371" s="417"/>
      <c r="AF371" s="417"/>
      <c r="AG371" s="417"/>
      <c r="AH371" s="417"/>
      <c r="AI371" s="417"/>
      <c r="AJ371" s="417"/>
      <c r="AK371" s="417"/>
      <c r="AL371" s="417"/>
      <c r="AM371" s="417"/>
      <c r="AN371" s="417"/>
      <c r="AO371" s="417"/>
      <c r="AP371" s="417"/>
      <c r="AQ371" s="417"/>
      <c r="AR371" s="417"/>
      <c r="AS371" s="417"/>
      <c r="AT371" s="417"/>
      <c r="AU371" s="417"/>
      <c r="AV371" s="417"/>
      <c r="AW371" s="417"/>
      <c r="AX371" s="417"/>
      <c r="AY371" s="417"/>
      <c r="AZ371" s="417"/>
      <c r="BA371" s="417"/>
      <c r="BB371" s="417"/>
      <c r="BC371" s="417"/>
      <c r="BD371" s="417"/>
      <c r="BE371" s="417"/>
      <c r="BF371" s="417"/>
      <c r="BG371" s="417"/>
      <c r="BH371" s="417"/>
      <c r="BI371" s="417"/>
      <c r="BJ371" s="417"/>
      <c r="BK371" s="417"/>
      <c r="BL371" s="299"/>
      <c r="BM371" s="299"/>
      <c r="BN371" s="299"/>
      <c r="BO371" s="299"/>
      <c r="BP371" s="299"/>
      <c r="BQ371" s="299"/>
      <c r="BR371" s="299"/>
      <c r="BS371" s="299"/>
      <c r="BT371" s="299"/>
      <c r="BU371" s="299"/>
    </row>
    <row r="372" spans="1:73" x14ac:dyDescent="0.2"/>
    <row r="373" spans="1:73" x14ac:dyDescent="0.2"/>
    <row r="374" spans="1:73" x14ac:dyDescent="0.2"/>
    <row r="375" spans="1:73" x14ac:dyDescent="0.2"/>
    <row r="376" spans="1:73" x14ac:dyDescent="0.2"/>
    <row r="377" spans="1:73" x14ac:dyDescent="0.2"/>
    <row r="378" spans="1:73" x14ac:dyDescent="0.2"/>
    <row r="379" spans="1:73" x14ac:dyDescent="0.2"/>
    <row r="380" spans="1:73" x14ac:dyDescent="0.2"/>
    <row r="381" spans="1:73" x14ac:dyDescent="0.2"/>
    <row r="382" spans="1:73" x14ac:dyDescent="0.2"/>
    <row r="383" spans="1:73" x14ac:dyDescent="0.2"/>
    <row r="384" spans="1:73"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sheetData>
  <sheetProtection algorithmName="SHA-512" hashValue="lq75P2poKYqmGaKwlSAjDL+2w/yD+C0j9qRKA7RHO5rLS9N8TBAAib6X1jJMa8W3aNwak85YuF+hnooMr4GF5Q==" saltValue="yE1/LVuhyOKXwtyKpUEMFw==" spinCount="100000" sheet="1" objects="1" scenarios="1"/>
  <dataConsolidate/>
  <customSheetViews>
    <customSheetView guid="{A171ABFC-BD20-4BE9-8F97-F532286F0C2D}" scale="70" showGridLines="0" hiddenColumns="1">
      <pane xSplit="15" ySplit="16" topLeftCell="P146" activePane="bottomRight" state="frozen"/>
      <selection pane="bottomRight" activeCell="X412" sqref="X412"/>
      <pageMargins left="0.7" right="0.7" top="0.75" bottom="0.75" header="0.3" footer="0.3"/>
      <pageSetup orientation="portrait" r:id="rId1"/>
    </customSheetView>
    <customSheetView guid="{5F88CBE0-3291-4A41-996B-A8A1DC273A84}" scale="70" showGridLines="0" hiddenColumns="1">
      <pane xSplit="15" ySplit="14" topLeftCell="P102" activePane="bottomRight" state="frozen"/>
      <selection pane="bottomRight" activeCell="Y129" sqref="Y129"/>
      <pageMargins left="0.7" right="0.7" top="0.75" bottom="0.75" header="0.3" footer="0.3"/>
      <pageSetup orientation="portrait" r:id="rId2"/>
    </customSheetView>
  </customSheetViews>
  <conditionalFormatting sqref="Q264:BU264 Q260:BU260 Q236:BU236 Q15:BU15 Q166:BU166 Q233:BU234 Q298:BU300 Q257:BU258 Q313:BU315 Q282:BU282 Q12:BU13 Q103:BU107 Q143:BU144 R283:BU283 Q80:BU80 Q169:BU170 Q283:Q292">
    <cfRule type="cellIs" dxfId="42" priority="70" stopIfTrue="1" operator="equal">
      <formula>1</formula>
    </cfRule>
  </conditionalFormatting>
  <conditionalFormatting sqref="N190 N141 N26 N58 N47">
    <cfRule type="cellIs" dxfId="41" priority="71" stopIfTrue="1" operator="equal">
      <formula>0</formula>
    </cfRule>
    <cfRule type="cellIs" dxfId="40" priority="72" stopIfTrue="1" operator="equal">
      <formula>1</formula>
    </cfRule>
  </conditionalFormatting>
  <conditionalFormatting sqref="F4">
    <cfRule type="cellIs" dxfId="39" priority="75" stopIfTrue="1" operator="equal">
      <formula>0</formula>
    </cfRule>
    <cfRule type="cellIs" dxfId="38" priority="76" stopIfTrue="1" operator="equal">
      <formula>1</formula>
    </cfRule>
  </conditionalFormatting>
  <conditionalFormatting sqref="V82:BU82">
    <cfRule type="cellIs" dxfId="37" priority="33" stopIfTrue="1" operator="equal">
      <formula>1</formula>
    </cfRule>
  </conditionalFormatting>
  <conditionalFormatting sqref="V174:BU174">
    <cfRule type="cellIs" dxfId="36" priority="30" stopIfTrue="1" operator="equal">
      <formula>1</formula>
    </cfRule>
  </conditionalFormatting>
  <conditionalFormatting sqref="N34">
    <cfRule type="cellIs" dxfId="35" priority="26" stopIfTrue="1" operator="equal">
      <formula>0</formula>
    </cfRule>
    <cfRule type="cellIs" dxfId="34" priority="27" stopIfTrue="1" operator="equal">
      <formula>1</formula>
    </cfRule>
  </conditionalFormatting>
  <conditionalFormatting sqref="N253">
    <cfRule type="cellIs" dxfId="33" priority="13" stopIfTrue="1" operator="equal">
      <formula>0</formula>
    </cfRule>
    <cfRule type="cellIs" dxfId="32" priority="14" stopIfTrue="1" operator="equal">
      <formula>1</formula>
    </cfRule>
  </conditionalFormatting>
  <conditionalFormatting sqref="N278">
    <cfRule type="cellIs" dxfId="31" priority="11" stopIfTrue="1" operator="equal">
      <formula>0</formula>
    </cfRule>
    <cfRule type="cellIs" dxfId="30" priority="12" stopIfTrue="1" operator="equal">
      <formula>1</formula>
    </cfRule>
  </conditionalFormatting>
  <conditionalFormatting sqref="N293">
    <cfRule type="cellIs" dxfId="29" priority="9" stopIfTrue="1" operator="equal">
      <formula>0</formula>
    </cfRule>
    <cfRule type="cellIs" dxfId="28" priority="10" stopIfTrue="1" operator="equal">
      <formula>1</formula>
    </cfRule>
  </conditionalFormatting>
  <conditionalFormatting sqref="N309">
    <cfRule type="cellIs" dxfId="27" priority="7" stopIfTrue="1" operator="equal">
      <formula>0</formula>
    </cfRule>
    <cfRule type="cellIs" dxfId="26" priority="8" stopIfTrue="1" operator="equal">
      <formula>1</formula>
    </cfRule>
  </conditionalFormatting>
  <conditionalFormatting sqref="N319">
    <cfRule type="cellIs" dxfId="25" priority="5" stopIfTrue="1" operator="equal">
      <formula>0</formula>
    </cfRule>
    <cfRule type="cellIs" dxfId="24" priority="6" stopIfTrue="1" operator="equal">
      <formula>1</formula>
    </cfRule>
  </conditionalFormatting>
  <conditionalFormatting sqref="T174">
    <cfRule type="cellIs" dxfId="23" priority="4" stopIfTrue="1" operator="equal">
      <formula>1</formula>
    </cfRule>
  </conditionalFormatting>
  <conditionalFormatting sqref="N97">
    <cfRule type="cellIs" dxfId="22" priority="1" stopIfTrue="1" operator="equal">
      <formula>0</formula>
    </cfRule>
    <cfRule type="cellIs" dxfId="21" priority="2" stopIfTrue="1" operator="equal">
      <formula>1</formula>
    </cfRule>
  </conditionalFormatting>
  <pageMargins left="0.11811023622047245" right="0.11811023622047245" top="0.31496062992125984" bottom="0.11811023622047245" header="0.31496062992125984" footer="0.31496062992125984"/>
  <pageSetup paperSize="9" scale="37" orientation="landscape" r:id="rId3"/>
  <rowBreaks count="3" manualBreakCount="3">
    <brk id="98" min="1" max="61" man="1"/>
    <brk id="196" min="1" max="61" man="1"/>
    <brk id="294" min="1" max="61" man="1"/>
  </rowBreaks>
  <colBreaks count="1" manualBreakCount="1">
    <brk id="37" min="1" max="369" man="1"/>
  </colBreaks>
  <ignoredErrors>
    <ignoredError sqref="U41:BJ41 R41:T41" formula="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
  <dimension ref="A2:DX62"/>
  <sheetViews>
    <sheetView showGridLines="0" view="pageBreakPreview" zoomScale="70" zoomScaleNormal="70" zoomScaleSheetLayoutView="70" workbookViewId="0">
      <pane xSplit="15" ySplit="10" topLeftCell="P11" activePane="bottomRight" state="frozen"/>
      <selection pane="topRight" activeCell="P1" sqref="P1"/>
      <selection pane="bottomLeft" activeCell="A11" sqref="A11"/>
      <selection pane="bottomRight"/>
    </sheetView>
  </sheetViews>
  <sheetFormatPr baseColWidth="10" defaultColWidth="0" defaultRowHeight="12.75" x14ac:dyDescent="0.2"/>
  <cols>
    <col min="1" max="2" width="2.42578125" customWidth="1"/>
    <col min="3" max="3" width="13" customWidth="1"/>
    <col min="4" max="5" width="9.140625" customWidth="1"/>
    <col min="6" max="6" width="7.7109375" customWidth="1"/>
    <col min="7" max="7" width="9" customWidth="1"/>
    <col min="8" max="8" width="22" bestFit="1" customWidth="1"/>
    <col min="9" max="9" width="7.42578125" customWidth="1"/>
    <col min="10" max="10" width="2.28515625" customWidth="1"/>
    <col min="11" max="11" width="9.140625" style="160" customWidth="1"/>
    <col min="12" max="12" width="15" customWidth="1"/>
    <col min="13" max="13" width="1.7109375" customWidth="1"/>
    <col min="14" max="14" width="16.28515625" customWidth="1"/>
    <col min="15" max="16" width="2.7109375" customWidth="1"/>
    <col min="17" max="62" width="15.28515625" customWidth="1"/>
    <col min="63" max="66" width="9.140625" hidden="1" customWidth="1"/>
    <col min="67" max="121" width="0" hidden="1" customWidth="1"/>
    <col min="122" max="125" width="9.140625" hidden="1" customWidth="1"/>
    <col min="126" max="128" width="0" hidden="1" customWidth="1"/>
    <col min="129" max="16384" width="9.140625" hidden="1"/>
  </cols>
  <sheetData>
    <row r="2" spans="1:62" x14ac:dyDescent="0.2">
      <c r="C2" t="s">
        <v>2</v>
      </c>
      <c r="F2" s="75" t="str">
        <f>+Inputs!$G$2</f>
        <v>NTE Express</v>
      </c>
    </row>
    <row r="3" spans="1:62" ht="13.5" thickBot="1" x14ac:dyDescent="0.25">
      <c r="C3" t="s">
        <v>3</v>
      </c>
      <c r="F3" t="s">
        <v>433</v>
      </c>
    </row>
    <row r="4" spans="1:62" ht="13.5" thickBot="1" x14ac:dyDescent="0.25">
      <c r="C4" t="s">
        <v>4</v>
      </c>
      <c r="F4" s="710">
        <f ca="1">+Inputs!G4</f>
        <v>0</v>
      </c>
    </row>
    <row r="5" spans="1:62" x14ac:dyDescent="0.2">
      <c r="BJ5" s="133"/>
    </row>
    <row r="7" spans="1:62" x14ac:dyDescent="0.2">
      <c r="C7" t="s">
        <v>19</v>
      </c>
      <c r="Q7" s="655">
        <f t="shared" ref="Q7:AP7" si="0">+YEAR(Q9)</f>
        <v>2016</v>
      </c>
      <c r="R7" s="655">
        <f t="shared" si="0"/>
        <v>2017</v>
      </c>
      <c r="S7" s="655">
        <f t="shared" si="0"/>
        <v>2018</v>
      </c>
      <c r="T7" s="655">
        <f t="shared" si="0"/>
        <v>2019</v>
      </c>
      <c r="U7" s="655">
        <f t="shared" si="0"/>
        <v>2020</v>
      </c>
      <c r="V7" s="655">
        <f t="shared" si="0"/>
        <v>2021</v>
      </c>
      <c r="W7" s="655">
        <f t="shared" si="0"/>
        <v>2022</v>
      </c>
      <c r="X7" s="655">
        <f t="shared" si="0"/>
        <v>2023</v>
      </c>
      <c r="Y7" s="655">
        <f t="shared" si="0"/>
        <v>2024</v>
      </c>
      <c r="Z7" s="655">
        <f t="shared" si="0"/>
        <v>2025</v>
      </c>
      <c r="AA7" s="655">
        <f t="shared" si="0"/>
        <v>2026</v>
      </c>
      <c r="AB7" s="655">
        <f t="shared" si="0"/>
        <v>2027</v>
      </c>
      <c r="AC7" s="655">
        <f t="shared" si="0"/>
        <v>2028</v>
      </c>
      <c r="AD7" s="655">
        <f t="shared" si="0"/>
        <v>2029</v>
      </c>
      <c r="AE7" s="655">
        <f t="shared" si="0"/>
        <v>2030</v>
      </c>
      <c r="AF7" s="655">
        <f t="shared" si="0"/>
        <v>2031</v>
      </c>
      <c r="AG7" s="655">
        <f t="shared" si="0"/>
        <v>2032</v>
      </c>
      <c r="AH7" s="655">
        <f t="shared" si="0"/>
        <v>2033</v>
      </c>
      <c r="AI7" s="655">
        <f t="shared" si="0"/>
        <v>2034</v>
      </c>
      <c r="AJ7" s="655">
        <f t="shared" si="0"/>
        <v>2035</v>
      </c>
      <c r="AK7" s="655">
        <f t="shared" si="0"/>
        <v>2036</v>
      </c>
      <c r="AL7" s="655">
        <f t="shared" si="0"/>
        <v>2037</v>
      </c>
      <c r="AM7" s="655">
        <f t="shared" si="0"/>
        <v>2038</v>
      </c>
      <c r="AN7" s="655">
        <f t="shared" si="0"/>
        <v>2039</v>
      </c>
      <c r="AO7" s="655">
        <f t="shared" si="0"/>
        <v>2040</v>
      </c>
      <c r="AP7" s="655">
        <f t="shared" si="0"/>
        <v>2041</v>
      </c>
      <c r="AQ7" s="655">
        <f t="shared" ref="AQ7:BJ7" si="1">+YEAR(AQ9)</f>
        <v>2042</v>
      </c>
      <c r="AR7" s="655">
        <f t="shared" si="1"/>
        <v>2043</v>
      </c>
      <c r="AS7" s="655">
        <f t="shared" si="1"/>
        <v>2044</v>
      </c>
      <c r="AT7" s="655">
        <f t="shared" si="1"/>
        <v>2045</v>
      </c>
      <c r="AU7" s="655">
        <f t="shared" si="1"/>
        <v>2046</v>
      </c>
      <c r="AV7" s="655">
        <f t="shared" si="1"/>
        <v>2047</v>
      </c>
      <c r="AW7" s="655">
        <f t="shared" si="1"/>
        <v>2048</v>
      </c>
      <c r="AX7" s="655">
        <f t="shared" si="1"/>
        <v>2049</v>
      </c>
      <c r="AY7" s="655">
        <f t="shared" si="1"/>
        <v>2050</v>
      </c>
      <c r="AZ7" s="655">
        <f t="shared" si="1"/>
        <v>2051</v>
      </c>
      <c r="BA7" s="655">
        <f t="shared" si="1"/>
        <v>2052</v>
      </c>
      <c r="BB7" s="655">
        <f t="shared" si="1"/>
        <v>2053</v>
      </c>
      <c r="BC7" s="655">
        <f t="shared" si="1"/>
        <v>2054</v>
      </c>
      <c r="BD7" s="655">
        <f t="shared" si="1"/>
        <v>2055</v>
      </c>
      <c r="BE7" s="655">
        <f t="shared" si="1"/>
        <v>2056</v>
      </c>
      <c r="BF7" s="655">
        <f t="shared" si="1"/>
        <v>2057</v>
      </c>
      <c r="BG7" s="655">
        <f t="shared" si="1"/>
        <v>2058</v>
      </c>
      <c r="BH7" s="655">
        <f t="shared" si="1"/>
        <v>2059</v>
      </c>
      <c r="BI7" s="655">
        <f t="shared" si="1"/>
        <v>2060</v>
      </c>
      <c r="BJ7" s="655">
        <f t="shared" si="1"/>
        <v>2061</v>
      </c>
    </row>
    <row r="8" spans="1:62" x14ac:dyDescent="0.2">
      <c r="C8" t="s">
        <v>45</v>
      </c>
      <c r="Q8" s="167">
        <v>42370</v>
      </c>
      <c r="R8" s="84">
        <f t="shared" ref="R8:AP8" si="2">+Q9+1</f>
        <v>42736</v>
      </c>
      <c r="S8" s="84">
        <f t="shared" si="2"/>
        <v>43101</v>
      </c>
      <c r="T8" s="84">
        <f t="shared" si="2"/>
        <v>43466</v>
      </c>
      <c r="U8" s="84">
        <f t="shared" si="2"/>
        <v>43831</v>
      </c>
      <c r="V8" s="84">
        <f t="shared" si="2"/>
        <v>44197</v>
      </c>
      <c r="W8" s="84">
        <f t="shared" si="2"/>
        <v>44562</v>
      </c>
      <c r="X8" s="84">
        <f t="shared" si="2"/>
        <v>44927</v>
      </c>
      <c r="Y8" s="84">
        <f t="shared" si="2"/>
        <v>45292</v>
      </c>
      <c r="Z8" s="84">
        <f t="shared" si="2"/>
        <v>45658</v>
      </c>
      <c r="AA8" s="84">
        <f t="shared" si="2"/>
        <v>46023</v>
      </c>
      <c r="AB8" s="84">
        <f t="shared" si="2"/>
        <v>46388</v>
      </c>
      <c r="AC8" s="84">
        <f t="shared" si="2"/>
        <v>46753</v>
      </c>
      <c r="AD8" s="84">
        <f t="shared" si="2"/>
        <v>47119</v>
      </c>
      <c r="AE8" s="84">
        <f t="shared" si="2"/>
        <v>47484</v>
      </c>
      <c r="AF8" s="84">
        <f t="shared" si="2"/>
        <v>47849</v>
      </c>
      <c r="AG8" s="84">
        <f t="shared" si="2"/>
        <v>48214</v>
      </c>
      <c r="AH8" s="84">
        <f t="shared" si="2"/>
        <v>48580</v>
      </c>
      <c r="AI8" s="84">
        <f t="shared" si="2"/>
        <v>48945</v>
      </c>
      <c r="AJ8" s="84">
        <f t="shared" si="2"/>
        <v>49310</v>
      </c>
      <c r="AK8" s="84">
        <f t="shared" si="2"/>
        <v>49675</v>
      </c>
      <c r="AL8" s="84">
        <f t="shared" si="2"/>
        <v>50041</v>
      </c>
      <c r="AM8" s="84">
        <f t="shared" si="2"/>
        <v>50406</v>
      </c>
      <c r="AN8" s="84">
        <f t="shared" si="2"/>
        <v>50771</v>
      </c>
      <c r="AO8" s="84">
        <f t="shared" si="2"/>
        <v>51136</v>
      </c>
      <c r="AP8" s="84">
        <f t="shared" si="2"/>
        <v>51502</v>
      </c>
      <c r="AQ8" s="84">
        <f t="shared" ref="AQ8:BJ8" si="3">+AP9+1</f>
        <v>51867</v>
      </c>
      <c r="AR8" s="84">
        <f t="shared" si="3"/>
        <v>52232</v>
      </c>
      <c r="AS8" s="84">
        <f t="shared" si="3"/>
        <v>52597</v>
      </c>
      <c r="AT8" s="84">
        <f t="shared" si="3"/>
        <v>52963</v>
      </c>
      <c r="AU8" s="84">
        <f t="shared" si="3"/>
        <v>53328</v>
      </c>
      <c r="AV8" s="84">
        <f t="shared" si="3"/>
        <v>53693</v>
      </c>
      <c r="AW8" s="84">
        <f t="shared" si="3"/>
        <v>54058</v>
      </c>
      <c r="AX8" s="84">
        <f t="shared" si="3"/>
        <v>54424</v>
      </c>
      <c r="AY8" s="84">
        <f t="shared" si="3"/>
        <v>54789</v>
      </c>
      <c r="AZ8" s="84">
        <f t="shared" si="3"/>
        <v>55154</v>
      </c>
      <c r="BA8" s="84">
        <f t="shared" si="3"/>
        <v>55519</v>
      </c>
      <c r="BB8" s="84">
        <f t="shared" si="3"/>
        <v>55885</v>
      </c>
      <c r="BC8" s="84">
        <f t="shared" si="3"/>
        <v>56250</v>
      </c>
      <c r="BD8" s="84">
        <f t="shared" si="3"/>
        <v>56615</v>
      </c>
      <c r="BE8" s="84">
        <f t="shared" si="3"/>
        <v>56980</v>
      </c>
      <c r="BF8" s="84">
        <f t="shared" si="3"/>
        <v>57346</v>
      </c>
      <c r="BG8" s="84">
        <f t="shared" si="3"/>
        <v>57711</v>
      </c>
      <c r="BH8" s="84">
        <f t="shared" si="3"/>
        <v>58076</v>
      </c>
      <c r="BI8" s="84">
        <f t="shared" si="3"/>
        <v>58441</v>
      </c>
      <c r="BJ8" s="84">
        <f t="shared" si="3"/>
        <v>58807</v>
      </c>
    </row>
    <row r="9" spans="1:62" x14ac:dyDescent="0.2">
      <c r="C9" t="s">
        <v>46</v>
      </c>
      <c r="Q9" s="84">
        <f t="shared" ref="Q9:AO9" si="4">+EOMONTH(Q8,11)</f>
        <v>42735</v>
      </c>
      <c r="R9" s="84">
        <f t="shared" si="4"/>
        <v>43100</v>
      </c>
      <c r="S9" s="84">
        <f t="shared" si="4"/>
        <v>43465</v>
      </c>
      <c r="T9" s="84">
        <f t="shared" si="4"/>
        <v>43830</v>
      </c>
      <c r="U9" s="84">
        <f t="shared" si="4"/>
        <v>44196</v>
      </c>
      <c r="V9" s="84">
        <f t="shared" si="4"/>
        <v>44561</v>
      </c>
      <c r="W9" s="84">
        <f t="shared" si="4"/>
        <v>44926</v>
      </c>
      <c r="X9" s="84">
        <f t="shared" si="4"/>
        <v>45291</v>
      </c>
      <c r="Y9" s="84">
        <f t="shared" si="4"/>
        <v>45657</v>
      </c>
      <c r="Z9" s="84">
        <f t="shared" si="4"/>
        <v>46022</v>
      </c>
      <c r="AA9" s="84">
        <f t="shared" si="4"/>
        <v>46387</v>
      </c>
      <c r="AB9" s="84">
        <f t="shared" si="4"/>
        <v>46752</v>
      </c>
      <c r="AC9" s="84">
        <f t="shared" si="4"/>
        <v>47118</v>
      </c>
      <c r="AD9" s="84">
        <f t="shared" si="4"/>
        <v>47483</v>
      </c>
      <c r="AE9" s="84">
        <f t="shared" si="4"/>
        <v>47848</v>
      </c>
      <c r="AF9" s="84">
        <f t="shared" si="4"/>
        <v>48213</v>
      </c>
      <c r="AG9" s="84">
        <f t="shared" si="4"/>
        <v>48579</v>
      </c>
      <c r="AH9" s="84">
        <f t="shared" si="4"/>
        <v>48944</v>
      </c>
      <c r="AI9" s="84">
        <f t="shared" si="4"/>
        <v>49309</v>
      </c>
      <c r="AJ9" s="84">
        <f t="shared" si="4"/>
        <v>49674</v>
      </c>
      <c r="AK9" s="84">
        <f t="shared" si="4"/>
        <v>50040</v>
      </c>
      <c r="AL9" s="84">
        <f t="shared" si="4"/>
        <v>50405</v>
      </c>
      <c r="AM9" s="84">
        <f t="shared" si="4"/>
        <v>50770</v>
      </c>
      <c r="AN9" s="84">
        <f t="shared" si="4"/>
        <v>51135</v>
      </c>
      <c r="AO9" s="84">
        <f t="shared" si="4"/>
        <v>51501</v>
      </c>
      <c r="AP9" s="84">
        <f t="shared" ref="AP9:BJ9" si="5">+EOMONTH(AP8,11)</f>
        <v>51866</v>
      </c>
      <c r="AQ9" s="84">
        <f t="shared" si="5"/>
        <v>52231</v>
      </c>
      <c r="AR9" s="84">
        <f t="shared" si="5"/>
        <v>52596</v>
      </c>
      <c r="AS9" s="84">
        <f t="shared" si="5"/>
        <v>52962</v>
      </c>
      <c r="AT9" s="84">
        <f t="shared" si="5"/>
        <v>53327</v>
      </c>
      <c r="AU9" s="84">
        <f t="shared" si="5"/>
        <v>53692</v>
      </c>
      <c r="AV9" s="84">
        <f t="shared" si="5"/>
        <v>54057</v>
      </c>
      <c r="AW9" s="84">
        <f t="shared" si="5"/>
        <v>54423</v>
      </c>
      <c r="AX9" s="84">
        <f t="shared" si="5"/>
        <v>54788</v>
      </c>
      <c r="AY9" s="84">
        <f t="shared" si="5"/>
        <v>55153</v>
      </c>
      <c r="AZ9" s="84">
        <f t="shared" si="5"/>
        <v>55518</v>
      </c>
      <c r="BA9" s="84">
        <f t="shared" si="5"/>
        <v>55884</v>
      </c>
      <c r="BB9" s="84">
        <f t="shared" si="5"/>
        <v>56249</v>
      </c>
      <c r="BC9" s="84">
        <f t="shared" si="5"/>
        <v>56614</v>
      </c>
      <c r="BD9" s="84">
        <f t="shared" si="5"/>
        <v>56979</v>
      </c>
      <c r="BE9" s="84">
        <f t="shared" si="5"/>
        <v>57345</v>
      </c>
      <c r="BF9" s="84">
        <f t="shared" si="5"/>
        <v>57710</v>
      </c>
      <c r="BG9" s="84">
        <f t="shared" si="5"/>
        <v>58075</v>
      </c>
      <c r="BH9" s="84">
        <f t="shared" si="5"/>
        <v>58440</v>
      </c>
      <c r="BI9" s="84">
        <f t="shared" si="5"/>
        <v>58806</v>
      </c>
      <c r="BJ9" s="84">
        <f t="shared" si="5"/>
        <v>59171</v>
      </c>
    </row>
    <row r="10" spans="1:62" x14ac:dyDescent="0.2">
      <c r="K10" s="160" t="s">
        <v>47</v>
      </c>
      <c r="L10" s="8" t="s">
        <v>48</v>
      </c>
      <c r="M10" s="8"/>
      <c r="N10" s="8" t="s">
        <v>49</v>
      </c>
    </row>
    <row r="11" spans="1:62" x14ac:dyDescent="0.2">
      <c r="A11" s="75"/>
      <c r="B11" s="75"/>
    </row>
    <row r="12" spans="1:62" x14ac:dyDescent="0.2">
      <c r="A12" s="75"/>
      <c r="B12" s="75"/>
      <c r="C12" t="s">
        <v>51</v>
      </c>
      <c r="K12" s="160" t="s">
        <v>50</v>
      </c>
      <c r="Q12" s="728">
        <f>(MIN(Q$9,Inputs!$L$30) - MAX(Q$8,Inputs!$L$26) &gt;= 0) * 1</f>
        <v>1</v>
      </c>
      <c r="R12" s="728">
        <f>(MIN(R$9,Inputs!$L$30) - MAX(R$8,Inputs!$L$26) &gt;= 0) * 1</f>
        <v>1</v>
      </c>
      <c r="S12" s="728">
        <f>(MIN(S$9,Inputs!$L$30) - MAX(S$8,Inputs!$L$26) &gt;= 0) * 1</f>
        <v>1</v>
      </c>
      <c r="T12" s="728">
        <f>(MIN(T$9,Inputs!$L$30) - MAX(T$8,Inputs!$L$26) &gt;= 0) * 1</f>
        <v>1</v>
      </c>
      <c r="U12" s="728">
        <f>(MIN(U$9,Inputs!$L$30) - MAX(U$8,Inputs!$L$26) &gt;= 0) * 1</f>
        <v>1</v>
      </c>
      <c r="V12" s="728">
        <f>(MIN(V$9,Inputs!$L$30) - MAX(V$8,Inputs!$L$26) &gt;= 0) * 1</f>
        <v>1</v>
      </c>
      <c r="W12" s="728">
        <f>(MIN(W$9,Inputs!$L$30) - MAX(W$8,Inputs!$L$26) &gt;= 0) * 1</f>
        <v>1</v>
      </c>
      <c r="X12" s="728">
        <f>(MIN(X$9,Inputs!$L$30) - MAX(X$8,Inputs!$L$26) &gt;= 0) * 1</f>
        <v>1</v>
      </c>
      <c r="Y12" s="728">
        <f>(MIN(Y$9,Inputs!$L$30) - MAX(Y$8,Inputs!$L$26) &gt;= 0) * 1</f>
        <v>1</v>
      </c>
      <c r="Z12" s="728">
        <f>(MIN(Z$9,Inputs!$L$30) - MAX(Z$8,Inputs!$L$26) &gt;= 0) * 1</f>
        <v>1</v>
      </c>
      <c r="AA12" s="728">
        <f>(MIN(AA$9,Inputs!$L$30) - MAX(AA$8,Inputs!$L$26) &gt;= 0) * 1</f>
        <v>1</v>
      </c>
      <c r="AB12" s="728">
        <f>(MIN(AB$9,Inputs!$L$30) - MAX(AB$8,Inputs!$L$26) &gt;= 0) * 1</f>
        <v>1</v>
      </c>
      <c r="AC12" s="728">
        <f>(MIN(AC$9,Inputs!$L$30) - MAX(AC$8,Inputs!$L$26) &gt;= 0) * 1</f>
        <v>1</v>
      </c>
      <c r="AD12" s="728">
        <f>(MIN(AD$9,Inputs!$L$30) - MAX(AD$8,Inputs!$L$26) &gt;= 0) * 1</f>
        <v>1</v>
      </c>
      <c r="AE12" s="728">
        <f>(MIN(AE$9,Inputs!$L$30) - MAX(AE$8,Inputs!$L$26) &gt;= 0) * 1</f>
        <v>1</v>
      </c>
      <c r="AF12" s="728">
        <f>(MIN(AF$9,Inputs!$L$30) - MAX(AF$8,Inputs!$L$26) &gt;= 0) * 1</f>
        <v>1</v>
      </c>
      <c r="AG12" s="728">
        <f>(MIN(AG$9,Inputs!$L$30) - MAX(AG$8,Inputs!$L$26) &gt;= 0) * 1</f>
        <v>1</v>
      </c>
      <c r="AH12" s="728">
        <f>(MIN(AH$9,Inputs!$L$30) - MAX(AH$8,Inputs!$L$26) &gt;= 0) * 1</f>
        <v>1</v>
      </c>
      <c r="AI12" s="728">
        <f>(MIN(AI$9,Inputs!$L$30) - MAX(AI$8,Inputs!$L$26) &gt;= 0) * 1</f>
        <v>1</v>
      </c>
      <c r="AJ12" s="728">
        <f>(MIN(AJ$9,Inputs!$L$30) - MAX(AJ$8,Inputs!$L$26) &gt;= 0) * 1</f>
        <v>1</v>
      </c>
      <c r="AK12" s="728">
        <f>(MIN(AK$9,Inputs!$L$30) - MAX(AK$8,Inputs!$L$26) &gt;= 0) * 1</f>
        <v>1</v>
      </c>
      <c r="AL12" s="728">
        <f>(MIN(AL$9,Inputs!$L$30) - MAX(AL$8,Inputs!$L$26) &gt;= 0) * 1</f>
        <v>1</v>
      </c>
      <c r="AM12" s="728">
        <f>(MIN(AM$9,Inputs!$L$30) - MAX(AM$8,Inputs!$L$26) &gt;= 0) * 1</f>
        <v>1</v>
      </c>
      <c r="AN12" s="728">
        <f>(MIN(AN$9,Inputs!$L$30) - MAX(AN$8,Inputs!$L$26) &gt;= 0) * 1</f>
        <v>1</v>
      </c>
      <c r="AO12" s="728">
        <f>(MIN(AO$9,Inputs!$L$30) - MAX(AO$8,Inputs!$L$26) &gt;= 0) * 1</f>
        <v>1</v>
      </c>
      <c r="AP12" s="728">
        <f>(MIN(AP$9,Inputs!$L$30) - MAX(AP$8,Inputs!$L$26) &gt;= 0) * 1</f>
        <v>1</v>
      </c>
      <c r="AQ12" s="728">
        <f>(MIN(AQ$9,Inputs!$L$30) - MAX(AQ$8,Inputs!$L$26) &gt;= 0) * 1</f>
        <v>1</v>
      </c>
      <c r="AR12" s="728">
        <f>(MIN(AR$9,Inputs!$L$30) - MAX(AR$8,Inputs!$L$26) &gt;= 0) * 1</f>
        <v>1</v>
      </c>
      <c r="AS12" s="728">
        <f>(MIN(AS$9,Inputs!$L$30) - MAX(AS$8,Inputs!$L$26) &gt;= 0) * 1</f>
        <v>1</v>
      </c>
      <c r="AT12" s="728">
        <f>(MIN(AT$9,Inputs!$L$30) - MAX(AT$8,Inputs!$L$26) &gt;= 0) * 1</f>
        <v>1</v>
      </c>
      <c r="AU12" s="728">
        <f>(MIN(AU$9,Inputs!$L$30) - MAX(AU$8,Inputs!$L$26) &gt;= 0) * 1</f>
        <v>1</v>
      </c>
      <c r="AV12" s="728">
        <f>(MIN(AV$9,Inputs!$L$30) - MAX(AV$8,Inputs!$L$26) &gt;= 0) * 1</f>
        <v>1</v>
      </c>
      <c r="AW12" s="728">
        <f>(MIN(AW$9,Inputs!$L$30) - MAX(AW$8,Inputs!$L$26) &gt;= 0) * 1</f>
        <v>1</v>
      </c>
      <c r="AX12" s="728">
        <f>(MIN(AX$9,Inputs!$L$30) - MAX(AX$8,Inputs!$L$26) &gt;= 0) * 1</f>
        <v>1</v>
      </c>
      <c r="AY12" s="728">
        <f>(MIN(AY$9,Inputs!$L$30) - MAX(AY$8,Inputs!$L$26) &gt;= 0) * 1</f>
        <v>1</v>
      </c>
      <c r="AZ12" s="728">
        <f>(MIN(AZ$9,Inputs!$L$30) - MAX(AZ$8,Inputs!$L$26) &gt;= 0) * 1</f>
        <v>1</v>
      </c>
      <c r="BA12" s="728">
        <f>(MIN(BA$9,Inputs!$L$30) - MAX(BA$8,Inputs!$L$26) &gt;= 0) * 1</f>
        <v>1</v>
      </c>
      <c r="BB12" s="728">
        <f>(MIN(BB$9,Inputs!$L$30) - MAX(BB$8,Inputs!$L$26) &gt;= 0) * 1</f>
        <v>1</v>
      </c>
      <c r="BC12" s="728">
        <f>(MIN(BC$9,Inputs!$L$30) - MAX(BC$8,Inputs!$L$26) &gt;= 0) * 1</f>
        <v>1</v>
      </c>
      <c r="BD12" s="728">
        <f>(MIN(BD$9,Inputs!$L$30) - MAX(BD$8,Inputs!$L$26) &gt;= 0) * 1</f>
        <v>1</v>
      </c>
      <c r="BE12" s="728">
        <f>(MIN(BE$9,Inputs!$L$30) - MAX(BE$8,Inputs!$L$26) &gt;= 0) * 1</f>
        <v>1</v>
      </c>
      <c r="BF12" s="728">
        <f>(MIN(BF$9,Inputs!$L$30) - MAX(BF$8,Inputs!$L$26) &gt;= 0) * 1</f>
        <v>1</v>
      </c>
      <c r="BG12" s="728">
        <f>(MIN(BG$9,Inputs!$L$30) - MAX(BG$8,Inputs!$L$26) &gt;= 0) * 1</f>
        <v>1</v>
      </c>
      <c r="BH12" s="728">
        <f>(MIN(BH$9,Inputs!$L$30) - MAX(BH$8,Inputs!$L$26) &gt;= 0) * 1</f>
        <v>1</v>
      </c>
      <c r="BI12" s="728">
        <f>(MIN(BI$9,Inputs!$L$30) - MAX(BI$8,Inputs!$L$26) &gt;= 0) * 1</f>
        <v>1</v>
      </c>
      <c r="BJ12" s="728">
        <f>(MIN(BJ$9,Inputs!$L$30) - MAX(BJ$8,Inputs!$L$26) &gt;= 0) * 1</f>
        <v>1</v>
      </c>
    </row>
    <row r="13" spans="1:62" x14ac:dyDescent="0.2">
      <c r="A13" s="75"/>
      <c r="B13" s="75"/>
      <c r="C13" t="s">
        <v>53</v>
      </c>
      <c r="K13" s="160" t="s">
        <v>50</v>
      </c>
      <c r="Q13" s="728">
        <f>(MIN(Q$9,Inputs!$L$30) - MAX(Q$8,Inputs!$L$29) &gt;= 0) * 1</f>
        <v>1</v>
      </c>
      <c r="R13" s="728">
        <f>(MIN(R$9,Inputs!$L$30) - MAX(R$8,Inputs!$L$29) &gt;= 0) * 1</f>
        <v>1</v>
      </c>
      <c r="S13" s="728">
        <f>(MIN(S$9,Inputs!$L$30) - MAX(S$8,Inputs!$L$29) &gt;= 0) * 1</f>
        <v>1</v>
      </c>
      <c r="T13" s="728">
        <f>(MIN(T$9,Inputs!$L$30) - MAX(T$8,Inputs!$L$29) &gt;= 0) * 1</f>
        <v>1</v>
      </c>
      <c r="U13" s="728">
        <f>(MIN(U$9,Inputs!$L$30) - MAX(U$8,Inputs!$L$29) &gt;= 0) * 1</f>
        <v>1</v>
      </c>
      <c r="V13" s="728">
        <f>(MIN(V$9,Inputs!$L$30) - MAX(V$8,Inputs!$L$29) &gt;= 0) * 1</f>
        <v>1</v>
      </c>
      <c r="W13" s="728">
        <f>(MIN(W$9,Inputs!$L$30) - MAX(W$8,Inputs!$L$29) &gt;= 0) * 1</f>
        <v>1</v>
      </c>
      <c r="X13" s="728">
        <f>(MIN(X$9,Inputs!$L$30) - MAX(X$8,Inputs!$L$29) &gt;= 0) * 1</f>
        <v>1</v>
      </c>
      <c r="Y13" s="728">
        <f>(MIN(Y$9,Inputs!$L$30) - MAX(Y$8,Inputs!$L$29) &gt;= 0) * 1</f>
        <v>1</v>
      </c>
      <c r="Z13" s="728">
        <f>(MIN(Z$9,Inputs!$L$30) - MAX(Z$8,Inputs!$L$29) &gt;= 0) * 1</f>
        <v>1</v>
      </c>
      <c r="AA13" s="728">
        <f>(MIN(AA$9,Inputs!$L$30) - MAX(AA$8,Inputs!$L$29) &gt;= 0) * 1</f>
        <v>1</v>
      </c>
      <c r="AB13" s="728">
        <f>(MIN(AB$9,Inputs!$L$30) - MAX(AB$8,Inputs!$L$29) &gt;= 0) * 1</f>
        <v>1</v>
      </c>
      <c r="AC13" s="728">
        <f>(MIN(AC$9,Inputs!$L$30) - MAX(AC$8,Inputs!$L$29) &gt;= 0) * 1</f>
        <v>1</v>
      </c>
      <c r="AD13" s="728">
        <f>(MIN(AD$9,Inputs!$L$30) - MAX(AD$8,Inputs!$L$29) &gt;= 0) * 1</f>
        <v>1</v>
      </c>
      <c r="AE13" s="728">
        <f>(MIN(AE$9,Inputs!$L$30) - MAX(AE$8,Inputs!$L$29) &gt;= 0) * 1</f>
        <v>1</v>
      </c>
      <c r="AF13" s="728">
        <f>(MIN(AF$9,Inputs!$L$30) - MAX(AF$8,Inputs!$L$29) &gt;= 0) * 1</f>
        <v>1</v>
      </c>
      <c r="AG13" s="728">
        <f>(MIN(AG$9,Inputs!$L$30) - MAX(AG$8,Inputs!$L$29) &gt;= 0) * 1</f>
        <v>1</v>
      </c>
      <c r="AH13" s="728">
        <f>(MIN(AH$9,Inputs!$L$30) - MAX(AH$8,Inputs!$L$29) &gt;= 0) * 1</f>
        <v>1</v>
      </c>
      <c r="AI13" s="728">
        <f>(MIN(AI$9,Inputs!$L$30) - MAX(AI$8,Inputs!$L$29) &gt;= 0) * 1</f>
        <v>1</v>
      </c>
      <c r="AJ13" s="728">
        <f>(MIN(AJ$9,Inputs!$L$30) - MAX(AJ$8,Inputs!$L$29) &gt;= 0) * 1</f>
        <v>1</v>
      </c>
      <c r="AK13" s="728">
        <f>(MIN(AK$9,Inputs!$L$30) - MAX(AK$8,Inputs!$L$29) &gt;= 0) * 1</f>
        <v>1</v>
      </c>
      <c r="AL13" s="728">
        <f>(MIN(AL$9,Inputs!$L$30) - MAX(AL$8,Inputs!$L$29) &gt;= 0) * 1</f>
        <v>1</v>
      </c>
      <c r="AM13" s="728">
        <f>(MIN(AM$9,Inputs!$L$30) - MAX(AM$8,Inputs!$L$29) &gt;= 0) * 1</f>
        <v>1</v>
      </c>
      <c r="AN13" s="728">
        <f>(MIN(AN$9,Inputs!$L$30) - MAX(AN$8,Inputs!$L$29) &gt;= 0) * 1</f>
        <v>1</v>
      </c>
      <c r="AO13" s="728">
        <f>(MIN(AO$9,Inputs!$L$30) - MAX(AO$8,Inputs!$L$29) &gt;= 0) * 1</f>
        <v>1</v>
      </c>
      <c r="AP13" s="728">
        <f>(MIN(AP$9,Inputs!$L$30) - MAX(AP$8,Inputs!$L$29) &gt;= 0) * 1</f>
        <v>1</v>
      </c>
      <c r="AQ13" s="728">
        <f>(MIN(AQ$9,Inputs!$L$30) - MAX(AQ$8,Inputs!$L$29) &gt;= 0) * 1</f>
        <v>1</v>
      </c>
      <c r="AR13" s="728">
        <f>(MIN(AR$9,Inputs!$L$30) - MAX(AR$8,Inputs!$L$29) &gt;= 0) * 1</f>
        <v>1</v>
      </c>
      <c r="AS13" s="728">
        <f>(MIN(AS$9,Inputs!$L$30) - MAX(AS$8,Inputs!$L$29) &gt;= 0) * 1</f>
        <v>1</v>
      </c>
      <c r="AT13" s="728">
        <f>(MIN(AT$9,Inputs!$L$30) - MAX(AT$8,Inputs!$L$29) &gt;= 0) * 1</f>
        <v>1</v>
      </c>
      <c r="AU13" s="728">
        <f>(MIN(AU$9,Inputs!$L$30) - MAX(AU$8,Inputs!$L$29) &gt;= 0) * 1</f>
        <v>1</v>
      </c>
      <c r="AV13" s="728">
        <f>(MIN(AV$9,Inputs!$L$30) - MAX(AV$8,Inputs!$L$29) &gt;= 0) * 1</f>
        <v>1</v>
      </c>
      <c r="AW13" s="728">
        <f>(MIN(AW$9,Inputs!$L$30) - MAX(AW$8,Inputs!$L$29) &gt;= 0) * 1</f>
        <v>1</v>
      </c>
      <c r="AX13" s="728">
        <f>(MIN(AX$9,Inputs!$L$30) - MAX(AX$8,Inputs!$L$29) &gt;= 0) * 1</f>
        <v>1</v>
      </c>
      <c r="AY13" s="728">
        <f>(MIN(AY$9,Inputs!$L$30) - MAX(AY$8,Inputs!$L$29) &gt;= 0) * 1</f>
        <v>1</v>
      </c>
      <c r="AZ13" s="728">
        <f>(MIN(AZ$9,Inputs!$L$30) - MAX(AZ$8,Inputs!$L$29) &gt;= 0) * 1</f>
        <v>1</v>
      </c>
      <c r="BA13" s="728">
        <f>(MIN(BA$9,Inputs!$L$30) - MAX(BA$8,Inputs!$L$29) &gt;= 0) * 1</f>
        <v>1</v>
      </c>
      <c r="BB13" s="728">
        <f>(MIN(BB$9,Inputs!$L$30) - MAX(BB$8,Inputs!$L$29) &gt;= 0) * 1</f>
        <v>1</v>
      </c>
      <c r="BC13" s="728">
        <f>(MIN(BC$9,Inputs!$L$30) - MAX(BC$8,Inputs!$L$29) &gt;= 0) * 1</f>
        <v>1</v>
      </c>
      <c r="BD13" s="728">
        <f>(MIN(BD$9,Inputs!$L$30) - MAX(BD$8,Inputs!$L$29) &gt;= 0) * 1</f>
        <v>1</v>
      </c>
      <c r="BE13" s="728">
        <f>(MIN(BE$9,Inputs!$L$30) - MAX(BE$8,Inputs!$L$29) &gt;= 0) * 1</f>
        <v>1</v>
      </c>
      <c r="BF13" s="728">
        <f>(MIN(BF$9,Inputs!$L$30) - MAX(BF$8,Inputs!$L$29) &gt;= 0) * 1</f>
        <v>1</v>
      </c>
      <c r="BG13" s="728">
        <f>(MIN(BG$9,Inputs!$L$30) - MAX(BG$8,Inputs!$L$29) &gt;= 0) * 1</f>
        <v>1</v>
      </c>
      <c r="BH13" s="728">
        <f>(MIN(BH$9,Inputs!$L$30) - MAX(BH$8,Inputs!$L$29) &gt;= 0) * 1</f>
        <v>1</v>
      </c>
      <c r="BI13" s="728">
        <f>(MIN(BI$9,Inputs!$L$30) - MAX(BI$8,Inputs!$L$29) &gt;= 0) * 1</f>
        <v>1</v>
      </c>
      <c r="BJ13" s="728">
        <f>(MIN(BJ$9,Inputs!$L$30) - MAX(BJ$8,Inputs!$L$29) &gt;= 0) * 1</f>
        <v>1</v>
      </c>
    </row>
    <row r="14" spans="1:62" x14ac:dyDescent="0.2">
      <c r="A14" s="75"/>
      <c r="B14" s="75"/>
      <c r="C14" t="s">
        <v>54</v>
      </c>
      <c r="K14" s="160" t="s">
        <v>50</v>
      </c>
      <c r="Q14" s="728">
        <f>IF(AND(Inputs!$L$30&gt;Q8,Inputs!$L$30&lt;=Q9),1,0)</f>
        <v>0</v>
      </c>
      <c r="R14" s="728">
        <f>IF(AND(Inputs!$L$30&gt;R8,Inputs!$L$30&lt;=R9),1,0)</f>
        <v>0</v>
      </c>
      <c r="S14" s="728">
        <f>IF(AND(Inputs!$L$30&gt;S8,Inputs!$L$30&lt;=S9),1,0)</f>
        <v>0</v>
      </c>
      <c r="T14" s="728">
        <f>IF(AND(Inputs!$L$30&gt;T8,Inputs!$L$30&lt;=T9),1,0)</f>
        <v>0</v>
      </c>
      <c r="U14" s="728">
        <f>IF(AND(Inputs!$L$30&gt;U8,Inputs!$L$30&lt;=U9),1,0)</f>
        <v>0</v>
      </c>
      <c r="V14" s="728">
        <f>IF(AND(Inputs!$L$30&gt;V8,Inputs!$L$30&lt;=V9),1,0)</f>
        <v>0</v>
      </c>
      <c r="W14" s="728">
        <f>IF(AND(Inputs!$L$30&gt;W8,Inputs!$L$30&lt;=W9),1,0)</f>
        <v>0</v>
      </c>
      <c r="X14" s="728">
        <f>IF(AND(Inputs!$L$30&gt;X8,Inputs!$L$30&lt;=X9),1,0)</f>
        <v>0</v>
      </c>
      <c r="Y14" s="728">
        <f>IF(AND(Inputs!$L$30&gt;Y8,Inputs!$L$30&lt;=Y9),1,0)</f>
        <v>0</v>
      </c>
      <c r="Z14" s="728">
        <f>IF(AND(Inputs!$L$30&gt;Z8,Inputs!$L$30&lt;=Z9),1,0)</f>
        <v>0</v>
      </c>
      <c r="AA14" s="728">
        <f>IF(AND(Inputs!$L$30&gt;AA8,Inputs!$L$30&lt;=AA9),1,0)</f>
        <v>0</v>
      </c>
      <c r="AB14" s="728">
        <f>IF(AND(Inputs!$L$30&gt;AB8,Inputs!$L$30&lt;=AB9),1,0)</f>
        <v>0</v>
      </c>
      <c r="AC14" s="728">
        <f>IF(AND(Inputs!$L$30&gt;AC8,Inputs!$L$30&lt;=AC9),1,0)</f>
        <v>0</v>
      </c>
      <c r="AD14" s="728">
        <f>IF(AND(Inputs!$L$30&gt;AD8,Inputs!$L$30&lt;=AD9),1,0)</f>
        <v>0</v>
      </c>
      <c r="AE14" s="728">
        <f>IF(AND(Inputs!$L$30&gt;AE8,Inputs!$L$30&lt;=AE9),1,0)</f>
        <v>0</v>
      </c>
      <c r="AF14" s="728">
        <f>IF(AND(Inputs!$L$30&gt;AF8,Inputs!$L$30&lt;=AF9),1,0)</f>
        <v>0</v>
      </c>
      <c r="AG14" s="728">
        <f>IF(AND(Inputs!$L$30&gt;AG8,Inputs!$L$30&lt;=AG9),1,0)</f>
        <v>0</v>
      </c>
      <c r="AH14" s="728">
        <f>IF(AND(Inputs!$L$30&gt;AH8,Inputs!$L$30&lt;=AH9),1,0)</f>
        <v>0</v>
      </c>
      <c r="AI14" s="728">
        <f>IF(AND(Inputs!$L$30&gt;AI8,Inputs!$L$30&lt;=AI9),1,0)</f>
        <v>0</v>
      </c>
      <c r="AJ14" s="728">
        <f>IF(AND(Inputs!$L$30&gt;AJ8,Inputs!$L$30&lt;=AJ9),1,0)</f>
        <v>0</v>
      </c>
      <c r="AK14" s="728">
        <f>IF(AND(Inputs!$L$30&gt;AK8,Inputs!$L$30&lt;=AK9),1,0)</f>
        <v>0</v>
      </c>
      <c r="AL14" s="728">
        <f>IF(AND(Inputs!$L$30&gt;AL8,Inputs!$L$30&lt;=AL9),1,0)</f>
        <v>0</v>
      </c>
      <c r="AM14" s="728">
        <f>IF(AND(Inputs!$L$30&gt;AM8,Inputs!$L$30&lt;=AM9),1,0)</f>
        <v>0</v>
      </c>
      <c r="AN14" s="728">
        <f>IF(AND(Inputs!$L$30&gt;AN8,Inputs!$L$30&lt;=AN9),1,0)</f>
        <v>0</v>
      </c>
      <c r="AO14" s="728">
        <f>IF(AND(Inputs!$L$30&gt;AO8,Inputs!$L$30&lt;=AO9),1,0)</f>
        <v>0</v>
      </c>
      <c r="AP14" s="728">
        <f>IF(AND(Inputs!$L$30&gt;AP8,Inputs!$L$30&lt;=AP9),1,0)</f>
        <v>0</v>
      </c>
      <c r="AQ14" s="728">
        <f>IF(AND(Inputs!$L$30&gt;AQ8,Inputs!$L$30&lt;=AQ9),1,0)</f>
        <v>0</v>
      </c>
      <c r="AR14" s="728">
        <f>IF(AND(Inputs!$L$30&gt;AR8,Inputs!$L$30&lt;=AR9),1,0)</f>
        <v>0</v>
      </c>
      <c r="AS14" s="728">
        <f>IF(AND(Inputs!$L$30&gt;AS8,Inputs!$L$30&lt;=AS9),1,0)</f>
        <v>0</v>
      </c>
      <c r="AT14" s="728">
        <f>IF(AND(Inputs!$L$30&gt;AT8,Inputs!$L$30&lt;=AT9),1,0)</f>
        <v>0</v>
      </c>
      <c r="AU14" s="728">
        <f>IF(AND(Inputs!$L$30&gt;AU8,Inputs!$L$30&lt;=AU9),1,0)</f>
        <v>0</v>
      </c>
      <c r="AV14" s="728">
        <f>IF(AND(Inputs!$L$30&gt;AV8,Inputs!$L$30&lt;=AV9),1,0)</f>
        <v>0</v>
      </c>
      <c r="AW14" s="728">
        <f>IF(AND(Inputs!$L$30&gt;AW8,Inputs!$L$30&lt;=AW9),1,0)</f>
        <v>0</v>
      </c>
      <c r="AX14" s="728">
        <f>IF(AND(Inputs!$L$30&gt;AX8,Inputs!$L$30&lt;=AX9),1,0)</f>
        <v>0</v>
      </c>
      <c r="AY14" s="728">
        <f>IF(AND(Inputs!$L$30&gt;AY8,Inputs!$L$30&lt;=AY9),1,0)</f>
        <v>0</v>
      </c>
      <c r="AZ14" s="728">
        <f>IF(AND(Inputs!$L$30&gt;AZ8,Inputs!$L$30&lt;=AZ9),1,0)</f>
        <v>0</v>
      </c>
      <c r="BA14" s="728">
        <f>IF(AND(Inputs!$L$30&gt;BA8,Inputs!$L$30&lt;=BA9),1,0)</f>
        <v>0</v>
      </c>
      <c r="BB14" s="728">
        <f>IF(AND(Inputs!$L$30&gt;BB8,Inputs!$L$30&lt;=BB9),1,0)</f>
        <v>0</v>
      </c>
      <c r="BC14" s="728">
        <f>IF(AND(Inputs!$L$30&gt;BC8,Inputs!$L$30&lt;=BC9),1,0)</f>
        <v>0</v>
      </c>
      <c r="BD14" s="728">
        <f>IF(AND(Inputs!$L$30&gt;BD8,Inputs!$L$30&lt;=BD9),1,0)</f>
        <v>0</v>
      </c>
      <c r="BE14" s="728">
        <f>IF(AND(Inputs!$L$30&gt;BE8,Inputs!$L$30&lt;=BE9),1,0)</f>
        <v>0</v>
      </c>
      <c r="BF14" s="728">
        <f>IF(AND(Inputs!$L$30&gt;BF8,Inputs!$L$30&lt;=BF9),1,0)</f>
        <v>0</v>
      </c>
      <c r="BG14" s="728">
        <f>IF(AND(Inputs!$L$30&gt;BG8,Inputs!$L$30&lt;=BG9),1,0)</f>
        <v>0</v>
      </c>
      <c r="BH14" s="728">
        <f>IF(AND(Inputs!$L$30&gt;BH8,Inputs!$L$30&lt;=BH9),1,0)</f>
        <v>0</v>
      </c>
      <c r="BI14" s="728">
        <f>IF(AND(Inputs!$L$30&gt;BI8,Inputs!$L$30&lt;=BI9),1,0)</f>
        <v>0</v>
      </c>
      <c r="BJ14" s="728">
        <f>IF(AND(Inputs!$L$30&gt;BJ8,Inputs!$L$30&lt;=BJ9),1,0)</f>
        <v>1</v>
      </c>
    </row>
    <row r="15" spans="1:62" x14ac:dyDescent="0.2">
      <c r="A15" s="75"/>
      <c r="B15" s="75"/>
      <c r="C15" t="s">
        <v>55</v>
      </c>
      <c r="K15" s="160" t="s">
        <v>56</v>
      </c>
      <c r="Q15" s="75">
        <f t="shared" ref="Q15:AO15" si="6">(Q9 - Q8 + 1)</f>
        <v>366</v>
      </c>
      <c r="R15" s="75">
        <f t="shared" si="6"/>
        <v>365</v>
      </c>
      <c r="S15" s="75">
        <f t="shared" si="6"/>
        <v>365</v>
      </c>
      <c r="T15" s="75">
        <f t="shared" si="6"/>
        <v>365</v>
      </c>
      <c r="U15" s="75">
        <f t="shared" si="6"/>
        <v>366</v>
      </c>
      <c r="V15" s="75">
        <f t="shared" si="6"/>
        <v>365</v>
      </c>
      <c r="W15" s="75">
        <f t="shared" si="6"/>
        <v>365</v>
      </c>
      <c r="X15" s="75">
        <f t="shared" si="6"/>
        <v>365</v>
      </c>
      <c r="Y15" s="75">
        <f t="shared" si="6"/>
        <v>366</v>
      </c>
      <c r="Z15" s="75">
        <f t="shared" si="6"/>
        <v>365</v>
      </c>
      <c r="AA15" s="75">
        <f t="shared" si="6"/>
        <v>365</v>
      </c>
      <c r="AB15" s="75">
        <f t="shared" si="6"/>
        <v>365</v>
      </c>
      <c r="AC15" s="75">
        <f t="shared" si="6"/>
        <v>366</v>
      </c>
      <c r="AD15" s="75">
        <f t="shared" si="6"/>
        <v>365</v>
      </c>
      <c r="AE15" s="75">
        <f t="shared" si="6"/>
        <v>365</v>
      </c>
      <c r="AF15" s="75">
        <f t="shared" si="6"/>
        <v>365</v>
      </c>
      <c r="AG15" s="75">
        <f t="shared" si="6"/>
        <v>366</v>
      </c>
      <c r="AH15" s="75">
        <f t="shared" si="6"/>
        <v>365</v>
      </c>
      <c r="AI15" s="75">
        <f t="shared" si="6"/>
        <v>365</v>
      </c>
      <c r="AJ15" s="75">
        <f t="shared" si="6"/>
        <v>365</v>
      </c>
      <c r="AK15" s="75">
        <f t="shared" si="6"/>
        <v>366</v>
      </c>
      <c r="AL15" s="75">
        <f t="shared" si="6"/>
        <v>365</v>
      </c>
      <c r="AM15" s="75">
        <f t="shared" si="6"/>
        <v>365</v>
      </c>
      <c r="AN15" s="75">
        <f t="shared" si="6"/>
        <v>365</v>
      </c>
      <c r="AO15" s="75">
        <f t="shared" si="6"/>
        <v>366</v>
      </c>
      <c r="AP15" s="75">
        <f t="shared" ref="AP15:BJ15" si="7">(AP9 - AP8 + 1)</f>
        <v>365</v>
      </c>
      <c r="AQ15" s="75">
        <f t="shared" si="7"/>
        <v>365</v>
      </c>
      <c r="AR15" s="75">
        <f t="shared" si="7"/>
        <v>365</v>
      </c>
      <c r="AS15" s="75">
        <f t="shared" si="7"/>
        <v>366</v>
      </c>
      <c r="AT15" s="75">
        <f t="shared" si="7"/>
        <v>365</v>
      </c>
      <c r="AU15" s="75">
        <f t="shared" si="7"/>
        <v>365</v>
      </c>
      <c r="AV15" s="75">
        <f t="shared" si="7"/>
        <v>365</v>
      </c>
      <c r="AW15" s="75">
        <f t="shared" si="7"/>
        <v>366</v>
      </c>
      <c r="AX15" s="75">
        <f t="shared" si="7"/>
        <v>365</v>
      </c>
      <c r="AY15" s="75">
        <f t="shared" si="7"/>
        <v>365</v>
      </c>
      <c r="AZ15" s="75">
        <f t="shared" si="7"/>
        <v>365</v>
      </c>
      <c r="BA15" s="75">
        <f t="shared" si="7"/>
        <v>366</v>
      </c>
      <c r="BB15" s="75">
        <f t="shared" si="7"/>
        <v>365</v>
      </c>
      <c r="BC15" s="75">
        <f t="shared" si="7"/>
        <v>365</v>
      </c>
      <c r="BD15" s="75">
        <f t="shared" si="7"/>
        <v>365</v>
      </c>
      <c r="BE15" s="75">
        <f t="shared" si="7"/>
        <v>366</v>
      </c>
      <c r="BF15" s="75">
        <f t="shared" si="7"/>
        <v>365</v>
      </c>
      <c r="BG15" s="75">
        <f t="shared" si="7"/>
        <v>365</v>
      </c>
      <c r="BH15" s="75">
        <f t="shared" si="7"/>
        <v>365</v>
      </c>
      <c r="BI15" s="75">
        <f t="shared" si="7"/>
        <v>366</v>
      </c>
      <c r="BJ15" s="75">
        <f t="shared" si="7"/>
        <v>365</v>
      </c>
    </row>
    <row r="16" spans="1:62" x14ac:dyDescent="0.2">
      <c r="A16" s="75"/>
      <c r="B16" s="75"/>
      <c r="C16" t="s">
        <v>57</v>
      </c>
      <c r="K16" s="160" t="s">
        <v>50</v>
      </c>
      <c r="L16" s="727">
        <f>+Fin!M300</f>
        <v>43830</v>
      </c>
      <c r="Q16" s="728">
        <f>(MIN(Q$9,Inputs!$L$30) - MAX(Q$8,$L16) &gt;= 0) * 1</f>
        <v>0</v>
      </c>
      <c r="R16" s="728">
        <f>(MIN(R$9,Inputs!$L$30) - MAX(R$8,$L16) &gt;= 0) * 1</f>
        <v>0</v>
      </c>
      <c r="S16" s="728">
        <f>(MIN(S$9,Inputs!$L$30) - MAX(S$8,$L16) &gt;= 0) * 1</f>
        <v>0</v>
      </c>
      <c r="T16" s="728">
        <f>(MIN(T$9,Inputs!$L$30) - MAX(T$8,$L16) &gt;= 0) * 1</f>
        <v>1</v>
      </c>
      <c r="U16" s="728">
        <f>(MIN(U$9,Inputs!$L$30) - MAX(U$8,$L16) &gt;= 0) * 1</f>
        <v>1</v>
      </c>
      <c r="V16" s="728">
        <f>(MIN(V$9,Inputs!$L$30) - MAX(V$8,$L16) &gt;= 0) * 1</f>
        <v>1</v>
      </c>
      <c r="W16" s="728">
        <f>(MIN(W$9,Inputs!$L$30) - MAX(W$8,$L16) &gt;= 0) * 1</f>
        <v>1</v>
      </c>
      <c r="X16" s="728">
        <f>(MIN(X$9,Inputs!$L$30) - MAX(X$8,$L16) &gt;= 0) * 1</f>
        <v>1</v>
      </c>
      <c r="Y16" s="728">
        <f>(MIN(Y$9,Inputs!$L$30) - MAX(Y$8,$L16) &gt;= 0) * 1</f>
        <v>1</v>
      </c>
      <c r="Z16" s="728">
        <f>(MIN(Z$9,Inputs!$L$30) - MAX(Z$8,$L16) &gt;= 0) * 1</f>
        <v>1</v>
      </c>
      <c r="AA16" s="728">
        <f>(MIN(AA$9,Inputs!$L$30) - MAX(AA$8,$L16) &gt;= 0) * 1</f>
        <v>1</v>
      </c>
      <c r="AB16" s="728">
        <f>(MIN(AB$9,Inputs!$L$30) - MAX(AB$8,$L16) &gt;= 0) * 1</f>
        <v>1</v>
      </c>
      <c r="AC16" s="728">
        <f>(MIN(AC$9,Inputs!$L$30) - MAX(AC$8,$L16) &gt;= 0) * 1</f>
        <v>1</v>
      </c>
      <c r="AD16" s="728">
        <f>(MIN(AD$9,Inputs!$L$30) - MAX(AD$8,$L16) &gt;= 0) * 1</f>
        <v>1</v>
      </c>
      <c r="AE16" s="728">
        <f>(MIN(AE$9,Inputs!$L$30) - MAX(AE$8,$L16) &gt;= 0) * 1</f>
        <v>1</v>
      </c>
      <c r="AF16" s="728">
        <f>(MIN(AF$9,Inputs!$L$30) - MAX(AF$8,$L16) &gt;= 0) * 1</f>
        <v>1</v>
      </c>
      <c r="AG16" s="728">
        <f>(MIN(AG$9,Inputs!$L$30) - MAX(AG$8,$L16) &gt;= 0) * 1</f>
        <v>1</v>
      </c>
      <c r="AH16" s="728">
        <f>(MIN(AH$9,Inputs!$L$30) - MAX(AH$8,$L16) &gt;= 0) * 1</f>
        <v>1</v>
      </c>
      <c r="AI16" s="728">
        <f>(MIN(AI$9,Inputs!$L$30) - MAX(AI$8,$L16) &gt;= 0) * 1</f>
        <v>1</v>
      </c>
      <c r="AJ16" s="728">
        <f>(MIN(AJ$9,Inputs!$L$30) - MAX(AJ$8,$L16) &gt;= 0) * 1</f>
        <v>1</v>
      </c>
      <c r="AK16" s="728">
        <f>(MIN(AK$9,Inputs!$L$30) - MAX(AK$8,$L16) &gt;= 0) * 1</f>
        <v>1</v>
      </c>
      <c r="AL16" s="728">
        <f>(MIN(AL$9,Inputs!$L$30) - MAX(AL$8,$L16) &gt;= 0) * 1</f>
        <v>1</v>
      </c>
      <c r="AM16" s="728">
        <f>(MIN(AM$9,Inputs!$L$30) - MAX(AM$8,$L16) &gt;= 0) * 1</f>
        <v>1</v>
      </c>
      <c r="AN16" s="728">
        <f>(MIN(AN$9,Inputs!$L$30) - MAX(AN$8,$L16) &gt;= 0) * 1</f>
        <v>1</v>
      </c>
      <c r="AO16" s="728">
        <f>(MIN(AO$9,Inputs!$L$30) - MAX(AO$8,$L16) &gt;= 0) * 1</f>
        <v>1</v>
      </c>
      <c r="AP16" s="728">
        <f>(MIN(AP$9,Inputs!$L$30) - MAX(AP$8,$L16) &gt;= 0) * 1</f>
        <v>1</v>
      </c>
      <c r="AQ16" s="728">
        <f>(MIN(AQ$9,Inputs!$L$30) - MAX(AQ$8,$L16) &gt;= 0) * 1</f>
        <v>1</v>
      </c>
      <c r="AR16" s="728">
        <f>(MIN(AR$9,Inputs!$L$30) - MAX(AR$8,$L16) &gt;= 0) * 1</f>
        <v>1</v>
      </c>
      <c r="AS16" s="728">
        <f>(MIN(AS$9,Inputs!$L$30) - MAX(AS$8,$L16) &gt;= 0) * 1</f>
        <v>1</v>
      </c>
      <c r="AT16" s="728">
        <f>(MIN(AT$9,Inputs!$L$30) - MAX(AT$8,$L16) &gt;= 0) * 1</f>
        <v>1</v>
      </c>
      <c r="AU16" s="728">
        <f>(MIN(AU$9,Inputs!$L$30) - MAX(AU$8,$L16) &gt;= 0) * 1</f>
        <v>1</v>
      </c>
      <c r="AV16" s="728">
        <f>(MIN(AV$9,Inputs!$L$30) - MAX(AV$8,$L16) &gt;= 0) * 1</f>
        <v>1</v>
      </c>
      <c r="AW16" s="728">
        <f>(MIN(AW$9,Inputs!$L$30) - MAX(AW$8,$L16) &gt;= 0) * 1</f>
        <v>1</v>
      </c>
      <c r="AX16" s="728">
        <f>(MIN(AX$9,Inputs!$L$30) - MAX(AX$8,$L16) &gt;= 0) * 1</f>
        <v>1</v>
      </c>
      <c r="AY16" s="728">
        <f>(MIN(AY$9,Inputs!$L$30) - MAX(AY$8,$L16) &gt;= 0) * 1</f>
        <v>1</v>
      </c>
      <c r="AZ16" s="728">
        <f>(MIN(AZ$9,Inputs!$L$30) - MAX(AZ$8,$L16) &gt;= 0) * 1</f>
        <v>1</v>
      </c>
      <c r="BA16" s="728">
        <f>(MIN(BA$9,Inputs!$L$30) - MAX(BA$8,$L16) &gt;= 0) * 1</f>
        <v>1</v>
      </c>
      <c r="BB16" s="728">
        <f>(MIN(BB$9,Inputs!$L$30) - MAX(BB$8,$L16) &gt;= 0) * 1</f>
        <v>1</v>
      </c>
      <c r="BC16" s="728">
        <f>(MIN(BC$9,Inputs!$L$30) - MAX(BC$8,$L16) &gt;= 0) * 1</f>
        <v>1</v>
      </c>
      <c r="BD16" s="728">
        <f>(MIN(BD$9,Inputs!$L$30) - MAX(BD$8,$L16) &gt;= 0) * 1</f>
        <v>1</v>
      </c>
      <c r="BE16" s="728">
        <f>(MIN(BE$9,Inputs!$L$30) - MAX(BE$8,$L16) &gt;= 0) * 1</f>
        <v>1</v>
      </c>
      <c r="BF16" s="728">
        <f>(MIN(BF$9,Inputs!$L$30) - MAX(BF$8,$L16) &gt;= 0) * 1</f>
        <v>1</v>
      </c>
      <c r="BG16" s="728">
        <f>(MIN(BG$9,Inputs!$L$30) - MAX(BG$8,$L16) &gt;= 0) * 1</f>
        <v>1</v>
      </c>
      <c r="BH16" s="728">
        <f>(MIN(BH$9,Inputs!$L$30) - MAX(BH$8,$L16) &gt;= 0) * 1</f>
        <v>1</v>
      </c>
      <c r="BI16" s="728">
        <f>(MIN(BI$9,Inputs!$L$30) - MAX(BI$8,$L16) &gt;= 0) * 1</f>
        <v>1</v>
      </c>
      <c r="BJ16" s="728">
        <f>(MIN(BJ$9,Inputs!$L$30) - MAX(BJ$8,$L16) &gt;= 0) * 1</f>
        <v>1</v>
      </c>
    </row>
    <row r="17" spans="1:66" x14ac:dyDescent="0.2">
      <c r="A17" s="75"/>
      <c r="B17" s="75"/>
    </row>
    <row r="18" spans="1:66" s="140" customFormat="1" ht="15.75" x14ac:dyDescent="0.25">
      <c r="A18" s="136"/>
      <c r="B18" s="136" t="s">
        <v>58</v>
      </c>
      <c r="C18" s="136"/>
      <c r="D18" s="136"/>
      <c r="E18" s="136"/>
      <c r="F18" s="136"/>
      <c r="G18" s="136"/>
      <c r="H18" s="136"/>
      <c r="I18" s="136"/>
      <c r="J18" s="136"/>
      <c r="K18" s="598"/>
      <c r="L18" s="136"/>
      <c r="M18" s="136"/>
      <c r="N18" s="136"/>
      <c r="O18" s="137"/>
      <c r="P18" s="138"/>
      <c r="Q18" s="138"/>
      <c r="R18" s="138"/>
      <c r="S18" s="784"/>
      <c r="T18" s="784"/>
      <c r="U18" s="784"/>
      <c r="V18" s="784"/>
      <c r="W18" s="784"/>
      <c r="X18" s="784"/>
      <c r="Y18" s="784"/>
      <c r="Z18" s="784"/>
      <c r="AA18" s="784"/>
      <c r="AB18" s="784"/>
      <c r="AC18" s="784"/>
      <c r="AD18" s="784"/>
      <c r="AE18" s="784"/>
      <c r="AF18" s="784"/>
      <c r="AG18" s="784"/>
      <c r="AH18" s="784"/>
      <c r="AI18" s="784"/>
      <c r="AJ18" s="784"/>
      <c r="AK18" s="784"/>
      <c r="AL18" s="784"/>
      <c r="AM18" s="784"/>
      <c r="AN18" s="784"/>
      <c r="AO18" s="784"/>
      <c r="AP18" s="784"/>
      <c r="AQ18" s="784"/>
      <c r="AR18" s="784"/>
      <c r="AS18" s="784"/>
      <c r="AT18" s="784"/>
      <c r="AU18" s="784"/>
      <c r="AV18" s="784"/>
      <c r="AW18" s="784"/>
      <c r="AX18" s="784"/>
      <c r="AY18" s="784"/>
      <c r="AZ18" s="784"/>
      <c r="BA18" s="784"/>
      <c r="BB18" s="784"/>
      <c r="BC18" s="784"/>
      <c r="BD18" s="784"/>
      <c r="BE18" s="784"/>
      <c r="BF18" s="784"/>
      <c r="BG18" s="784"/>
      <c r="BH18" s="784"/>
      <c r="BI18" s="784"/>
      <c r="BJ18" s="784"/>
      <c r="BK18" s="138"/>
      <c r="BL18" s="138"/>
      <c r="BM18" s="138"/>
      <c r="BN18" s="138"/>
    </row>
    <row r="19" spans="1:66" x14ac:dyDescent="0.2">
      <c r="S19" s="784"/>
      <c r="T19" s="784"/>
      <c r="U19" s="784"/>
      <c r="V19" s="784"/>
      <c r="W19" s="784"/>
      <c r="X19" s="784"/>
      <c r="Y19" s="784"/>
      <c r="Z19" s="784"/>
      <c r="AA19" s="784"/>
      <c r="AB19" s="784"/>
      <c r="AC19" s="784"/>
      <c r="AD19" s="784"/>
      <c r="AE19" s="784"/>
      <c r="AF19" s="784"/>
      <c r="AG19" s="784"/>
      <c r="AH19" s="784"/>
      <c r="AI19" s="784"/>
      <c r="AJ19" s="784"/>
      <c r="AK19" s="784"/>
      <c r="AL19" s="784"/>
      <c r="AM19" s="784"/>
      <c r="AN19" s="784"/>
      <c r="AO19" s="784"/>
      <c r="AP19" s="784"/>
      <c r="AQ19" s="784"/>
      <c r="AR19" s="784"/>
      <c r="AS19" s="784"/>
      <c r="AT19" s="784"/>
      <c r="AU19" s="784"/>
      <c r="AV19" s="784"/>
      <c r="AW19" s="784"/>
      <c r="AX19" s="784"/>
      <c r="AY19" s="784"/>
      <c r="AZ19" s="784"/>
      <c r="BA19" s="784"/>
      <c r="BB19" s="784"/>
      <c r="BC19" s="784"/>
      <c r="BD19" s="784"/>
      <c r="BE19" s="784"/>
      <c r="BF19" s="784"/>
      <c r="BG19" s="784"/>
      <c r="BH19" s="784"/>
      <c r="BI19" s="784"/>
      <c r="BJ19" s="784"/>
    </row>
    <row r="20" spans="1:66" x14ac:dyDescent="0.2">
      <c r="C20" t="s">
        <v>59</v>
      </c>
      <c r="F20" s="54"/>
      <c r="G20" s="54"/>
      <c r="K20" s="160" t="s">
        <v>56</v>
      </c>
      <c r="N20" s="193"/>
      <c r="S20" s="784"/>
      <c r="T20" s="784"/>
      <c r="U20" s="784"/>
      <c r="V20" s="784"/>
      <c r="W20" s="784"/>
      <c r="X20" s="784"/>
      <c r="Y20" s="784"/>
      <c r="Z20" s="784"/>
      <c r="AA20" s="784"/>
      <c r="AB20" s="784"/>
      <c r="AC20" s="784"/>
      <c r="AD20" s="784"/>
      <c r="AE20" s="784"/>
      <c r="AF20" s="784"/>
      <c r="AG20" s="784"/>
      <c r="AH20" s="784"/>
      <c r="AI20" s="784"/>
      <c r="AJ20" s="784"/>
      <c r="AK20" s="784"/>
      <c r="AL20" s="784"/>
      <c r="AM20" s="784"/>
      <c r="AN20" s="784"/>
      <c r="AO20" s="784"/>
      <c r="AP20" s="784"/>
      <c r="AQ20" s="784"/>
      <c r="AR20" s="784"/>
      <c r="AS20" s="784"/>
      <c r="AT20" s="784"/>
      <c r="AU20" s="784"/>
      <c r="AV20" s="784"/>
      <c r="AW20" s="784"/>
      <c r="AX20" s="784"/>
      <c r="AY20" s="784"/>
      <c r="AZ20" s="784"/>
      <c r="BA20" s="784"/>
      <c r="BB20" s="784"/>
      <c r="BC20" s="784"/>
      <c r="BD20" s="784"/>
      <c r="BE20" s="784"/>
      <c r="BF20" s="784"/>
      <c r="BG20" s="784"/>
      <c r="BH20" s="784"/>
      <c r="BI20" s="784"/>
      <c r="BJ20" s="784"/>
    </row>
    <row r="21" spans="1:66" x14ac:dyDescent="0.2">
      <c r="C21" t="s">
        <v>60</v>
      </c>
      <c r="F21" s="54"/>
      <c r="G21" s="54"/>
      <c r="K21" s="160" t="s">
        <v>56</v>
      </c>
      <c r="N21" s="114"/>
      <c r="Q21" s="102"/>
      <c r="R21" s="114"/>
      <c r="S21" s="784"/>
      <c r="T21" s="784"/>
      <c r="U21" s="784"/>
      <c r="V21" s="784"/>
      <c r="W21" s="784"/>
      <c r="X21" s="784"/>
      <c r="Y21" s="784"/>
      <c r="Z21" s="784"/>
      <c r="AA21" s="784"/>
      <c r="AB21" s="784"/>
      <c r="AC21" s="784"/>
      <c r="AD21" s="784"/>
      <c r="AE21" s="784"/>
      <c r="AF21" s="784"/>
      <c r="AG21" s="784"/>
      <c r="AH21" s="784"/>
      <c r="AI21" s="784"/>
      <c r="AJ21" s="784"/>
      <c r="AK21" s="784"/>
      <c r="AL21" s="784"/>
      <c r="AM21" s="784"/>
      <c r="AN21" s="784"/>
      <c r="AO21" s="784"/>
      <c r="AP21" s="784"/>
      <c r="AQ21" s="784"/>
      <c r="AR21" s="784"/>
      <c r="AS21" s="784"/>
      <c r="AT21" s="784"/>
      <c r="AU21" s="784"/>
      <c r="AV21" s="784"/>
      <c r="AW21" s="784"/>
      <c r="AX21" s="784"/>
      <c r="AY21" s="784"/>
      <c r="AZ21" s="784"/>
      <c r="BA21" s="784"/>
      <c r="BB21" s="784"/>
      <c r="BC21" s="784"/>
      <c r="BD21" s="784"/>
      <c r="BE21" s="784"/>
      <c r="BF21" s="784"/>
      <c r="BG21" s="784"/>
      <c r="BH21" s="784"/>
      <c r="BI21" s="784"/>
      <c r="BJ21" s="784"/>
    </row>
    <row r="22" spans="1:66" x14ac:dyDescent="0.2">
      <c r="F22" s="54"/>
      <c r="G22" s="54"/>
    </row>
    <row r="23" spans="1:66" x14ac:dyDescent="0.2">
      <c r="C23" s="55" t="s">
        <v>61</v>
      </c>
      <c r="D23" s="56"/>
      <c r="E23" s="56"/>
      <c r="F23" s="56"/>
      <c r="G23" s="56"/>
      <c r="H23" s="56"/>
      <c r="I23" s="56"/>
      <c r="J23" s="56"/>
      <c r="K23" s="625" t="s">
        <v>62</v>
      </c>
      <c r="L23" s="93"/>
      <c r="M23" s="93"/>
      <c r="N23" s="93">
        <f>SUM(Q23:BJ23)</f>
        <v>0</v>
      </c>
      <c r="O23" s="56"/>
      <c r="P23" s="56"/>
      <c r="Q23" s="93"/>
      <c r="R23" s="93"/>
      <c r="S23" s="93">
        <f t="shared" ref="S23:AO23" si="8">+R54</f>
        <v>0</v>
      </c>
      <c r="T23" s="93">
        <f t="shared" si="8"/>
        <v>0</v>
      </c>
      <c r="U23" s="93">
        <f t="shared" si="8"/>
        <v>0</v>
      </c>
      <c r="V23" s="93">
        <f t="shared" si="8"/>
        <v>0</v>
      </c>
      <c r="W23" s="93">
        <f t="shared" si="8"/>
        <v>0</v>
      </c>
      <c r="X23" s="93">
        <f t="shared" si="8"/>
        <v>0</v>
      </c>
      <c r="Y23" s="93">
        <f t="shared" si="8"/>
        <v>0</v>
      </c>
      <c r="Z23" s="93">
        <f t="shared" si="8"/>
        <v>0</v>
      </c>
      <c r="AA23" s="93">
        <f t="shared" si="8"/>
        <v>0</v>
      </c>
      <c r="AB23" s="93">
        <f t="shared" si="8"/>
        <v>0</v>
      </c>
      <c r="AC23" s="93">
        <f t="shared" si="8"/>
        <v>0</v>
      </c>
      <c r="AD23" s="93">
        <f t="shared" si="8"/>
        <v>0</v>
      </c>
      <c r="AE23" s="93">
        <f t="shared" si="8"/>
        <v>0</v>
      </c>
      <c r="AF23" s="93">
        <f t="shared" si="8"/>
        <v>0</v>
      </c>
      <c r="AG23" s="93">
        <f t="shared" si="8"/>
        <v>0</v>
      </c>
      <c r="AH23" s="93">
        <f t="shared" si="8"/>
        <v>0</v>
      </c>
      <c r="AI23" s="93">
        <f t="shared" si="8"/>
        <v>0</v>
      </c>
      <c r="AJ23" s="93">
        <f t="shared" si="8"/>
        <v>0</v>
      </c>
      <c r="AK23" s="93">
        <f t="shared" si="8"/>
        <v>0</v>
      </c>
      <c r="AL23" s="93">
        <f t="shared" si="8"/>
        <v>0</v>
      </c>
      <c r="AM23" s="93">
        <f t="shared" si="8"/>
        <v>0</v>
      </c>
      <c r="AN23" s="93">
        <f t="shared" si="8"/>
        <v>0</v>
      </c>
      <c r="AO23" s="93">
        <f t="shared" si="8"/>
        <v>0</v>
      </c>
      <c r="AP23" s="93">
        <f t="shared" ref="AP23:BJ23" si="9">+AO54</f>
        <v>0</v>
      </c>
      <c r="AQ23" s="93">
        <f t="shared" si="9"/>
        <v>0</v>
      </c>
      <c r="AR23" s="93">
        <f t="shared" si="9"/>
        <v>0</v>
      </c>
      <c r="AS23" s="93">
        <f t="shared" si="9"/>
        <v>0</v>
      </c>
      <c r="AT23" s="93">
        <f t="shared" si="9"/>
        <v>0</v>
      </c>
      <c r="AU23" s="93">
        <f t="shared" si="9"/>
        <v>0</v>
      </c>
      <c r="AV23" s="93">
        <f t="shared" si="9"/>
        <v>0</v>
      </c>
      <c r="AW23" s="93">
        <f t="shared" si="9"/>
        <v>0</v>
      </c>
      <c r="AX23" s="93">
        <f t="shared" si="9"/>
        <v>0</v>
      </c>
      <c r="AY23" s="93">
        <f t="shared" si="9"/>
        <v>0</v>
      </c>
      <c r="AZ23" s="93">
        <f t="shared" si="9"/>
        <v>0</v>
      </c>
      <c r="BA23" s="93">
        <f t="shared" si="9"/>
        <v>0</v>
      </c>
      <c r="BB23" s="93">
        <f t="shared" si="9"/>
        <v>0</v>
      </c>
      <c r="BC23" s="93">
        <f t="shared" si="9"/>
        <v>0</v>
      </c>
      <c r="BD23" s="93">
        <f t="shared" si="9"/>
        <v>0</v>
      </c>
      <c r="BE23" s="93">
        <f t="shared" si="9"/>
        <v>0</v>
      </c>
      <c r="BF23" s="93">
        <f t="shared" si="9"/>
        <v>0</v>
      </c>
      <c r="BG23" s="93">
        <f t="shared" si="9"/>
        <v>0</v>
      </c>
      <c r="BH23" s="93">
        <f t="shared" si="9"/>
        <v>0</v>
      </c>
      <c r="BI23" s="93">
        <f t="shared" si="9"/>
        <v>0</v>
      </c>
      <c r="BJ23" s="93">
        <f t="shared" si="9"/>
        <v>0</v>
      </c>
    </row>
    <row r="24" spans="1:66" x14ac:dyDescent="0.2">
      <c r="L24" s="78"/>
      <c r="M24" s="78"/>
      <c r="N24" s="78"/>
      <c r="O24" s="54"/>
      <c r="P24" s="75"/>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row>
    <row r="25" spans="1:66" x14ac:dyDescent="0.2">
      <c r="C25" s="75" t="s">
        <v>63</v>
      </c>
      <c r="K25" s="160" t="s">
        <v>62</v>
      </c>
      <c r="L25" s="78"/>
      <c r="M25" s="78"/>
      <c r="N25" s="78">
        <f t="shared" ref="N25:N33" si="10">SUM(Q25:BJ25)</f>
        <v>31617619.88418154</v>
      </c>
      <c r="O25" s="54"/>
      <c r="P25" s="75"/>
      <c r="Q25" s="78"/>
      <c r="R25" s="78"/>
      <c r="S25" s="78">
        <f>+Oper!S16</f>
        <v>99995.383361491404</v>
      </c>
      <c r="T25" s="78">
        <f>+Oper!T16</f>
        <v>110892.63499175895</v>
      </c>
      <c r="U25" s="78">
        <f>+Oper!U16</f>
        <v>122977.44237811655</v>
      </c>
      <c r="V25" s="132">
        <f>+Oper!V16</f>
        <v>136379.22243426612</v>
      </c>
      <c r="W25" s="78">
        <f>+Oper!W16</f>
        <v>147989.64874127222</v>
      </c>
      <c r="X25" s="78">
        <f>+Oper!X16</f>
        <v>160588.51006516948</v>
      </c>
      <c r="Y25" s="78">
        <f>+Oper!Y16</f>
        <v>174259.95523536199</v>
      </c>
      <c r="Z25" s="78">
        <f>+Oper!Z16</f>
        <v>189095.29695684407</v>
      </c>
      <c r="AA25" s="78">
        <f>+Oper!AA16</f>
        <v>205193.6216952556</v>
      </c>
      <c r="AB25" s="78">
        <f>+Oper!AB16</f>
        <v>218151.68779285997</v>
      </c>
      <c r="AC25" s="78">
        <f>+Oper!AC16</f>
        <v>231928.06137781523</v>
      </c>
      <c r="AD25" s="78">
        <f>+Oper!AD16</f>
        <v>246574.41892242918</v>
      </c>
      <c r="AE25" s="78">
        <f>+Oper!AE16</f>
        <v>262145.70029062143</v>
      </c>
      <c r="AF25" s="78">
        <f>+Oper!AF16</f>
        <v>278700.31482251739</v>
      </c>
      <c r="AG25" s="78">
        <f>+Oper!AG16</f>
        <v>305795.33461873961</v>
      </c>
      <c r="AH25" s="78">
        <f>+Oper!AH16</f>
        <v>335524.51038362371</v>
      </c>
      <c r="AI25" s="78">
        <f>+Oper!AI16</f>
        <v>368143.9326356274</v>
      </c>
      <c r="AJ25" s="78">
        <f>+Oper!AJ16</f>
        <v>403934.58880684001</v>
      </c>
      <c r="AK25" s="78">
        <f>+Oper!AK16</f>
        <v>443204.78370084305</v>
      </c>
      <c r="AL25" s="78">
        <f>+Oper!AL16</f>
        <v>486909.90690950124</v>
      </c>
      <c r="AM25" s="78">
        <f>+Oper!AM16</f>
        <v>534924.8612953726</v>
      </c>
      <c r="AN25" s="78">
        <f>+Oper!AN16</f>
        <v>587674.64611283329</v>
      </c>
      <c r="AO25" s="78">
        <f>+Oper!AO16</f>
        <v>645626.17046348774</v>
      </c>
      <c r="AP25" s="78">
        <f>+Oper!AP16</f>
        <v>709292.3860923493</v>
      </c>
      <c r="AQ25" s="78">
        <f>+Oper!AQ16</f>
        <v>750382.9050056797</v>
      </c>
      <c r="AR25" s="78">
        <f>+Oper!AR16</f>
        <v>793853.86783420376</v>
      </c>
      <c r="AS25" s="78">
        <f>+Oper!AS16</f>
        <v>839843.17775810137</v>
      </c>
      <c r="AT25" s="78">
        <f>+Oper!AT16</f>
        <v>888496.72692422429</v>
      </c>
      <c r="AU25" s="78">
        <f>+Oper!AU16</f>
        <v>939968.8592605762</v>
      </c>
      <c r="AV25" s="78">
        <f>+Oper!AV16</f>
        <v>993784.81824656378</v>
      </c>
      <c r="AW25" s="78">
        <f>+Oper!AW16</f>
        <v>1050681.8978601643</v>
      </c>
      <c r="AX25" s="78">
        <f>+Oper!AX16</f>
        <v>1110836.5012446234</v>
      </c>
      <c r="AY25" s="78">
        <f>+Oper!AY16</f>
        <v>1174435.131137687</v>
      </c>
      <c r="AZ25" s="78">
        <f>+Oper!AZ16</f>
        <v>1241674.9681028472</v>
      </c>
      <c r="BA25" s="78">
        <f>+Oper!BA16</f>
        <v>1299492.443952414</v>
      </c>
      <c r="BB25" s="78">
        <f>+Oper!BB16</f>
        <v>1360002.1384578201</v>
      </c>
      <c r="BC25" s="78">
        <f>+Oper!BC16</f>
        <v>1423329.4123544544</v>
      </c>
      <c r="BD25" s="78">
        <f>+Oper!BD16</f>
        <v>1489605.4636873708</v>
      </c>
      <c r="BE25" s="78">
        <f>+Oper!BE16</f>
        <v>1558967.5996203499</v>
      </c>
      <c r="BF25" s="78">
        <f>+Oper!BF16</f>
        <v>1616727.695374218</v>
      </c>
      <c r="BG25" s="78">
        <f>+Oper!BG16</f>
        <v>1676627.8155021067</v>
      </c>
      <c r="BH25" s="78">
        <f>+Oper!BH16</f>
        <v>1738747.248382292</v>
      </c>
      <c r="BI25" s="78">
        <f>+Oper!BI16</f>
        <v>1803168.2200450725</v>
      </c>
      <c r="BJ25" s="78">
        <f>+Oper!BJ16</f>
        <v>461089.97334577679</v>
      </c>
    </row>
    <row r="26" spans="1:66" x14ac:dyDescent="0.2">
      <c r="A26" s="75"/>
      <c r="B26" s="75"/>
      <c r="C26" s="75" t="s">
        <v>18</v>
      </c>
      <c r="D26" s="75"/>
      <c r="E26" s="75"/>
      <c r="F26" s="75"/>
      <c r="G26" s="75"/>
      <c r="H26" s="75"/>
      <c r="I26" s="75"/>
      <c r="J26" s="75"/>
      <c r="K26" s="599" t="s">
        <v>62</v>
      </c>
      <c r="L26" s="78"/>
      <c r="M26" s="78"/>
      <c r="N26" s="78">
        <f t="shared" si="10"/>
        <v>-446961.57783952728</v>
      </c>
      <c r="O26" s="54"/>
      <c r="P26" s="75"/>
      <c r="Q26" s="142"/>
      <c r="R26" s="78"/>
      <c r="S26" s="78">
        <f>Oper!S17</f>
        <v>0</v>
      </c>
      <c r="T26" s="78">
        <f>Oper!T17</f>
        <v>0</v>
      </c>
      <c r="U26" s="78">
        <f>Oper!U17</f>
        <v>0</v>
      </c>
      <c r="V26" s="78">
        <f>Oper!V17</f>
        <v>0</v>
      </c>
      <c r="W26" s="78">
        <f>Oper!W17</f>
        <v>0</v>
      </c>
      <c r="X26" s="78">
        <f>Oper!X17</f>
        <v>0</v>
      </c>
      <c r="Y26" s="78">
        <f>Oper!Y17</f>
        <v>0</v>
      </c>
      <c r="Z26" s="78">
        <f>Oper!Z17</f>
        <v>0</v>
      </c>
      <c r="AA26" s="78">
        <f>Oper!AA17</f>
        <v>0</v>
      </c>
      <c r="AB26" s="78">
        <f>Oper!AB17</f>
        <v>0</v>
      </c>
      <c r="AC26" s="78">
        <f>Oper!AC17</f>
        <v>0</v>
      </c>
      <c r="AD26" s="78">
        <f>Oper!AD17</f>
        <v>0</v>
      </c>
      <c r="AE26" s="78">
        <f>Oper!AE17</f>
        <v>0</v>
      </c>
      <c r="AF26" s="78">
        <f>Oper!AF17</f>
        <v>0</v>
      </c>
      <c r="AG26" s="78">
        <f>Oper!AG17</f>
        <v>0</v>
      </c>
      <c r="AH26" s="78">
        <f>Oper!AH17</f>
        <v>0</v>
      </c>
      <c r="AI26" s="78">
        <f>Oper!AI17</f>
        <v>0</v>
      </c>
      <c r="AJ26" s="78">
        <f>Oper!AJ17</f>
        <v>0</v>
      </c>
      <c r="AK26" s="78">
        <f>Oper!AK17</f>
        <v>0</v>
      </c>
      <c r="AL26" s="78">
        <f>Oper!AL17</f>
        <v>0</v>
      </c>
      <c r="AM26" s="78">
        <f>Oper!AM17</f>
        <v>0</v>
      </c>
      <c r="AN26" s="78">
        <f>Oper!AN17</f>
        <v>0</v>
      </c>
      <c r="AO26" s="78">
        <f>Oper!AO17</f>
        <v>0</v>
      </c>
      <c r="AP26" s="78">
        <f>Oper!AP17</f>
        <v>0</v>
      </c>
      <c r="AQ26" s="78">
        <f>Oper!AQ17</f>
        <v>0</v>
      </c>
      <c r="AR26" s="78">
        <f>Oper!AR17</f>
        <v>0</v>
      </c>
      <c r="AS26" s="78">
        <f>Oper!AS17</f>
        <v>0</v>
      </c>
      <c r="AT26" s="78">
        <f>Oper!AT17</f>
        <v>0</v>
      </c>
      <c r="AU26" s="78">
        <f>Oper!AU17</f>
        <v>0</v>
      </c>
      <c r="AV26" s="78">
        <f>Oper!AV17</f>
        <v>0</v>
      </c>
      <c r="AW26" s="78">
        <f>Oper!AW17</f>
        <v>0</v>
      </c>
      <c r="AX26" s="78">
        <f>Oper!AX17</f>
        <v>0</v>
      </c>
      <c r="AY26" s="78">
        <f>Oper!AY17</f>
        <v>0</v>
      </c>
      <c r="AZ26" s="78">
        <f>Oper!AZ17</f>
        <v>0</v>
      </c>
      <c r="BA26" s="78">
        <f>Oper!BA17</f>
        <v>0</v>
      </c>
      <c r="BB26" s="78">
        <f>Oper!BB17</f>
        <v>-2451.0748028550297</v>
      </c>
      <c r="BC26" s="78">
        <f>Oper!BC17</f>
        <v>-28388.597133371513</v>
      </c>
      <c r="BD26" s="78">
        <f>Oper!BD17</f>
        <v>-31360.53338051727</v>
      </c>
      <c r="BE26" s="78">
        <f>Oper!BE17</f>
        <v>-34431.761185107287</v>
      </c>
      <c r="BF26" s="78">
        <f>Oper!BF17</f>
        <v>-36081.762194184121</v>
      </c>
      <c r="BG26" s="78">
        <f>Oper!BG17</f>
        <v>-37636.280590502545</v>
      </c>
      <c r="BH26" s="78">
        <f>Oper!BH17</f>
        <v>-39585.404210636392</v>
      </c>
      <c r="BI26" s="78">
        <f>Oper!BI17</f>
        <v>-179389.91767413123</v>
      </c>
      <c r="BJ26" s="78">
        <f>Oper!BJ17</f>
        <v>-57636.246668221895</v>
      </c>
    </row>
    <row r="27" spans="1:66" x14ac:dyDescent="0.2">
      <c r="C27" s="75" t="s">
        <v>64</v>
      </c>
      <c r="K27" s="160" t="s">
        <v>62</v>
      </c>
      <c r="L27" s="78"/>
      <c r="M27" s="78"/>
      <c r="N27" s="78">
        <f t="shared" si="10"/>
        <v>-2366387.7601875118</v>
      </c>
      <c r="O27" s="54"/>
      <c r="P27" s="75"/>
      <c r="Q27" s="78"/>
      <c r="R27" s="78"/>
      <c r="S27" s="78">
        <f>-Oper!S18</f>
        <v>-17116.801882543594</v>
      </c>
      <c r="T27" s="78">
        <f>-Oper!T18</f>
        <v>-18251.715924132259</v>
      </c>
      <c r="U27" s="78">
        <f>-Oper!U18</f>
        <v>-19461.879413055398</v>
      </c>
      <c r="V27" s="78">
        <f>-Oper!V18</f>
        <v>-20752.281695745118</v>
      </c>
      <c r="W27" s="78">
        <f>-Oper!W18</f>
        <v>-21619.771470281008</v>
      </c>
      <c r="X27" s="78">
        <f>-Oper!X18</f>
        <v>-22523.524173393016</v>
      </c>
      <c r="Y27" s="78">
        <f>-Oper!Y18</f>
        <v>-23465.055673080424</v>
      </c>
      <c r="Z27" s="78">
        <f>-Oper!Z18</f>
        <v>-24445.945203868072</v>
      </c>
      <c r="AA27" s="78">
        <f>-Oper!AA18</f>
        <v>-25467.838015662743</v>
      </c>
      <c r="AB27" s="78">
        <f>-Oper!AB18</f>
        <v>-26490.989749443772</v>
      </c>
      <c r="AC27" s="78">
        <f>-Oper!AC18</f>
        <v>-27555.245854537963</v>
      </c>
      <c r="AD27" s="78">
        <f>-Oper!AD18</f>
        <v>-28662.257668948518</v>
      </c>
      <c r="AE27" s="78">
        <f>-Oper!AE18</f>
        <v>-29813.742871973129</v>
      </c>
      <c r="AF27" s="78">
        <f>-Oper!AF18</f>
        <v>-31011.48814941684</v>
      </c>
      <c r="AG27" s="78">
        <f>-Oper!AG18</f>
        <v>-32710.13366247325</v>
      </c>
      <c r="AH27" s="78">
        <f>-Oper!AH18</f>
        <v>-34501.822004210582</v>
      </c>
      <c r="AI27" s="78">
        <f>-Oper!AI18</f>
        <v>-36391.649569316498</v>
      </c>
      <c r="AJ27" s="78">
        <f>-Oper!AJ18</f>
        <v>-38384.991906059637</v>
      </c>
      <c r="AK27" s="78">
        <f>-Oper!AK18</f>
        <v>-40487.519006848277</v>
      </c>
      <c r="AL27" s="78">
        <f>-Oper!AL18</f>
        <v>-42936.801184184449</v>
      </c>
      <c r="AM27" s="78">
        <f>-Oper!AM18</f>
        <v>-45534.252064651133</v>
      </c>
      <c r="AN27" s="78">
        <f>-Oper!AN18</f>
        <v>-48288.835076305142</v>
      </c>
      <c r="AO27" s="78">
        <f>-Oper!AO18</f>
        <v>-51210.055887506605</v>
      </c>
      <c r="AP27" s="78">
        <f>-Oper!AP18</f>
        <v>-54307.995209608394</v>
      </c>
      <c r="AQ27" s="78">
        <f>-Oper!AQ18</f>
        <v>-56570.629298947191</v>
      </c>
      <c r="AR27" s="78">
        <f>-Oper!AR18</f>
        <v>-58927.531515888171</v>
      </c>
      <c r="AS27" s="78">
        <f>-Oper!AS18</f>
        <v>-61382.629353579039</v>
      </c>
      <c r="AT27" s="78">
        <f>-Oper!AT18</f>
        <v>-63940.013936320618</v>
      </c>
      <c r="AU27" s="78">
        <f>-Oper!AU18</f>
        <v>-66603.946836931951</v>
      </c>
      <c r="AV27" s="78">
        <f>-Oper!AV18</f>
        <v>-69494.383668132767</v>
      </c>
      <c r="AW27" s="78">
        <f>-Oper!AW18</f>
        <v>-72510.257886634616</v>
      </c>
      <c r="AX27" s="78">
        <f>-Oper!AX18</f>
        <v>-75657.0131464773</v>
      </c>
      <c r="AY27" s="78">
        <f>-Oper!AY18</f>
        <v>-78940.329342026875</v>
      </c>
      <c r="AZ27" s="78">
        <f>-Oper!AZ18</f>
        <v>-82366.132860187121</v>
      </c>
      <c r="BA27" s="78">
        <f>-Oper!BA18</f>
        <v>-85447.987193585664</v>
      </c>
      <c r="BB27" s="78">
        <f>-Oper!BB18</f>
        <v>-88645.153801610621</v>
      </c>
      <c r="BC27" s="78">
        <f>-Oper!BC18</f>
        <v>-91961.947268678021</v>
      </c>
      <c r="BD27" s="78">
        <f>-Oper!BD18</f>
        <v>-95402.843615952515</v>
      </c>
      <c r="BE27" s="78">
        <f>-Oper!BE18</f>
        <v>-98972.486341749158</v>
      </c>
      <c r="BF27" s="78">
        <f>-Oper!BF18</f>
        <v>-102223.65601555163</v>
      </c>
      <c r="BG27" s="78">
        <f>-Oper!BG18</f>
        <v>-105581.62410008973</v>
      </c>
      <c r="BH27" s="78">
        <f>-Oper!BH18</f>
        <v>-109049.89884060444</v>
      </c>
      <c r="BI27" s="78">
        <f>-Oper!BI18</f>
        <v>-112632.10372548105</v>
      </c>
      <c r="BJ27" s="78">
        <f>-Oper!BJ18</f>
        <v>-28684.598121837771</v>
      </c>
    </row>
    <row r="28" spans="1:66" x14ac:dyDescent="0.2">
      <c r="C28" s="75" t="s">
        <v>65</v>
      </c>
      <c r="K28" s="160" t="s">
        <v>62</v>
      </c>
      <c r="L28" s="78"/>
      <c r="M28" s="78"/>
      <c r="N28" s="78">
        <f t="shared" si="10"/>
        <v>-555720.30688708287</v>
      </c>
      <c r="O28" s="54"/>
      <c r="P28" s="75"/>
      <c r="Q28" s="142"/>
      <c r="R28" s="78"/>
      <c r="S28" s="78">
        <f>-Oper!S19-Oper!S20</f>
        <v>-2401.0519999999956</v>
      </c>
      <c r="T28" s="78">
        <f>-Oper!T19-Oper!T20</f>
        <v>-2271.9001843671922</v>
      </c>
      <c r="U28" s="78">
        <f>-Oper!U19-Oper!U20</f>
        <v>-3321.3370258702384</v>
      </c>
      <c r="V28" s="78">
        <f>-Oper!V19-Oper!V20</f>
        <v>-4855.5300603970763</v>
      </c>
      <c r="W28" s="78">
        <f>-Oper!W19-Oper!W20</f>
        <v>-5234.7233595289154</v>
      </c>
      <c r="X28" s="78">
        <f>-Oper!X19-Oper!X20</f>
        <v>-5643.5298123881421</v>
      </c>
      <c r="Y28" s="78">
        <f>-Oper!Y19-Oper!Y20</f>
        <v>-6084.2620623566136</v>
      </c>
      <c r="Z28" s="78">
        <f>-Oper!Z19-Oper!Z20</f>
        <v>-6559.4133590245247</v>
      </c>
      <c r="AA28" s="78">
        <f>-Oper!AA19-Oper!AA20</f>
        <v>-7071.6716626575071</v>
      </c>
      <c r="AB28" s="78">
        <f>-Oper!AB19-Oper!AB20</f>
        <v>-7112.6761485473016</v>
      </c>
      <c r="AC28" s="78">
        <f>-Oper!AC19-Oper!AC20</f>
        <v>-7153.9183954564542</v>
      </c>
      <c r="AD28" s="78">
        <f>-Oper!AD19-Oper!AD20</f>
        <v>-7195.3997820219884</v>
      </c>
      <c r="AE28" s="78">
        <f>-Oper!AE19-Oper!AE20</f>
        <v>-7237.1216948748361</v>
      </c>
      <c r="AF28" s="78">
        <f>-Oper!AF19-Oper!AF20</f>
        <v>-7279.0855286861879</v>
      </c>
      <c r="AG28" s="78">
        <f>-Oper!AG19-Oper!AG20</f>
        <v>-7825.0840659259275</v>
      </c>
      <c r="AH28" s="78">
        <f>-Oper!AH19-Oper!AH20</f>
        <v>-8412.0375282717268</v>
      </c>
      <c r="AI28" s="78">
        <f>-Oper!AI19-Oper!AI20</f>
        <v>-9043.0179127639458</v>
      </c>
      <c r="AJ28" s="78">
        <f>-Oper!AJ19-Oper!AJ20</f>
        <v>-9721.3276445487663</v>
      </c>
      <c r="AK28" s="78">
        <f>-Oper!AK19-Oper!AK20</f>
        <v>-10450.516861110962</v>
      </c>
      <c r="AL28" s="78">
        <f>-Oper!AL19-Oper!AL20</f>
        <v>-11402.936904942444</v>
      </c>
      <c r="AM28" s="78">
        <f>-Oper!AM19-Oper!AM20</f>
        <v>-12442.156860390503</v>
      </c>
      <c r="AN28" s="78">
        <f>-Oper!AN19-Oper!AN20</f>
        <v>-13576.087338645486</v>
      </c>
      <c r="AO28" s="78">
        <f>-Oper!AO19-Oper!AO20</f>
        <v>-14813.35989367567</v>
      </c>
      <c r="AP28" s="78">
        <f>-Oper!AP19-Oper!AP20</f>
        <v>-16163.392726188255</v>
      </c>
      <c r="AQ28" s="78">
        <f>-Oper!AQ19-Oper!AQ20</f>
        <v>-14764.028626131159</v>
      </c>
      <c r="AR28" s="78">
        <f>-Oper!AR19-Oper!AR20</f>
        <v>-13485.816063854612</v>
      </c>
      <c r="AS28" s="78">
        <f>-Oper!AS19-Oper!AS20</f>
        <v>-12318.266207248376</v>
      </c>
      <c r="AT28" s="78">
        <f>-Oper!AT19-Oper!AT20</f>
        <v>-11251.798306766013</v>
      </c>
      <c r="AU28" s="78">
        <f>-Oper!AU19-Oper!AU20</f>
        <v>-10277.661077144619</v>
      </c>
      <c r="AV28" s="78">
        <f>-Oper!AV19-Oper!AV20</f>
        <v>-11712.773240383072</v>
      </c>
      <c r="AW28" s="78">
        <f>-Oper!AW19-Oper!AW20</f>
        <v>-13348.276028065735</v>
      </c>
      <c r="AX28" s="78">
        <f>-Oper!AX19-Oper!AX20</f>
        <v>-15212.150808753046</v>
      </c>
      <c r="AY28" s="78">
        <f>-Oper!AY19-Oper!AY20</f>
        <v>-17336.286104789135</v>
      </c>
      <c r="AZ28" s="78">
        <f>-Oper!AZ19-Oper!AZ20</f>
        <v>-19757.023164283295</v>
      </c>
      <c r="BA28" s="78">
        <f>-Oper!BA19-Oper!BA20</f>
        <v>-18360.971768753996</v>
      </c>
      <c r="BB28" s="78">
        <f>-Oper!BB19-Oper!BB20</f>
        <v>-17063.566787856769</v>
      </c>
      <c r="BC28" s="78">
        <f>-Oper!BC19-Oper!BC20</f>
        <v>-15857.837765381382</v>
      </c>
      <c r="BD28" s="78">
        <f>-Oper!BD19-Oper!BD20</f>
        <v>-14737.306784658558</v>
      </c>
      <c r="BE28" s="78">
        <f>-Oper!BE19-Oper!BE20</f>
        <v>-13695.953665213941</v>
      </c>
      <c r="BF28" s="78">
        <f>-Oper!BF19-Oper!BF20</f>
        <v>-17217.14575767015</v>
      </c>
      <c r="BG28" s="78">
        <f>-Oper!BG19-Oper!BG20</f>
        <v>-21643.626671558894</v>
      </c>
      <c r="BH28" s="78">
        <f>-Oper!BH19-Oper!BH20</f>
        <v>-27208.143677887198</v>
      </c>
      <c r="BI28" s="78">
        <f>-Oper!BI19-Oper!BI20</f>
        <v>-34203.282732155618</v>
      </c>
      <c r="BJ28" s="78">
        <f>-Oper!BJ19-Oper!BJ20</f>
        <v>-42996.852835886602</v>
      </c>
    </row>
    <row r="29" spans="1:66" x14ac:dyDescent="0.2">
      <c r="C29" s="183" t="s">
        <v>315</v>
      </c>
      <c r="K29" s="160" t="s">
        <v>62</v>
      </c>
      <c r="L29" s="78"/>
      <c r="M29" s="78"/>
      <c r="N29" s="78">
        <f t="shared" si="10"/>
        <v>0</v>
      </c>
      <c r="O29" s="54"/>
      <c r="P29" s="75"/>
      <c r="Q29" s="142"/>
      <c r="R29" s="78"/>
      <c r="S29" s="78">
        <f>-Fin!S289-Fin!S290</f>
        <v>0</v>
      </c>
      <c r="T29" s="78">
        <f>-Fin!T289-Fin!T290</f>
        <v>0</v>
      </c>
      <c r="U29" s="78">
        <f>-Fin!U289-Fin!U290</f>
        <v>0</v>
      </c>
      <c r="V29" s="78">
        <f>-Fin!V289-Fin!V290</f>
        <v>0</v>
      </c>
      <c r="W29" s="78">
        <f>-Fin!W289-Fin!W290</f>
        <v>0</v>
      </c>
      <c r="X29" s="78">
        <f>-Fin!X289-Fin!X290</f>
        <v>0</v>
      </c>
      <c r="Y29" s="78">
        <f>-Fin!Y289-Fin!Y290</f>
        <v>0</v>
      </c>
      <c r="Z29" s="78">
        <f>-Fin!Z289-Fin!Z290</f>
        <v>0</v>
      </c>
      <c r="AA29" s="78">
        <f>-Fin!AA289-Fin!AA290</f>
        <v>0</v>
      </c>
      <c r="AB29" s="78">
        <f>-Fin!AB289-Fin!AB290</f>
        <v>0</v>
      </c>
      <c r="AC29" s="78">
        <f>-Fin!AC289-Fin!AC290</f>
        <v>0</v>
      </c>
      <c r="AD29" s="78">
        <f>-Fin!AD289-Fin!AD290</f>
        <v>0</v>
      </c>
      <c r="AE29" s="78">
        <f>-Fin!AE289-Fin!AE290</f>
        <v>0</v>
      </c>
      <c r="AF29" s="78">
        <f>-Fin!AF289-Fin!AF290</f>
        <v>0</v>
      </c>
      <c r="AG29" s="78">
        <f>-Fin!AG289-Fin!AG290</f>
        <v>0</v>
      </c>
      <c r="AH29" s="78">
        <f>-Fin!AH289-Fin!AH290</f>
        <v>0</v>
      </c>
      <c r="AI29" s="78">
        <f>-Fin!AI289-Fin!AI290</f>
        <v>0</v>
      </c>
      <c r="AJ29" s="78">
        <f>-Fin!AJ289-Fin!AJ290</f>
        <v>0</v>
      </c>
      <c r="AK29" s="78">
        <f>-Fin!AK289-Fin!AK290</f>
        <v>0</v>
      </c>
      <c r="AL29" s="78">
        <f>-Fin!AL289-Fin!AL290</f>
        <v>0</v>
      </c>
      <c r="AM29" s="78">
        <f>-Fin!AM289-Fin!AM290</f>
        <v>0</v>
      </c>
      <c r="AN29" s="78">
        <f>-Fin!AN289-Fin!AN290</f>
        <v>0</v>
      </c>
      <c r="AO29" s="78">
        <f>-Fin!AO289-Fin!AO290</f>
        <v>0</v>
      </c>
      <c r="AP29" s="78">
        <f>-Fin!AP289-Fin!AP290</f>
        <v>0</v>
      </c>
      <c r="AQ29" s="78">
        <f>-Fin!AQ289-Fin!AQ290</f>
        <v>0</v>
      </c>
      <c r="AR29" s="78">
        <f>-Fin!AR289-Fin!AR290</f>
        <v>0</v>
      </c>
      <c r="AS29" s="78">
        <f>-Fin!AS289-Fin!AS290</f>
        <v>0</v>
      </c>
      <c r="AT29" s="78">
        <f>-Fin!AT289-Fin!AT290</f>
        <v>0</v>
      </c>
      <c r="AU29" s="78">
        <f>-Fin!AU289-Fin!AU290</f>
        <v>0</v>
      </c>
      <c r="AV29" s="78">
        <f>-Fin!AV289-Fin!AV290</f>
        <v>0</v>
      </c>
      <c r="AW29" s="78">
        <f>-Fin!AW289-Fin!AW290</f>
        <v>0</v>
      </c>
      <c r="AX29" s="78">
        <f>-Fin!AX289-Fin!AX290</f>
        <v>0</v>
      </c>
      <c r="AY29" s="78">
        <f>-Fin!AY289-Fin!AY290</f>
        <v>0</v>
      </c>
      <c r="AZ29" s="78">
        <f>-Fin!AZ289-Fin!AZ290</f>
        <v>0</v>
      </c>
      <c r="BA29" s="78">
        <f>-Fin!BA289-Fin!BA290</f>
        <v>0</v>
      </c>
      <c r="BB29" s="78">
        <f>-Fin!BB289-Fin!BB290</f>
        <v>0</v>
      </c>
      <c r="BC29" s="78">
        <f>-Fin!BC289-Fin!BC290</f>
        <v>0</v>
      </c>
      <c r="BD29" s="78">
        <f>-Fin!BD289-Fin!BD290</f>
        <v>0</v>
      </c>
      <c r="BE29" s="78">
        <f>-Fin!BE289-Fin!BE290</f>
        <v>-143269.05167515849</v>
      </c>
      <c r="BF29" s="78">
        <f>-Fin!BF289-Fin!BF290</f>
        <v>17217.14575767015</v>
      </c>
      <c r="BG29" s="78">
        <f>-Fin!BG289-Fin!BG290</f>
        <v>21643.626671558894</v>
      </c>
      <c r="BH29" s="78">
        <f>-Fin!BH289-Fin!BH290</f>
        <v>27208.143677887198</v>
      </c>
      <c r="BI29" s="78">
        <f>-Fin!BI289-Fin!BI290</f>
        <v>34203.282732155618</v>
      </c>
      <c r="BJ29" s="78">
        <f>-Fin!BJ289-Fin!BJ290</f>
        <v>42996.852835886602</v>
      </c>
    </row>
    <row r="30" spans="1:66" x14ac:dyDescent="0.2">
      <c r="C30" s="208" t="s">
        <v>498</v>
      </c>
      <c r="K30" s="160" t="s">
        <v>62</v>
      </c>
      <c r="L30" s="78"/>
      <c r="M30" s="78"/>
      <c r="N30" s="78">
        <f t="shared" si="10"/>
        <v>680</v>
      </c>
      <c r="O30" s="54"/>
      <c r="P30" s="75"/>
      <c r="Q30" s="142"/>
      <c r="R30" s="78"/>
      <c r="S30" s="78">
        <f>+IF(S7=2018,Inputs!$L$72,0)</f>
        <v>680</v>
      </c>
      <c r="T30" s="78">
        <f>+IF(T7=2018,Inputs!$L$72,0)</f>
        <v>0</v>
      </c>
      <c r="U30" s="78">
        <f>+IF(U7=2018,Inputs!$L$72,0)</f>
        <v>0</v>
      </c>
      <c r="V30" s="78">
        <f>+IF(V7=2018,Inputs!$L$72,0)</f>
        <v>0</v>
      </c>
      <c r="W30" s="78">
        <f>+IF(W7=2018,Inputs!$L$72,0)</f>
        <v>0</v>
      </c>
      <c r="X30" s="78">
        <f>+IF(X7=2018,Inputs!$L$72,0)</f>
        <v>0</v>
      </c>
      <c r="Y30" s="78">
        <f>+IF(Y7=2018,Inputs!$L$72,0)</f>
        <v>0</v>
      </c>
      <c r="Z30" s="78">
        <f>+IF(Z7=2018,Inputs!$L$72,0)</f>
        <v>0</v>
      </c>
      <c r="AA30" s="78">
        <f>+IF(AA7=2018,Inputs!$L$72,0)</f>
        <v>0</v>
      </c>
      <c r="AB30" s="78">
        <f>+IF(AB7=2018,Inputs!$L$72,0)</f>
        <v>0</v>
      </c>
      <c r="AC30" s="78">
        <f>+IF(AC7=2018,Inputs!$L$72,0)</f>
        <v>0</v>
      </c>
      <c r="AD30" s="78">
        <f>+IF(AD7=2018,Inputs!$L$72,0)</f>
        <v>0</v>
      </c>
      <c r="AE30" s="78">
        <f>+IF(AE7=2018,Inputs!$L$72,0)</f>
        <v>0</v>
      </c>
      <c r="AF30" s="78">
        <f>+IF(AF7=2018,Inputs!$L$72,0)</f>
        <v>0</v>
      </c>
      <c r="AG30" s="78">
        <f>+IF(AG7=2018,Inputs!$L$72,0)</f>
        <v>0</v>
      </c>
      <c r="AH30" s="78">
        <f>+IF(AH7=2018,Inputs!$L$72,0)</f>
        <v>0</v>
      </c>
      <c r="AI30" s="78">
        <f>+IF(AI7=2018,Inputs!$L$72,0)</f>
        <v>0</v>
      </c>
      <c r="AJ30" s="78">
        <f>+IF(AJ7=2018,Inputs!$L$72,0)</f>
        <v>0</v>
      </c>
      <c r="AK30" s="78">
        <f>+IF(AK7=2018,Inputs!$L$72,0)</f>
        <v>0</v>
      </c>
      <c r="AL30" s="78">
        <f>+IF(AL7=2018,Inputs!$L$72,0)</f>
        <v>0</v>
      </c>
      <c r="AM30" s="78">
        <f>+IF(AM7=2018,Inputs!$L$72,0)</f>
        <v>0</v>
      </c>
      <c r="AN30" s="78">
        <f>+IF(AN7=2018,Inputs!$L$72,0)</f>
        <v>0</v>
      </c>
      <c r="AO30" s="78">
        <f>+IF(AO7=2018,Inputs!$L$72,0)</f>
        <v>0</v>
      </c>
      <c r="AP30" s="78">
        <f>+IF(AP7=2018,Inputs!$L$72,0)</f>
        <v>0</v>
      </c>
      <c r="AQ30" s="78">
        <f>+IF(AQ7=2018,Inputs!$L$72,0)</f>
        <v>0</v>
      </c>
      <c r="AR30" s="78">
        <f>+IF(AR7=2018,Inputs!$L$72,0)</f>
        <v>0</v>
      </c>
      <c r="AS30" s="78">
        <f>+IF(AS7=2018,Inputs!$L$72,0)</f>
        <v>0</v>
      </c>
      <c r="AT30" s="78">
        <f>+IF(AT7=2018,Inputs!$L$72,0)</f>
        <v>0</v>
      </c>
      <c r="AU30" s="78">
        <f>+IF(AU7=2018,Inputs!$L$72,0)</f>
        <v>0</v>
      </c>
      <c r="AV30" s="78">
        <f>+IF(AV7=2018,Inputs!$L$72,0)</f>
        <v>0</v>
      </c>
      <c r="AW30" s="78">
        <f>+IF(AW7=2018,Inputs!$L$72,0)</f>
        <v>0</v>
      </c>
      <c r="AX30" s="78">
        <f>+IF(AX7=2018,Inputs!$L$72,0)</f>
        <v>0</v>
      </c>
      <c r="AY30" s="78">
        <f>+IF(AY7=2018,Inputs!$L$72,0)</f>
        <v>0</v>
      </c>
      <c r="AZ30" s="78">
        <f>+IF(AZ7=2018,Inputs!$L$72,0)</f>
        <v>0</v>
      </c>
      <c r="BA30" s="78">
        <f>+IF(BA7=2018,Inputs!$L$72,0)</f>
        <v>0</v>
      </c>
      <c r="BB30" s="78">
        <f>+IF(BB7=2018,Inputs!$L$72,0)</f>
        <v>0</v>
      </c>
      <c r="BC30" s="78">
        <f>+IF(BC7=2018,Inputs!$L$72,0)</f>
        <v>0</v>
      </c>
      <c r="BD30" s="78">
        <f>+IF(BD7=2018,Inputs!$L$72,0)</f>
        <v>0</v>
      </c>
      <c r="BE30" s="78">
        <f>+IF(BE7=2018,Inputs!$L$72,0)</f>
        <v>0</v>
      </c>
      <c r="BF30" s="78">
        <f>+IF(BF7=2018,Inputs!$L$72,0)</f>
        <v>0</v>
      </c>
      <c r="BG30" s="78">
        <f>+IF(BG7=2018,Inputs!$L$72,0)</f>
        <v>0</v>
      </c>
      <c r="BH30" s="78">
        <f>+IF(BH7=2018,Inputs!$L$72,0)</f>
        <v>0</v>
      </c>
      <c r="BI30" s="78">
        <f>+IF(BI7=2018,Inputs!$L$72,0)</f>
        <v>0</v>
      </c>
      <c r="BJ30" s="78">
        <f>+IF(BJ7=2018,Inputs!$L$72,0)</f>
        <v>0</v>
      </c>
    </row>
    <row r="31" spans="1:66" x14ac:dyDescent="0.2">
      <c r="C31" s="208" t="s">
        <v>439</v>
      </c>
      <c r="K31" s="160" t="s">
        <v>62</v>
      </c>
      <c r="L31" s="78"/>
      <c r="M31" s="78"/>
      <c r="N31" s="78">
        <f t="shared" si="10"/>
        <v>-97373.823001979952</v>
      </c>
      <c r="O31" s="54"/>
      <c r="P31" s="75"/>
      <c r="Q31" s="142"/>
      <c r="R31" s="78"/>
      <c r="S31" s="78">
        <f>+Fin!S291</f>
        <v>0</v>
      </c>
      <c r="T31" s="78">
        <f>+Fin!T291</f>
        <v>0</v>
      </c>
      <c r="U31" s="78">
        <f>+Fin!U291</f>
        <v>0</v>
      </c>
      <c r="V31" s="78">
        <f>+Fin!V291</f>
        <v>0</v>
      </c>
      <c r="W31" s="78">
        <f>+Fin!W291</f>
        <v>0</v>
      </c>
      <c r="X31" s="78">
        <f>+Fin!X291</f>
        <v>0</v>
      </c>
      <c r="Y31" s="78">
        <f>+Fin!Y291</f>
        <v>0</v>
      </c>
      <c r="Z31" s="78">
        <f>+Fin!Z291</f>
        <v>0</v>
      </c>
      <c r="AA31" s="78">
        <f>+Fin!AA291</f>
        <v>0</v>
      </c>
      <c r="AB31" s="78">
        <f>+Fin!AB291</f>
        <v>0</v>
      </c>
      <c r="AC31" s="78">
        <f>+Fin!AC291</f>
        <v>0</v>
      </c>
      <c r="AD31" s="78">
        <f>+Fin!AD291</f>
        <v>0</v>
      </c>
      <c r="AE31" s="78">
        <f>+Fin!AE291</f>
        <v>0</v>
      </c>
      <c r="AF31" s="78">
        <f>+Fin!AF291</f>
        <v>0</v>
      </c>
      <c r="AG31" s="78">
        <f>+Fin!AG291</f>
        <v>0</v>
      </c>
      <c r="AH31" s="78">
        <f>+Fin!AH291</f>
        <v>0</v>
      </c>
      <c r="AI31" s="78">
        <f>+Fin!AI291</f>
        <v>0</v>
      </c>
      <c r="AJ31" s="78">
        <f>+Fin!AJ291</f>
        <v>0</v>
      </c>
      <c r="AK31" s="78">
        <f>+Fin!AK291</f>
        <v>0</v>
      </c>
      <c r="AL31" s="78">
        <f>+Fin!AL291</f>
        <v>0</v>
      </c>
      <c r="AM31" s="78">
        <f>+Fin!AM291</f>
        <v>0</v>
      </c>
      <c r="AN31" s="78">
        <f>+Fin!AN291</f>
        <v>0</v>
      </c>
      <c r="AO31" s="78">
        <f>+Fin!AO291</f>
        <v>0</v>
      </c>
      <c r="AP31" s="78">
        <f>+Fin!AP291</f>
        <v>0</v>
      </c>
      <c r="AQ31" s="78">
        <f>+Fin!AQ291</f>
        <v>0</v>
      </c>
      <c r="AR31" s="78">
        <f>+Fin!AR291</f>
        <v>0</v>
      </c>
      <c r="AS31" s="78">
        <f>+Fin!AS291</f>
        <v>0</v>
      </c>
      <c r="AT31" s="78">
        <f>+Fin!AT291</f>
        <v>0</v>
      </c>
      <c r="AU31" s="78">
        <f>+Fin!AU291</f>
        <v>0</v>
      </c>
      <c r="AV31" s="78">
        <f>+Fin!AV291</f>
        <v>0</v>
      </c>
      <c r="AW31" s="78">
        <f>+Fin!AW291</f>
        <v>0</v>
      </c>
      <c r="AX31" s="78">
        <f>+Fin!AX291</f>
        <v>0</v>
      </c>
      <c r="AY31" s="78">
        <f>+Fin!AY291</f>
        <v>0</v>
      </c>
      <c r="AZ31" s="78">
        <f>+Fin!AZ291</f>
        <v>0</v>
      </c>
      <c r="BA31" s="78">
        <f>+Fin!BA291</f>
        <v>0</v>
      </c>
      <c r="BB31" s="78">
        <f>+Fin!BB291</f>
        <v>0</v>
      </c>
      <c r="BC31" s="78">
        <f>+Fin!BC291</f>
        <v>0</v>
      </c>
      <c r="BD31" s="78">
        <f>+Fin!BD291</f>
        <v>0</v>
      </c>
      <c r="BE31" s="78">
        <f>+Fin!BE291</f>
        <v>0</v>
      </c>
      <c r="BF31" s="78">
        <f>+Fin!BF291</f>
        <v>0</v>
      </c>
      <c r="BG31" s="78">
        <f>+Fin!BG291</f>
        <v>0</v>
      </c>
      <c r="BH31" s="78">
        <f>+Fin!BH291</f>
        <v>0</v>
      </c>
      <c r="BI31" s="78">
        <f>+Fin!BI291</f>
        <v>0</v>
      </c>
      <c r="BJ31" s="78">
        <f>+Fin!BJ291</f>
        <v>-97373.823001979952</v>
      </c>
    </row>
    <row r="32" spans="1:66" x14ac:dyDescent="0.2">
      <c r="C32" s="75" t="s">
        <v>271</v>
      </c>
      <c r="K32" s="160" t="s">
        <v>62</v>
      </c>
      <c r="L32" s="78"/>
      <c r="M32" s="78"/>
      <c r="N32" s="78">
        <f t="shared" si="10"/>
        <v>-167120.29139333681</v>
      </c>
      <c r="O32" s="54"/>
      <c r="Q32" s="142"/>
      <c r="R32" s="142"/>
      <c r="S32" s="78">
        <f>IF(S7&gt;2018,-(S25+S43)*Inputs!$L$86*Inputs!$L$87*Inputs!$L$88*S16,-Inputs!$L$70)</f>
        <v>-361.09300000000002</v>
      </c>
      <c r="T32" s="78">
        <f>IF(T7&gt;2018,-(T25+T43)*Inputs!$L$86*Inputs!$L$87*Inputs!$L$88*T16,-Inputs!$L$70)</f>
        <v>-597.58950622269083</v>
      </c>
      <c r="U32" s="78">
        <f>IF(U7&gt;2018,-(U25+U43)*Inputs!$L$86*Inputs!$L$87*Inputs!$L$88*U16,-Inputs!$L$70)</f>
        <v>-650.56990692636111</v>
      </c>
      <c r="V32" s="78">
        <f>IF(V7&gt;2018,-(V25+V43)*Inputs!$L$86*Inputs!$L$87*Inputs!$L$88*V16,-Inputs!$L$70)</f>
        <v>-722.18773524688527</v>
      </c>
      <c r="W32" s="78">
        <f>IF(W7&gt;2018,-(W25+W43)*Inputs!$L$86*Inputs!$L$87*Inputs!$L$88*W16,-Inputs!$L$70)</f>
        <v>-784.25814883314024</v>
      </c>
      <c r="X32" s="78">
        <f>IF(X7&gt;2018,-(X25+X43)*Inputs!$L$86*Inputs!$L$87*Inputs!$L$88*X16,-Inputs!$L$70)</f>
        <v>-851.32111459000021</v>
      </c>
      <c r="Y32" s="78">
        <f>IF(Y7&gt;2018,-(Y25+Y43)*Inputs!$L$86*Inputs!$L$87*Inputs!$L$88*Y16,-Inputs!$L$70)</f>
        <v>-923.96444401930376</v>
      </c>
      <c r="Z32" s="78">
        <f>IF(Z7&gt;2018,-(Z25+Z43)*Inputs!$L$86*Inputs!$L$87*Inputs!$L$88*Z16,-Inputs!$L$70)</f>
        <v>-1002.7409606390532</v>
      </c>
      <c r="AA32" s="78">
        <f>IF(AA7&gt;2018,-(AA25+AA43)*Inputs!$L$86*Inputs!$L$87*Inputs!$L$88*AA16,-Inputs!$L$70)</f>
        <v>-1088.1588731859977</v>
      </c>
      <c r="AB32" s="78">
        <f>IF(AB7&gt;2018,-(AB25+AB43)*Inputs!$L$86*Inputs!$L$87*Inputs!$L$88*AB16,-Inputs!$L$70)</f>
        <v>-1156.9138684982522</v>
      </c>
      <c r="AC32" s="78">
        <f>IF(AC7&gt;2018,-(AC25+AC43)*Inputs!$L$86*Inputs!$L$87*Inputs!$L$88*AC16,-Inputs!$L$70)</f>
        <v>-1229.8568034216039</v>
      </c>
      <c r="AD32" s="78">
        <f>IF(AD7&gt;2018,-(AD25+AD43)*Inputs!$L$86*Inputs!$L$87*Inputs!$L$88*AD16,-Inputs!$L$70)</f>
        <v>-1307.2117529928701</v>
      </c>
      <c r="AE32" s="78">
        <f>IF(AE7&gt;2018,-(AE25+AE43)*Inputs!$L$86*Inputs!$L$87*Inputs!$L$88*AE16,-Inputs!$L$70)</f>
        <v>-1389.8051747992881</v>
      </c>
      <c r="AF32" s="78">
        <f>IF(AF7&gt;2018,-(AF25+AF43)*Inputs!$L$86*Inputs!$L$87*Inputs!$L$88*AF16,-Inputs!$L$70)</f>
        <v>-1477.3315725563468</v>
      </c>
      <c r="AG32" s="78">
        <f>IF(AG7&gt;2018,-(AG25+AG43)*Inputs!$L$86*Inputs!$L$87*Inputs!$L$88*AG16,-Inputs!$L$70)</f>
        <v>-1620.3337565709298</v>
      </c>
      <c r="AH32" s="78">
        <f>IF(AH7&gt;2018,-(AH25+AH43)*Inputs!$L$86*Inputs!$L$87*Inputs!$L$88*AH16,-Inputs!$L$70)</f>
        <v>-1777.8097391759304</v>
      </c>
      <c r="AI32" s="78">
        <f>IF(AI7&gt;2018,-(AI25+AI43)*Inputs!$L$86*Inputs!$L$87*Inputs!$L$88*AI16,-Inputs!$L$70)</f>
        <v>-1950.6664582631711</v>
      </c>
      <c r="AJ32" s="78">
        <f>IF(AJ7&gt;2018,-(AJ25+AJ43)*Inputs!$L$86*Inputs!$L$87*Inputs!$L$88*AJ16,-Inputs!$L$70)</f>
        <v>-2140.4390731711032</v>
      </c>
      <c r="AK32" s="78">
        <f>IF(AK7&gt;2018,-(AK25+AK43)*Inputs!$L$86*Inputs!$L$87*Inputs!$L$88*AK16,-Inputs!$L$70)</f>
        <v>-2348.2116974152345</v>
      </c>
      <c r="AL32" s="78">
        <f>IF(AL7&gt;2018,-(AL25+AL43)*Inputs!$L$86*Inputs!$L$87*Inputs!$L$88*AL16,-Inputs!$L$70)</f>
        <v>-2578.9602560015287</v>
      </c>
      <c r="AM32" s="78">
        <f>IF(AM7&gt;2018,-(AM25+AM43)*Inputs!$L$86*Inputs!$L$87*Inputs!$L$88*AM16,-Inputs!$L$70)</f>
        <v>-2833.5411766374718</v>
      </c>
      <c r="AN32" s="78">
        <f>IF(AN7&gt;2018,-(AN25+AN43)*Inputs!$L$86*Inputs!$L$87*Inputs!$L$88*AN16,-Inputs!$L$70)</f>
        <v>-3114.8950804047963</v>
      </c>
      <c r="AO32" s="78">
        <f>IF(AO7&gt;2018,-(AO25+AO43)*Inputs!$L$86*Inputs!$L$87*Inputs!$L$88*AO16,-Inputs!$L$70)</f>
        <v>-3419.2747896454416</v>
      </c>
      <c r="AP32" s="78">
        <f>IF(AP7&gt;2018,-(AP25+AP43)*Inputs!$L$86*Inputs!$L$87*Inputs!$L$88*AP16,-Inputs!$L$70)</f>
        <v>-3754.882199395538</v>
      </c>
      <c r="AQ32" s="78">
        <f>IF(AQ7&gt;2018,-(AQ25+AQ43)*Inputs!$L$86*Inputs!$L$87*Inputs!$L$88*AQ16,-Inputs!$L$70)</f>
        <v>-3970.8258002969851</v>
      </c>
      <c r="AR32" s="78">
        <f>IF(AR7&gt;2018,-(AR25+AR43)*Inputs!$L$86*Inputs!$L$87*Inputs!$L$88*AR16,-Inputs!$L$70)</f>
        <v>-4199.9370837452852</v>
      </c>
      <c r="AS32" s="78">
        <f>IF(AS7&gt;2018,-(AS25+AS43)*Inputs!$L$86*Inputs!$L$87*Inputs!$L$88*AS16,-Inputs!$L$70)</f>
        <v>-4442.4574541090042</v>
      </c>
      <c r="AT32" s="78">
        <f>IF(AT7&gt;2018,-(AT25+AT43)*Inputs!$L$86*Inputs!$L$87*Inputs!$L$88*AT16,-Inputs!$L$70)</f>
        <v>-4699.1387628785442</v>
      </c>
      <c r="AU32" s="78">
        <f>IF(AU7&gt;2018,-(AU25+AU43)*Inputs!$L$86*Inputs!$L$87*Inputs!$L$88*AU16,-Inputs!$L$70)</f>
        <v>-4982.1206607893573</v>
      </c>
      <c r="AV32" s="78">
        <f>IF(AV7&gt;2018,-(AV25+AV43)*Inputs!$L$86*Inputs!$L$87*Inputs!$L$88*AV16,-Inputs!$L$70)</f>
        <v>-5265.2813049834103</v>
      </c>
      <c r="AW32" s="78">
        <f>IF(AW7&gt;2018,-(AW25+AW43)*Inputs!$L$86*Inputs!$L$87*Inputs!$L$88*AW16,-Inputs!$L$70)</f>
        <v>-5565.7717310961307</v>
      </c>
      <c r="AX32" s="78">
        <f>IF(AX7&gt;2018,-(AX25+AX43)*Inputs!$L$86*Inputs!$L$87*Inputs!$L$88*AX16,-Inputs!$L$70)</f>
        <v>-5883.2775808855986</v>
      </c>
      <c r="AY32" s="78">
        <f>IF(AY7&gt;2018,-(AY25+AY43)*Inputs!$L$86*Inputs!$L$87*Inputs!$L$88*AY16,-Inputs!$L$70)</f>
        <v>-6220.2885607018206</v>
      </c>
      <c r="AZ32" s="78">
        <f>IF(AZ7&gt;2018,-(AZ25+AZ43)*Inputs!$L$86*Inputs!$L$87*Inputs!$L$88*AZ16,-Inputs!$L$70)</f>
        <v>-6574.7101266507943</v>
      </c>
      <c r="BA32" s="78">
        <f>IF(BA7&gt;2018,-(BA25+BA43)*Inputs!$L$86*Inputs!$L$87*Inputs!$L$88*BA16,-Inputs!$L$70)</f>
        <v>-6879.0669599911671</v>
      </c>
      <c r="BB32" s="78">
        <f>IF(BB7&gt;2018,-(BB25+BB43)*Inputs!$L$86*Inputs!$L$87*Inputs!$L$88*BB16,-Inputs!$L$70)</f>
        <v>-7197.6111291899551</v>
      </c>
      <c r="BC32" s="78">
        <f>IF(BC7&gt;2018,-(BC25+BC43)*Inputs!$L$86*Inputs!$L$87*Inputs!$L$88*BC16,-Inputs!$L$70)</f>
        <v>-7530.6082607729713</v>
      </c>
      <c r="BD32" s="78">
        <f>IF(BD7&gt;2018,-(BD25+BD43)*Inputs!$L$86*Inputs!$L$87*Inputs!$L$88*BD16,-Inputs!$L$70)</f>
        <v>-7880.0440759600906</v>
      </c>
      <c r="BE32" s="78">
        <f>IF(BE7&gt;2018,-(BE25+BE43)*Inputs!$L$86*Inputs!$L$87*Inputs!$L$88*BE16,-Inputs!$L$70)</f>
        <v>-8235.2035936389293</v>
      </c>
      <c r="BF32" s="78">
        <f>IF(BF7&gt;2018,-(BF25+BF43)*Inputs!$L$86*Inputs!$L$87*Inputs!$L$88*BF16,-Inputs!$L$70)</f>
        <v>-8538.9392552796307</v>
      </c>
      <c r="BG32" s="78">
        <f>IF(BG7&gt;2018,-(BG25+BG43)*Inputs!$L$86*Inputs!$L$87*Inputs!$L$88*BG16,-Inputs!$L$70)</f>
        <v>-8852.8229607396916</v>
      </c>
      <c r="BH32" s="78">
        <f>IF(BH7&gt;2018,-(BH25+BH43)*Inputs!$L$86*Inputs!$L$87*Inputs!$L$88*BH16,-Inputs!$L$70)</f>
        <v>-9177.9562579234662</v>
      </c>
      <c r="BI32" s="78">
        <f>IF(BI7&gt;2018,-(BI25+BI43)*Inputs!$L$86*Inputs!$L$87*Inputs!$L$88*BI16,-Inputs!$L$70)</f>
        <v>-9511.3038617391248</v>
      </c>
      <c r="BJ32" s="78">
        <f>IF(BJ7&gt;2018,-(BJ25+BJ43)*Inputs!$L$86*Inputs!$L$87*Inputs!$L$88*BJ16,-Inputs!$L$70)</f>
        <v>-2430.9088833519277</v>
      </c>
    </row>
    <row r="33" spans="1:62" x14ac:dyDescent="0.2">
      <c r="C33" s="183" t="s">
        <v>344</v>
      </c>
      <c r="K33" s="160" t="s">
        <v>62</v>
      </c>
      <c r="L33" s="78"/>
      <c r="M33" s="78"/>
      <c r="N33" s="78">
        <f t="shared" si="10"/>
        <v>2883.7478702290005</v>
      </c>
      <c r="O33" s="54"/>
      <c r="Q33" s="78"/>
      <c r="R33" s="78"/>
      <c r="S33" s="78">
        <f>-Fin!S316-Fin!S317</f>
        <v>0</v>
      </c>
      <c r="T33" s="78">
        <f>-Fin!T316-Fin!T317</f>
        <v>0</v>
      </c>
      <c r="U33" s="78">
        <f>-Fin!U316-Fin!U317</f>
        <v>0</v>
      </c>
      <c r="V33" s="78">
        <f>-Fin!V316-Fin!V317</f>
        <v>0</v>
      </c>
      <c r="W33" s="78">
        <f>-Fin!W316-Fin!W317</f>
        <v>0</v>
      </c>
      <c r="X33" s="78">
        <f>-Fin!X316-Fin!X317</f>
        <v>0</v>
      </c>
      <c r="Y33" s="78">
        <f>-Fin!Y316-Fin!Y317</f>
        <v>0</v>
      </c>
      <c r="Z33" s="78">
        <f>-Fin!Z316-Fin!Z317</f>
        <v>0</v>
      </c>
      <c r="AA33" s="78">
        <f>-Fin!AA316-Fin!AA317</f>
        <v>0</v>
      </c>
      <c r="AB33" s="78">
        <f>-Fin!AB316-Fin!AB317</f>
        <v>0</v>
      </c>
      <c r="AC33" s="78">
        <f>-Fin!AC316-Fin!AC317</f>
        <v>0</v>
      </c>
      <c r="AD33" s="78">
        <f>-Fin!AD316-Fin!AD317</f>
        <v>0</v>
      </c>
      <c r="AE33" s="78">
        <f>-Fin!AE316-Fin!AE317</f>
        <v>0</v>
      </c>
      <c r="AF33" s="78">
        <f>-Fin!AF316-Fin!AF317</f>
        <v>0</v>
      </c>
      <c r="AG33" s="78">
        <f>-Fin!AG316-Fin!AG317</f>
        <v>0</v>
      </c>
      <c r="AH33" s="78">
        <f>-Fin!AH316-Fin!AH317</f>
        <v>0</v>
      </c>
      <c r="AI33" s="78">
        <f>-Fin!AI316-Fin!AI317</f>
        <v>0</v>
      </c>
      <c r="AJ33" s="78">
        <f>-Fin!AJ316-Fin!AJ317</f>
        <v>0</v>
      </c>
      <c r="AK33" s="78">
        <f>-Fin!AK316-Fin!AK317</f>
        <v>0</v>
      </c>
      <c r="AL33" s="78">
        <f>-Fin!AL316-Fin!AL317</f>
        <v>0</v>
      </c>
      <c r="AM33" s="78">
        <f>-Fin!AM316-Fin!AM317</f>
        <v>0</v>
      </c>
      <c r="AN33" s="78">
        <f>-Fin!AN316-Fin!AN317</f>
        <v>0</v>
      </c>
      <c r="AO33" s="78">
        <f>-Fin!AO316-Fin!AO317</f>
        <v>0</v>
      </c>
      <c r="AP33" s="78">
        <f>-Fin!AP316-Fin!AP317</f>
        <v>0</v>
      </c>
      <c r="AQ33" s="78">
        <f>-Fin!AQ316-Fin!AQ317</f>
        <v>0</v>
      </c>
      <c r="AR33" s="78">
        <f>-Fin!AR316-Fin!AR317</f>
        <v>0</v>
      </c>
      <c r="AS33" s="78">
        <f>-Fin!AS316-Fin!AS317</f>
        <v>0</v>
      </c>
      <c r="AT33" s="78">
        <f>-Fin!AT316-Fin!AT317</f>
        <v>0</v>
      </c>
      <c r="AU33" s="78">
        <f>-Fin!AU316-Fin!AU317</f>
        <v>0</v>
      </c>
      <c r="AV33" s="78">
        <f>-Fin!AV316-Fin!AV317</f>
        <v>0</v>
      </c>
      <c r="AW33" s="78">
        <f>-Fin!AW316-Fin!AW317</f>
        <v>0</v>
      </c>
      <c r="AX33" s="78">
        <f>-Fin!AX316-Fin!AX317</f>
        <v>0</v>
      </c>
      <c r="AY33" s="78">
        <f>-Fin!AY316-Fin!AY317</f>
        <v>0</v>
      </c>
      <c r="AZ33" s="78">
        <f>-Fin!AZ316-Fin!AZ317</f>
        <v>0</v>
      </c>
      <c r="BA33" s="78">
        <f>-Fin!BA316-Fin!BA317</f>
        <v>0</v>
      </c>
      <c r="BB33" s="78">
        <f>-Fin!BB316-Fin!BB317</f>
        <v>0</v>
      </c>
      <c r="BC33" s="78">
        <f>-Fin!BC316-Fin!BC317</f>
        <v>0</v>
      </c>
      <c r="BD33" s="78">
        <f>-Fin!BD316-Fin!BD317</f>
        <v>0</v>
      </c>
      <c r="BE33" s="78">
        <f>-Fin!BE316-Fin!BE317</f>
        <v>0</v>
      </c>
      <c r="BF33" s="78">
        <f>-Fin!BF316-Fin!BF317</f>
        <v>0</v>
      </c>
      <c r="BG33" s="78">
        <f>-Fin!BG316-Fin!BG317</f>
        <v>0</v>
      </c>
      <c r="BH33" s="78">
        <f>-Fin!BH316-Fin!BH317</f>
        <v>0</v>
      </c>
      <c r="BI33" s="78">
        <f>-Fin!BI316-Fin!BI317</f>
        <v>0</v>
      </c>
      <c r="BJ33" s="78">
        <f>-Fin!BJ316-Fin!BJ317</f>
        <v>2883.7478702290005</v>
      </c>
    </row>
    <row r="34" spans="1:62" x14ac:dyDescent="0.2">
      <c r="L34" s="78"/>
      <c r="M34" s="78"/>
      <c r="N34" s="78"/>
      <c r="O34" s="54"/>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row>
    <row r="35" spans="1:62" x14ac:dyDescent="0.2">
      <c r="C35" s="26" t="s">
        <v>66</v>
      </c>
      <c r="D35" s="26"/>
      <c r="E35" s="26"/>
      <c r="F35" s="26"/>
      <c r="G35" s="39"/>
      <c r="H35" s="53"/>
      <c r="I35" s="26"/>
      <c r="J35" s="26"/>
      <c r="K35" s="626" t="s">
        <v>62</v>
      </c>
      <c r="L35" s="39"/>
      <c r="M35" s="39"/>
      <c r="N35" s="726">
        <f>SUM(Q35:BJ35)</f>
        <v>27987619.872742329</v>
      </c>
      <c r="O35" s="39"/>
      <c r="P35" s="26"/>
      <c r="Q35" s="39"/>
      <c r="R35" s="39"/>
      <c r="S35" s="726">
        <f t="shared" ref="S35:AV35" si="11">SUM(S25:S34)</f>
        <v>80796.436478947813</v>
      </c>
      <c r="T35" s="726">
        <f t="shared" si="11"/>
        <v>89771.429377036824</v>
      </c>
      <c r="U35" s="726">
        <f t="shared" si="11"/>
        <v>99543.656032264553</v>
      </c>
      <c r="V35" s="726">
        <f t="shared" si="11"/>
        <v>110049.22294287704</v>
      </c>
      <c r="W35" s="726">
        <f t="shared" si="11"/>
        <v>120350.89576262917</v>
      </c>
      <c r="X35" s="726">
        <f t="shared" si="11"/>
        <v>131570.13496479829</v>
      </c>
      <c r="Y35" s="726">
        <f t="shared" si="11"/>
        <v>143786.67305590565</v>
      </c>
      <c r="Z35" s="726">
        <f t="shared" si="11"/>
        <v>157087.19743331242</v>
      </c>
      <c r="AA35" s="726">
        <f t="shared" si="11"/>
        <v>171565.95314374936</v>
      </c>
      <c r="AB35" s="726">
        <f t="shared" si="11"/>
        <v>183391.10802637064</v>
      </c>
      <c r="AC35" s="726">
        <f t="shared" si="11"/>
        <v>195989.04032439922</v>
      </c>
      <c r="AD35" s="726">
        <f t="shared" si="11"/>
        <v>209409.54971846577</v>
      </c>
      <c r="AE35" s="726">
        <f t="shared" si="11"/>
        <v>223705.03054897417</v>
      </c>
      <c r="AF35" s="726">
        <f t="shared" si="11"/>
        <v>238932.40957185804</v>
      </c>
      <c r="AG35" s="726">
        <f t="shared" si="11"/>
        <v>263639.78313376952</v>
      </c>
      <c r="AH35" s="726">
        <f t="shared" si="11"/>
        <v>290832.84111196542</v>
      </c>
      <c r="AI35" s="726">
        <f t="shared" si="11"/>
        <v>320758.59869528381</v>
      </c>
      <c r="AJ35" s="726">
        <f t="shared" si="11"/>
        <v>353687.83018306049</v>
      </c>
      <c r="AK35" s="726">
        <f t="shared" si="11"/>
        <v>389918.53613546857</v>
      </c>
      <c r="AL35" s="726">
        <f t="shared" si="11"/>
        <v>429991.20856437285</v>
      </c>
      <c r="AM35" s="726">
        <f t="shared" si="11"/>
        <v>474114.91119369352</v>
      </c>
      <c r="AN35" s="726">
        <f t="shared" si="11"/>
        <v>522694.82861747779</v>
      </c>
      <c r="AO35" s="726">
        <f t="shared" si="11"/>
        <v>576183.47989266005</v>
      </c>
      <c r="AP35" s="726">
        <f t="shared" si="11"/>
        <v>635066.1159571571</v>
      </c>
      <c r="AQ35" s="726">
        <f t="shared" si="11"/>
        <v>675077.42128030444</v>
      </c>
      <c r="AR35" s="726">
        <f t="shared" si="11"/>
        <v>717240.58317071572</v>
      </c>
      <c r="AS35" s="726">
        <f t="shared" si="11"/>
        <v>761699.82474316505</v>
      </c>
      <c r="AT35" s="726">
        <f t="shared" si="11"/>
        <v>808605.77591825917</v>
      </c>
      <c r="AU35" s="726">
        <f t="shared" si="11"/>
        <v>858105.13068571023</v>
      </c>
      <c r="AV35" s="726">
        <f t="shared" si="11"/>
        <v>907312.38003306463</v>
      </c>
      <c r="AW35" s="726">
        <f t="shared" ref="AW35:BJ35" si="12">SUM(AW25:AW34)</f>
        <v>959257.59221436782</v>
      </c>
      <c r="AX35" s="726">
        <f t="shared" si="12"/>
        <v>1014084.0597085075</v>
      </c>
      <c r="AY35" s="726">
        <f t="shared" si="12"/>
        <v>1071938.227130169</v>
      </c>
      <c r="AZ35" s="726">
        <f t="shared" si="12"/>
        <v>1132977.101951726</v>
      </c>
      <c r="BA35" s="726">
        <f t="shared" si="12"/>
        <v>1188804.4180300832</v>
      </c>
      <c r="BB35" s="726">
        <f t="shared" si="12"/>
        <v>1244644.7319363076</v>
      </c>
      <c r="BC35" s="726">
        <f t="shared" si="12"/>
        <v>1279590.4219262504</v>
      </c>
      <c r="BD35" s="726">
        <f t="shared" si="12"/>
        <v>1340224.7358302826</v>
      </c>
      <c r="BE35" s="726">
        <f t="shared" si="12"/>
        <v>1260363.1431594822</v>
      </c>
      <c r="BF35" s="726">
        <f t="shared" si="12"/>
        <v>1469883.3379092026</v>
      </c>
      <c r="BG35" s="726">
        <f t="shared" si="12"/>
        <v>1524557.0878507746</v>
      </c>
      <c r="BH35" s="726">
        <f t="shared" si="12"/>
        <v>1580933.9890731277</v>
      </c>
      <c r="BI35" s="726">
        <f t="shared" si="12"/>
        <v>1501634.8947837211</v>
      </c>
      <c r="BJ35" s="726">
        <f t="shared" si="12"/>
        <v>277848.14454061422</v>
      </c>
    </row>
    <row r="36" spans="1:62" x14ac:dyDescent="0.2">
      <c r="L36" s="78"/>
      <c r="M36" s="78"/>
      <c r="N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row>
    <row r="37" spans="1:62" x14ac:dyDescent="0.2">
      <c r="C37" s="75" t="s">
        <v>67</v>
      </c>
      <c r="K37" s="160" t="s">
        <v>62</v>
      </c>
      <c r="L37" s="78"/>
      <c r="M37" s="78"/>
      <c r="N37" s="78">
        <f t="shared" ref="N37:N41" si="13">SUM(Q37:BJ37)</f>
        <v>1766191.0294188838</v>
      </c>
      <c r="Q37" s="142"/>
      <c r="R37" s="142"/>
      <c r="S37" s="78">
        <f>+Fin!S214+-(-Fin!S89)+Fin!S37+Fin!S50+Fin!S51+Fin!S52+Fin!S53</f>
        <v>0</v>
      </c>
      <c r="T37" s="78">
        <f>+Fin!T214+-(-Fin!T89)+Fin!T37+Fin!T50+Fin!T51+Fin!T52+Fin!T53</f>
        <v>400000</v>
      </c>
      <c r="U37" s="78">
        <f>+Fin!U214+-(-Fin!U89)+Fin!U37+Fin!U50+Fin!U51+Fin!U52+Fin!U53</f>
        <v>3321.3370258702384</v>
      </c>
      <c r="V37" s="78">
        <f>+Fin!V214+-(-Fin!V89)+Fin!V37+Fin!V50+Fin!V51+Fin!V52+Fin!V53</f>
        <v>4855.5300603970763</v>
      </c>
      <c r="W37" s="78">
        <f>+Fin!W214+-(-Fin!W89)+Fin!W37+Fin!W50+Fin!W51+Fin!W52+Fin!W53</f>
        <v>5234.7233595289154</v>
      </c>
      <c r="X37" s="78">
        <f>+Fin!X214+-(-Fin!X89)+Fin!X37+Fin!X50+Fin!X51+Fin!X52+Fin!X53</f>
        <v>5643.5298123881421</v>
      </c>
      <c r="Y37" s="78">
        <f>+Fin!Y214+-(-Fin!Y89)+Fin!Y37+Fin!Y50+Fin!Y51+Fin!Y52+Fin!Y53</f>
        <v>8374.1046980874198</v>
      </c>
      <c r="Z37" s="78">
        <f>+Fin!Z214+-(-Fin!Z89)+Fin!Z37+Fin!Z50+Fin!Z51+Fin!Z52+Fin!Z53</f>
        <v>19621.907719577626</v>
      </c>
      <c r="AA37" s="78">
        <f>+Fin!AA214+-(-Fin!AA89)+Fin!AA37+Fin!AA50+Fin!AA51+Fin!AA52+Fin!AA53</f>
        <v>20288.656840787982</v>
      </c>
      <c r="AB37" s="78">
        <f>+Fin!AB214+-(-Fin!AB89)+Fin!AB37+Fin!AB50+Fin!AB51+Fin!AB52+Fin!AB53</f>
        <v>16508.127427618201</v>
      </c>
      <c r="AC37" s="78">
        <f>+Fin!AC214+-(-Fin!AC89)+Fin!AC37+Fin!AC50+Fin!AC51+Fin!AC52+Fin!AC53</f>
        <v>12674.945589399376</v>
      </c>
      <c r="AD37" s="78">
        <f>+Fin!AD214+-(-Fin!AD89)+Fin!AD37+Fin!AD50+Fin!AD51+Fin!AD52+Fin!AD53</f>
        <v>69036.485568968012</v>
      </c>
      <c r="AE37" s="78">
        <f>+Fin!AE214+-(-Fin!AE89)+Fin!AE37+Fin!AE50+Fin!AE51+Fin!AE52+Fin!AE53</f>
        <v>7237.1216948748361</v>
      </c>
      <c r="AF37" s="78">
        <f>+Fin!AF214+-(-Fin!AF89)+Fin!AF37+Fin!AF50+Fin!AF51+Fin!AF52+Fin!AF53</f>
        <v>21999.501092860253</v>
      </c>
      <c r="AG37" s="78">
        <f>+Fin!AG214+-(-Fin!AG89)+Fin!AG37+Fin!AG50+Fin!AG51+Fin!AG52+Fin!AG53</f>
        <v>30571.252388052017</v>
      </c>
      <c r="AH37" s="78">
        <f>+Fin!AH214+-(-Fin!AH89)+Fin!AH37+Fin!AH50+Fin!AH51+Fin!AH52+Fin!AH53</f>
        <v>41319.387906036922</v>
      </c>
      <c r="AI37" s="78">
        <f>+Fin!AI214+-(-Fin!AI89)+Fin!AI37+Fin!AI50+Fin!AI51+Fin!AI52+Fin!AI53</f>
        <v>64086.303096119562</v>
      </c>
      <c r="AJ37" s="78">
        <f>+Fin!AJ214+-(-Fin!AJ89)+Fin!AJ37+Fin!AJ50+Fin!AJ51+Fin!AJ52+Fin!AJ53</f>
        <v>89078.807756174501</v>
      </c>
      <c r="AK37" s="78">
        <f>+Fin!AK214+-(-Fin!AK89)+Fin!AK37+Fin!AK50+Fin!AK51+Fin!AK52+Fin!AK53</f>
        <v>106569.06698689944</v>
      </c>
      <c r="AL37" s="78">
        <f>+Fin!AL214+-(-Fin!AL89)+Fin!AL37+Fin!AL50+Fin!AL51+Fin!AL52+Fin!AL53</f>
        <v>127643.71991012018</v>
      </c>
      <c r="AM37" s="78">
        <f>+Fin!AM214+-(-Fin!AM89)+Fin!AM37+Fin!AM50+Fin!AM51+Fin!AM52+Fin!AM53</f>
        <v>191998.67816823407</v>
      </c>
      <c r="AN37" s="78">
        <f>+Fin!AN214+-(-Fin!AN89)+Fin!AN37+Fin!AN50+Fin!AN51+Fin!AN52+Fin!AN53</f>
        <v>317645.24497716688</v>
      </c>
      <c r="AO37" s="78">
        <f>+Fin!AO214+-(-Fin!AO89)+Fin!AO37+Fin!AO50+Fin!AO51+Fin!AO52+Fin!AO53</f>
        <v>14813.35989367567</v>
      </c>
      <c r="AP37" s="78">
        <f>+Fin!AP214+-(-Fin!AP89)+Fin!AP37+Fin!AP50+Fin!AP51+Fin!AP52+Fin!AP53</f>
        <v>16163.392726188255</v>
      </c>
      <c r="AQ37" s="78">
        <f>+Fin!AQ214+-(-Fin!AQ89)+Fin!AQ37+Fin!AQ50+Fin!AQ51+Fin!AQ52+Fin!AQ53</f>
        <v>14764.028626131159</v>
      </c>
      <c r="AR37" s="78">
        <f>+Fin!AR214+-(-Fin!AR89)+Fin!AR37+Fin!AR50+Fin!AR51+Fin!AR52+Fin!AR53</f>
        <v>13485.816063854612</v>
      </c>
      <c r="AS37" s="78">
        <f>+Fin!AS214+-(-Fin!AS89)+Fin!AS37+Fin!AS50+Fin!AS51+Fin!AS52+Fin!AS53</f>
        <v>12318.266207248376</v>
      </c>
      <c r="AT37" s="78">
        <f>+Fin!AT214+-(-Fin!AT89)+Fin!AT37+Fin!AT50+Fin!AT51+Fin!AT52+Fin!AT53</f>
        <v>11251.798306766013</v>
      </c>
      <c r="AU37" s="78">
        <f>+Fin!AU214+-(-Fin!AU89)+Fin!AU37+Fin!AU50+Fin!AU51+Fin!AU52+Fin!AU53</f>
        <v>10277.661077144619</v>
      </c>
      <c r="AV37" s="78">
        <f>+Fin!AV214+-(-Fin!AV89)+Fin!AV37+Fin!AV50+Fin!AV51+Fin!AV52+Fin!AV53</f>
        <v>8166.9757688525569</v>
      </c>
      <c r="AW37" s="78">
        <f>+Fin!AW214+-(-Fin!AW89)+Fin!AW37+Fin!AW50+Fin!AW51+Fin!AW52+Fin!AW53</f>
        <v>0</v>
      </c>
      <c r="AX37" s="78">
        <f>+Fin!AX214+-(-Fin!AX89)+Fin!AX37+Fin!AX50+Fin!AX51+Fin!AX52+Fin!AX53</f>
        <v>101241.29866986125</v>
      </c>
      <c r="AY37" s="78">
        <f>+Fin!AY214+-(-Fin!AY89)+Fin!AY37+Fin!AY50+Fin!AY51+Fin!AY52+Fin!AY53</f>
        <v>0</v>
      </c>
      <c r="AZ37" s="78">
        <f>+Fin!AZ214+-(-Fin!AZ89)+Fin!AZ37+Fin!AZ50+Fin!AZ51+Fin!AZ52+Fin!AZ53</f>
        <v>0</v>
      </c>
      <c r="BA37" s="78">
        <f>+Fin!BA214+-(-Fin!BA89)+Fin!BA37+Fin!BA50+Fin!BA51+Fin!BA52+Fin!BA53</f>
        <v>0</v>
      </c>
      <c r="BB37" s="78">
        <f>+Fin!BB214+-(-Fin!BB89)+Fin!BB37+Fin!BB50+Fin!BB51+Fin!BB52+Fin!BB53</f>
        <v>0</v>
      </c>
      <c r="BC37" s="78">
        <f>+Fin!BC214+-(-Fin!BC89)+Fin!BC37+Fin!BC50+Fin!BC51+Fin!BC52+Fin!BC53</f>
        <v>0</v>
      </c>
      <c r="BD37" s="78">
        <f>+Fin!BD214+-(-Fin!BD89)+Fin!BD37+Fin!BD50+Fin!BD51+Fin!BD52+Fin!BD53</f>
        <v>0</v>
      </c>
      <c r="BE37" s="78">
        <f>+Fin!BE214+-(-Fin!BE89)+Fin!BE37+Fin!BE50+Fin!BE51+Fin!BE52+Fin!BE53</f>
        <v>0</v>
      </c>
      <c r="BF37" s="78">
        <f>+Fin!BF214+-(-Fin!BF89)+Fin!BF37+Fin!BF50+Fin!BF51+Fin!BF52+Fin!BF53</f>
        <v>0</v>
      </c>
      <c r="BG37" s="78">
        <f>+Fin!BG214+-(-Fin!BG89)+Fin!BG37+Fin!BG50+Fin!BG51+Fin!BG52+Fin!BG53</f>
        <v>0</v>
      </c>
      <c r="BH37" s="78">
        <f>+Fin!BH214+-(-Fin!BH89)+Fin!BH37+Fin!BH50+Fin!BH51+Fin!BH52+Fin!BH53</f>
        <v>0</v>
      </c>
      <c r="BI37" s="78">
        <f>+Fin!BI214+-(-Fin!BI89)+Fin!BI37+Fin!BI50+Fin!BI51+Fin!BI52+Fin!BI53</f>
        <v>0</v>
      </c>
      <c r="BJ37" s="78">
        <f>+Fin!BJ214+-(-Fin!BJ89)+Fin!BJ37+Fin!BJ50+Fin!BJ51+Fin!BJ52+Fin!BJ53</f>
        <v>0</v>
      </c>
    </row>
    <row r="38" spans="1:62" x14ac:dyDescent="0.2">
      <c r="A38" s="75"/>
      <c r="B38" s="75"/>
      <c r="C38" s="75" t="s">
        <v>68</v>
      </c>
      <c r="D38" s="75"/>
      <c r="E38" s="75"/>
      <c r="F38" s="75"/>
      <c r="G38" s="75"/>
      <c r="H38" s="75"/>
      <c r="I38" s="75"/>
      <c r="J38" s="75"/>
      <c r="K38" s="599" t="s">
        <v>62</v>
      </c>
      <c r="L38" s="78"/>
      <c r="M38" s="78"/>
      <c r="N38" s="78">
        <f t="shared" si="13"/>
        <v>-41714.296273598251</v>
      </c>
      <c r="O38" s="75"/>
      <c r="P38" s="75"/>
      <c r="Q38" s="142"/>
      <c r="R38" s="78"/>
      <c r="S38" s="78">
        <f>-SUM(Fin!S60:S63)</f>
        <v>0</v>
      </c>
      <c r="T38" s="78">
        <f>-SUM(Fin!T60:T63)</f>
        <v>-4127.168904518021</v>
      </c>
      <c r="U38" s="78">
        <f>-SUM(Fin!U60:U63)</f>
        <v>-4312.6113068250797</v>
      </c>
      <c r="V38" s="78">
        <f>-SUM(Fin!V60:V63)</f>
        <v>-690.62458930895025</v>
      </c>
      <c r="W38" s="78">
        <f>-SUM(Fin!W60:W63)</f>
        <v>-670.3760303620669</v>
      </c>
      <c r="X38" s="78">
        <f>-SUM(Fin!X60:X63)</f>
        <v>-648.37767724224011</v>
      </c>
      <c r="Y38" s="78">
        <f>-SUM(Fin!Y60:Y63)</f>
        <v>-647.3874308431333</v>
      </c>
      <c r="Z38" s="78">
        <f>-SUM(Fin!Z60:Z63)</f>
        <v>-729.18336675298258</v>
      </c>
      <c r="AA38" s="78">
        <f>-SUM(Fin!AA60:AA63)</f>
        <v>-702.59226652727841</v>
      </c>
      <c r="AB38" s="78">
        <f>-SUM(Fin!AB60:AB63)</f>
        <v>-633.8591103193686</v>
      </c>
      <c r="AC38" s="78">
        <f>-SUM(Fin!AC60:AC63)</f>
        <v>-564.47903347406316</v>
      </c>
      <c r="AD38" s="78">
        <f>-SUM(Fin!AD60:AD63)</f>
        <v>-1096.9264358438415</v>
      </c>
      <c r="AE38" s="78">
        <f>-SUM(Fin!AE60:AE63)</f>
        <v>-4644.4828122026092</v>
      </c>
      <c r="AF38" s="78">
        <f>-SUM(Fin!AF60:AF63)</f>
        <v>-893.95160278707374</v>
      </c>
      <c r="AG38" s="78">
        <f>-SUM(Fin!AG60:AG63)</f>
        <v>-943.10828668651152</v>
      </c>
      <c r="AH38" s="78">
        <f>-SUM(Fin!AH60:AH63)</f>
        <v>-1011.0867622217945</v>
      </c>
      <c r="AI38" s="78">
        <f>-SUM(Fin!AI60:AI63)</f>
        <v>-1196.0857109827239</v>
      </c>
      <c r="AJ38" s="78">
        <f>-SUM(Fin!AJ60:AJ63)</f>
        <v>-1399.9309548842241</v>
      </c>
      <c r="AK38" s="78">
        <f>-SUM(Fin!AK60:AK63)</f>
        <v>-1525.0835878858845</v>
      </c>
      <c r="AL38" s="78">
        <f>-SUM(Fin!AL60:AL63)</f>
        <v>-1680.4444403280509</v>
      </c>
      <c r="AM38" s="78">
        <f>-SUM(Fin!AM60:AM63)</f>
        <v>-2263.2676538979686</v>
      </c>
      <c r="AN38" s="78">
        <f>-SUM(Fin!AN60:AN63)</f>
        <v>-3453.1727902986563</v>
      </c>
      <c r="AO38" s="78">
        <f>-SUM(Fin!AO60:AO63)</f>
        <v>-3639.5562601556812</v>
      </c>
      <c r="AP38" s="78">
        <f>-SUM(Fin!AP60:AP63)</f>
        <v>-513.17546139057026</v>
      </c>
      <c r="AQ38" s="78">
        <f>-SUM(Fin!AQ60:AQ63)</f>
        <v>-437.85256747595884</v>
      </c>
      <c r="AR38" s="78">
        <f>-SUM(Fin!AR60:AR63)</f>
        <v>-369.29863323855659</v>
      </c>
      <c r="AS38" s="78">
        <f>-SUM(Fin!AS60:AS63)</f>
        <v>-306.93332757294644</v>
      </c>
      <c r="AT38" s="132">
        <f>-SUM(Fin!AT60:AT63)</f>
        <v>-250.22669328218672</v>
      </c>
      <c r="AU38" s="78">
        <f>-SUM(Fin!AU60:AU63)</f>
        <v>-198.69478891433511</v>
      </c>
      <c r="AV38" s="78">
        <f>-SUM(Fin!AV60:AV63)</f>
        <v>-151.89570798127258</v>
      </c>
      <c r="AW38" s="78">
        <f>-SUM(Fin!AW60:AW63)</f>
        <v>-115.28619144946826</v>
      </c>
      <c r="AX38" s="78">
        <f>-SUM(Fin!AX60:AX63)</f>
        <v>-1130.3507605514185</v>
      </c>
      <c r="AY38" s="78">
        <f>-SUM(Fin!AY60:AY63)</f>
        <v>-120.65034265142054</v>
      </c>
      <c r="AZ38" s="78">
        <f>-SUM(Fin!AZ60:AZ63)</f>
        <v>-123.4253005324032</v>
      </c>
      <c r="BA38" s="78">
        <f>-SUM(Fin!BA60:BA63)</f>
        <v>-126.26408244464847</v>
      </c>
      <c r="BB38" s="78">
        <f>-SUM(Fin!BB60:BB63)</f>
        <v>-129.16815634087538</v>
      </c>
      <c r="BC38" s="78">
        <f>-SUM(Fin!BC60:BC63)</f>
        <v>-132.13902393671552</v>
      </c>
      <c r="BD38" s="78">
        <f>-SUM(Fin!BD60:BD63)</f>
        <v>-135.17822148725995</v>
      </c>
      <c r="BE38" s="78">
        <f>-SUM(Fin!BE60:BE63)</f>
        <v>0</v>
      </c>
      <c r="BF38" s="78">
        <f>-SUM(Fin!BF60:BF63)</f>
        <v>0</v>
      </c>
      <c r="BG38" s="78">
        <f>-SUM(Fin!BG60:BG63)</f>
        <v>0</v>
      </c>
      <c r="BH38" s="78">
        <f>-SUM(Fin!BH60:BH63)</f>
        <v>0</v>
      </c>
      <c r="BI38" s="78">
        <f>-SUM(Fin!BI60:BI63)</f>
        <v>0</v>
      </c>
      <c r="BJ38" s="78">
        <f>-SUM(Fin!BJ60:BJ63)</f>
        <v>0</v>
      </c>
    </row>
    <row r="39" spans="1:62" x14ac:dyDescent="0.2">
      <c r="C39" s="75" t="s">
        <v>69</v>
      </c>
      <c r="K39" s="160" t="s">
        <v>62</v>
      </c>
      <c r="L39" s="78"/>
      <c r="M39" s="78"/>
      <c r="N39" s="78">
        <f t="shared" si="13"/>
        <v>-2286541.3314968022</v>
      </c>
      <c r="Q39" s="78"/>
      <c r="R39" s="78"/>
      <c r="S39" s="78">
        <f>+Fin!S23+Fin!S39+Fin!S40+Fin!S55+Fin!S31</f>
        <v>-27873.78125</v>
      </c>
      <c r="T39" s="78">
        <f>+Fin!T23+Fin!T39+Fin!T40+Fin!T55+Fin!T31</f>
        <v>-47204.699072771196</v>
      </c>
      <c r="U39" s="78">
        <f>+Fin!U23+Fin!U39+Fin!U40+Fin!U55+Fin!U31</f>
        <v>-59744.926426556849</v>
      </c>
      <c r="V39" s="78">
        <f>+Fin!V23+Fin!V39+Fin!V40+Fin!V55+Fin!V31</f>
        <v>-59883.679959100744</v>
      </c>
      <c r="W39" s="78">
        <f>+Fin!W23+Fin!W39+Fin!W40+Fin!W55+Fin!W31</f>
        <v>-60147.181813770221</v>
      </c>
      <c r="X39" s="78">
        <f>+Fin!X23+Fin!X39+Fin!X40+Fin!X55+Fin!X31</f>
        <v>-60431.261882631894</v>
      </c>
      <c r="Y39" s="78">
        <f>+Fin!Y23+Fin!Y39+Fin!Y40+Fin!Y55+Fin!Y31</f>
        <v>-60816.478728071699</v>
      </c>
      <c r="Z39" s="78">
        <f>+Fin!Z23+Fin!Z39+Fin!Z40+Fin!Z55+Fin!Z31</f>
        <v>-61186.119257828126</v>
      </c>
      <c r="AA39" s="78">
        <f>+Fin!AA23+Fin!AA39+Fin!AA40+Fin!AA55+Fin!AA31</f>
        <v>-61648.152060959597</v>
      </c>
      <c r="AB39" s="78">
        <f>+Fin!AB23+Fin!AB39+Fin!AB40+Fin!AB55+Fin!AB31</f>
        <v>-62101.975686303442</v>
      </c>
      <c r="AC39" s="78">
        <f>+Fin!AC23+Fin!AC39+Fin!AC40+Fin!AC55+Fin!AC31</f>
        <v>-62597.919643982772</v>
      </c>
      <c r="AD39" s="78">
        <f>+Fin!AD23+Fin!AD39+Fin!AD40+Fin!AD55+Fin!AD31</f>
        <v>-62922.616337585016</v>
      </c>
      <c r="AE39" s="78">
        <f>+Fin!AE23+Fin!AE39+Fin!AE40+Fin!AE55+Fin!AE31</f>
        <v>-63306.774884572922</v>
      </c>
      <c r="AF39" s="78">
        <f>+Fin!AF23+Fin!AF39+Fin!AF40+Fin!AF55+Fin!AF31</f>
        <v>-63805.277781861769</v>
      </c>
      <c r="AG39" s="78">
        <f>+Fin!AG23+Fin!AG39+Fin!AG40+Fin!AG55+Fin!AG31</f>
        <v>-64458.723155451495</v>
      </c>
      <c r="AH39" s="78">
        <f>+Fin!AH23+Fin!AH39+Fin!AH40+Fin!AH55+Fin!AH31</f>
        <v>-65064.424776121858</v>
      </c>
      <c r="AI39" s="78">
        <f>+Fin!AI23+Fin!AI39+Fin!AI40+Fin!AI55+Fin!AI31</f>
        <v>-65954.307073595061</v>
      </c>
      <c r="AJ39" s="78">
        <f>+Fin!AJ23+Fin!AJ39+Fin!AJ40+Fin!AJ55+Fin!AJ31</f>
        <v>-67072.81843950841</v>
      </c>
      <c r="AK39" s="78">
        <f>+Fin!AK23+Fin!AK39+Fin!AK40+Fin!AK55+Fin!AK31</f>
        <v>-68480.162117684114</v>
      </c>
      <c r="AL39" s="78">
        <f>+Fin!AL23+Fin!AL39+Fin!AL40+Fin!AL55+Fin!AL31</f>
        <v>-69860.279078238847</v>
      </c>
      <c r="AM39" s="78">
        <f>+Fin!AM23+Fin!AM39+Fin!AM40+Fin!AM55+Fin!AM31</f>
        <v>-71899.220805780744</v>
      </c>
      <c r="AN39" s="78">
        <f>+Fin!AN23+Fin!AN39+Fin!AN40+Fin!AN55+Fin!AN31</f>
        <v>-74281.982807908702</v>
      </c>
      <c r="AO39" s="78">
        <f>+Fin!AO23+Fin!AO39+Fin!AO40+Fin!AO55+Fin!AO31</f>
        <v>-75247.537943107614</v>
      </c>
      <c r="AP39" s="78">
        <f>+Fin!AP23+Fin!AP39+Fin!AP40+Fin!AP55+Fin!AP31</f>
        <v>-75848.411660478436</v>
      </c>
      <c r="AQ39" s="78">
        <f>+Fin!AQ23+Fin!AQ39+Fin!AQ40+Fin!AQ55+Fin!AQ31</f>
        <v>-76690.153839572173</v>
      </c>
      <c r="AR39" s="78">
        <f>+Fin!AR23+Fin!AR39+Fin!AR40+Fin!AR55+Fin!AR31</f>
        <v>-77459.021232605737</v>
      </c>
      <c r="AS39" s="78">
        <f>+Fin!AS23+Fin!AS39+Fin!AS40+Fin!AS55+Fin!AS31</f>
        <v>-78375.463668142591</v>
      </c>
      <c r="AT39" s="78">
        <f>+Fin!AT23+Fin!AT39+Fin!AT40+Fin!AT55+Fin!AT31</f>
        <v>-78802.822302612563</v>
      </c>
      <c r="AU39" s="78">
        <f>+Fin!AU23+Fin!AU39+Fin!AU40+Fin!AU55+Fin!AU31</f>
        <v>-77918.428145632293</v>
      </c>
      <c r="AV39" s="78">
        <f>+Fin!AV23+Fin!AV39+Fin!AV40+Fin!AV55+Fin!AV31</f>
        <v>-72478.798839589537</v>
      </c>
      <c r="AW39" s="78">
        <f>+Fin!AW23+Fin!AW39+Fin!AW40+Fin!AW55+Fin!AW31</f>
        <v>-66715.682786605292</v>
      </c>
      <c r="AX39" s="78">
        <f>+Fin!AX23+Fin!AX39+Fin!AX40+Fin!AX55+Fin!AX31</f>
        <v>-59932.708558178914</v>
      </c>
      <c r="AY39" s="78">
        <f>+Fin!AY23+Fin!AY39+Fin!AY40+Fin!AY55+Fin!AY31</f>
        <v>-52788.654653238365</v>
      </c>
      <c r="AZ39" s="78">
        <f>+Fin!AZ23+Fin!AZ39+Fin!AZ40+Fin!AZ55+Fin!AZ31</f>
        <v>-44679.057853223916</v>
      </c>
      <c r="BA39" s="78">
        <f>+Fin!BA23+Fin!BA39+Fin!BA40+Fin!BA55+Fin!BA31</f>
        <v>-36242.731076609285</v>
      </c>
      <c r="BB39" s="78">
        <f>+Fin!BB23+Fin!BB39+Fin!BB40+Fin!BB55+Fin!BB31</f>
        <v>-27160.250681012705</v>
      </c>
      <c r="BC39" s="78">
        <f>+Fin!BC23+Fin!BC39+Fin!BC40+Fin!BC55+Fin!BC31</f>
        <v>-17705.162672456412</v>
      </c>
      <c r="BD39" s="78">
        <f>+Fin!BD23+Fin!BD39+Fin!BD40+Fin!BD55+Fin!BD31</f>
        <v>-7753.6825434509183</v>
      </c>
      <c r="BE39" s="78">
        <f>+Fin!BE23+Fin!BE39+Fin!BE40+Fin!BE55+Fin!BE31</f>
        <v>0</v>
      </c>
      <c r="BF39" s="78">
        <f>+Fin!BF23+Fin!BF39+Fin!BF40+Fin!BF55+Fin!BF31</f>
        <v>0</v>
      </c>
      <c r="BG39" s="78">
        <f>+Fin!BG23+Fin!BG39+Fin!BG40+Fin!BG55+Fin!BG31</f>
        <v>0</v>
      </c>
      <c r="BH39" s="78">
        <f>+Fin!BH23+Fin!BH39+Fin!BH40+Fin!BH55+Fin!BH31</f>
        <v>0</v>
      </c>
      <c r="BI39" s="78">
        <f>+Fin!BI23+Fin!BI39+Fin!BI40+Fin!BI55+Fin!BI31</f>
        <v>0</v>
      </c>
      <c r="BJ39" s="78">
        <f>+Fin!BJ23+Fin!BJ39+Fin!BJ40+Fin!BJ55+Fin!BJ31</f>
        <v>0</v>
      </c>
    </row>
    <row r="40" spans="1:62" x14ac:dyDescent="0.2">
      <c r="C40" s="40" t="s">
        <v>70</v>
      </c>
      <c r="D40" s="40"/>
      <c r="E40" s="40"/>
      <c r="F40" s="40"/>
      <c r="G40" s="40"/>
      <c r="H40" s="40"/>
      <c r="I40" s="40"/>
      <c r="J40" s="40"/>
      <c r="K40" s="620" t="s">
        <v>62</v>
      </c>
      <c r="L40" s="82"/>
      <c r="M40" s="82"/>
      <c r="N40" s="82">
        <f t="shared" si="13"/>
        <v>-3014655.7934812265</v>
      </c>
      <c r="O40" s="40"/>
      <c r="P40" s="40"/>
      <c r="Q40" s="143"/>
      <c r="R40" s="82"/>
      <c r="S40" s="82">
        <f>+Fin!S24+Fin!S32+Fin!S42+Fin!S43+Fin!S44+Fin!S45+Fin!S56+Fin!S41</f>
        <v>0</v>
      </c>
      <c r="T40" s="82">
        <f>+Fin!T24+Fin!T32+Fin!T42+Fin!T43+Fin!T44+Fin!T45+Fin!T56+Fin!T41</f>
        <v>-400000</v>
      </c>
      <c r="U40" s="82">
        <f>+Fin!U24+Fin!U32+Fin!U42+Fin!U43+Fin!U44+Fin!U45+Fin!U56+Fin!U41</f>
        <v>0</v>
      </c>
      <c r="V40" s="82">
        <f>+Fin!V24+Fin!V32+Fin!V42+Fin!V43+Fin!V44+Fin!V45+Fin!V56+Fin!V41</f>
        <v>0</v>
      </c>
      <c r="W40" s="82">
        <f>+Fin!W24+Fin!W32+Fin!W42+Fin!W43+Fin!W44+Fin!W45+Fin!W56+Fin!W41</f>
        <v>0</v>
      </c>
      <c r="X40" s="82">
        <f>+Fin!X24+Fin!X32+Fin!X42+Fin!X43+Fin!X44+Fin!X45+Fin!X56+Fin!X41</f>
        <v>0</v>
      </c>
      <c r="Y40" s="82">
        <f>+Fin!Y24+Fin!Y32+Fin!Y42+Fin!Y43+Fin!Y44+Fin!Y45+Fin!Y56+Fin!Y41</f>
        <v>-2289.8426357308053</v>
      </c>
      <c r="Z40" s="82">
        <f>+Fin!Z24+Fin!Z32+Fin!Z42+Fin!Z43+Fin!Z44+Fin!Z45+Fin!Z56+Fin!Z41</f>
        <v>-13062.494360553101</v>
      </c>
      <c r="AA40" s="82">
        <f>+Fin!AA24+Fin!AA32+Fin!AA42+Fin!AA43+Fin!AA44+Fin!AA45+Fin!AA56+Fin!AA41</f>
        <v>-13216.985178130475</v>
      </c>
      <c r="AB40" s="82">
        <f>+Fin!AB24+Fin!AB32+Fin!AB42+Fin!AB43+Fin!AB44+Fin!AB45+Fin!AB56+Fin!AB41</f>
        <v>-9395.4512790708977</v>
      </c>
      <c r="AC40" s="82">
        <f>+Fin!AC24+Fin!AC32+Fin!AC42+Fin!AC43+Fin!AC44+Fin!AC45+Fin!AC56+Fin!AC41</f>
        <v>-5521.0271939429222</v>
      </c>
      <c r="AD40" s="82">
        <f>+Fin!AD24+Fin!AD32+Fin!AD42+Fin!AD43+Fin!AD44+Fin!AD45+Fin!AD56+Fin!AD41</f>
        <v>-61841.085786946023</v>
      </c>
      <c r="AE40" s="82">
        <f>+Fin!AE24+Fin!AE32+Fin!AE42+Fin!AE43+Fin!AE44+Fin!AE45+Fin!AE56+Fin!AE41</f>
        <v>0</v>
      </c>
      <c r="AF40" s="82">
        <f>+Fin!AF24+Fin!AF32+Fin!AF42+Fin!AF43+Fin!AF44+Fin!AF45+Fin!AF56+Fin!AF41</f>
        <v>-14720.415564174065</v>
      </c>
      <c r="AG40" s="82">
        <f>+Fin!AG24+Fin!AG32+Fin!AG42+Fin!AG43+Fin!AG44+Fin!AG45+Fin!AG56+Fin!AG41</f>
        <v>-22746.16832212609</v>
      </c>
      <c r="AH40" s="82">
        <f>+Fin!AH24+Fin!AH32+Fin!AH42+Fin!AH43+Fin!AH44+Fin!AH45+Fin!AH56+Fin!AH41</f>
        <v>-32907.350377765193</v>
      </c>
      <c r="AI40" s="82">
        <f>+Fin!AI24+Fin!AI32+Fin!AI42+Fin!AI43+Fin!AI44+Fin!AI45+Fin!AI56+Fin!AI41</f>
        <v>-55043.28518335562</v>
      </c>
      <c r="AJ40" s="82">
        <f>+Fin!AJ24+Fin!AJ32+Fin!AJ42+Fin!AJ43+Fin!AJ44+Fin!AJ45+Fin!AJ56+Fin!AJ41</f>
        <v>-79357.480111625744</v>
      </c>
      <c r="AK40" s="82">
        <f>+Fin!AK24+Fin!AK32+Fin!AK42+Fin!AK43+Fin!AK44+Fin!AK45+Fin!AK56+Fin!AK41</f>
        <v>-96118.55012578849</v>
      </c>
      <c r="AL40" s="82">
        <f>+Fin!AL24+Fin!AL32+Fin!AL42+Fin!AL43+Fin!AL44+Fin!AL45+Fin!AL56+Fin!AL41</f>
        <v>-116240.78300517774</v>
      </c>
      <c r="AM40" s="82">
        <f>+Fin!AM24+Fin!AM32+Fin!AM42+Fin!AM43+Fin!AM44+Fin!AM45+Fin!AM56+Fin!AM41</f>
        <v>-179556.52130784356</v>
      </c>
      <c r="AN40" s="82">
        <f>+Fin!AN24+Fin!AN32+Fin!AN42+Fin!AN43+Fin!AN44+Fin!AN45+Fin!AN56+Fin!AN41</f>
        <v>-304069.1576385214</v>
      </c>
      <c r="AO40" s="82">
        <f>+Fin!AO24+Fin!AO32+Fin!AO42+Fin!AO43+Fin!AO44+Fin!AO45+Fin!AO56+Fin!AO41</f>
        <v>0</v>
      </c>
      <c r="AP40" s="82">
        <f>+Fin!AP24+Fin!AP32+Fin!AP42+Fin!AP43+Fin!AP44+Fin!AP45+Fin!AP56+Fin!AP41</f>
        <v>0</v>
      </c>
      <c r="AQ40" s="82">
        <f>+Fin!AQ24+Fin!AQ32+Fin!AQ42+Fin!AQ43+Fin!AQ44+Fin!AQ45+Fin!AQ56+Fin!AQ41</f>
        <v>0</v>
      </c>
      <c r="AR40" s="82">
        <f>+Fin!AR24+Fin!AR32+Fin!AR42+Fin!AR43+Fin!AR44+Fin!AR45+Fin!AR56+Fin!AR41</f>
        <v>0</v>
      </c>
      <c r="AS40" s="82">
        <f>+Fin!AS24+Fin!AS32+Fin!AS42+Fin!AS43+Fin!AS44+Fin!AS45+Fin!AS56+Fin!AS41</f>
        <v>0</v>
      </c>
      <c r="AT40" s="82">
        <f>+Fin!AT24+Fin!AT32+Fin!AT42+Fin!AT43+Fin!AT44+Fin!AT45+Fin!AT56+Fin!AT41</f>
        <v>0</v>
      </c>
      <c r="AU40" s="82">
        <f>+Fin!AU24+Fin!AU32+Fin!AU42+Fin!AU43+Fin!AU44+Fin!AU45+Fin!AU56+Fin!AU41</f>
        <v>-110492.42121866169</v>
      </c>
      <c r="AV40" s="82">
        <f>+Fin!AV24+Fin!AV32+Fin!AV42+Fin!AV43+Fin!AV44+Fin!AV45+Fin!AV56+Fin!AV41</f>
        <v>-116293.2733326414</v>
      </c>
      <c r="AW40" s="82">
        <f>+Fin!AW24+Fin!AW32+Fin!AW42+Fin!AW43+Fin!AW44+Fin!AW45+Fin!AW56+Fin!AW41</f>
        <v>-122398.67018260507</v>
      </c>
      <c r="AX40" s="82">
        <f>+Fin!AX24+Fin!AX32+Fin!AX42+Fin!AX43+Fin!AX44+Fin!AX45+Fin!AX56+Fin!AX41</f>
        <v>-230065.89903705308</v>
      </c>
      <c r="AY40" s="82">
        <f>+Fin!AY24+Fin!AY32+Fin!AY42+Fin!AY43+Fin!AY44+Fin!AY45+Fin!AY56+Fin!AY41</f>
        <v>-150378.78197027749</v>
      </c>
      <c r="AZ40" s="82">
        <f>+Fin!AZ24+Fin!AZ32+Fin!AZ42+Fin!AZ43+Fin!AZ44+Fin!AZ45+Fin!AZ56+Fin!AZ41</f>
        <v>-158273.66802371704</v>
      </c>
      <c r="BA40" s="82">
        <f>+Fin!BA24+Fin!BA32+Fin!BA42+Fin!BA43+Fin!BA44+Fin!BA45+Fin!BA56+Fin!BA41</f>
        <v>-166583.03559496219</v>
      </c>
      <c r="BB40" s="82">
        <f>+Fin!BB24+Fin!BB32+Fin!BB42+Fin!BB43+Fin!BB44+Fin!BB45+Fin!BB56+Fin!BB41</f>
        <v>-175328.6449636977</v>
      </c>
      <c r="BC40" s="82">
        <f>+Fin!BC24+Fin!BC32+Fin!BC42+Fin!BC43+Fin!BC44+Fin!BC45+Fin!BC56+Fin!BC41</f>
        <v>-184533.39882429174</v>
      </c>
      <c r="BD40" s="82">
        <f>+Fin!BD24+Fin!BD32+Fin!BD42+Fin!BD43+Fin!BD44+Fin!BD45+Fin!BD56+Fin!BD41</f>
        <v>-194221.40226256705</v>
      </c>
      <c r="BE40" s="82">
        <f>+Fin!BE24+Fin!BE32+Fin!BE42+Fin!BE43+Fin!BE44+Fin!BE45+Fin!BE56+Fin!BE41</f>
        <v>0</v>
      </c>
      <c r="BF40" s="82">
        <f>+Fin!BF24+Fin!BF32+Fin!BF42+Fin!BF43+Fin!BF44+Fin!BF45+Fin!BF56+Fin!BF41</f>
        <v>0</v>
      </c>
      <c r="BG40" s="82">
        <f>+Fin!BG24+Fin!BG32+Fin!BG42+Fin!BG43+Fin!BG44+Fin!BG45+Fin!BG56+Fin!BG41</f>
        <v>0</v>
      </c>
      <c r="BH40" s="82">
        <f>+Fin!BH24+Fin!BH32+Fin!BH42+Fin!BH43+Fin!BH44+Fin!BH45+Fin!BH56+Fin!BH41</f>
        <v>0</v>
      </c>
      <c r="BI40" s="82">
        <f>+Fin!BI24+Fin!BI32+Fin!BI42+Fin!BI43+Fin!BI44+Fin!BI45+Fin!BI56+Fin!BI41</f>
        <v>0</v>
      </c>
      <c r="BJ40" s="82">
        <f>+Fin!BJ24+Fin!BJ32+Fin!BJ42+Fin!BJ43+Fin!BJ44+Fin!BJ45+Fin!BJ56+Fin!BJ41</f>
        <v>0</v>
      </c>
    </row>
    <row r="41" spans="1:62" x14ac:dyDescent="0.2">
      <c r="C41" t="s">
        <v>71</v>
      </c>
      <c r="G41" s="50"/>
      <c r="H41" s="78"/>
      <c r="K41" s="160" t="s">
        <v>62</v>
      </c>
      <c r="L41" s="78"/>
      <c r="M41" s="78"/>
      <c r="N41" s="78">
        <f t="shared" si="13"/>
        <v>-3576720.3918327424</v>
      </c>
      <c r="Q41" s="78"/>
      <c r="R41" s="78"/>
      <c r="S41" s="78">
        <f t="shared" ref="S41:BJ41" si="14">SUM(S37:S40)</f>
        <v>-27873.78125</v>
      </c>
      <c r="T41" s="78">
        <f t="shared" si="14"/>
        <v>-51331.867977289192</v>
      </c>
      <c r="U41" s="78">
        <f t="shared" si="14"/>
        <v>-60736.200707511693</v>
      </c>
      <c r="V41" s="78">
        <f t="shared" si="14"/>
        <v>-55718.774488012619</v>
      </c>
      <c r="W41" s="78">
        <f t="shared" si="14"/>
        <v>-55582.834484603372</v>
      </c>
      <c r="X41" s="78">
        <f t="shared" si="14"/>
        <v>-55436.109747485993</v>
      </c>
      <c r="Y41" s="78">
        <f t="shared" si="14"/>
        <v>-55379.604096558221</v>
      </c>
      <c r="Z41" s="78">
        <f t="shared" si="14"/>
        <v>-55355.889265556587</v>
      </c>
      <c r="AA41" s="78">
        <f t="shared" si="14"/>
        <v>-55279.072664829364</v>
      </c>
      <c r="AB41" s="78">
        <f t="shared" si="14"/>
        <v>-55623.158648075507</v>
      </c>
      <c r="AC41" s="78">
        <f t="shared" si="14"/>
        <v>-56008.480282000382</v>
      </c>
      <c r="AD41" s="78">
        <f t="shared" si="14"/>
        <v>-56824.142991406865</v>
      </c>
      <c r="AE41" s="78">
        <f t="shared" si="14"/>
        <v>-60714.136001900697</v>
      </c>
      <c r="AF41" s="78">
        <f t="shared" si="14"/>
        <v>-57420.143855962655</v>
      </c>
      <c r="AG41" s="78">
        <f t="shared" si="14"/>
        <v>-57576.747376212079</v>
      </c>
      <c r="AH41" s="78">
        <f t="shared" si="14"/>
        <v>-57663.474010071921</v>
      </c>
      <c r="AI41" s="78">
        <f t="shared" si="14"/>
        <v>-58107.374871813845</v>
      </c>
      <c r="AJ41" s="78">
        <f t="shared" si="14"/>
        <v>-58751.421749843881</v>
      </c>
      <c r="AK41" s="78">
        <f t="shared" si="14"/>
        <v>-59554.728844459038</v>
      </c>
      <c r="AL41" s="78">
        <f t="shared" si="14"/>
        <v>-60137.786613624456</v>
      </c>
      <c r="AM41" s="78">
        <f t="shared" si="14"/>
        <v>-61720.331599288198</v>
      </c>
      <c r="AN41" s="78">
        <f t="shared" si="14"/>
        <v>-64159.068259561871</v>
      </c>
      <c r="AO41" s="78">
        <f t="shared" si="14"/>
        <v>-64073.734309587628</v>
      </c>
      <c r="AP41" s="78">
        <f t="shared" si="14"/>
        <v>-60198.194395680752</v>
      </c>
      <c r="AQ41" s="78">
        <f t="shared" si="14"/>
        <v>-62363.977780916975</v>
      </c>
      <c r="AR41" s="78">
        <f t="shared" si="14"/>
        <v>-64342.503801989682</v>
      </c>
      <c r="AS41" s="78">
        <f t="shared" si="14"/>
        <v>-66364.130788467155</v>
      </c>
      <c r="AT41" s="78">
        <f t="shared" si="14"/>
        <v>-67801.250689128734</v>
      </c>
      <c r="AU41" s="78">
        <f t="shared" si="14"/>
        <v>-178331.88307606371</v>
      </c>
      <c r="AV41" s="78">
        <f t="shared" si="14"/>
        <v>-180756.99211135966</v>
      </c>
      <c r="AW41" s="78">
        <f t="shared" si="14"/>
        <v>-189229.63916065983</v>
      </c>
      <c r="AX41" s="78">
        <f t="shared" si="14"/>
        <v>-189887.65968592215</v>
      </c>
      <c r="AY41" s="78">
        <f t="shared" si="14"/>
        <v>-203288.08696616726</v>
      </c>
      <c r="AZ41" s="78">
        <f t="shared" si="14"/>
        <v>-203076.15117747337</v>
      </c>
      <c r="BA41" s="78">
        <f t="shared" si="14"/>
        <v>-202952.03075401613</v>
      </c>
      <c r="BB41" s="78">
        <f t="shared" si="14"/>
        <v>-202618.06380105129</v>
      </c>
      <c r="BC41" s="78">
        <f t="shared" si="14"/>
        <v>-202370.70052068486</v>
      </c>
      <c r="BD41" s="78">
        <f t="shared" si="14"/>
        <v>-202110.26302750522</v>
      </c>
      <c r="BE41" s="78">
        <f t="shared" si="14"/>
        <v>0</v>
      </c>
      <c r="BF41" s="78">
        <f t="shared" si="14"/>
        <v>0</v>
      </c>
      <c r="BG41" s="78">
        <f t="shared" si="14"/>
        <v>0</v>
      </c>
      <c r="BH41" s="78">
        <f t="shared" si="14"/>
        <v>0</v>
      </c>
      <c r="BI41" s="78">
        <f t="shared" si="14"/>
        <v>0</v>
      </c>
      <c r="BJ41" s="78">
        <f t="shared" si="14"/>
        <v>0</v>
      </c>
    </row>
    <row r="42" spans="1:62" x14ac:dyDescent="0.2">
      <c r="L42" s="78"/>
      <c r="M42" s="78"/>
      <c r="N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row>
    <row r="43" spans="1:62" s="75" customFormat="1" x14ac:dyDescent="0.2">
      <c r="C43" s="75" t="s">
        <v>72</v>
      </c>
      <c r="K43" s="599" t="s">
        <v>62</v>
      </c>
      <c r="L43" s="78"/>
      <c r="M43" s="78"/>
      <c r="N43" s="78">
        <f>SUM(Q43:BJ43)</f>
        <v>246032.33600601187</v>
      </c>
      <c r="Q43" s="78"/>
      <c r="R43" s="78"/>
      <c r="S43" s="78">
        <f>+Mac!S32</f>
        <v>0</v>
      </c>
      <c r="T43" s="78">
        <f>+Mac!T32</f>
        <v>2933.937622086924</v>
      </c>
      <c r="U43" s="78">
        <f>+Mac!U32</f>
        <v>940.6351316665299</v>
      </c>
      <c r="V43" s="78">
        <f>+Mac!V32</f>
        <v>1180.3461841882392</v>
      </c>
      <c r="W43" s="78">
        <f>+Mac!W32</f>
        <v>1392.855798373562</v>
      </c>
      <c r="X43" s="78">
        <f>+Mac!X32</f>
        <v>1567.8927138781878</v>
      </c>
      <c r="Y43" s="78">
        <f>+Mac!Y32</f>
        <v>1733.2721968863589</v>
      </c>
      <c r="Z43" s="78">
        <f>+Mac!Z32</f>
        <v>1902.9812601184744</v>
      </c>
      <c r="AA43" s="78">
        <f>+Mac!AA32</f>
        <v>2074.7351020773285</v>
      </c>
      <c r="AB43" s="78">
        <f>+Mac!AB32</f>
        <v>2212.8585877595424</v>
      </c>
      <c r="AC43" s="78">
        <f>+Mac!AC32</f>
        <v>2330.3773691569895</v>
      </c>
      <c r="AD43" s="78">
        <f>+Mac!AD32</f>
        <v>2418.2959333556219</v>
      </c>
      <c r="AE43" s="78">
        <f>+Mac!AE32</f>
        <v>2579.0949092429973</v>
      </c>
      <c r="AF43" s="78">
        <f>+Mac!AF32</f>
        <v>2696.1751882153148</v>
      </c>
      <c r="AG43" s="78">
        <f>+Mac!AG32</f>
        <v>2839.6666328661431</v>
      </c>
      <c r="AH43" s="78">
        <f>+Mac!AH32</f>
        <v>3105.9161260773412</v>
      </c>
      <c r="AI43" s="78">
        <f>+Mac!AI32</f>
        <v>3411.5832240242535</v>
      </c>
      <c r="AJ43" s="78">
        <f>+Mac!AJ32</f>
        <v>3768.0917971796848</v>
      </c>
      <c r="AK43" s="78">
        <f>+Mac!AK32</f>
        <v>4073.6348544397351</v>
      </c>
      <c r="AL43" s="78">
        <f>+Mac!AL32</f>
        <v>4320.6180431709508</v>
      </c>
      <c r="AM43" s="78">
        <f>+Mac!AM32</f>
        <v>4797.2675879554872</v>
      </c>
      <c r="AN43" s="78">
        <f>+Mac!AN32</f>
        <v>5638.7025356995109</v>
      </c>
      <c r="AO43" s="78">
        <f>+Mac!AO32</f>
        <v>5664.2656594535383</v>
      </c>
      <c r="AP43" s="78">
        <f>+Mac!AP32</f>
        <v>5923.2709353723476</v>
      </c>
      <c r="AQ43" s="78">
        <f>+Mac!AQ32</f>
        <v>5964.8664794603264</v>
      </c>
      <c r="AR43" s="78">
        <f>+Mac!AR32</f>
        <v>6134.1481172792337</v>
      </c>
      <c r="AS43" s="78">
        <f>+Mac!AS32</f>
        <v>6339.194453137532</v>
      </c>
      <c r="AT43" s="78">
        <f>+Mac!AT32</f>
        <v>6577.3231478792877</v>
      </c>
      <c r="AU43" s="78">
        <f>+Mac!AU32</f>
        <v>9006.5046993014894</v>
      </c>
      <c r="AV43" s="78">
        <f>+Mac!AV32</f>
        <v>9125.9065121812091</v>
      </c>
      <c r="AW43" s="78">
        <f>+Mac!AW32</f>
        <v>9465.0985390987535</v>
      </c>
      <c r="AX43" s="78">
        <f>+Mac!AX32</f>
        <v>9787.7998764432105</v>
      </c>
      <c r="AY43" s="78">
        <f>+Mac!AY32</f>
        <v>10381.737567421795</v>
      </c>
      <c r="AZ43" s="78">
        <f>+Mac!AZ32</f>
        <v>10650.770306827853</v>
      </c>
      <c r="BA43" s="78">
        <f>+Mac!BA32</f>
        <v>10806.024617332281</v>
      </c>
      <c r="BB43" s="78">
        <f>+Mac!BB32</f>
        <v>10971.409959314491</v>
      </c>
      <c r="BC43" s="78">
        <f>+Mac!BC32</f>
        <v>11072.161126111594</v>
      </c>
      <c r="BD43" s="78">
        <f>+Mac!BD32</f>
        <v>11355.312685980001</v>
      </c>
      <c r="BE43" s="78">
        <f>+Mac!BE32</f>
        <v>9642.6086918270485</v>
      </c>
      <c r="BF43" s="78">
        <f>+Mac!BF32</f>
        <v>9736.9246790448087</v>
      </c>
      <c r="BG43" s="78">
        <f>+Mac!BG32</f>
        <v>9624.1770197395927</v>
      </c>
      <c r="BH43" s="78">
        <f>+Mac!BH32</f>
        <v>9434.8959840826774</v>
      </c>
      <c r="BI43" s="78">
        <f>+Mac!BI32</f>
        <v>8508.7060004751474</v>
      </c>
      <c r="BJ43" s="78">
        <f>+Mac!BJ32</f>
        <v>1940.2901498285173</v>
      </c>
    </row>
    <row r="44" spans="1:62" x14ac:dyDescent="0.2">
      <c r="L44" s="78"/>
      <c r="M44" s="78"/>
      <c r="N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row>
    <row r="45" spans="1:62" x14ac:dyDescent="0.2">
      <c r="C45" s="26" t="s">
        <v>73</v>
      </c>
      <c r="D45" s="26"/>
      <c r="E45" s="26"/>
      <c r="F45" s="26"/>
      <c r="G45" s="26"/>
      <c r="H45" s="26"/>
      <c r="I45" s="26"/>
      <c r="J45" s="39"/>
      <c r="K45" s="626" t="s">
        <v>62</v>
      </c>
      <c r="L45" s="39"/>
      <c r="M45" s="39"/>
      <c r="N45" s="726">
        <f>SUM(Q45:BJ45)</f>
        <v>24656931.816915601</v>
      </c>
      <c r="O45" s="39"/>
      <c r="P45" s="26"/>
      <c r="Q45" s="39"/>
      <c r="R45" s="39"/>
      <c r="S45" s="726">
        <f t="shared" ref="S45:BJ45" si="15">+S35+S41+S43+S23</f>
        <v>52922.655228947813</v>
      </c>
      <c r="T45" s="726">
        <f t="shared" si="15"/>
        <v>41373.499021834556</v>
      </c>
      <c r="U45" s="726">
        <f t="shared" si="15"/>
        <v>39748.090456419392</v>
      </c>
      <c r="V45" s="726">
        <f t="shared" si="15"/>
        <v>55510.794639052656</v>
      </c>
      <c r="W45" s="726">
        <f t="shared" si="15"/>
        <v>66160.917076399361</v>
      </c>
      <c r="X45" s="726">
        <f t="shared" si="15"/>
        <v>77701.917931190488</v>
      </c>
      <c r="Y45" s="726">
        <f t="shared" si="15"/>
        <v>90140.341156233786</v>
      </c>
      <c r="Z45" s="726">
        <f t="shared" si="15"/>
        <v>103634.2894278743</v>
      </c>
      <c r="AA45" s="726">
        <f t="shared" si="15"/>
        <v>118361.61558099733</v>
      </c>
      <c r="AB45" s="726">
        <f t="shared" si="15"/>
        <v>129980.80796605468</v>
      </c>
      <c r="AC45" s="726">
        <f t="shared" si="15"/>
        <v>142310.93741155582</v>
      </c>
      <c r="AD45" s="726">
        <f t="shared" si="15"/>
        <v>155003.70266041454</v>
      </c>
      <c r="AE45" s="726">
        <f t="shared" si="15"/>
        <v>165569.98945631646</v>
      </c>
      <c r="AF45" s="726">
        <f t="shared" si="15"/>
        <v>184208.4409041107</v>
      </c>
      <c r="AG45" s="726">
        <f t="shared" si="15"/>
        <v>208902.70239042357</v>
      </c>
      <c r="AH45" s="726">
        <f t="shared" si="15"/>
        <v>236275.28322797085</v>
      </c>
      <c r="AI45" s="726">
        <f t="shared" si="15"/>
        <v>266062.80704749422</v>
      </c>
      <c r="AJ45" s="726">
        <f t="shared" si="15"/>
        <v>298704.50023039628</v>
      </c>
      <c r="AK45" s="726">
        <f t="shared" si="15"/>
        <v>334437.44214544928</v>
      </c>
      <c r="AL45" s="726">
        <f t="shared" si="15"/>
        <v>374174.03999391937</v>
      </c>
      <c r="AM45" s="726">
        <f t="shared" si="15"/>
        <v>417191.84718236077</v>
      </c>
      <c r="AN45" s="726">
        <f t="shared" si="15"/>
        <v>464174.46289361542</v>
      </c>
      <c r="AO45" s="726">
        <f t="shared" si="15"/>
        <v>517774.01124252594</v>
      </c>
      <c r="AP45" s="726">
        <f t="shared" si="15"/>
        <v>580791.19249684864</v>
      </c>
      <c r="AQ45" s="726">
        <f t="shared" si="15"/>
        <v>618678.30997884786</v>
      </c>
      <c r="AR45" s="726">
        <f t="shared" si="15"/>
        <v>659032.22748600529</v>
      </c>
      <c r="AS45" s="726">
        <f t="shared" si="15"/>
        <v>701674.8884078355</v>
      </c>
      <c r="AT45" s="726">
        <f t="shared" si="15"/>
        <v>747381.84837700974</v>
      </c>
      <c r="AU45" s="726">
        <f t="shared" si="15"/>
        <v>688779.75230894797</v>
      </c>
      <c r="AV45" s="726">
        <f t="shared" si="15"/>
        <v>735681.29443388607</v>
      </c>
      <c r="AW45" s="726">
        <f t="shared" si="15"/>
        <v>779493.0515928067</v>
      </c>
      <c r="AX45" s="726">
        <f t="shared" si="15"/>
        <v>833984.19989902864</v>
      </c>
      <c r="AY45" s="726">
        <f t="shared" si="15"/>
        <v>879031.87773142359</v>
      </c>
      <c r="AZ45" s="726">
        <f t="shared" si="15"/>
        <v>940551.7210810805</v>
      </c>
      <c r="BA45" s="726">
        <f t="shared" si="15"/>
        <v>996658.41189339932</v>
      </c>
      <c r="BB45" s="726">
        <f t="shared" si="15"/>
        <v>1052998.0780945707</v>
      </c>
      <c r="BC45" s="726">
        <f t="shared" si="15"/>
        <v>1088291.8825316771</v>
      </c>
      <c r="BD45" s="726">
        <f t="shared" si="15"/>
        <v>1149469.7854887573</v>
      </c>
      <c r="BE45" s="726">
        <f t="shared" si="15"/>
        <v>1270005.7518513093</v>
      </c>
      <c r="BF45" s="726">
        <f t="shared" si="15"/>
        <v>1479620.2625882474</v>
      </c>
      <c r="BG45" s="726">
        <f t="shared" si="15"/>
        <v>1534181.2648705142</v>
      </c>
      <c r="BH45" s="726">
        <f t="shared" si="15"/>
        <v>1590368.8850572105</v>
      </c>
      <c r="BI45" s="726">
        <f t="shared" si="15"/>
        <v>1510143.6007841963</v>
      </c>
      <c r="BJ45" s="726">
        <f t="shared" si="15"/>
        <v>279788.43469044275</v>
      </c>
    </row>
    <row r="46" spans="1:62" x14ac:dyDescent="0.2">
      <c r="L46" s="78"/>
      <c r="M46" s="78"/>
      <c r="N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row>
    <row r="47" spans="1:62" x14ac:dyDescent="0.2">
      <c r="C47" t="s">
        <v>32</v>
      </c>
      <c r="K47" s="160" t="s">
        <v>62</v>
      </c>
      <c r="L47" s="78"/>
      <c r="M47" s="78"/>
      <c r="N47" s="78">
        <f>SUM(Q47:BJ47)</f>
        <v>20000</v>
      </c>
      <c r="Q47" s="163"/>
      <c r="R47" s="123"/>
      <c r="S47" s="725">
        <f>-Fin!S250-Fin!S251-Fin!S252</f>
        <v>0</v>
      </c>
      <c r="T47" s="725">
        <f>-Fin!T250-Fin!T251-Fin!T252</f>
        <v>7436.1096886952218</v>
      </c>
      <c r="U47" s="78">
        <f>-Fin!U250-Fin!U251-Fin!U252</f>
        <v>-2192.2508882111033</v>
      </c>
      <c r="V47" s="78">
        <f>-Fin!V250-Fin!V251-Fin!V252</f>
        <v>-1152.3829106810408</v>
      </c>
      <c r="W47" s="78">
        <f>-Fin!W250-Fin!W251-Fin!W252</f>
        <v>-1165.6896100149825</v>
      </c>
      <c r="X47" s="78">
        <f>-Fin!X250-Fin!X251-Fin!X252</f>
        <v>-1077.3390840669235</v>
      </c>
      <c r="Y47" s="78">
        <f>-Fin!Y250-Fin!Y251-Fin!Y252</f>
        <v>-878.79692120167601</v>
      </c>
      <c r="Z47" s="78">
        <f>-Fin!Z250-Fin!Z251-Fin!Z252</f>
        <v>-560.85876089457088</v>
      </c>
      <c r="AA47" s="78">
        <f>-Fin!AA250-Fin!AA251-Fin!AA252</f>
        <v>-113.59795395841502</v>
      </c>
      <c r="AB47" s="78">
        <f>-Fin!AB250-Fin!AB251-Fin!AB252</f>
        <v>-189.82534897685036</v>
      </c>
      <c r="AC47" s="78">
        <f>-Fin!AC250-Fin!AC251-Fin!AC252</f>
        <v>-372.92136785891125</v>
      </c>
      <c r="AD47" s="78">
        <f>-Fin!AD250-Fin!AD251-Fin!AD252</f>
        <v>-671.48865754544022</v>
      </c>
      <c r="AE47" s="78">
        <f>-Fin!AE250-Fin!AE251-Fin!AE252</f>
        <v>-1094.7785436807753</v>
      </c>
      <c r="AF47" s="78">
        <f>-Fin!AF250-Fin!AF251-Fin!AF252</f>
        <v>-1652.7397072168424</v>
      </c>
      <c r="AG47" s="78">
        <f>-Fin!AG250-Fin!AG251-Fin!AG252</f>
        <v>-1801.9906624508185</v>
      </c>
      <c r="AH47" s="78">
        <f>-Fin!AH250-Fin!AH251-Fin!AH252</f>
        <v>-1998.4477418736533</v>
      </c>
      <c r="AI47" s="78">
        <f>-Fin!AI250-Fin!AI251-Fin!AI252</f>
        <v>-2248.9337378696146</v>
      </c>
      <c r="AJ47" s="78">
        <f>-Fin!AJ250-Fin!AJ251-Fin!AJ252</f>
        <v>-2561.0823147478986</v>
      </c>
      <c r="AK47" s="78">
        <f>-Fin!AK250-Fin!AK251-Fin!AK252</f>
        <v>-2943.4260904036419</v>
      </c>
      <c r="AL47" s="78">
        <f>-Fin!AL250-Fin!AL251-Fin!AL252</f>
        <v>-2780.8135980043371</v>
      </c>
      <c r="AM47" s="78">
        <f>-Fin!AM250-Fin!AM251-Fin!AM252</f>
        <v>-2066.1971091353334</v>
      </c>
      <c r="AN47" s="78">
        <f>-Fin!AN250-Fin!AN251-Fin!AN252</f>
        <v>-795.77642134398047</v>
      </c>
      <c r="AO47" s="78">
        <f>-Fin!AO250-Fin!AO251-Fin!AO252</f>
        <v>1038.6214282925066</v>
      </c>
      <c r="AP47" s="78">
        <f>-Fin!AP250-Fin!AP251-Fin!AP252</f>
        <v>3449.5920875071097</v>
      </c>
      <c r="AQ47" s="78">
        <f>-Fin!AQ250-Fin!AQ251-Fin!AQ252</f>
        <v>2802.2028777644227</v>
      </c>
      <c r="AR47" s="78">
        <f>-Fin!AR250-Fin!AR251-Fin!AR252</f>
        <v>1697.1840901436044</v>
      </c>
      <c r="AS47" s="78">
        <f>-Fin!AS250-Fin!AS251-Fin!AS252</f>
        <v>102.42854510110919</v>
      </c>
      <c r="AT47" s="78">
        <f>-Fin!AT250-Fin!AT251-Fin!AT252</f>
        <v>-2021.4067551599474</v>
      </c>
      <c r="AU47" s="78">
        <f>-Fin!AU250-Fin!AU251-Fin!AU252</f>
        <v>-4721.6726877533074</v>
      </c>
      <c r="AV47" s="78">
        <f>-Fin!AV250-Fin!AV251-Fin!AV252</f>
        <v>-4757.7584081274181</v>
      </c>
      <c r="AW47" s="78">
        <f>-Fin!AW250-Fin!AW251-Fin!AW252</f>
        <v>-4011.9591608319606</v>
      </c>
      <c r="AX47" s="78">
        <f>-Fin!AX250-Fin!AX251-Fin!AX252</f>
        <v>-2430.7019616284524</v>
      </c>
      <c r="AY47" s="78">
        <f>-Fin!AY250-Fin!AY251-Fin!AY252</f>
        <v>50.99588459579536</v>
      </c>
      <c r="AZ47" s="78">
        <f>-Fin!AZ250-Fin!AZ251-Fin!AZ252</f>
        <v>3510.8423349569057</v>
      </c>
      <c r="BA47" s="78">
        <f>-Fin!BA250-Fin!BA251-Fin!BA252</f>
        <v>2589.4183160436442</v>
      </c>
      <c r="BB47" s="78">
        <f>-Fin!BB250-Fin!BB251-Fin!BB252</f>
        <v>662.19565314528882</v>
      </c>
      <c r="BC47" s="78">
        <f>-Fin!BC250-Fin!BC251-Fin!BC252</f>
        <v>-2475.0822503910676</v>
      </c>
      <c r="BD47" s="78">
        <f>-Fin!BD250-Fin!BD251-Fin!BD252</f>
        <v>45398.327747783354</v>
      </c>
      <c r="BE47" s="78">
        <f>-Fin!BE250-Fin!BE251-Fin!BE252</f>
        <v>0</v>
      </c>
      <c r="BF47" s="78">
        <f>-Fin!BF250-Fin!BF251-Fin!BF252</f>
        <v>0</v>
      </c>
      <c r="BG47" s="78">
        <f>-Fin!BG250-Fin!BG251-Fin!BG252</f>
        <v>0</v>
      </c>
      <c r="BH47" s="78">
        <f>-Fin!BH250-Fin!BH251-Fin!BH252</f>
        <v>0</v>
      </c>
      <c r="BI47" s="78">
        <f>-Fin!BI250-Fin!BI251-Fin!BI252</f>
        <v>0</v>
      </c>
      <c r="BJ47" s="78">
        <f>-Fin!BJ250-Fin!BJ251-Fin!BJ252</f>
        <v>0</v>
      </c>
    </row>
    <row r="48" spans="1:62" x14ac:dyDescent="0.2">
      <c r="C48" t="s">
        <v>42</v>
      </c>
      <c r="K48" s="160" t="s">
        <v>62</v>
      </c>
      <c r="L48" s="78"/>
      <c r="M48" s="78"/>
      <c r="N48" s="78">
        <f>SUM(Q48:BJ48)</f>
        <v>40000</v>
      </c>
      <c r="Q48" s="163"/>
      <c r="R48" s="123"/>
      <c r="S48" s="725">
        <f>-Fin!S275-Fin!S276-Fin!S277</f>
        <v>0</v>
      </c>
      <c r="T48" s="725">
        <f>-Fin!T275-Fin!T276-Fin!T277</f>
        <v>13120.896909061044</v>
      </c>
      <c r="U48" s="78">
        <f>-Fin!U275-Fin!U276-Fin!U277</f>
        <v>-3123.7625325438967</v>
      </c>
      <c r="V48" s="78">
        <f>-Fin!V275-Fin!V276-Fin!V277</f>
        <v>-1743.7398546694785</v>
      </c>
      <c r="W48" s="78">
        <f>-Fin!W275-Fin!W276-Fin!W277</f>
        <v>-283.87906886167548</v>
      </c>
      <c r="X48" s="78">
        <f>-Fin!X275-Fin!X276-Fin!X277</f>
        <v>-398.35545633168658</v>
      </c>
      <c r="Y48" s="78">
        <f>-Fin!Y275-Fin!Y276-Fin!Y277</f>
        <v>-534.00689913669339</v>
      </c>
      <c r="Z48" s="78">
        <f>-Fin!Z275-Fin!Z276-Fin!Z277</f>
        <v>-1053.3304213477895</v>
      </c>
      <c r="AA48" s="78">
        <f>-Fin!AA275-Fin!AA276-Fin!AA277</f>
        <v>-1029.6386888656489</v>
      </c>
      <c r="AB48" s="78">
        <f>-Fin!AB275-Fin!AB276-Fin!AB277</f>
        <v>-898.72885941236746</v>
      </c>
      <c r="AC48" s="78">
        <f>-Fin!AC275-Fin!AC276-Fin!AC277</f>
        <v>-552.14204539332422</v>
      </c>
      <c r="AD48" s="78">
        <f>-Fin!AD275-Fin!AD276-Fin!AD277</f>
        <v>-447.77963088238903</v>
      </c>
      <c r="AE48" s="78">
        <f>-Fin!AE275-Fin!AE276-Fin!AE277</f>
        <v>-581.67224522642937</v>
      </c>
      <c r="AF48" s="78">
        <f>-Fin!AF275-Fin!AF276-Fin!AF277</f>
        <v>-1364.1546601728187</v>
      </c>
      <c r="AG48" s="78">
        <f>-Fin!AG275-Fin!AG276-Fin!AG277</f>
        <v>-1691.2391074448242</v>
      </c>
      <c r="AH48" s="78">
        <f>-Fin!AH275-Fin!AH276-Fin!AH277</f>
        <v>-2502.3625661997939</v>
      </c>
      <c r="AI48" s="78">
        <f>-Fin!AI275-Fin!AI276-Fin!AI277</f>
        <v>-3658.9380575457399</v>
      </c>
      <c r="AJ48" s="78">
        <f>-Fin!AJ275-Fin!AJ276-Fin!AJ277</f>
        <v>-4975.923824801197</v>
      </c>
      <c r="AK48" s="78">
        <f>-Fin!AK275-Fin!AK276-Fin!AK277</f>
        <v>-5725.3670420089475</v>
      </c>
      <c r="AL48" s="78">
        <f>-Fin!AL275-Fin!AL276-Fin!AL277</f>
        <v>-7537.7580407859787</v>
      </c>
      <c r="AM48" s="78">
        <f>-Fin!AM275-Fin!AM276-Fin!AM277</f>
        <v>-24216.804033349283</v>
      </c>
      <c r="AN48" s="78">
        <f>-Fin!AN275-Fin!AN276-Fin!AN277</f>
        <v>13951.148182811303</v>
      </c>
      <c r="AO48" s="78">
        <f>-Fin!AO275-Fin!AO276-Fin!AO277</f>
        <v>-600.8737173708214</v>
      </c>
      <c r="AP48" s="78">
        <f>-Fin!AP275-Fin!AP276-Fin!AP277</f>
        <v>-841.74217909373692</v>
      </c>
      <c r="AQ48" s="78">
        <f>-Fin!AQ275-Fin!AQ276-Fin!AQ277</f>
        <v>-768.86739303356444</v>
      </c>
      <c r="AR48" s="78">
        <f>-Fin!AR275-Fin!AR276-Fin!AR277</f>
        <v>-916.44243553685374</v>
      </c>
      <c r="AS48" s="78">
        <f>-Fin!AS275-Fin!AS276-Fin!AS277</f>
        <v>-427.35863446997246</v>
      </c>
      <c r="AT48" s="132">
        <f>-Fin!AT275-Fin!AT276-Fin!AT277</f>
        <v>-109608.02706168141</v>
      </c>
      <c r="AU48" s="78">
        <f>-Fin!AU275-Fin!AU276-Fin!AU277</f>
        <v>-361.22280793695245</v>
      </c>
      <c r="AV48" s="78">
        <f>-Fin!AV275-Fin!AV276-Fin!AV277</f>
        <v>-342.28079697943758</v>
      </c>
      <c r="AW48" s="78">
        <f>-Fin!AW275-Fin!AW276-Fin!AW277</f>
        <v>357.0440438396181</v>
      </c>
      <c r="AX48" s="78">
        <f>-Fin!AX275-Fin!AX276-Fin!AX277</f>
        <v>-14410.127698145108</v>
      </c>
      <c r="AY48" s="78">
        <f>-Fin!AY275-Fin!AY276-Fin!AY277</f>
        <v>214.71074657491408</v>
      </c>
      <c r="AZ48" s="78">
        <f>-Fin!AZ275-Fin!AZ276-Fin!AZ277</f>
        <v>126.95920536946505</v>
      </c>
      <c r="BA48" s="78">
        <f>-Fin!BA275-Fin!BA276-Fin!BA277</f>
        <v>336.87102686107391</v>
      </c>
      <c r="BB48" s="78">
        <f>-Fin!BB275-Fin!BB276-Fin!BB277</f>
        <v>250.33414796224679</v>
      </c>
      <c r="BC48" s="78">
        <f>-Fin!BC275-Fin!BC276-Fin!BC277</f>
        <v>263.47669073019642</v>
      </c>
      <c r="BD48" s="78">
        <f>-Fin!BD275-Fin!BD276-Fin!BD277</f>
        <v>201975.08480601796</v>
      </c>
      <c r="BE48" s="78">
        <f>-Fin!BE275-Fin!BE276-Fin!BE277</f>
        <v>0</v>
      </c>
      <c r="BF48" s="78">
        <f>-Fin!BF275-Fin!BF276-Fin!BF277</f>
        <v>0</v>
      </c>
      <c r="BG48" s="78">
        <f>-Fin!BG275-Fin!BG276-Fin!BG277</f>
        <v>0</v>
      </c>
      <c r="BH48" s="78">
        <f>-Fin!BH275-Fin!BH276-Fin!BH277</f>
        <v>0</v>
      </c>
      <c r="BI48" s="78">
        <f>-Fin!BI275-Fin!BI276-Fin!BI277</f>
        <v>0</v>
      </c>
      <c r="BJ48" s="78">
        <f>-Fin!BJ275-Fin!BJ276-Fin!BJ277</f>
        <v>0</v>
      </c>
    </row>
    <row r="49" spans="2:62" x14ac:dyDescent="0.2">
      <c r="C49" t="s">
        <v>74</v>
      </c>
      <c r="K49" s="160" t="s">
        <v>62</v>
      </c>
      <c r="L49" s="78"/>
      <c r="M49" s="78"/>
      <c r="N49" s="78">
        <f>SUM(Q49:BJ49)</f>
        <v>92381.34348000004</v>
      </c>
      <c r="Q49" s="142"/>
      <c r="R49" s="78"/>
      <c r="S49" s="78">
        <f>-Fin!S306-Fin!S307</f>
        <v>-52922.655228947813</v>
      </c>
      <c r="T49" s="78">
        <f>-Fin!T306-Fin!T307</f>
        <v>145303.99870894785</v>
      </c>
      <c r="U49" s="78">
        <f>-Fin!U306-Fin!U307</f>
        <v>0</v>
      </c>
      <c r="V49" s="78">
        <f>-Fin!V306-Fin!V307</f>
        <v>0</v>
      </c>
      <c r="W49" s="78">
        <f>-Fin!W306-Fin!W307</f>
        <v>0</v>
      </c>
      <c r="X49" s="78">
        <f>-Fin!X306-Fin!X307</f>
        <v>0</v>
      </c>
      <c r="Y49" s="78">
        <f>-Fin!Y306-Fin!Y307</f>
        <v>0</v>
      </c>
      <c r="Z49" s="78">
        <f>-Fin!Z306-Fin!Z307</f>
        <v>0</v>
      </c>
      <c r="AA49" s="78">
        <f>-Fin!AA306-Fin!AA307</f>
        <v>0</v>
      </c>
      <c r="AB49" s="78">
        <f>-Fin!AB306-Fin!AB307</f>
        <v>0</v>
      </c>
      <c r="AC49" s="78">
        <f>-Fin!AC306-Fin!AC307</f>
        <v>0</v>
      </c>
      <c r="AD49" s="78">
        <f>-Fin!AD306-Fin!AD307</f>
        <v>0</v>
      </c>
      <c r="AE49" s="78">
        <f>-Fin!AE306-Fin!AE307</f>
        <v>0</v>
      </c>
      <c r="AF49" s="78">
        <f>-Fin!AF306-Fin!AF307</f>
        <v>0</v>
      </c>
      <c r="AG49" s="78">
        <f>-Fin!AG306-Fin!AG307</f>
        <v>0</v>
      </c>
      <c r="AH49" s="78">
        <f>-Fin!AH306-Fin!AH307</f>
        <v>0</v>
      </c>
      <c r="AI49" s="78">
        <f>-Fin!AI306-Fin!AI307</f>
        <v>0</v>
      </c>
      <c r="AJ49" s="78">
        <f>-Fin!AJ306-Fin!AJ307</f>
        <v>0</v>
      </c>
      <c r="AK49" s="78">
        <f>-Fin!AK306-Fin!AK307</f>
        <v>0</v>
      </c>
      <c r="AL49" s="78">
        <f>-Fin!AL306-Fin!AL307</f>
        <v>0</v>
      </c>
      <c r="AM49" s="78">
        <f>-Fin!AM306-Fin!AM307</f>
        <v>0</v>
      </c>
      <c r="AN49" s="78">
        <f>-Fin!AN306-Fin!AN307</f>
        <v>0</v>
      </c>
      <c r="AO49" s="78">
        <f>-Fin!AO306-Fin!AO307</f>
        <v>0</v>
      </c>
      <c r="AP49" s="78">
        <f>-Fin!AP306-Fin!AP307</f>
        <v>0</v>
      </c>
      <c r="AQ49" s="78">
        <f>-Fin!AQ306-Fin!AQ307</f>
        <v>0</v>
      </c>
      <c r="AR49" s="78">
        <f>-Fin!AR306-Fin!AR307</f>
        <v>0</v>
      </c>
      <c r="AS49" s="78">
        <f>-Fin!AS306-Fin!AS307</f>
        <v>0</v>
      </c>
      <c r="AT49" s="78">
        <f>-Fin!AT306-Fin!AT307</f>
        <v>0</v>
      </c>
      <c r="AU49" s="78">
        <f>-Fin!AU306-Fin!AU307</f>
        <v>0</v>
      </c>
      <c r="AV49" s="78">
        <f>-Fin!AV306-Fin!AV307</f>
        <v>0</v>
      </c>
      <c r="AW49" s="78">
        <f>-Fin!AW306-Fin!AW307</f>
        <v>0</v>
      </c>
      <c r="AX49" s="78">
        <f>-Fin!AX306-Fin!AX307</f>
        <v>0</v>
      </c>
      <c r="AY49" s="78">
        <f>-Fin!AY306-Fin!AY307</f>
        <v>0</v>
      </c>
      <c r="AZ49" s="78">
        <f>-Fin!AZ306-Fin!AZ307</f>
        <v>0</v>
      </c>
      <c r="BA49" s="78">
        <f>-Fin!BA306-Fin!BA307</f>
        <v>0</v>
      </c>
      <c r="BB49" s="78">
        <f>-Fin!BB306-Fin!BB307</f>
        <v>0</v>
      </c>
      <c r="BC49" s="78">
        <f>-Fin!BC306-Fin!BC307</f>
        <v>0</v>
      </c>
      <c r="BD49" s="78">
        <f>-Fin!BD306-Fin!BD307</f>
        <v>0</v>
      </c>
      <c r="BE49" s="78">
        <f>-Fin!BE306-Fin!BE307</f>
        <v>0</v>
      </c>
      <c r="BF49" s="78">
        <f>-Fin!BF306-Fin!BF307</f>
        <v>0</v>
      </c>
      <c r="BG49" s="78">
        <f>-Fin!BG306-Fin!BG307</f>
        <v>0</v>
      </c>
      <c r="BH49" s="78">
        <f>-Fin!BH306-Fin!BH307</f>
        <v>0</v>
      </c>
      <c r="BI49" s="78">
        <f>-Fin!BI306-Fin!BI307</f>
        <v>0</v>
      </c>
      <c r="BJ49" s="78">
        <f>-Fin!BJ306-Fin!BJ307</f>
        <v>0</v>
      </c>
    </row>
    <row r="50" spans="2:62" x14ac:dyDescent="0.2">
      <c r="L50" s="78"/>
      <c r="M50" s="78"/>
      <c r="N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row>
    <row r="51" spans="2:62" x14ac:dyDescent="0.2">
      <c r="C51" s="45" t="s">
        <v>75</v>
      </c>
      <c r="D51" s="45"/>
      <c r="E51" s="45"/>
      <c r="F51" s="45"/>
      <c r="G51" s="45"/>
      <c r="H51" s="45"/>
      <c r="I51" s="45"/>
      <c r="J51" s="45"/>
      <c r="K51" s="618" t="s">
        <v>62</v>
      </c>
      <c r="L51" s="46"/>
      <c r="M51" s="46"/>
      <c r="N51" s="724">
        <f>SUM(Q51:BJ51)</f>
        <v>24809313.160395604</v>
      </c>
      <c r="O51" s="45"/>
      <c r="P51" s="45"/>
      <c r="Q51" s="46"/>
      <c r="R51" s="724"/>
      <c r="S51" s="724">
        <f t="shared" ref="S51:BJ51" si="16">IF(SUM(S45:S49) &lt; 0,0,SUM(S45:S49) * S$16)</f>
        <v>0</v>
      </c>
      <c r="T51" s="724">
        <f t="shared" si="16"/>
        <v>207234.50432853866</v>
      </c>
      <c r="U51" s="724">
        <f t="shared" si="16"/>
        <v>34432.077035664392</v>
      </c>
      <c r="V51" s="724">
        <f t="shared" si="16"/>
        <v>52614.671873702144</v>
      </c>
      <c r="W51" s="724">
        <f t="shared" si="16"/>
        <v>64711.348397522699</v>
      </c>
      <c r="X51" s="724">
        <f t="shared" si="16"/>
        <v>76226.223390791885</v>
      </c>
      <c r="Y51" s="724">
        <f t="shared" si="16"/>
        <v>88727.537335895409</v>
      </c>
      <c r="Z51" s="724">
        <f t="shared" si="16"/>
        <v>102020.10024563194</v>
      </c>
      <c r="AA51" s="724">
        <f t="shared" si="16"/>
        <v>117218.37893817326</v>
      </c>
      <c r="AB51" s="724">
        <f t="shared" si="16"/>
        <v>128892.25375766546</v>
      </c>
      <c r="AC51" s="724">
        <f t="shared" si="16"/>
        <v>141385.87399830358</v>
      </c>
      <c r="AD51" s="724">
        <f t="shared" si="16"/>
        <v>153884.43437198672</v>
      </c>
      <c r="AE51" s="724">
        <f t="shared" si="16"/>
        <v>163893.53866740924</v>
      </c>
      <c r="AF51" s="724">
        <f t="shared" si="16"/>
        <v>181191.54653672103</v>
      </c>
      <c r="AG51" s="724">
        <f t="shared" si="16"/>
        <v>205409.47262052793</v>
      </c>
      <c r="AH51" s="724">
        <f t="shared" si="16"/>
        <v>231774.47291989741</v>
      </c>
      <c r="AI51" s="724">
        <f t="shared" si="16"/>
        <v>260154.93525207887</v>
      </c>
      <c r="AJ51" s="724">
        <f t="shared" si="16"/>
        <v>291167.49409084721</v>
      </c>
      <c r="AK51" s="724">
        <f t="shared" si="16"/>
        <v>325768.64901303669</v>
      </c>
      <c r="AL51" s="724">
        <f t="shared" si="16"/>
        <v>363855.46835512907</v>
      </c>
      <c r="AM51" s="724">
        <f t="shared" si="16"/>
        <v>390908.84603987617</v>
      </c>
      <c r="AN51" s="724">
        <f t="shared" si="16"/>
        <v>477329.83465508278</v>
      </c>
      <c r="AO51" s="724">
        <f t="shared" si="16"/>
        <v>518211.75895344769</v>
      </c>
      <c r="AP51" s="724">
        <f t="shared" si="16"/>
        <v>583399.04240526201</v>
      </c>
      <c r="AQ51" s="724">
        <f t="shared" si="16"/>
        <v>620711.64546357875</v>
      </c>
      <c r="AR51" s="724">
        <f t="shared" si="16"/>
        <v>659812.96914061205</v>
      </c>
      <c r="AS51" s="724">
        <f t="shared" si="16"/>
        <v>701349.95831846655</v>
      </c>
      <c r="AT51" s="724">
        <f t="shared" si="16"/>
        <v>635752.4145601684</v>
      </c>
      <c r="AU51" s="724">
        <f t="shared" si="16"/>
        <v>683696.85681325768</v>
      </c>
      <c r="AV51" s="724">
        <f t="shared" si="16"/>
        <v>730581.25522877916</v>
      </c>
      <c r="AW51" s="724">
        <f t="shared" si="16"/>
        <v>775838.13647581427</v>
      </c>
      <c r="AX51" s="724">
        <f t="shared" si="16"/>
        <v>817143.37023925502</v>
      </c>
      <c r="AY51" s="724">
        <f t="shared" si="16"/>
        <v>879297.58436259429</v>
      </c>
      <c r="AZ51" s="724">
        <f t="shared" si="16"/>
        <v>944189.52262140682</v>
      </c>
      <c r="BA51" s="724">
        <f t="shared" si="16"/>
        <v>999584.70123630413</v>
      </c>
      <c r="BB51" s="724">
        <f t="shared" si="16"/>
        <v>1053910.6078956781</v>
      </c>
      <c r="BC51" s="724">
        <f t="shared" si="16"/>
        <v>1086080.2769720163</v>
      </c>
      <c r="BD51" s="724">
        <f t="shared" si="16"/>
        <v>1396843.1980425587</v>
      </c>
      <c r="BE51" s="724">
        <f t="shared" si="16"/>
        <v>1270005.7518513093</v>
      </c>
      <c r="BF51" s="724">
        <f t="shared" si="16"/>
        <v>1479620.2625882474</v>
      </c>
      <c r="BG51" s="724">
        <f t="shared" si="16"/>
        <v>1534181.2648705142</v>
      </c>
      <c r="BH51" s="724">
        <f t="shared" si="16"/>
        <v>1590368.8850572105</v>
      </c>
      <c r="BI51" s="724">
        <f t="shared" si="16"/>
        <v>1510143.6007841963</v>
      </c>
      <c r="BJ51" s="724">
        <f t="shared" si="16"/>
        <v>279788.43469044275</v>
      </c>
    </row>
    <row r="52" spans="2:62" x14ac:dyDescent="0.2">
      <c r="L52" s="78"/>
      <c r="M52" s="78"/>
      <c r="N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row>
    <row r="53" spans="2:62" x14ac:dyDescent="0.2">
      <c r="L53" s="78"/>
      <c r="M53" s="78"/>
      <c r="N53" s="78"/>
      <c r="Q53" s="7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row>
    <row r="54" spans="2:62" x14ac:dyDescent="0.2">
      <c r="C54" s="55" t="s">
        <v>76</v>
      </c>
      <c r="D54" s="56"/>
      <c r="E54" s="56"/>
      <c r="F54" s="56"/>
      <c r="G54" s="56"/>
      <c r="H54" s="56"/>
      <c r="I54" s="56"/>
      <c r="J54" s="56"/>
      <c r="K54" s="625" t="s">
        <v>62</v>
      </c>
      <c r="L54" s="93"/>
      <c r="M54" s="93"/>
      <c r="N54" s="93">
        <f>SUM(Q54:BJ54)</f>
        <v>0</v>
      </c>
      <c r="O54" s="56"/>
      <c r="P54" s="56"/>
      <c r="Q54" s="93"/>
      <c r="R54" s="93"/>
      <c r="S54" s="93">
        <f t="shared" ref="S54:BJ54" si="17">IF(NOT(S16),MAX(SUM(S45:S49,0)),0)</f>
        <v>0</v>
      </c>
      <c r="T54" s="93">
        <f t="shared" si="17"/>
        <v>0</v>
      </c>
      <c r="U54" s="93">
        <f t="shared" si="17"/>
        <v>0</v>
      </c>
      <c r="V54" s="93">
        <f t="shared" si="17"/>
        <v>0</v>
      </c>
      <c r="W54" s="93">
        <f t="shared" si="17"/>
        <v>0</v>
      </c>
      <c r="X54" s="93">
        <f t="shared" si="17"/>
        <v>0</v>
      </c>
      <c r="Y54" s="93">
        <f t="shared" si="17"/>
        <v>0</v>
      </c>
      <c r="Z54" s="93">
        <f t="shared" si="17"/>
        <v>0</v>
      </c>
      <c r="AA54" s="93">
        <f t="shared" si="17"/>
        <v>0</v>
      </c>
      <c r="AB54" s="93">
        <f t="shared" si="17"/>
        <v>0</v>
      </c>
      <c r="AC54" s="93">
        <f t="shared" si="17"/>
        <v>0</v>
      </c>
      <c r="AD54" s="93">
        <f t="shared" si="17"/>
        <v>0</v>
      </c>
      <c r="AE54" s="93">
        <f t="shared" si="17"/>
        <v>0</v>
      </c>
      <c r="AF54" s="93">
        <f t="shared" si="17"/>
        <v>0</v>
      </c>
      <c r="AG54" s="93">
        <f t="shared" si="17"/>
        <v>0</v>
      </c>
      <c r="AH54" s="93">
        <f t="shared" si="17"/>
        <v>0</v>
      </c>
      <c r="AI54" s="93">
        <f t="shared" si="17"/>
        <v>0</v>
      </c>
      <c r="AJ54" s="93">
        <f t="shared" si="17"/>
        <v>0</v>
      </c>
      <c r="AK54" s="93">
        <f t="shared" si="17"/>
        <v>0</v>
      </c>
      <c r="AL54" s="93">
        <f t="shared" si="17"/>
        <v>0</v>
      </c>
      <c r="AM54" s="93">
        <f t="shared" si="17"/>
        <v>0</v>
      </c>
      <c r="AN54" s="93">
        <f t="shared" si="17"/>
        <v>0</v>
      </c>
      <c r="AO54" s="93">
        <f t="shared" si="17"/>
        <v>0</v>
      </c>
      <c r="AP54" s="93">
        <f t="shared" si="17"/>
        <v>0</v>
      </c>
      <c r="AQ54" s="93">
        <f t="shared" si="17"/>
        <v>0</v>
      </c>
      <c r="AR54" s="93">
        <f t="shared" si="17"/>
        <v>0</v>
      </c>
      <c r="AS54" s="93">
        <f t="shared" si="17"/>
        <v>0</v>
      </c>
      <c r="AT54" s="93">
        <f t="shared" si="17"/>
        <v>0</v>
      </c>
      <c r="AU54" s="93">
        <f t="shared" si="17"/>
        <v>0</v>
      </c>
      <c r="AV54" s="93">
        <f t="shared" si="17"/>
        <v>0</v>
      </c>
      <c r="AW54" s="93">
        <f t="shared" si="17"/>
        <v>0</v>
      </c>
      <c r="AX54" s="93">
        <f t="shared" si="17"/>
        <v>0</v>
      </c>
      <c r="AY54" s="93">
        <f t="shared" si="17"/>
        <v>0</v>
      </c>
      <c r="AZ54" s="93">
        <f t="shared" si="17"/>
        <v>0</v>
      </c>
      <c r="BA54" s="93">
        <f t="shared" si="17"/>
        <v>0</v>
      </c>
      <c r="BB54" s="93">
        <f t="shared" si="17"/>
        <v>0</v>
      </c>
      <c r="BC54" s="93">
        <f t="shared" si="17"/>
        <v>0</v>
      </c>
      <c r="BD54" s="93">
        <f t="shared" si="17"/>
        <v>0</v>
      </c>
      <c r="BE54" s="93">
        <f t="shared" si="17"/>
        <v>0</v>
      </c>
      <c r="BF54" s="93">
        <f t="shared" si="17"/>
        <v>0</v>
      </c>
      <c r="BG54" s="93">
        <f t="shared" si="17"/>
        <v>0</v>
      </c>
      <c r="BH54" s="93">
        <f t="shared" si="17"/>
        <v>0</v>
      </c>
      <c r="BI54" s="93">
        <f t="shared" si="17"/>
        <v>0</v>
      </c>
      <c r="BJ54" s="93">
        <f t="shared" si="17"/>
        <v>0</v>
      </c>
    </row>
    <row r="55" spans="2:62" x14ac:dyDescent="0.2">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row>
    <row r="56" spans="2:62" ht="13.5" thickBot="1" x14ac:dyDescent="0.25">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row>
    <row r="57" spans="2:62" ht="13.5" thickBot="1" x14ac:dyDescent="0.25">
      <c r="N57" s="723">
        <f>IF(ROUND(N54,0) = 0,0,1)*IF(N54&gt;0,0,1)</f>
        <v>0</v>
      </c>
    </row>
    <row r="60" spans="2:62" x14ac:dyDescent="0.2">
      <c r="B60" s="124"/>
      <c r="C60" s="124"/>
      <c r="D60" s="124"/>
      <c r="Q60" s="587"/>
      <c r="R60" s="587"/>
      <c r="S60" s="587"/>
      <c r="T60" s="587"/>
      <c r="U60" s="587"/>
      <c r="V60" s="587"/>
      <c r="W60" s="587"/>
      <c r="X60" s="587"/>
      <c r="Y60" s="587"/>
      <c r="Z60" s="587"/>
      <c r="AA60" s="587"/>
      <c r="AB60" s="587"/>
      <c r="AC60" s="587"/>
      <c r="AD60" s="587"/>
      <c r="AE60" s="587"/>
      <c r="AF60" s="587"/>
      <c r="AG60" s="587"/>
      <c r="AH60" s="587"/>
      <c r="AI60" s="587"/>
      <c r="AJ60" s="587"/>
      <c r="AK60" s="587"/>
      <c r="AL60" s="587"/>
      <c r="AM60" s="587"/>
      <c r="AN60" s="587"/>
      <c r="AO60" s="587"/>
      <c r="AP60" s="587"/>
      <c r="AQ60" s="587"/>
      <c r="AR60" s="587"/>
      <c r="AS60" s="587"/>
      <c r="AT60" s="587"/>
      <c r="AU60" s="587"/>
      <c r="AV60" s="587"/>
      <c r="AW60" s="587"/>
      <c r="AX60" s="587"/>
      <c r="AY60" s="587"/>
      <c r="AZ60" s="587"/>
      <c r="BA60" s="587"/>
      <c r="BB60" s="587"/>
      <c r="BC60" s="587"/>
      <c r="BD60" s="587"/>
      <c r="BE60" s="587"/>
      <c r="BF60" s="587"/>
      <c r="BG60" s="587"/>
      <c r="BH60" s="587"/>
      <c r="BI60" s="587"/>
      <c r="BJ60" s="587"/>
    </row>
    <row r="62" spans="2:62" x14ac:dyDescent="0.2">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row>
  </sheetData>
  <sheetProtection algorithmName="SHA-512" hashValue="2MHnt8URO0kIQ+zJ9ajgNh8CFkVEUZS4zFaLRoma4s99h7VJEEUOUp6zS86wErDxtNSVZGzhQzK0gw6/wVP+jw==" saltValue="ofX69BsUtuxWU+Ye6pDmGA==" spinCount="100000" sheet="1" objects="1" scenarios="1"/>
  <customSheetViews>
    <customSheetView guid="{A171ABFC-BD20-4BE9-8F97-F532286F0C2D}" scale="70" showGridLines="0" hiddenColumns="1">
      <pane xSplit="15" ySplit="10" topLeftCell="P29" activePane="bottomRight" state="frozen"/>
      <selection pane="bottomRight" activeCell="Q65" sqref="Q65:W65"/>
      <pageMargins left="0.7" right="0.7" top="0.75" bottom="0.75" header="0.3" footer="0.3"/>
      <pageSetup orientation="portrait" r:id="rId1"/>
    </customSheetView>
    <customSheetView guid="{5F88CBE0-3291-4A41-996B-A8A1DC273A84}" scale="70" showGridLines="0" hiddenColumns="1">
      <pane xSplit="15" ySplit="10" topLeftCell="P25" activePane="bottomRight" state="frozen"/>
      <selection pane="bottomRight" activeCell="T46" sqref="T46"/>
      <pageMargins left="0.7" right="0.7" top="0.75" bottom="0.75" header="0.3" footer="0.3"/>
      <pageSetup orientation="portrait" r:id="rId2"/>
    </customSheetView>
  </customSheetViews>
  <conditionalFormatting sqref="N57">
    <cfRule type="cellIs" dxfId="20" priority="13" stopIfTrue="1" operator="equal">
      <formula>0</formula>
    </cfRule>
    <cfRule type="cellIs" dxfId="19" priority="14" stopIfTrue="1" operator="equal">
      <formula>1</formula>
    </cfRule>
  </conditionalFormatting>
  <conditionalFormatting sqref="Q16:BJ16 Q12:BJ14">
    <cfRule type="cellIs" dxfId="18" priority="12" stopIfTrue="1" operator="equal">
      <formula>1</formula>
    </cfRule>
  </conditionalFormatting>
  <conditionalFormatting sqref="F4">
    <cfRule type="cellIs" dxfId="17" priority="15" stopIfTrue="1" operator="equal">
      <formula>0</formula>
    </cfRule>
    <cfRule type="cellIs" dxfId="16" priority="16" stopIfTrue="1" operator="equal">
      <formula>1</formula>
    </cfRule>
  </conditionalFormatting>
  <pageMargins left="0.31496062992125984" right="0.31496062992125984" top="0.74803149606299213" bottom="0.74803149606299213" header="0.31496062992125984" footer="0.31496062992125984"/>
  <pageSetup paperSize="9" scale="50" orientation="landscape" r:id="rId3"/>
  <colBreaks count="1" manualBreakCount="1">
    <brk id="26" max="64" man="1"/>
  </col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dimension ref="A1:DX119"/>
  <sheetViews>
    <sheetView showGridLines="0" view="pageBreakPreview" zoomScale="70" zoomScaleNormal="70" zoomScaleSheetLayoutView="70" workbookViewId="0">
      <pane xSplit="15" ySplit="10" topLeftCell="P11" activePane="bottomRight" state="frozen"/>
      <selection pane="topRight" activeCell="P1" sqref="P1"/>
      <selection pane="bottomLeft" activeCell="A11" sqref="A11"/>
      <selection pane="bottomRight"/>
    </sheetView>
  </sheetViews>
  <sheetFormatPr baseColWidth="10" defaultColWidth="0" defaultRowHeight="12.75" x14ac:dyDescent="0.2"/>
  <cols>
    <col min="1" max="2" width="2.42578125" customWidth="1"/>
    <col min="3" max="3" width="13" customWidth="1"/>
    <col min="4" max="5" width="9.140625" customWidth="1"/>
    <col min="6" max="6" width="7.7109375" customWidth="1"/>
    <col min="7" max="7" width="9" customWidth="1"/>
    <col min="8" max="8" width="22" bestFit="1" customWidth="1"/>
    <col min="9" max="9" width="7.42578125" customWidth="1"/>
    <col min="10" max="10" width="2.28515625" customWidth="1"/>
    <col min="11" max="11" width="9.140625" style="160" customWidth="1"/>
    <col min="12" max="12" width="15" customWidth="1"/>
    <col min="13" max="13" width="1.7109375" customWidth="1"/>
    <col min="14" max="14" width="16.28515625" customWidth="1"/>
    <col min="15" max="16" width="2.7109375" customWidth="1"/>
    <col min="17" max="62" width="15.28515625" customWidth="1"/>
    <col min="63" max="120" width="15.28515625" style="75" hidden="1" customWidth="1"/>
    <col min="121" max="121" width="9.140625" style="75" hidden="1" customWidth="1"/>
    <col min="122" max="128" width="0" hidden="1" customWidth="1"/>
    <col min="129" max="16384" width="9.140625" hidden="1"/>
  </cols>
  <sheetData>
    <row r="1" spans="1:121" x14ac:dyDescent="0.2">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row>
    <row r="2" spans="1:121" x14ac:dyDescent="0.2">
      <c r="C2" t="s">
        <v>2</v>
      </c>
      <c r="F2" s="75" t="str">
        <f>+Inputs!$G$2</f>
        <v>NTE Express</v>
      </c>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row>
    <row r="3" spans="1:121" ht="13.5" thickBot="1" x14ac:dyDescent="0.25">
      <c r="C3" t="s">
        <v>3</v>
      </c>
      <c r="F3" t="s">
        <v>435</v>
      </c>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row>
    <row r="4" spans="1:121" ht="13.5" thickBot="1" x14ac:dyDescent="0.25">
      <c r="C4" t="s">
        <v>4</v>
      </c>
      <c r="F4" s="710">
        <f ca="1">+Inputs!G4</f>
        <v>0</v>
      </c>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row>
    <row r="5" spans="1:121" x14ac:dyDescent="0.2">
      <c r="BJ5" s="133"/>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row>
    <row r="6" spans="1:121" x14ac:dyDescent="0.2">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row>
    <row r="7" spans="1:121" x14ac:dyDescent="0.2">
      <c r="C7" t="s">
        <v>19</v>
      </c>
      <c r="Q7" s="655">
        <f t="shared" ref="Q7:BJ7" si="0">+YEAR(Q9)</f>
        <v>2016</v>
      </c>
      <c r="R7" s="655">
        <f t="shared" si="0"/>
        <v>2017</v>
      </c>
      <c r="S7" s="655">
        <f t="shared" si="0"/>
        <v>2018</v>
      </c>
      <c r="T7" s="655">
        <f t="shared" si="0"/>
        <v>2019</v>
      </c>
      <c r="U7" s="655">
        <f t="shared" si="0"/>
        <v>2020</v>
      </c>
      <c r="V7" s="655">
        <f t="shared" si="0"/>
        <v>2021</v>
      </c>
      <c r="W7" s="655">
        <f t="shared" si="0"/>
        <v>2022</v>
      </c>
      <c r="X7" s="655">
        <f t="shared" si="0"/>
        <v>2023</v>
      </c>
      <c r="Y7" s="655">
        <f t="shared" si="0"/>
        <v>2024</v>
      </c>
      <c r="Z7" s="655">
        <f t="shared" si="0"/>
        <v>2025</v>
      </c>
      <c r="AA7" s="655">
        <f t="shared" si="0"/>
        <v>2026</v>
      </c>
      <c r="AB7" s="655">
        <f t="shared" si="0"/>
        <v>2027</v>
      </c>
      <c r="AC7" s="655">
        <f t="shared" si="0"/>
        <v>2028</v>
      </c>
      <c r="AD7" s="655">
        <f t="shared" si="0"/>
        <v>2029</v>
      </c>
      <c r="AE7" s="655">
        <f t="shared" si="0"/>
        <v>2030</v>
      </c>
      <c r="AF7" s="655">
        <f t="shared" si="0"/>
        <v>2031</v>
      </c>
      <c r="AG7" s="655">
        <f t="shared" si="0"/>
        <v>2032</v>
      </c>
      <c r="AH7" s="655">
        <f t="shared" si="0"/>
        <v>2033</v>
      </c>
      <c r="AI7" s="655">
        <f t="shared" si="0"/>
        <v>2034</v>
      </c>
      <c r="AJ7" s="655">
        <f t="shared" si="0"/>
        <v>2035</v>
      </c>
      <c r="AK7" s="655">
        <f t="shared" si="0"/>
        <v>2036</v>
      </c>
      <c r="AL7" s="655">
        <f t="shared" si="0"/>
        <v>2037</v>
      </c>
      <c r="AM7" s="655">
        <f t="shared" si="0"/>
        <v>2038</v>
      </c>
      <c r="AN7" s="655">
        <f t="shared" si="0"/>
        <v>2039</v>
      </c>
      <c r="AO7" s="655">
        <f t="shared" si="0"/>
        <v>2040</v>
      </c>
      <c r="AP7" s="655">
        <f t="shared" si="0"/>
        <v>2041</v>
      </c>
      <c r="AQ7" s="655">
        <f t="shared" si="0"/>
        <v>2042</v>
      </c>
      <c r="AR7" s="655">
        <f t="shared" si="0"/>
        <v>2043</v>
      </c>
      <c r="AS7" s="655">
        <f t="shared" si="0"/>
        <v>2044</v>
      </c>
      <c r="AT7" s="655">
        <f t="shared" si="0"/>
        <v>2045</v>
      </c>
      <c r="AU7" s="655">
        <f t="shared" si="0"/>
        <v>2046</v>
      </c>
      <c r="AV7" s="655">
        <f t="shared" si="0"/>
        <v>2047</v>
      </c>
      <c r="AW7" s="655">
        <f t="shared" si="0"/>
        <v>2048</v>
      </c>
      <c r="AX7" s="655">
        <f t="shared" si="0"/>
        <v>2049</v>
      </c>
      <c r="AY7" s="655">
        <f t="shared" si="0"/>
        <v>2050</v>
      </c>
      <c r="AZ7" s="655">
        <f t="shared" si="0"/>
        <v>2051</v>
      </c>
      <c r="BA7" s="655">
        <f t="shared" si="0"/>
        <v>2052</v>
      </c>
      <c r="BB7" s="655">
        <f t="shared" si="0"/>
        <v>2053</v>
      </c>
      <c r="BC7" s="655">
        <f t="shared" si="0"/>
        <v>2054</v>
      </c>
      <c r="BD7" s="655">
        <f t="shared" si="0"/>
        <v>2055</v>
      </c>
      <c r="BE7" s="655">
        <f t="shared" si="0"/>
        <v>2056</v>
      </c>
      <c r="BF7" s="655">
        <f t="shared" si="0"/>
        <v>2057</v>
      </c>
      <c r="BG7" s="655">
        <f t="shared" si="0"/>
        <v>2058</v>
      </c>
      <c r="BH7" s="655">
        <f t="shared" si="0"/>
        <v>2059</v>
      </c>
      <c r="BI7" s="655">
        <f t="shared" si="0"/>
        <v>2060</v>
      </c>
      <c r="BJ7" s="655">
        <f t="shared" si="0"/>
        <v>2061</v>
      </c>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row>
    <row r="8" spans="1:121" x14ac:dyDescent="0.2">
      <c r="C8" t="s">
        <v>45</v>
      </c>
      <c r="Q8" s="167">
        <v>42370</v>
      </c>
      <c r="R8" s="84">
        <f t="shared" ref="R8:BJ8" si="1">+Q9+1</f>
        <v>42736</v>
      </c>
      <c r="S8" s="84">
        <f t="shared" si="1"/>
        <v>43101</v>
      </c>
      <c r="T8" s="84">
        <f t="shared" si="1"/>
        <v>43466</v>
      </c>
      <c r="U8" s="84">
        <f t="shared" si="1"/>
        <v>43831</v>
      </c>
      <c r="V8" s="84">
        <f t="shared" si="1"/>
        <v>44197</v>
      </c>
      <c r="W8" s="84">
        <f t="shared" si="1"/>
        <v>44562</v>
      </c>
      <c r="X8" s="84">
        <f t="shared" si="1"/>
        <v>44927</v>
      </c>
      <c r="Y8" s="84">
        <f t="shared" si="1"/>
        <v>45292</v>
      </c>
      <c r="Z8" s="84">
        <f t="shared" si="1"/>
        <v>45658</v>
      </c>
      <c r="AA8" s="84">
        <f t="shared" si="1"/>
        <v>46023</v>
      </c>
      <c r="AB8" s="84">
        <f t="shared" si="1"/>
        <v>46388</v>
      </c>
      <c r="AC8" s="84">
        <f t="shared" si="1"/>
        <v>46753</v>
      </c>
      <c r="AD8" s="84">
        <f t="shared" si="1"/>
        <v>47119</v>
      </c>
      <c r="AE8" s="84">
        <f t="shared" si="1"/>
        <v>47484</v>
      </c>
      <c r="AF8" s="84">
        <f t="shared" si="1"/>
        <v>47849</v>
      </c>
      <c r="AG8" s="84">
        <f t="shared" si="1"/>
        <v>48214</v>
      </c>
      <c r="AH8" s="84">
        <f t="shared" si="1"/>
        <v>48580</v>
      </c>
      <c r="AI8" s="84">
        <f t="shared" si="1"/>
        <v>48945</v>
      </c>
      <c r="AJ8" s="84">
        <f t="shared" si="1"/>
        <v>49310</v>
      </c>
      <c r="AK8" s="84">
        <f t="shared" si="1"/>
        <v>49675</v>
      </c>
      <c r="AL8" s="84">
        <f t="shared" si="1"/>
        <v>50041</v>
      </c>
      <c r="AM8" s="84">
        <f t="shared" si="1"/>
        <v>50406</v>
      </c>
      <c r="AN8" s="84">
        <f t="shared" si="1"/>
        <v>50771</v>
      </c>
      <c r="AO8" s="84">
        <f t="shared" si="1"/>
        <v>51136</v>
      </c>
      <c r="AP8" s="84">
        <f t="shared" si="1"/>
        <v>51502</v>
      </c>
      <c r="AQ8" s="84">
        <f t="shared" si="1"/>
        <v>51867</v>
      </c>
      <c r="AR8" s="84">
        <f t="shared" si="1"/>
        <v>52232</v>
      </c>
      <c r="AS8" s="84">
        <f t="shared" si="1"/>
        <v>52597</v>
      </c>
      <c r="AT8" s="84">
        <f t="shared" si="1"/>
        <v>52963</v>
      </c>
      <c r="AU8" s="84">
        <f t="shared" si="1"/>
        <v>53328</v>
      </c>
      <c r="AV8" s="84">
        <f t="shared" si="1"/>
        <v>53693</v>
      </c>
      <c r="AW8" s="84">
        <f t="shared" si="1"/>
        <v>54058</v>
      </c>
      <c r="AX8" s="84">
        <f t="shared" si="1"/>
        <v>54424</v>
      </c>
      <c r="AY8" s="84">
        <f t="shared" si="1"/>
        <v>54789</v>
      </c>
      <c r="AZ8" s="84">
        <f t="shared" si="1"/>
        <v>55154</v>
      </c>
      <c r="BA8" s="84">
        <f t="shared" si="1"/>
        <v>55519</v>
      </c>
      <c r="BB8" s="84">
        <f t="shared" si="1"/>
        <v>55885</v>
      </c>
      <c r="BC8" s="84">
        <f t="shared" si="1"/>
        <v>56250</v>
      </c>
      <c r="BD8" s="84">
        <f t="shared" si="1"/>
        <v>56615</v>
      </c>
      <c r="BE8" s="84">
        <f t="shared" si="1"/>
        <v>56980</v>
      </c>
      <c r="BF8" s="84">
        <f t="shared" si="1"/>
        <v>57346</v>
      </c>
      <c r="BG8" s="84">
        <f t="shared" si="1"/>
        <v>57711</v>
      </c>
      <c r="BH8" s="84">
        <f t="shared" si="1"/>
        <v>58076</v>
      </c>
      <c r="BI8" s="84">
        <f t="shared" si="1"/>
        <v>58441</v>
      </c>
      <c r="BJ8" s="84">
        <f t="shared" si="1"/>
        <v>58807</v>
      </c>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row>
    <row r="9" spans="1:121" x14ac:dyDescent="0.2">
      <c r="C9" t="s">
        <v>46</v>
      </c>
      <c r="Q9" s="84">
        <f t="shared" ref="Q9:BJ9" si="2">+EOMONTH(Q8,11)</f>
        <v>42735</v>
      </c>
      <c r="R9" s="84">
        <f t="shared" si="2"/>
        <v>43100</v>
      </c>
      <c r="S9" s="84">
        <f t="shared" si="2"/>
        <v>43465</v>
      </c>
      <c r="T9" s="84">
        <f t="shared" si="2"/>
        <v>43830</v>
      </c>
      <c r="U9" s="84">
        <f t="shared" si="2"/>
        <v>44196</v>
      </c>
      <c r="V9" s="84">
        <f t="shared" si="2"/>
        <v>44561</v>
      </c>
      <c r="W9" s="84">
        <f t="shared" si="2"/>
        <v>44926</v>
      </c>
      <c r="X9" s="84">
        <f t="shared" si="2"/>
        <v>45291</v>
      </c>
      <c r="Y9" s="84">
        <f t="shared" si="2"/>
        <v>45657</v>
      </c>
      <c r="Z9" s="84">
        <f t="shared" si="2"/>
        <v>46022</v>
      </c>
      <c r="AA9" s="84">
        <f t="shared" si="2"/>
        <v>46387</v>
      </c>
      <c r="AB9" s="84">
        <f t="shared" si="2"/>
        <v>46752</v>
      </c>
      <c r="AC9" s="84">
        <f t="shared" si="2"/>
        <v>47118</v>
      </c>
      <c r="AD9" s="84">
        <f t="shared" si="2"/>
        <v>47483</v>
      </c>
      <c r="AE9" s="84">
        <f t="shared" si="2"/>
        <v>47848</v>
      </c>
      <c r="AF9" s="84">
        <f t="shared" si="2"/>
        <v>48213</v>
      </c>
      <c r="AG9" s="84">
        <f t="shared" si="2"/>
        <v>48579</v>
      </c>
      <c r="AH9" s="84">
        <f t="shared" si="2"/>
        <v>48944</v>
      </c>
      <c r="AI9" s="84">
        <f t="shared" si="2"/>
        <v>49309</v>
      </c>
      <c r="AJ9" s="84">
        <f t="shared" si="2"/>
        <v>49674</v>
      </c>
      <c r="AK9" s="84">
        <f t="shared" si="2"/>
        <v>50040</v>
      </c>
      <c r="AL9" s="84">
        <f t="shared" si="2"/>
        <v>50405</v>
      </c>
      <c r="AM9" s="84">
        <f t="shared" si="2"/>
        <v>50770</v>
      </c>
      <c r="AN9" s="84">
        <f t="shared" si="2"/>
        <v>51135</v>
      </c>
      <c r="AO9" s="84">
        <f t="shared" si="2"/>
        <v>51501</v>
      </c>
      <c r="AP9" s="84">
        <f t="shared" si="2"/>
        <v>51866</v>
      </c>
      <c r="AQ9" s="84">
        <f t="shared" si="2"/>
        <v>52231</v>
      </c>
      <c r="AR9" s="84">
        <f t="shared" si="2"/>
        <v>52596</v>
      </c>
      <c r="AS9" s="84">
        <f t="shared" si="2"/>
        <v>52962</v>
      </c>
      <c r="AT9" s="84">
        <f t="shared" si="2"/>
        <v>53327</v>
      </c>
      <c r="AU9" s="84">
        <f t="shared" si="2"/>
        <v>53692</v>
      </c>
      <c r="AV9" s="84">
        <f t="shared" si="2"/>
        <v>54057</v>
      </c>
      <c r="AW9" s="84">
        <f t="shared" si="2"/>
        <v>54423</v>
      </c>
      <c r="AX9" s="84">
        <f t="shared" si="2"/>
        <v>54788</v>
      </c>
      <c r="AY9" s="84">
        <f t="shared" si="2"/>
        <v>55153</v>
      </c>
      <c r="AZ9" s="84">
        <f t="shared" si="2"/>
        <v>55518</v>
      </c>
      <c r="BA9" s="84">
        <f t="shared" si="2"/>
        <v>55884</v>
      </c>
      <c r="BB9" s="84">
        <f t="shared" si="2"/>
        <v>56249</v>
      </c>
      <c r="BC9" s="84">
        <f t="shared" si="2"/>
        <v>56614</v>
      </c>
      <c r="BD9" s="84">
        <f t="shared" si="2"/>
        <v>56979</v>
      </c>
      <c r="BE9" s="84">
        <f t="shared" si="2"/>
        <v>57345</v>
      </c>
      <c r="BF9" s="84">
        <f t="shared" si="2"/>
        <v>57710</v>
      </c>
      <c r="BG9" s="84">
        <f t="shared" si="2"/>
        <v>58075</v>
      </c>
      <c r="BH9" s="84">
        <f t="shared" si="2"/>
        <v>58440</v>
      </c>
      <c r="BI9" s="84">
        <f t="shared" si="2"/>
        <v>58806</v>
      </c>
      <c r="BJ9" s="84">
        <f t="shared" si="2"/>
        <v>59171</v>
      </c>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row>
    <row r="10" spans="1:121" x14ac:dyDescent="0.2">
      <c r="K10" s="160" t="s">
        <v>47</v>
      </c>
      <c r="L10" s="8" t="s">
        <v>48</v>
      </c>
      <c r="M10" s="8"/>
      <c r="N10" s="8" t="s">
        <v>49</v>
      </c>
      <c r="DQ10" s="54"/>
    </row>
    <row r="11" spans="1:121" ht="15.75" x14ac:dyDescent="0.25">
      <c r="A11" s="136"/>
      <c r="B11" s="136" t="s">
        <v>347</v>
      </c>
      <c r="C11" s="136"/>
      <c r="D11" s="136"/>
      <c r="E11" s="136"/>
      <c r="F11" s="136"/>
      <c r="G11" s="136"/>
      <c r="H11" s="136"/>
      <c r="I11" s="136"/>
      <c r="J11" s="136"/>
      <c r="K11" s="598"/>
      <c r="L11" s="136"/>
      <c r="M11" s="136"/>
      <c r="N11" s="136"/>
      <c r="O11" s="137"/>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row>
    <row r="12" spans="1:121" x14ac:dyDescent="0.2">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row>
    <row r="13" spans="1:121" x14ac:dyDescent="0.2">
      <c r="C13" s="9" t="s">
        <v>348</v>
      </c>
      <c r="K13" s="160" t="s">
        <v>62</v>
      </c>
      <c r="N13" s="78">
        <f ca="1">SUM(Q13:BJ13)</f>
        <v>-5033660.566438972</v>
      </c>
      <c r="O13" s="78"/>
      <c r="P13" s="78"/>
      <c r="Q13" s="78"/>
      <c r="R13" s="78">
        <f t="shared" ref="R13:BJ13" si="3">+-R20</f>
        <v>0</v>
      </c>
      <c r="S13" s="78">
        <f t="shared" ca="1" si="3"/>
        <v>0</v>
      </c>
      <c r="T13" s="78">
        <f t="shared" ca="1" si="3"/>
        <v>0</v>
      </c>
      <c r="U13" s="78">
        <f t="shared" ca="1" si="3"/>
        <v>0</v>
      </c>
      <c r="V13" s="78">
        <f t="shared" ca="1" si="3"/>
        <v>0</v>
      </c>
      <c r="W13" s="78">
        <f t="shared" ca="1" si="3"/>
        <v>-929.3738079812872</v>
      </c>
      <c r="X13" s="78">
        <f t="shared" ca="1" si="3"/>
        <v>-1260.9782924544436</v>
      </c>
      <c r="Y13" s="78">
        <f t="shared" ca="1" si="3"/>
        <v>-1622.0407220497921</v>
      </c>
      <c r="Z13" s="78">
        <f t="shared" ca="1" si="3"/>
        <v>-2015.1204332253692</v>
      </c>
      <c r="AA13" s="78">
        <f t="shared" ca="1" si="3"/>
        <v>-2442.9997950553357</v>
      </c>
      <c r="AB13" s="78">
        <f t="shared" ca="1" si="3"/>
        <v>-2778.0044040307534</v>
      </c>
      <c r="AC13" s="78">
        <f t="shared" ca="1" si="3"/>
        <v>-3135.6552904007704</v>
      </c>
      <c r="AD13" s="78">
        <f t="shared" ca="1" si="3"/>
        <v>-3517.4161392962587</v>
      </c>
      <c r="AE13" s="78">
        <f t="shared" ca="1" si="3"/>
        <v>-3924.8269163783161</v>
      </c>
      <c r="AF13" s="78">
        <f t="shared" ca="1" si="3"/>
        <v>-4359.5608378431998</v>
      </c>
      <c r="AG13" s="78">
        <f t="shared" ca="1" si="3"/>
        <v>-6290.0356695301507</v>
      </c>
      <c r="AH13" s="78">
        <f t="shared" ca="1" si="3"/>
        <v>-32170.743504270693</v>
      </c>
      <c r="AI13" s="78">
        <f t="shared" ca="1" si="3"/>
        <v>-47566.912272813344</v>
      </c>
      <c r="AJ13" s="78">
        <f t="shared" ca="1" si="3"/>
        <v>-52440.863878350596</v>
      </c>
      <c r="AK13" s="78">
        <f t="shared" ca="1" si="3"/>
        <v>-57811.24856012618</v>
      </c>
      <c r="AL13" s="78">
        <f t="shared" ca="1" si="3"/>
        <v>-63787.106282971334</v>
      </c>
      <c r="AM13" s="78">
        <f t="shared" ca="1" si="3"/>
        <v>-70365.60741018728</v>
      </c>
      <c r="AN13" s="78">
        <f t="shared" ca="1" si="3"/>
        <v>-77606.916506716632</v>
      </c>
      <c r="AO13" s="78">
        <f t="shared" ca="1" si="3"/>
        <v>-85642.918171278521</v>
      </c>
      <c r="AP13" s="78">
        <f t="shared" ca="1" si="3"/>
        <v>-119995.84084922296</v>
      </c>
      <c r="AQ13" s="78">
        <f t="shared" ca="1" si="3"/>
        <v>-127824.85142555331</v>
      </c>
      <c r="AR13" s="78">
        <f t="shared" ca="1" si="3"/>
        <v>-136192.05516737021</v>
      </c>
      <c r="AS13" s="78">
        <f t="shared" ca="1" si="3"/>
        <v>-145058.36739359697</v>
      </c>
      <c r="AT13" s="78">
        <f t="shared" ca="1" si="3"/>
        <v>-154585.10885717039</v>
      </c>
      <c r="AU13" s="78">
        <f t="shared" ca="1" si="3"/>
        <v>-165425.87166622997</v>
      </c>
      <c r="AV13" s="78">
        <f t="shared" ca="1" si="3"/>
        <v>-177196.01186774566</v>
      </c>
      <c r="AW13" s="78">
        <f t="shared" ca="1" si="3"/>
        <v>-189682.70705804136</v>
      </c>
      <c r="AX13" s="78">
        <f t="shared" ca="1" si="3"/>
        <v>-202797.59990605837</v>
      </c>
      <c r="AY13" s="78">
        <f t="shared" ca="1" si="3"/>
        <v>-217143.69093913306</v>
      </c>
      <c r="AZ13" s="78">
        <f t="shared" ca="1" si="3"/>
        <v>-232122.52947783371</v>
      </c>
      <c r="BA13" s="78">
        <f t="shared" ca="1" si="3"/>
        <v>-245226.43985707659</v>
      </c>
      <c r="BB13" s="78">
        <f t="shared" ca="1" si="3"/>
        <v>-258524.48019267526</v>
      </c>
      <c r="BC13" s="78">
        <f t="shared" ca="1" si="3"/>
        <v>-267551.27460148802</v>
      </c>
      <c r="BD13" s="78">
        <f t="shared" ca="1" si="3"/>
        <v>-282165.8589325865</v>
      </c>
      <c r="BE13" s="78">
        <f t="shared" ca="1" si="3"/>
        <v>-296560.79883380956</v>
      </c>
      <c r="BF13" s="78">
        <f t="shared" ca="1" si="3"/>
        <v>-307651.73911394196</v>
      </c>
      <c r="BG13" s="78">
        <f t="shared" ca="1" si="3"/>
        <v>-319075.20595337643</v>
      </c>
      <c r="BH13" s="78">
        <f t="shared" ca="1" si="3"/>
        <v>-330760.39684407483</v>
      </c>
      <c r="BI13" s="78">
        <f t="shared" ca="1" si="3"/>
        <v>-313704.62886215287</v>
      </c>
      <c r="BJ13" s="78">
        <f t="shared" ca="1" si="3"/>
        <v>-24746.779744873613</v>
      </c>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row>
    <row r="14" spans="1:121" x14ac:dyDescent="0.2">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row>
    <row r="15" spans="1:121" ht="15.75" x14ac:dyDescent="0.25">
      <c r="A15" s="136"/>
      <c r="B15" s="136" t="s">
        <v>118</v>
      </c>
      <c r="C15" s="136"/>
      <c r="D15" s="136"/>
      <c r="E15" s="136"/>
      <c r="F15" s="136"/>
      <c r="G15" s="136"/>
      <c r="H15" s="136"/>
      <c r="I15" s="136"/>
      <c r="J15" s="136"/>
      <c r="K15" s="598"/>
      <c r="L15" s="136"/>
      <c r="M15" s="136"/>
      <c r="N15" s="136"/>
      <c r="O15" s="137"/>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row>
    <row r="16" spans="1:121" x14ac:dyDescent="0.2">
      <c r="DQ16" s="54"/>
    </row>
    <row r="17" spans="1:121" x14ac:dyDescent="0.2">
      <c r="C17" t="s">
        <v>481</v>
      </c>
      <c r="K17" s="160" t="s">
        <v>62</v>
      </c>
      <c r="R17" s="78">
        <f>Tax!R78</f>
        <v>0</v>
      </c>
      <c r="S17" s="78">
        <f ca="1">Tax!S78</f>
        <v>-35509.029789216685</v>
      </c>
      <c r="T17" s="78">
        <f ca="1">Tax!T78</f>
        <v>-29026.626783364154</v>
      </c>
      <c r="U17" s="78">
        <f ca="1">Tax!U78</f>
        <v>-21618.816468154862</v>
      </c>
      <c r="V17" s="78">
        <f ca="1">Tax!V78</f>
        <v>-13433.892323444838</v>
      </c>
      <c r="W17" s="78">
        <f ca="1">Tax!W78</f>
        <v>22127.947809078265</v>
      </c>
      <c r="X17" s="78">
        <f ca="1">Tax!X78</f>
        <v>30023.292677486766</v>
      </c>
      <c r="Y17" s="78">
        <f ca="1">Tax!Y78</f>
        <v>38620.017191661726</v>
      </c>
      <c r="Z17" s="78">
        <f ca="1">Tax!Z78</f>
        <v>47979.057933937365</v>
      </c>
      <c r="AA17" s="78">
        <f ca="1">Tax!AA78</f>
        <v>58166.661787031815</v>
      </c>
      <c r="AB17" s="78">
        <f ca="1">Tax!AB78</f>
        <v>66142.962000732223</v>
      </c>
      <c r="AC17" s="78">
        <f ca="1">Tax!AC78</f>
        <v>74658.459295256442</v>
      </c>
      <c r="AD17" s="78">
        <f ca="1">Tax!AD78</f>
        <v>83748.003316577611</v>
      </c>
      <c r="AE17" s="78">
        <f ca="1">Tax!AE78</f>
        <v>93448.259913769434</v>
      </c>
      <c r="AF17" s="78">
        <f ca="1">Tax!AF78</f>
        <v>103799.06756769528</v>
      </c>
      <c r="AG17" s="78">
        <f ca="1">Tax!AG78</f>
        <v>149762.75403643216</v>
      </c>
      <c r="AH17" s="78">
        <f ca="1">Tax!AH78</f>
        <v>205431.63547486789</v>
      </c>
      <c r="AI17" s="78">
        <f ca="1">Tax!AI78</f>
        <v>226509.10606101592</v>
      </c>
      <c r="AJ17" s="78">
        <f ca="1">Tax!AJ78</f>
        <v>249718.39942071715</v>
      </c>
      <c r="AK17" s="78">
        <f ca="1">Tax!AK78</f>
        <v>275291.65981012466</v>
      </c>
      <c r="AL17" s="78">
        <f ca="1">Tax!AL78</f>
        <v>303748.12515700638</v>
      </c>
      <c r="AM17" s="78">
        <f ca="1">Tax!AM78</f>
        <v>335074.32100089185</v>
      </c>
      <c r="AN17" s="78">
        <f ca="1">Tax!AN78</f>
        <v>369556.74527007923</v>
      </c>
      <c r="AO17" s="78">
        <f ca="1">Tax!AO78</f>
        <v>407823.41986323107</v>
      </c>
      <c r="AP17" s="78">
        <f ca="1">Tax!AP78</f>
        <v>571408.76594868081</v>
      </c>
      <c r="AQ17" s="78">
        <f ca="1">Tax!AQ78</f>
        <v>608689.76869311102</v>
      </c>
      <c r="AR17" s="78">
        <f ca="1">Tax!AR78</f>
        <v>648533.59603509633</v>
      </c>
      <c r="AS17" s="78">
        <f ca="1">Tax!AS78</f>
        <v>690754.13044569991</v>
      </c>
      <c r="AT17" s="78">
        <f ca="1">Tax!AT78</f>
        <v>736119.56598652573</v>
      </c>
      <c r="AU17" s="78">
        <f ca="1">Tax!AU78</f>
        <v>787742.24602966651</v>
      </c>
      <c r="AV17" s="78">
        <f ca="1">Tax!AV78</f>
        <v>843790.53270355077</v>
      </c>
      <c r="AW17" s="78">
        <f ca="1">Tax!AW78</f>
        <v>903250.98599067319</v>
      </c>
      <c r="AX17" s="78">
        <f ca="1">Tax!AX78</f>
        <v>965702.85669551615</v>
      </c>
      <c r="AY17" s="78">
        <f ca="1">Tax!AY78</f>
        <v>1034017.5759006336</v>
      </c>
      <c r="AZ17" s="78">
        <f ca="1">Tax!AZ78</f>
        <v>1105345.3784658748</v>
      </c>
      <c r="BA17" s="78">
        <f ca="1">Tax!BA78</f>
        <v>1167744.9517003647</v>
      </c>
      <c r="BB17" s="78">
        <f ca="1">Tax!BB78</f>
        <v>1231068.9532984537</v>
      </c>
      <c r="BC17" s="78">
        <f ca="1">Tax!BC78</f>
        <v>1274053.6885785144</v>
      </c>
      <c r="BD17" s="78">
        <f ca="1">Tax!BD78</f>
        <v>1343646.9472980311</v>
      </c>
      <c r="BE17" s="78">
        <f ca="1">Tax!BE78</f>
        <v>1412194.280160998</v>
      </c>
      <c r="BF17" s="78">
        <f ca="1">Tax!BF78</f>
        <v>1465008.2814949618</v>
      </c>
      <c r="BG17" s="78">
        <f ca="1">Tax!BG78</f>
        <v>1519405.742635126</v>
      </c>
      <c r="BH17" s="78">
        <f ca="1">Tax!BH78</f>
        <v>1575049.5087813088</v>
      </c>
      <c r="BI17" s="78">
        <f ca="1">Tax!BI78</f>
        <v>1493831.5660102519</v>
      </c>
      <c r="BJ17" s="78">
        <f ca="1">Tax!BJ78</f>
        <v>117841.80830892197</v>
      </c>
      <c r="DQ17" s="54"/>
    </row>
    <row r="18" spans="1:121" x14ac:dyDescent="0.2">
      <c r="DQ18" s="54"/>
    </row>
    <row r="19" spans="1:121" x14ac:dyDescent="0.2">
      <c r="C19" t="s">
        <v>482</v>
      </c>
      <c r="K19" s="160" t="s">
        <v>20</v>
      </c>
      <c r="L19" s="734">
        <f>+Inputs!L77</f>
        <v>0.21</v>
      </c>
      <c r="R19" s="738">
        <f t="shared" ref="R19:BJ19" si="4">+$L$19</f>
        <v>0.21</v>
      </c>
      <c r="S19" s="738">
        <f t="shared" si="4"/>
        <v>0.21</v>
      </c>
      <c r="T19" s="738">
        <f t="shared" si="4"/>
        <v>0.21</v>
      </c>
      <c r="U19" s="738">
        <f t="shared" si="4"/>
        <v>0.21</v>
      </c>
      <c r="V19" s="738">
        <f t="shared" si="4"/>
        <v>0.21</v>
      </c>
      <c r="W19" s="738">
        <f t="shared" si="4"/>
        <v>0.21</v>
      </c>
      <c r="X19" s="738">
        <f t="shared" si="4"/>
        <v>0.21</v>
      </c>
      <c r="Y19" s="738">
        <f t="shared" si="4"/>
        <v>0.21</v>
      </c>
      <c r="Z19" s="738">
        <f t="shared" si="4"/>
        <v>0.21</v>
      </c>
      <c r="AA19" s="738">
        <f t="shared" si="4"/>
        <v>0.21</v>
      </c>
      <c r="AB19" s="738">
        <f t="shared" si="4"/>
        <v>0.21</v>
      </c>
      <c r="AC19" s="738">
        <f t="shared" si="4"/>
        <v>0.21</v>
      </c>
      <c r="AD19" s="738">
        <f t="shared" si="4"/>
        <v>0.21</v>
      </c>
      <c r="AE19" s="738">
        <f t="shared" si="4"/>
        <v>0.21</v>
      </c>
      <c r="AF19" s="738">
        <f t="shared" si="4"/>
        <v>0.21</v>
      </c>
      <c r="AG19" s="738">
        <f t="shared" si="4"/>
        <v>0.21</v>
      </c>
      <c r="AH19" s="738">
        <f t="shared" si="4"/>
        <v>0.21</v>
      </c>
      <c r="AI19" s="738">
        <f t="shared" si="4"/>
        <v>0.21</v>
      </c>
      <c r="AJ19" s="738">
        <f t="shared" si="4"/>
        <v>0.21</v>
      </c>
      <c r="AK19" s="738">
        <f t="shared" si="4"/>
        <v>0.21</v>
      </c>
      <c r="AL19" s="738">
        <f t="shared" si="4"/>
        <v>0.21</v>
      </c>
      <c r="AM19" s="738">
        <f t="shared" si="4"/>
        <v>0.21</v>
      </c>
      <c r="AN19" s="738">
        <f t="shared" si="4"/>
        <v>0.21</v>
      </c>
      <c r="AO19" s="738">
        <f t="shared" si="4"/>
        <v>0.21</v>
      </c>
      <c r="AP19" s="738">
        <f t="shared" si="4"/>
        <v>0.21</v>
      </c>
      <c r="AQ19" s="738">
        <f t="shared" si="4"/>
        <v>0.21</v>
      </c>
      <c r="AR19" s="738">
        <f t="shared" si="4"/>
        <v>0.21</v>
      </c>
      <c r="AS19" s="738">
        <f t="shared" si="4"/>
        <v>0.21</v>
      </c>
      <c r="AT19" s="738">
        <f t="shared" si="4"/>
        <v>0.21</v>
      </c>
      <c r="AU19" s="738">
        <f t="shared" si="4"/>
        <v>0.21</v>
      </c>
      <c r="AV19" s="738">
        <f t="shared" si="4"/>
        <v>0.21</v>
      </c>
      <c r="AW19" s="738">
        <f t="shared" si="4"/>
        <v>0.21</v>
      </c>
      <c r="AX19" s="738">
        <f t="shared" si="4"/>
        <v>0.21</v>
      </c>
      <c r="AY19" s="738">
        <f t="shared" si="4"/>
        <v>0.21</v>
      </c>
      <c r="AZ19" s="738">
        <f t="shared" si="4"/>
        <v>0.21</v>
      </c>
      <c r="BA19" s="738">
        <f t="shared" si="4"/>
        <v>0.21</v>
      </c>
      <c r="BB19" s="738">
        <f t="shared" si="4"/>
        <v>0.21</v>
      </c>
      <c r="BC19" s="738">
        <f t="shared" si="4"/>
        <v>0.21</v>
      </c>
      <c r="BD19" s="738">
        <f t="shared" si="4"/>
        <v>0.21</v>
      </c>
      <c r="BE19" s="738">
        <f t="shared" si="4"/>
        <v>0.21</v>
      </c>
      <c r="BF19" s="738">
        <f t="shared" si="4"/>
        <v>0.21</v>
      </c>
      <c r="BG19" s="738">
        <f t="shared" si="4"/>
        <v>0.21</v>
      </c>
      <c r="BH19" s="738">
        <f t="shared" si="4"/>
        <v>0.21</v>
      </c>
      <c r="BI19" s="738">
        <f t="shared" si="4"/>
        <v>0.21</v>
      </c>
      <c r="BJ19" s="738">
        <f t="shared" si="4"/>
        <v>0.21</v>
      </c>
      <c r="DQ19" s="54"/>
    </row>
    <row r="20" spans="1:121" x14ac:dyDescent="0.2">
      <c r="C20" t="s">
        <v>483</v>
      </c>
      <c r="K20" s="160" t="s">
        <v>62</v>
      </c>
      <c r="R20" s="78">
        <f>+IF(R33&gt;0,R33*R19,0)</f>
        <v>0</v>
      </c>
      <c r="S20" s="78">
        <f t="shared" ref="S20:BJ20" ca="1" si="5">+IF(S33&gt;0,S33*S19,0)</f>
        <v>0</v>
      </c>
      <c r="T20" s="78">
        <f t="shared" ca="1" si="5"/>
        <v>0</v>
      </c>
      <c r="U20" s="78">
        <f t="shared" ca="1" si="5"/>
        <v>0</v>
      </c>
      <c r="V20" s="78">
        <f t="shared" ca="1" si="5"/>
        <v>0</v>
      </c>
      <c r="W20" s="78">
        <f t="shared" ca="1" si="5"/>
        <v>929.3738079812872</v>
      </c>
      <c r="X20" s="78">
        <f t="shared" ca="1" si="5"/>
        <v>1260.9782924544436</v>
      </c>
      <c r="Y20" s="78">
        <f t="shared" ca="1" si="5"/>
        <v>1622.0407220497921</v>
      </c>
      <c r="Z20" s="78">
        <f t="shared" ca="1" si="5"/>
        <v>2015.1204332253692</v>
      </c>
      <c r="AA20" s="78">
        <f t="shared" ca="1" si="5"/>
        <v>2442.9997950553357</v>
      </c>
      <c r="AB20" s="78">
        <f t="shared" ca="1" si="5"/>
        <v>2778.0044040307534</v>
      </c>
      <c r="AC20" s="78">
        <f t="shared" ca="1" si="5"/>
        <v>3135.6552904007704</v>
      </c>
      <c r="AD20" s="78">
        <f t="shared" ca="1" si="5"/>
        <v>3517.4161392962587</v>
      </c>
      <c r="AE20" s="78">
        <f t="shared" ca="1" si="5"/>
        <v>3924.8269163783161</v>
      </c>
      <c r="AF20" s="78">
        <f t="shared" ca="1" si="5"/>
        <v>4359.5608378431998</v>
      </c>
      <c r="AG20" s="78">
        <f t="shared" ca="1" si="5"/>
        <v>6290.0356695301507</v>
      </c>
      <c r="AH20" s="78">
        <f t="shared" ca="1" si="5"/>
        <v>32170.743504270693</v>
      </c>
      <c r="AI20" s="78">
        <f t="shared" ca="1" si="5"/>
        <v>47566.912272813344</v>
      </c>
      <c r="AJ20" s="78">
        <f t="shared" ca="1" si="5"/>
        <v>52440.863878350596</v>
      </c>
      <c r="AK20" s="78">
        <f t="shared" ca="1" si="5"/>
        <v>57811.24856012618</v>
      </c>
      <c r="AL20" s="78">
        <f t="shared" ca="1" si="5"/>
        <v>63787.106282971334</v>
      </c>
      <c r="AM20" s="78">
        <f t="shared" ca="1" si="5"/>
        <v>70365.60741018728</v>
      </c>
      <c r="AN20" s="78">
        <f t="shared" ca="1" si="5"/>
        <v>77606.916506716632</v>
      </c>
      <c r="AO20" s="78">
        <f t="shared" ca="1" si="5"/>
        <v>85642.918171278521</v>
      </c>
      <c r="AP20" s="78">
        <f t="shared" ca="1" si="5"/>
        <v>119995.84084922296</v>
      </c>
      <c r="AQ20" s="78">
        <f t="shared" ca="1" si="5"/>
        <v>127824.85142555331</v>
      </c>
      <c r="AR20" s="78">
        <f t="shared" ca="1" si="5"/>
        <v>136192.05516737021</v>
      </c>
      <c r="AS20" s="78">
        <f t="shared" ca="1" si="5"/>
        <v>145058.36739359697</v>
      </c>
      <c r="AT20" s="78">
        <f t="shared" ca="1" si="5"/>
        <v>154585.10885717039</v>
      </c>
      <c r="AU20" s="78">
        <f t="shared" ca="1" si="5"/>
        <v>165425.87166622997</v>
      </c>
      <c r="AV20" s="78">
        <f t="shared" ca="1" si="5"/>
        <v>177196.01186774566</v>
      </c>
      <c r="AW20" s="78">
        <f t="shared" ca="1" si="5"/>
        <v>189682.70705804136</v>
      </c>
      <c r="AX20" s="78">
        <f t="shared" ca="1" si="5"/>
        <v>202797.59990605837</v>
      </c>
      <c r="AY20" s="78">
        <f t="shared" ca="1" si="5"/>
        <v>217143.69093913306</v>
      </c>
      <c r="AZ20" s="78">
        <f t="shared" ca="1" si="5"/>
        <v>232122.52947783371</v>
      </c>
      <c r="BA20" s="78">
        <f t="shared" ca="1" si="5"/>
        <v>245226.43985707659</v>
      </c>
      <c r="BB20" s="78">
        <f t="shared" ca="1" si="5"/>
        <v>258524.48019267526</v>
      </c>
      <c r="BC20" s="78">
        <f t="shared" ca="1" si="5"/>
        <v>267551.27460148802</v>
      </c>
      <c r="BD20" s="78">
        <f t="shared" ca="1" si="5"/>
        <v>282165.8589325865</v>
      </c>
      <c r="BE20" s="78">
        <f t="shared" ca="1" si="5"/>
        <v>296560.79883380956</v>
      </c>
      <c r="BF20" s="78">
        <f t="shared" ca="1" si="5"/>
        <v>307651.73911394196</v>
      </c>
      <c r="BG20" s="78">
        <f t="shared" ca="1" si="5"/>
        <v>319075.20595337643</v>
      </c>
      <c r="BH20" s="78">
        <f t="shared" ca="1" si="5"/>
        <v>330760.39684407483</v>
      </c>
      <c r="BI20" s="78">
        <f t="shared" ca="1" si="5"/>
        <v>313704.62886215287</v>
      </c>
      <c r="BJ20" s="78">
        <f t="shared" ca="1" si="5"/>
        <v>24746.779744873613</v>
      </c>
      <c r="DQ20" s="54"/>
    </row>
    <row r="21" spans="1:121" x14ac:dyDescent="0.2">
      <c r="DQ21" s="54"/>
    </row>
    <row r="22" spans="1:121" ht="15.75" x14ac:dyDescent="0.25">
      <c r="A22" s="136"/>
      <c r="B22" s="136" t="s">
        <v>490</v>
      </c>
      <c r="C22" s="136"/>
      <c r="D22" s="136"/>
      <c r="E22" s="136"/>
      <c r="F22" s="136"/>
      <c r="G22" s="136"/>
      <c r="H22" s="136"/>
      <c r="I22" s="136"/>
      <c r="J22" s="136"/>
      <c r="K22" s="598"/>
      <c r="L22" s="136"/>
      <c r="M22" s="136"/>
      <c r="N22" s="136"/>
      <c r="O22" s="137"/>
      <c r="DQ22" s="54"/>
    </row>
    <row r="23" spans="1:121" x14ac:dyDescent="0.2">
      <c r="DQ23" s="54"/>
    </row>
    <row r="24" spans="1:121" x14ac:dyDescent="0.2">
      <c r="C24" t="s">
        <v>125</v>
      </c>
      <c r="K24" s="160" t="s">
        <v>62</v>
      </c>
      <c r="R24" s="78">
        <f>+R17*(R17&lt;0)</f>
        <v>0</v>
      </c>
      <c r="S24" s="78">
        <f t="shared" ref="S24:BJ24" ca="1" si="6">+S17*(S17&lt;0)</f>
        <v>-35509.029789216685</v>
      </c>
      <c r="T24" s="78">
        <f t="shared" ca="1" si="6"/>
        <v>-29026.626783364154</v>
      </c>
      <c r="U24" s="78">
        <f t="shared" ca="1" si="6"/>
        <v>-21618.816468154862</v>
      </c>
      <c r="V24" s="78">
        <f t="shared" ca="1" si="6"/>
        <v>-13433.892323444838</v>
      </c>
      <c r="W24" s="78">
        <f t="shared" ca="1" si="6"/>
        <v>0</v>
      </c>
      <c r="X24" s="78">
        <f t="shared" ca="1" si="6"/>
        <v>0</v>
      </c>
      <c r="Y24" s="78">
        <f t="shared" ca="1" si="6"/>
        <v>0</v>
      </c>
      <c r="Z24" s="78">
        <f t="shared" ca="1" si="6"/>
        <v>0</v>
      </c>
      <c r="AA24" s="78">
        <f t="shared" ca="1" si="6"/>
        <v>0</v>
      </c>
      <c r="AB24" s="78">
        <f t="shared" ca="1" si="6"/>
        <v>0</v>
      </c>
      <c r="AC24" s="78">
        <f t="shared" ca="1" si="6"/>
        <v>0</v>
      </c>
      <c r="AD24" s="78">
        <f t="shared" ca="1" si="6"/>
        <v>0</v>
      </c>
      <c r="AE24" s="78">
        <f t="shared" ca="1" si="6"/>
        <v>0</v>
      </c>
      <c r="AF24" s="78">
        <f t="shared" ca="1" si="6"/>
        <v>0</v>
      </c>
      <c r="AG24" s="78">
        <f t="shared" ca="1" si="6"/>
        <v>0</v>
      </c>
      <c r="AH24" s="78">
        <f t="shared" ca="1" si="6"/>
        <v>0</v>
      </c>
      <c r="AI24" s="78">
        <f t="shared" ca="1" si="6"/>
        <v>0</v>
      </c>
      <c r="AJ24" s="78">
        <f t="shared" ca="1" si="6"/>
        <v>0</v>
      </c>
      <c r="AK24" s="78">
        <f t="shared" ca="1" si="6"/>
        <v>0</v>
      </c>
      <c r="AL24" s="78">
        <f t="shared" ca="1" si="6"/>
        <v>0</v>
      </c>
      <c r="AM24" s="78">
        <f t="shared" ca="1" si="6"/>
        <v>0</v>
      </c>
      <c r="AN24" s="78">
        <f t="shared" ca="1" si="6"/>
        <v>0</v>
      </c>
      <c r="AO24" s="78">
        <f t="shared" ca="1" si="6"/>
        <v>0</v>
      </c>
      <c r="AP24" s="78">
        <f t="shared" ca="1" si="6"/>
        <v>0</v>
      </c>
      <c r="AQ24" s="78">
        <f t="shared" ca="1" si="6"/>
        <v>0</v>
      </c>
      <c r="AR24" s="78">
        <f t="shared" ca="1" si="6"/>
        <v>0</v>
      </c>
      <c r="AS24" s="78">
        <f t="shared" ca="1" si="6"/>
        <v>0</v>
      </c>
      <c r="AT24" s="78">
        <f t="shared" ca="1" si="6"/>
        <v>0</v>
      </c>
      <c r="AU24" s="78">
        <f t="shared" ca="1" si="6"/>
        <v>0</v>
      </c>
      <c r="AV24" s="78">
        <f t="shared" ca="1" si="6"/>
        <v>0</v>
      </c>
      <c r="AW24" s="78">
        <f t="shared" ca="1" si="6"/>
        <v>0</v>
      </c>
      <c r="AX24" s="78">
        <f t="shared" ca="1" si="6"/>
        <v>0</v>
      </c>
      <c r="AY24" s="78">
        <f t="shared" ca="1" si="6"/>
        <v>0</v>
      </c>
      <c r="AZ24" s="78">
        <f t="shared" ca="1" si="6"/>
        <v>0</v>
      </c>
      <c r="BA24" s="78">
        <f t="shared" ca="1" si="6"/>
        <v>0</v>
      </c>
      <c r="BB24" s="78">
        <f t="shared" ca="1" si="6"/>
        <v>0</v>
      </c>
      <c r="BC24" s="78">
        <f t="shared" ca="1" si="6"/>
        <v>0</v>
      </c>
      <c r="BD24" s="78">
        <f t="shared" ca="1" si="6"/>
        <v>0</v>
      </c>
      <c r="BE24" s="78">
        <f t="shared" ca="1" si="6"/>
        <v>0</v>
      </c>
      <c r="BF24" s="78">
        <f t="shared" ca="1" si="6"/>
        <v>0</v>
      </c>
      <c r="BG24" s="78">
        <f t="shared" ca="1" si="6"/>
        <v>0</v>
      </c>
      <c r="BH24" s="78">
        <f t="shared" ca="1" si="6"/>
        <v>0</v>
      </c>
      <c r="BI24" s="78">
        <f t="shared" ca="1" si="6"/>
        <v>0</v>
      </c>
      <c r="BJ24" s="78">
        <f t="shared" ca="1" si="6"/>
        <v>0</v>
      </c>
      <c r="DQ24" s="54"/>
    </row>
    <row r="25" spans="1:121" x14ac:dyDescent="0.2">
      <c r="C25" t="s">
        <v>122</v>
      </c>
      <c r="K25" s="160" t="s">
        <v>62</v>
      </c>
      <c r="L25" s="734">
        <f>+Inputs!L79</f>
        <v>0.8</v>
      </c>
      <c r="R25" s="78">
        <f t="shared" ref="R25:BJ25" si="7">+(R17*$L$25)*(R17&gt;0)</f>
        <v>0</v>
      </c>
      <c r="S25" s="78">
        <f t="shared" ca="1" si="7"/>
        <v>0</v>
      </c>
      <c r="T25" s="78">
        <f t="shared" ca="1" si="7"/>
        <v>0</v>
      </c>
      <c r="U25" s="78">
        <f t="shared" ca="1" si="7"/>
        <v>0</v>
      </c>
      <c r="V25" s="78">
        <f t="shared" ca="1" si="7"/>
        <v>0</v>
      </c>
      <c r="W25" s="78">
        <f t="shared" ca="1" si="7"/>
        <v>17702.358247262611</v>
      </c>
      <c r="X25" s="78">
        <f t="shared" ca="1" si="7"/>
        <v>24018.634141989416</v>
      </c>
      <c r="Y25" s="78">
        <f t="shared" ca="1" si="7"/>
        <v>30896.013753329382</v>
      </c>
      <c r="Z25" s="78">
        <f t="shared" ca="1" si="7"/>
        <v>38383.246347149892</v>
      </c>
      <c r="AA25" s="78">
        <f t="shared" ca="1" si="7"/>
        <v>46533.329429625453</v>
      </c>
      <c r="AB25" s="78">
        <f t="shared" ca="1" si="7"/>
        <v>52914.369600585778</v>
      </c>
      <c r="AC25" s="78">
        <f t="shared" ca="1" si="7"/>
        <v>59726.767436205155</v>
      </c>
      <c r="AD25" s="78">
        <f t="shared" ca="1" si="7"/>
        <v>66998.402653262092</v>
      </c>
      <c r="AE25" s="78">
        <f t="shared" ca="1" si="7"/>
        <v>74758.607931015547</v>
      </c>
      <c r="AF25" s="78">
        <f t="shared" ca="1" si="7"/>
        <v>83039.254054156234</v>
      </c>
      <c r="AG25" s="78">
        <f t="shared" ca="1" si="7"/>
        <v>119810.20322914573</v>
      </c>
      <c r="AH25" s="78">
        <f t="shared" ca="1" si="7"/>
        <v>164345.30837989433</v>
      </c>
      <c r="AI25" s="78">
        <f t="shared" ca="1" si="7"/>
        <v>181207.28484881273</v>
      </c>
      <c r="AJ25" s="78">
        <f t="shared" ca="1" si="7"/>
        <v>199774.71953657374</v>
      </c>
      <c r="AK25" s="78">
        <f t="shared" ca="1" si="7"/>
        <v>220233.32784809975</v>
      </c>
      <c r="AL25" s="78">
        <f t="shared" ca="1" si="7"/>
        <v>242998.50012560512</v>
      </c>
      <c r="AM25" s="78">
        <f t="shared" ca="1" si="7"/>
        <v>268059.45680071349</v>
      </c>
      <c r="AN25" s="78">
        <f t="shared" ca="1" si="7"/>
        <v>295645.39621606341</v>
      </c>
      <c r="AO25" s="78">
        <f t="shared" ca="1" si="7"/>
        <v>326258.73589058488</v>
      </c>
      <c r="AP25" s="78">
        <f t="shared" ca="1" si="7"/>
        <v>457127.01275894465</v>
      </c>
      <c r="AQ25" s="78">
        <f t="shared" ca="1" si="7"/>
        <v>486951.81495448883</v>
      </c>
      <c r="AR25" s="78">
        <f t="shared" ca="1" si="7"/>
        <v>518826.87682807707</v>
      </c>
      <c r="AS25" s="78">
        <f t="shared" ca="1" si="7"/>
        <v>552603.30435655999</v>
      </c>
      <c r="AT25" s="78">
        <f t="shared" ca="1" si="7"/>
        <v>588895.65278922056</v>
      </c>
      <c r="AU25" s="78">
        <f t="shared" ca="1" si="7"/>
        <v>630193.79682373325</v>
      </c>
      <c r="AV25" s="78">
        <f t="shared" ca="1" si="7"/>
        <v>675032.42616284068</v>
      </c>
      <c r="AW25" s="78">
        <f t="shared" ca="1" si="7"/>
        <v>722600.78879253857</v>
      </c>
      <c r="AX25" s="78">
        <f t="shared" ca="1" si="7"/>
        <v>772562.28535641299</v>
      </c>
      <c r="AY25" s="78">
        <f t="shared" ca="1" si="7"/>
        <v>827214.06072050694</v>
      </c>
      <c r="AZ25" s="78">
        <f t="shared" ca="1" si="7"/>
        <v>884276.30277269986</v>
      </c>
      <c r="BA25" s="78">
        <f t="shared" ca="1" si="7"/>
        <v>934195.96136029181</v>
      </c>
      <c r="BB25" s="78">
        <f t="shared" ca="1" si="7"/>
        <v>984855.16263876297</v>
      </c>
      <c r="BC25" s="78">
        <f t="shared" ca="1" si="7"/>
        <v>1019242.9508628115</v>
      </c>
      <c r="BD25" s="78">
        <f t="shared" ca="1" si="7"/>
        <v>1074917.5578384248</v>
      </c>
      <c r="BE25" s="78">
        <f t="shared" ca="1" si="7"/>
        <v>1129755.4241287985</v>
      </c>
      <c r="BF25" s="78">
        <f t="shared" ca="1" si="7"/>
        <v>1172006.6251959696</v>
      </c>
      <c r="BG25" s="78">
        <f t="shared" ca="1" si="7"/>
        <v>1215524.5941081007</v>
      </c>
      <c r="BH25" s="78">
        <f t="shared" ca="1" si="7"/>
        <v>1260039.6070250471</v>
      </c>
      <c r="BI25" s="78">
        <f t="shared" ca="1" si="7"/>
        <v>1195065.2528082016</v>
      </c>
      <c r="BJ25" s="78">
        <f t="shared" ca="1" si="7"/>
        <v>94273.446647137578</v>
      </c>
      <c r="DQ25" s="54"/>
    </row>
    <row r="26" spans="1:121" x14ac:dyDescent="0.2">
      <c r="DQ26" s="54"/>
    </row>
    <row r="27" spans="1:121" x14ac:dyDescent="0.2">
      <c r="C27" t="s">
        <v>121</v>
      </c>
      <c r="R27" s="78">
        <f>+Q31</f>
        <v>0</v>
      </c>
      <c r="S27" s="78">
        <f t="shared" ref="S27:BJ27" si="8">+R31</f>
        <v>567430.44024741137</v>
      </c>
      <c r="T27" s="78">
        <f t="shared" ca="1" si="8"/>
        <v>602939.47003662807</v>
      </c>
      <c r="U27" s="78">
        <f t="shared" ca="1" si="8"/>
        <v>631966.09681999218</v>
      </c>
      <c r="V27" s="78">
        <f t="shared" ca="1" si="8"/>
        <v>653584.91328814707</v>
      </c>
      <c r="W27" s="78">
        <f t="shared" ca="1" si="8"/>
        <v>667018.8056115919</v>
      </c>
      <c r="X27" s="78">
        <f t="shared" ca="1" si="8"/>
        <v>649316.44736432924</v>
      </c>
      <c r="Y27" s="78">
        <f t="shared" ca="1" si="8"/>
        <v>625297.81322233984</v>
      </c>
      <c r="Z27" s="78">
        <f t="shared" ca="1" si="8"/>
        <v>594401.79946901044</v>
      </c>
      <c r="AA27" s="78">
        <f t="shared" ca="1" si="8"/>
        <v>556018.5531218606</v>
      </c>
      <c r="AB27" s="78">
        <f t="shared" ca="1" si="8"/>
        <v>509485.22369223513</v>
      </c>
      <c r="AC27" s="78">
        <f t="shared" ca="1" si="8"/>
        <v>456570.85409164935</v>
      </c>
      <c r="AD27" s="78">
        <f t="shared" ca="1" si="8"/>
        <v>396844.08665544417</v>
      </c>
      <c r="AE27" s="78">
        <f t="shared" ca="1" si="8"/>
        <v>329845.6840021821</v>
      </c>
      <c r="AF27" s="78">
        <f t="shared" ca="1" si="8"/>
        <v>255087.07607116655</v>
      </c>
      <c r="AG27" s="78">
        <f t="shared" ca="1" si="8"/>
        <v>172047.8220170103</v>
      </c>
      <c r="AH27" s="78">
        <f t="shared" ca="1" si="8"/>
        <v>52237.618787864572</v>
      </c>
      <c r="AI27" s="78">
        <f t="shared" ca="1" si="8"/>
        <v>0</v>
      </c>
      <c r="AJ27" s="78">
        <f t="shared" ca="1" si="8"/>
        <v>0</v>
      </c>
      <c r="AK27" s="78">
        <f t="shared" ca="1" si="8"/>
        <v>0</v>
      </c>
      <c r="AL27" s="78">
        <f t="shared" ca="1" si="8"/>
        <v>0</v>
      </c>
      <c r="AM27" s="78">
        <f t="shared" ca="1" si="8"/>
        <v>0</v>
      </c>
      <c r="AN27" s="78">
        <f t="shared" ca="1" si="8"/>
        <v>0</v>
      </c>
      <c r="AO27" s="78">
        <f t="shared" ca="1" si="8"/>
        <v>0</v>
      </c>
      <c r="AP27" s="78">
        <f t="shared" ca="1" si="8"/>
        <v>0</v>
      </c>
      <c r="AQ27" s="78">
        <f t="shared" ca="1" si="8"/>
        <v>0</v>
      </c>
      <c r="AR27" s="78">
        <f t="shared" ca="1" si="8"/>
        <v>0</v>
      </c>
      <c r="AS27" s="78">
        <f t="shared" ca="1" si="8"/>
        <v>0</v>
      </c>
      <c r="AT27" s="78">
        <f t="shared" ca="1" si="8"/>
        <v>0</v>
      </c>
      <c r="AU27" s="78">
        <f t="shared" ca="1" si="8"/>
        <v>0</v>
      </c>
      <c r="AV27" s="78">
        <f t="shared" ca="1" si="8"/>
        <v>0</v>
      </c>
      <c r="AW27" s="78">
        <f t="shared" ca="1" si="8"/>
        <v>0</v>
      </c>
      <c r="AX27" s="78">
        <f t="shared" ca="1" si="8"/>
        <v>0</v>
      </c>
      <c r="AY27" s="78">
        <f t="shared" ca="1" si="8"/>
        <v>0</v>
      </c>
      <c r="AZ27" s="78">
        <f t="shared" ca="1" si="8"/>
        <v>0</v>
      </c>
      <c r="BA27" s="78">
        <f t="shared" ca="1" si="8"/>
        <v>0</v>
      </c>
      <c r="BB27" s="78">
        <f t="shared" ca="1" si="8"/>
        <v>0</v>
      </c>
      <c r="BC27" s="78">
        <f t="shared" ca="1" si="8"/>
        <v>0</v>
      </c>
      <c r="BD27" s="78">
        <f t="shared" ca="1" si="8"/>
        <v>0</v>
      </c>
      <c r="BE27" s="78">
        <f t="shared" ca="1" si="8"/>
        <v>0</v>
      </c>
      <c r="BF27" s="78">
        <f t="shared" ca="1" si="8"/>
        <v>0</v>
      </c>
      <c r="BG27" s="78">
        <f t="shared" ca="1" si="8"/>
        <v>0</v>
      </c>
      <c r="BH27" s="78">
        <f t="shared" ca="1" si="8"/>
        <v>0</v>
      </c>
      <c r="BI27" s="78">
        <f t="shared" ca="1" si="8"/>
        <v>0</v>
      </c>
      <c r="BJ27" s="78">
        <f t="shared" ca="1" si="8"/>
        <v>0</v>
      </c>
      <c r="DQ27" s="54"/>
    </row>
    <row r="28" spans="1:121" x14ac:dyDescent="0.2">
      <c r="C28" s="592" t="s">
        <v>127</v>
      </c>
      <c r="D28" s="112"/>
      <c r="E28" s="112"/>
      <c r="F28" s="112"/>
      <c r="G28" s="112"/>
      <c r="H28" s="112"/>
      <c r="I28" s="112"/>
      <c r="J28" s="112"/>
      <c r="K28" s="595" t="s">
        <v>62</v>
      </c>
      <c r="L28" s="112"/>
      <c r="M28" s="112"/>
      <c r="N28" s="116">
        <f ca="1">+SUM(Q28:BJ28)</f>
        <v>99588.365364180529</v>
      </c>
      <c r="O28" s="112"/>
      <c r="P28" s="112"/>
      <c r="Q28" s="112"/>
      <c r="R28" s="112"/>
      <c r="S28" s="731">
        <f ca="1">-S24</f>
        <v>35509.029789216685</v>
      </c>
      <c r="T28" s="731">
        <f t="shared" ref="T28:BJ28" ca="1" si="9">-T24</f>
        <v>29026.626783364154</v>
      </c>
      <c r="U28" s="731">
        <f t="shared" ca="1" si="9"/>
        <v>21618.816468154862</v>
      </c>
      <c r="V28" s="731">
        <f t="shared" ca="1" si="9"/>
        <v>13433.892323444838</v>
      </c>
      <c r="W28" s="731">
        <f t="shared" ca="1" si="9"/>
        <v>0</v>
      </c>
      <c r="X28" s="731">
        <f t="shared" ca="1" si="9"/>
        <v>0</v>
      </c>
      <c r="Y28" s="731">
        <f t="shared" ca="1" si="9"/>
        <v>0</v>
      </c>
      <c r="Z28" s="731">
        <f t="shared" ca="1" si="9"/>
        <v>0</v>
      </c>
      <c r="AA28" s="731">
        <f t="shared" ca="1" si="9"/>
        <v>0</v>
      </c>
      <c r="AB28" s="731">
        <f t="shared" ca="1" si="9"/>
        <v>0</v>
      </c>
      <c r="AC28" s="731">
        <f t="shared" ca="1" si="9"/>
        <v>0</v>
      </c>
      <c r="AD28" s="731">
        <f t="shared" ca="1" si="9"/>
        <v>0</v>
      </c>
      <c r="AE28" s="731">
        <f t="shared" ca="1" si="9"/>
        <v>0</v>
      </c>
      <c r="AF28" s="731">
        <f t="shared" ca="1" si="9"/>
        <v>0</v>
      </c>
      <c r="AG28" s="731">
        <f t="shared" ca="1" si="9"/>
        <v>0</v>
      </c>
      <c r="AH28" s="731">
        <f t="shared" ca="1" si="9"/>
        <v>0</v>
      </c>
      <c r="AI28" s="731">
        <f t="shared" ca="1" si="9"/>
        <v>0</v>
      </c>
      <c r="AJ28" s="731">
        <f t="shared" ca="1" si="9"/>
        <v>0</v>
      </c>
      <c r="AK28" s="731">
        <f t="shared" ca="1" si="9"/>
        <v>0</v>
      </c>
      <c r="AL28" s="731">
        <f t="shared" ca="1" si="9"/>
        <v>0</v>
      </c>
      <c r="AM28" s="731">
        <f t="shared" ca="1" si="9"/>
        <v>0</v>
      </c>
      <c r="AN28" s="731">
        <f t="shared" ca="1" si="9"/>
        <v>0</v>
      </c>
      <c r="AO28" s="731">
        <f t="shared" ca="1" si="9"/>
        <v>0</v>
      </c>
      <c r="AP28" s="731">
        <f t="shared" ca="1" si="9"/>
        <v>0</v>
      </c>
      <c r="AQ28" s="731">
        <f t="shared" ca="1" si="9"/>
        <v>0</v>
      </c>
      <c r="AR28" s="731">
        <f t="shared" ca="1" si="9"/>
        <v>0</v>
      </c>
      <c r="AS28" s="731">
        <f t="shared" ca="1" si="9"/>
        <v>0</v>
      </c>
      <c r="AT28" s="731">
        <f t="shared" ca="1" si="9"/>
        <v>0</v>
      </c>
      <c r="AU28" s="731">
        <f t="shared" ca="1" si="9"/>
        <v>0</v>
      </c>
      <c r="AV28" s="731">
        <f t="shared" ca="1" si="9"/>
        <v>0</v>
      </c>
      <c r="AW28" s="731">
        <f t="shared" ca="1" si="9"/>
        <v>0</v>
      </c>
      <c r="AX28" s="731">
        <f t="shared" ca="1" si="9"/>
        <v>0</v>
      </c>
      <c r="AY28" s="731">
        <f t="shared" ca="1" si="9"/>
        <v>0</v>
      </c>
      <c r="AZ28" s="731">
        <f t="shared" ca="1" si="9"/>
        <v>0</v>
      </c>
      <c r="BA28" s="731">
        <f t="shared" ca="1" si="9"/>
        <v>0</v>
      </c>
      <c r="BB28" s="731">
        <f t="shared" ca="1" si="9"/>
        <v>0</v>
      </c>
      <c r="BC28" s="731">
        <f t="shared" ca="1" si="9"/>
        <v>0</v>
      </c>
      <c r="BD28" s="731">
        <f t="shared" ca="1" si="9"/>
        <v>0</v>
      </c>
      <c r="BE28" s="731">
        <f t="shared" ca="1" si="9"/>
        <v>0</v>
      </c>
      <c r="BF28" s="731">
        <f t="shared" ca="1" si="9"/>
        <v>0</v>
      </c>
      <c r="BG28" s="731">
        <f t="shared" ca="1" si="9"/>
        <v>0</v>
      </c>
      <c r="BH28" s="731">
        <f t="shared" ca="1" si="9"/>
        <v>0</v>
      </c>
      <c r="BI28" s="731">
        <f t="shared" ca="1" si="9"/>
        <v>0</v>
      </c>
      <c r="BJ28" s="731">
        <f t="shared" ca="1" si="9"/>
        <v>0</v>
      </c>
      <c r="DQ28" s="54"/>
    </row>
    <row r="29" spans="1:121" x14ac:dyDescent="0.2">
      <c r="C29" s="593" t="s">
        <v>128</v>
      </c>
      <c r="D29" s="72"/>
      <c r="E29" s="72"/>
      <c r="F29" s="72"/>
      <c r="G29" s="72"/>
      <c r="H29" s="72"/>
      <c r="I29" s="72"/>
      <c r="J29" s="72"/>
      <c r="K29" s="596" t="s">
        <v>62</v>
      </c>
      <c r="L29" s="72"/>
      <c r="M29" s="72"/>
      <c r="N29" s="78">
        <f t="shared" ref="N29" ca="1" si="10">+SUM(Q29:BJ29)</f>
        <v>-667018.8056115919</v>
      </c>
      <c r="O29" s="72"/>
      <c r="P29" s="72"/>
      <c r="Q29" s="72"/>
      <c r="R29" s="72"/>
      <c r="S29" s="206">
        <f ca="1">-MIN(S25,SUM(S27:S28))</f>
        <v>0</v>
      </c>
      <c r="T29" s="206">
        <f t="shared" ref="T29:BJ29" ca="1" si="11">-MIN(T25,SUM(T27:T28))</f>
        <v>0</v>
      </c>
      <c r="U29" s="206">
        <f t="shared" ca="1" si="11"/>
        <v>0</v>
      </c>
      <c r="V29" s="206">
        <f t="shared" ca="1" si="11"/>
        <v>0</v>
      </c>
      <c r="W29" s="206">
        <f t="shared" ca="1" si="11"/>
        <v>-17702.358247262611</v>
      </c>
      <c r="X29" s="206">
        <f t="shared" ca="1" si="11"/>
        <v>-24018.634141989416</v>
      </c>
      <c r="Y29" s="206">
        <f t="shared" ca="1" si="11"/>
        <v>-30896.013753329382</v>
      </c>
      <c r="Z29" s="206">
        <f t="shared" ca="1" si="11"/>
        <v>-38383.246347149892</v>
      </c>
      <c r="AA29" s="206">
        <f t="shared" ca="1" si="11"/>
        <v>-46533.329429625453</v>
      </c>
      <c r="AB29" s="206">
        <f t="shared" ca="1" si="11"/>
        <v>-52914.369600585778</v>
      </c>
      <c r="AC29" s="206">
        <f t="shared" ca="1" si="11"/>
        <v>-59726.767436205155</v>
      </c>
      <c r="AD29" s="206">
        <f t="shared" ca="1" si="11"/>
        <v>-66998.402653262092</v>
      </c>
      <c r="AE29" s="206">
        <f t="shared" ca="1" si="11"/>
        <v>-74758.607931015547</v>
      </c>
      <c r="AF29" s="206">
        <f t="shared" ca="1" si="11"/>
        <v>-83039.254054156234</v>
      </c>
      <c r="AG29" s="206">
        <f t="shared" ca="1" si="11"/>
        <v>-119810.20322914573</v>
      </c>
      <c r="AH29" s="206">
        <f t="shared" ca="1" si="11"/>
        <v>-52237.618787864572</v>
      </c>
      <c r="AI29" s="206">
        <f t="shared" ca="1" si="11"/>
        <v>0</v>
      </c>
      <c r="AJ29" s="206">
        <f t="shared" ca="1" si="11"/>
        <v>0</v>
      </c>
      <c r="AK29" s="206">
        <f t="shared" ca="1" si="11"/>
        <v>0</v>
      </c>
      <c r="AL29" s="206">
        <f t="shared" ca="1" si="11"/>
        <v>0</v>
      </c>
      <c r="AM29" s="206">
        <f t="shared" ca="1" si="11"/>
        <v>0</v>
      </c>
      <c r="AN29" s="206">
        <f t="shared" ca="1" si="11"/>
        <v>0</v>
      </c>
      <c r="AO29" s="206">
        <f t="shared" ca="1" si="11"/>
        <v>0</v>
      </c>
      <c r="AP29" s="206">
        <f t="shared" ca="1" si="11"/>
        <v>0</v>
      </c>
      <c r="AQ29" s="206">
        <f t="shared" ca="1" si="11"/>
        <v>0</v>
      </c>
      <c r="AR29" s="206">
        <f t="shared" ca="1" si="11"/>
        <v>0</v>
      </c>
      <c r="AS29" s="206">
        <f t="shared" ca="1" si="11"/>
        <v>0</v>
      </c>
      <c r="AT29" s="206">
        <f t="shared" ca="1" si="11"/>
        <v>0</v>
      </c>
      <c r="AU29" s="206">
        <f t="shared" ca="1" si="11"/>
        <v>0</v>
      </c>
      <c r="AV29" s="206">
        <f t="shared" ca="1" si="11"/>
        <v>0</v>
      </c>
      <c r="AW29" s="206">
        <f t="shared" ca="1" si="11"/>
        <v>0</v>
      </c>
      <c r="AX29" s="206">
        <f t="shared" ca="1" si="11"/>
        <v>0</v>
      </c>
      <c r="AY29" s="206">
        <f t="shared" ca="1" si="11"/>
        <v>0</v>
      </c>
      <c r="AZ29" s="206">
        <f t="shared" ca="1" si="11"/>
        <v>0</v>
      </c>
      <c r="BA29" s="206">
        <f t="shared" ca="1" si="11"/>
        <v>0</v>
      </c>
      <c r="BB29" s="206">
        <f t="shared" ca="1" si="11"/>
        <v>0</v>
      </c>
      <c r="BC29" s="206">
        <f t="shared" ca="1" si="11"/>
        <v>0</v>
      </c>
      <c r="BD29" s="206">
        <f t="shared" ca="1" si="11"/>
        <v>0</v>
      </c>
      <c r="BE29" s="206">
        <f t="shared" ca="1" si="11"/>
        <v>0</v>
      </c>
      <c r="BF29" s="206">
        <f t="shared" ca="1" si="11"/>
        <v>0</v>
      </c>
      <c r="BG29" s="206">
        <f t="shared" ca="1" si="11"/>
        <v>0</v>
      </c>
      <c r="BH29" s="206">
        <f t="shared" ca="1" si="11"/>
        <v>0</v>
      </c>
      <c r="BI29" s="206">
        <f t="shared" ca="1" si="11"/>
        <v>0</v>
      </c>
      <c r="BJ29" s="206">
        <f t="shared" ca="1" si="11"/>
        <v>0</v>
      </c>
      <c r="DQ29" s="54"/>
    </row>
    <row r="30" spans="1:121" x14ac:dyDescent="0.2">
      <c r="C30" s="594" t="s">
        <v>123</v>
      </c>
      <c r="D30" s="109"/>
      <c r="E30" s="109"/>
      <c r="F30" s="109"/>
      <c r="G30" s="109"/>
      <c r="H30" s="109"/>
      <c r="I30" s="109"/>
      <c r="J30" s="109"/>
      <c r="K30" s="597" t="s">
        <v>62</v>
      </c>
      <c r="L30" s="109"/>
      <c r="M30" s="109"/>
      <c r="N30" s="82">
        <f>+SUM(Q30:BJ30)</f>
        <v>0</v>
      </c>
      <c r="O30" s="109"/>
      <c r="P30" s="109"/>
      <c r="Q30" s="109"/>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3"/>
      <c r="BG30" s="603"/>
      <c r="BH30" s="603"/>
      <c r="BI30" s="603"/>
      <c r="BJ30" s="603"/>
      <c r="DQ30" s="54"/>
    </row>
    <row r="31" spans="1:121" ht="13.5" thickBot="1" x14ac:dyDescent="0.25">
      <c r="C31" t="s">
        <v>129</v>
      </c>
      <c r="R31" s="142">
        <f>Inputs!$L$227</f>
        <v>567430.44024741137</v>
      </c>
      <c r="S31" s="78">
        <f t="shared" ref="S31:BJ31" ca="1" si="12">+SUM(S27:S30)</f>
        <v>602939.47003662807</v>
      </c>
      <c r="T31" s="78">
        <f t="shared" ca="1" si="12"/>
        <v>631966.09681999218</v>
      </c>
      <c r="U31" s="78">
        <f t="shared" ca="1" si="12"/>
        <v>653584.91328814707</v>
      </c>
      <c r="V31" s="78">
        <f t="shared" ca="1" si="12"/>
        <v>667018.8056115919</v>
      </c>
      <c r="W31" s="78">
        <f t="shared" ca="1" si="12"/>
        <v>649316.44736432924</v>
      </c>
      <c r="X31" s="78">
        <f t="shared" ca="1" si="12"/>
        <v>625297.81322233984</v>
      </c>
      <c r="Y31" s="78">
        <f t="shared" ca="1" si="12"/>
        <v>594401.79946901044</v>
      </c>
      <c r="Z31" s="78">
        <f t="shared" ca="1" si="12"/>
        <v>556018.5531218606</v>
      </c>
      <c r="AA31" s="78">
        <f t="shared" ca="1" si="12"/>
        <v>509485.22369223513</v>
      </c>
      <c r="AB31" s="78">
        <f t="shared" ca="1" si="12"/>
        <v>456570.85409164935</v>
      </c>
      <c r="AC31" s="78">
        <f t="shared" ca="1" si="12"/>
        <v>396844.08665544417</v>
      </c>
      <c r="AD31" s="78">
        <f t="shared" ca="1" si="12"/>
        <v>329845.6840021821</v>
      </c>
      <c r="AE31" s="78">
        <f t="shared" ca="1" si="12"/>
        <v>255087.07607116655</v>
      </c>
      <c r="AF31" s="78">
        <f t="shared" ca="1" si="12"/>
        <v>172047.8220170103</v>
      </c>
      <c r="AG31" s="78">
        <f t="shared" ca="1" si="12"/>
        <v>52237.618787864572</v>
      </c>
      <c r="AH31" s="78">
        <f t="shared" ca="1" si="12"/>
        <v>0</v>
      </c>
      <c r="AI31" s="78">
        <f t="shared" ca="1" si="12"/>
        <v>0</v>
      </c>
      <c r="AJ31" s="78">
        <f t="shared" ca="1" si="12"/>
        <v>0</v>
      </c>
      <c r="AK31" s="78">
        <f t="shared" ca="1" si="12"/>
        <v>0</v>
      </c>
      <c r="AL31" s="78">
        <f t="shared" ca="1" si="12"/>
        <v>0</v>
      </c>
      <c r="AM31" s="78">
        <f t="shared" ca="1" si="12"/>
        <v>0</v>
      </c>
      <c r="AN31" s="78">
        <f t="shared" ca="1" si="12"/>
        <v>0</v>
      </c>
      <c r="AO31" s="78">
        <f t="shared" ca="1" si="12"/>
        <v>0</v>
      </c>
      <c r="AP31" s="78">
        <f t="shared" ca="1" si="12"/>
        <v>0</v>
      </c>
      <c r="AQ31" s="78">
        <f t="shared" ca="1" si="12"/>
        <v>0</v>
      </c>
      <c r="AR31" s="78">
        <f t="shared" ca="1" si="12"/>
        <v>0</v>
      </c>
      <c r="AS31" s="78">
        <f t="shared" ca="1" si="12"/>
        <v>0</v>
      </c>
      <c r="AT31" s="78">
        <f t="shared" ca="1" si="12"/>
        <v>0</v>
      </c>
      <c r="AU31" s="78">
        <f t="shared" ca="1" si="12"/>
        <v>0</v>
      </c>
      <c r="AV31" s="78">
        <f t="shared" ca="1" si="12"/>
        <v>0</v>
      </c>
      <c r="AW31" s="78">
        <f t="shared" ca="1" si="12"/>
        <v>0</v>
      </c>
      <c r="AX31" s="78">
        <f t="shared" ca="1" si="12"/>
        <v>0</v>
      </c>
      <c r="AY31" s="78">
        <f t="shared" ca="1" si="12"/>
        <v>0</v>
      </c>
      <c r="AZ31" s="78">
        <f t="shared" ca="1" si="12"/>
        <v>0</v>
      </c>
      <c r="BA31" s="78">
        <f t="shared" ca="1" si="12"/>
        <v>0</v>
      </c>
      <c r="BB31" s="78">
        <f t="shared" ca="1" si="12"/>
        <v>0</v>
      </c>
      <c r="BC31" s="78">
        <f t="shared" ca="1" si="12"/>
        <v>0</v>
      </c>
      <c r="BD31" s="78">
        <f t="shared" ca="1" si="12"/>
        <v>0</v>
      </c>
      <c r="BE31" s="78">
        <f t="shared" ca="1" si="12"/>
        <v>0</v>
      </c>
      <c r="BF31" s="78">
        <f t="shared" ca="1" si="12"/>
        <v>0</v>
      </c>
      <c r="BG31" s="78">
        <f t="shared" ca="1" si="12"/>
        <v>0</v>
      </c>
      <c r="BH31" s="78">
        <f t="shared" ca="1" si="12"/>
        <v>0</v>
      </c>
      <c r="BI31" s="78">
        <f t="shared" ca="1" si="12"/>
        <v>0</v>
      </c>
      <c r="BJ31" s="78">
        <f t="shared" ca="1" si="12"/>
        <v>0</v>
      </c>
      <c r="DQ31" s="54"/>
    </row>
    <row r="32" spans="1:121" ht="13.5" thickBot="1" x14ac:dyDescent="0.25">
      <c r="L32" s="75"/>
      <c r="N32" s="723">
        <f ca="1">IF(ROUND((N28+N29+R31),0)=0,0,1)</f>
        <v>0</v>
      </c>
      <c r="DQ32" s="54"/>
    </row>
    <row r="33" spans="1:121" x14ac:dyDescent="0.2">
      <c r="C33" t="s">
        <v>485</v>
      </c>
      <c r="R33" s="114"/>
      <c r="S33" s="197">
        <f t="shared" ref="S33:BJ33" ca="1" si="13">+S17+S29</f>
        <v>-35509.029789216685</v>
      </c>
      <c r="T33" s="197">
        <f t="shared" ca="1" si="13"/>
        <v>-29026.626783364154</v>
      </c>
      <c r="U33" s="197">
        <f t="shared" ca="1" si="13"/>
        <v>-21618.816468154862</v>
      </c>
      <c r="V33" s="197">
        <f t="shared" ca="1" si="13"/>
        <v>-13433.892323444838</v>
      </c>
      <c r="W33" s="197">
        <f t="shared" ca="1" si="13"/>
        <v>4425.5895618156537</v>
      </c>
      <c r="X33" s="197">
        <f t="shared" ca="1" si="13"/>
        <v>6004.6585354973504</v>
      </c>
      <c r="Y33" s="197">
        <f t="shared" ca="1" si="13"/>
        <v>7724.0034383323436</v>
      </c>
      <c r="Z33" s="197">
        <f t="shared" ca="1" si="13"/>
        <v>9595.8115867874731</v>
      </c>
      <c r="AA33" s="197">
        <f t="shared" ca="1" si="13"/>
        <v>11633.332357406362</v>
      </c>
      <c r="AB33" s="197">
        <f t="shared" ca="1" si="13"/>
        <v>13228.592400146445</v>
      </c>
      <c r="AC33" s="197">
        <f t="shared" ca="1" si="13"/>
        <v>14931.691859051287</v>
      </c>
      <c r="AD33" s="197">
        <f t="shared" ca="1" si="13"/>
        <v>16749.600663315519</v>
      </c>
      <c r="AE33" s="197">
        <f t="shared" ca="1" si="13"/>
        <v>18689.651982753887</v>
      </c>
      <c r="AF33" s="197">
        <f t="shared" ca="1" si="13"/>
        <v>20759.813513539048</v>
      </c>
      <c r="AG33" s="197">
        <f t="shared" ca="1" si="13"/>
        <v>29952.550807286432</v>
      </c>
      <c r="AH33" s="197">
        <f t="shared" ca="1" si="13"/>
        <v>153194.01668700331</v>
      </c>
      <c r="AI33" s="197">
        <f t="shared" ca="1" si="13"/>
        <v>226509.10606101592</v>
      </c>
      <c r="AJ33" s="197">
        <f t="shared" ca="1" si="13"/>
        <v>249718.39942071715</v>
      </c>
      <c r="AK33" s="197">
        <f t="shared" ca="1" si="13"/>
        <v>275291.65981012466</v>
      </c>
      <c r="AL33" s="197">
        <f t="shared" ca="1" si="13"/>
        <v>303748.12515700638</v>
      </c>
      <c r="AM33" s="197">
        <f t="shared" ca="1" si="13"/>
        <v>335074.32100089185</v>
      </c>
      <c r="AN33" s="197">
        <f t="shared" ca="1" si="13"/>
        <v>369556.74527007923</v>
      </c>
      <c r="AO33" s="197">
        <f t="shared" ca="1" si="13"/>
        <v>407823.41986323107</v>
      </c>
      <c r="AP33" s="197">
        <f t="shared" ca="1" si="13"/>
        <v>571408.76594868081</v>
      </c>
      <c r="AQ33" s="197">
        <f t="shared" ca="1" si="13"/>
        <v>608689.76869311102</v>
      </c>
      <c r="AR33" s="197">
        <f t="shared" ca="1" si="13"/>
        <v>648533.59603509633</v>
      </c>
      <c r="AS33" s="197">
        <f t="shared" ca="1" si="13"/>
        <v>690754.13044569991</v>
      </c>
      <c r="AT33" s="197">
        <f t="shared" ca="1" si="13"/>
        <v>736119.56598652573</v>
      </c>
      <c r="AU33" s="197">
        <f t="shared" ca="1" si="13"/>
        <v>787742.24602966651</v>
      </c>
      <c r="AV33" s="197">
        <f t="shared" ca="1" si="13"/>
        <v>843790.53270355077</v>
      </c>
      <c r="AW33" s="197">
        <f t="shared" ca="1" si="13"/>
        <v>903250.98599067319</v>
      </c>
      <c r="AX33" s="197">
        <f t="shared" ca="1" si="13"/>
        <v>965702.85669551615</v>
      </c>
      <c r="AY33" s="197">
        <f t="shared" ca="1" si="13"/>
        <v>1034017.5759006336</v>
      </c>
      <c r="AZ33" s="197">
        <f t="shared" ca="1" si="13"/>
        <v>1105345.3784658748</v>
      </c>
      <c r="BA33" s="197">
        <f t="shared" ca="1" si="13"/>
        <v>1167744.9517003647</v>
      </c>
      <c r="BB33" s="197">
        <f t="shared" ca="1" si="13"/>
        <v>1231068.9532984537</v>
      </c>
      <c r="BC33" s="197">
        <f t="shared" ca="1" si="13"/>
        <v>1274053.6885785144</v>
      </c>
      <c r="BD33" s="197">
        <f t="shared" ca="1" si="13"/>
        <v>1343646.9472980311</v>
      </c>
      <c r="BE33" s="197">
        <f t="shared" ca="1" si="13"/>
        <v>1412194.280160998</v>
      </c>
      <c r="BF33" s="197">
        <f t="shared" ca="1" si="13"/>
        <v>1465008.2814949618</v>
      </c>
      <c r="BG33" s="197">
        <f t="shared" ca="1" si="13"/>
        <v>1519405.742635126</v>
      </c>
      <c r="BH33" s="197">
        <f t="shared" ca="1" si="13"/>
        <v>1575049.5087813088</v>
      </c>
      <c r="BI33" s="197">
        <f t="shared" ca="1" si="13"/>
        <v>1493831.5660102519</v>
      </c>
      <c r="BJ33" s="197">
        <f t="shared" ca="1" si="13"/>
        <v>117841.80830892197</v>
      </c>
      <c r="DQ33" s="54"/>
    </row>
    <row r="34" spans="1:121" x14ac:dyDescent="0.2">
      <c r="DQ34" s="54"/>
    </row>
    <row r="35" spans="1:121" ht="15.75" x14ac:dyDescent="0.25">
      <c r="A35" s="136"/>
      <c r="B35" s="136" t="s">
        <v>38</v>
      </c>
      <c r="C35" s="136"/>
      <c r="D35" s="136"/>
      <c r="E35" s="136"/>
      <c r="F35" s="136"/>
      <c r="G35" s="136"/>
      <c r="H35" s="136"/>
      <c r="I35" s="136"/>
      <c r="J35" s="136"/>
      <c r="K35" s="598"/>
      <c r="L35" s="136"/>
      <c r="M35" s="136"/>
      <c r="N35" s="136"/>
      <c r="O35" s="137"/>
      <c r="P35" s="63"/>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63"/>
      <c r="AR35" s="63"/>
      <c r="AS35" s="63"/>
      <c r="AT35" s="63"/>
      <c r="AU35" s="63"/>
      <c r="AV35" s="63"/>
      <c r="AW35" s="63"/>
      <c r="AX35" s="63"/>
      <c r="AY35" s="63"/>
      <c r="AZ35" s="63"/>
      <c r="BA35" s="63"/>
      <c r="BB35" s="63"/>
      <c r="BC35" s="63"/>
      <c r="BD35" s="63"/>
      <c r="BE35" s="63"/>
      <c r="BF35" s="63"/>
      <c r="BG35" s="63"/>
      <c r="BH35" s="63"/>
      <c r="BI35" s="63"/>
      <c r="BJ35" s="64"/>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row>
    <row r="36" spans="1:121" x14ac:dyDescent="0.2">
      <c r="A36" s="75"/>
      <c r="B36" s="75"/>
      <c r="C36" s="75"/>
      <c r="D36" s="75"/>
      <c r="E36" s="75"/>
      <c r="F36" s="92"/>
      <c r="G36" s="92"/>
      <c r="H36" s="92"/>
      <c r="I36" s="75"/>
      <c r="J36" s="75"/>
      <c r="K36" s="599"/>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DQ36" s="54"/>
    </row>
    <row r="37" spans="1:121" ht="13.5" thickBot="1" x14ac:dyDescent="0.25">
      <c r="A37" s="75"/>
      <c r="B37" s="75"/>
      <c r="C37" s="75" t="s">
        <v>65</v>
      </c>
      <c r="D37" s="75"/>
      <c r="E37" s="75"/>
      <c r="F37" s="92"/>
      <c r="G37" s="188"/>
      <c r="H37" s="188"/>
      <c r="I37" s="54"/>
      <c r="J37" s="75"/>
      <c r="K37" s="599" t="s">
        <v>62</v>
      </c>
      <c r="L37" s="120"/>
      <c r="M37" s="75"/>
      <c r="N37" s="78">
        <f t="shared" ref="N37" si="14">SUM(Q37:BJ37)</f>
        <v>555040.30688708287</v>
      </c>
      <c r="O37" s="75"/>
      <c r="P37" s="75"/>
      <c r="Q37" s="99"/>
      <c r="R37" s="78"/>
      <c r="S37" s="85">
        <f>+Oper!S50+Oper!S59-IF(Tax!S7=2018,Inputs!$L$72,0)</f>
        <v>1721.0519999999956</v>
      </c>
      <c r="T37" s="78">
        <f>+Oper!T50+Oper!T59-IF(Tax!T7=2018,Inputs!$L$72,0)</f>
        <v>2271.9001843671922</v>
      </c>
      <c r="U37" s="78">
        <f>+Oper!U50+Oper!U59-IF(Tax!U7=2018,Inputs!$L$72,0)</f>
        <v>3321.3370258702384</v>
      </c>
      <c r="V37" s="78">
        <f>+Oper!V50+Oper!V59-IF(Tax!V7=2018,Inputs!$L$72,0)</f>
        <v>4855.5300603970763</v>
      </c>
      <c r="W37" s="78">
        <f>+Oper!W50+Oper!W59-IF(Tax!W7=2018,Inputs!$L$72,0)</f>
        <v>5234.7233595289154</v>
      </c>
      <c r="X37" s="78">
        <f>+Oper!X50+Oper!X59-IF(Tax!X7=2018,Inputs!$L$72,0)</f>
        <v>5643.5298123881421</v>
      </c>
      <c r="Y37" s="78">
        <f>+Oper!Y50+Oper!Y59-IF(Tax!Y7=2018,Inputs!$L$72,0)</f>
        <v>6084.2620623566136</v>
      </c>
      <c r="Z37" s="78">
        <f>+Oper!Z50+Oper!Z59-IF(Tax!Z7=2018,Inputs!$L$72,0)</f>
        <v>6559.4133590245247</v>
      </c>
      <c r="AA37" s="78">
        <f>+Oper!AA50+Oper!AA59-IF(Tax!AA7=2018,Inputs!$L$72,0)</f>
        <v>7071.6716626575071</v>
      </c>
      <c r="AB37" s="78">
        <f>+Oper!AB50+Oper!AB59-IF(Tax!AB7=2018,Inputs!$L$72,0)</f>
        <v>7112.6761485473016</v>
      </c>
      <c r="AC37" s="78">
        <f>+Oper!AC50+Oper!AC59-IF(Tax!AC7=2018,Inputs!$L$72,0)</f>
        <v>7153.9183954564542</v>
      </c>
      <c r="AD37" s="78">
        <f>+Oper!AD50+Oper!AD59-IF(Tax!AD7=2018,Inputs!$L$72,0)</f>
        <v>7195.3997820219884</v>
      </c>
      <c r="AE37" s="78">
        <f>+Oper!AE50+Oper!AE59-IF(Tax!AE7=2018,Inputs!$L$72,0)</f>
        <v>7237.1216948748361</v>
      </c>
      <c r="AF37" s="78">
        <f>+Oper!AF50+Oper!AF59-IF(Tax!AF7=2018,Inputs!$L$72,0)</f>
        <v>7279.0855286861879</v>
      </c>
      <c r="AG37" s="78">
        <f>+Oper!AG50+Oper!AG59-IF(Tax!AG7=2018,Inputs!$L$72,0)</f>
        <v>7825.0840659259275</v>
      </c>
      <c r="AH37" s="78">
        <f>+Oper!AH50+Oper!AH59-IF(Tax!AH7=2018,Inputs!$L$72,0)</f>
        <v>8412.0375282717268</v>
      </c>
      <c r="AI37" s="78">
        <f>+Oper!AI50+Oper!AI59-IF(Tax!AI7=2018,Inputs!$L$72,0)</f>
        <v>9043.0179127639458</v>
      </c>
      <c r="AJ37" s="78">
        <f>+Oper!AJ50+Oper!AJ59-IF(Tax!AJ7=2018,Inputs!$L$72,0)</f>
        <v>9721.3276445487663</v>
      </c>
      <c r="AK37" s="78">
        <f>+Oper!AK50+Oper!AK59-IF(Tax!AK7=2018,Inputs!$L$72,0)</f>
        <v>10450.516861110962</v>
      </c>
      <c r="AL37" s="78">
        <f>+Oper!AL50+Oper!AL59-IF(Tax!AL7=2018,Inputs!$L$72,0)</f>
        <v>11402.936904942444</v>
      </c>
      <c r="AM37" s="78">
        <f>+Oper!AM50+Oper!AM59-IF(Tax!AM7=2018,Inputs!$L$72,0)</f>
        <v>12442.156860390503</v>
      </c>
      <c r="AN37" s="78">
        <f>+Oper!AN50+Oper!AN59-IF(Tax!AN7=2018,Inputs!$L$72,0)</f>
        <v>13576.087338645486</v>
      </c>
      <c r="AO37" s="78">
        <f>+Oper!AO50+Oper!AO59-IF(Tax!AO7=2018,Inputs!$L$72,0)</f>
        <v>14813.35989367567</v>
      </c>
      <c r="AP37" s="78">
        <f>+Oper!AP50+Oper!AP59-IF(Tax!AP7=2018,Inputs!$L$72,0)</f>
        <v>16163.392726188255</v>
      </c>
      <c r="AQ37" s="78">
        <f>+Oper!AQ50+Oper!AQ59-IF(Tax!AQ7=2018,Inputs!$L$72,0)</f>
        <v>14764.028626131159</v>
      </c>
      <c r="AR37" s="78">
        <f>+Oper!AR50+Oper!AR59-IF(Tax!AR7=2018,Inputs!$L$72,0)</f>
        <v>13485.816063854612</v>
      </c>
      <c r="AS37" s="78">
        <f>+Oper!AS50+Oper!AS59-IF(Tax!AS7=2018,Inputs!$L$72,0)</f>
        <v>12318.266207248376</v>
      </c>
      <c r="AT37" s="78">
        <f>+Oper!AT50+Oper!AT59-IF(Tax!AT7=2018,Inputs!$L$72,0)</f>
        <v>11251.798306766013</v>
      </c>
      <c r="AU37" s="78">
        <f>+Oper!AU50+Oper!AU59-IF(Tax!AU7=2018,Inputs!$L$72,0)</f>
        <v>10277.661077144619</v>
      </c>
      <c r="AV37" s="78">
        <f>+Oper!AV50+Oper!AV59-IF(Tax!AV7=2018,Inputs!$L$72,0)</f>
        <v>11712.773240383072</v>
      </c>
      <c r="AW37" s="78">
        <f>+Oper!AW50+Oper!AW59-IF(Tax!AW7=2018,Inputs!$L$72,0)</f>
        <v>13348.276028065735</v>
      </c>
      <c r="AX37" s="78">
        <f>+Oper!AX50+Oper!AX59-IF(Tax!AX7=2018,Inputs!$L$72,0)</f>
        <v>15212.150808753046</v>
      </c>
      <c r="AY37" s="78">
        <f>+Oper!AY50+Oper!AY59-IF(Tax!AY7=2018,Inputs!$L$72,0)</f>
        <v>17336.286104789135</v>
      </c>
      <c r="AZ37" s="78">
        <f>+Oper!AZ50+Oper!AZ59-IF(Tax!AZ7=2018,Inputs!$L$72,0)</f>
        <v>19757.023164283295</v>
      </c>
      <c r="BA37" s="78">
        <f>+Oper!BA50+Oper!BA59-IF(Tax!BA7=2018,Inputs!$L$72,0)</f>
        <v>18360.971768753996</v>
      </c>
      <c r="BB37" s="78">
        <f>+Oper!BB50+Oper!BB59-IF(Tax!BB7=2018,Inputs!$L$72,0)</f>
        <v>17063.566787856769</v>
      </c>
      <c r="BC37" s="78">
        <f>+Oper!BC50+Oper!BC59-IF(Tax!BC7=2018,Inputs!$L$72,0)</f>
        <v>15857.837765381382</v>
      </c>
      <c r="BD37" s="78">
        <f>+Oper!BD50+Oper!BD59-IF(Tax!BD7=2018,Inputs!$L$72,0)</f>
        <v>14737.306784658558</v>
      </c>
      <c r="BE37" s="78">
        <f>+Oper!BE50+Oper!BE59-IF(Tax!BE7=2018,Inputs!$L$72,0)</f>
        <v>13695.953665213941</v>
      </c>
      <c r="BF37" s="78">
        <f>+Oper!BF50+Oper!BF59-IF(Tax!BF7=2018,Inputs!$L$72,0)</f>
        <v>17217.14575767015</v>
      </c>
      <c r="BG37" s="78">
        <f>+Oper!BG50+Oper!BG59-IF(Tax!BG7=2018,Inputs!$L$72,0)</f>
        <v>21643.626671558894</v>
      </c>
      <c r="BH37" s="78">
        <f>+Oper!BH50+Oper!BH59-IF(Tax!BH7=2018,Inputs!$L$72,0)</f>
        <v>27208.143677887198</v>
      </c>
      <c r="BI37" s="78">
        <f>+Oper!BI50+Oper!BI59-IF(Tax!BI7=2018,Inputs!$L$72,0)</f>
        <v>34203.282732155618</v>
      </c>
      <c r="BJ37" s="78">
        <f>+Oper!BJ50+Oper!BJ59-IF(Tax!BJ7=2018,Inputs!$L$72,0)</f>
        <v>42996.852835886602</v>
      </c>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row>
    <row r="38" spans="1:121" ht="13.5" thickBot="1" x14ac:dyDescent="0.25">
      <c r="A38" s="75"/>
      <c r="B38" s="75"/>
      <c r="C38" s="75"/>
      <c r="D38" s="75"/>
      <c r="E38" s="75"/>
      <c r="F38" s="75"/>
      <c r="G38" s="122"/>
      <c r="H38" s="122"/>
      <c r="I38" s="75"/>
      <c r="J38" s="75"/>
      <c r="K38" s="599"/>
      <c r="L38" s="75"/>
      <c r="M38" s="75"/>
      <c r="N38" s="78"/>
      <c r="O38" s="75"/>
      <c r="P38" s="75"/>
      <c r="Q38" s="141"/>
      <c r="R38" s="145"/>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78"/>
    </row>
    <row r="39" spans="1:121" x14ac:dyDescent="0.2">
      <c r="C39" s="45" t="s">
        <v>134</v>
      </c>
      <c r="D39" s="45"/>
      <c r="E39" s="45"/>
      <c r="F39" s="45"/>
      <c r="G39" s="45"/>
      <c r="H39" s="45"/>
      <c r="I39" s="45"/>
      <c r="J39" s="45"/>
      <c r="K39" s="600" t="s">
        <v>62</v>
      </c>
      <c r="L39" s="45"/>
      <c r="M39" s="45"/>
      <c r="N39" s="724">
        <f>SUM(Q39:DQ39)</f>
        <v>555040.30688708287</v>
      </c>
      <c r="O39" s="45"/>
      <c r="P39" s="45"/>
      <c r="Q39" s="46"/>
      <c r="R39" s="46"/>
      <c r="S39" s="724">
        <f t="shared" ref="S39:BJ39" si="15">SUM(S37:S38)</f>
        <v>1721.0519999999956</v>
      </c>
      <c r="T39" s="724">
        <f t="shared" si="15"/>
        <v>2271.9001843671922</v>
      </c>
      <c r="U39" s="724">
        <f t="shared" si="15"/>
        <v>3321.3370258702384</v>
      </c>
      <c r="V39" s="724">
        <f t="shared" si="15"/>
        <v>4855.5300603970763</v>
      </c>
      <c r="W39" s="724">
        <f t="shared" si="15"/>
        <v>5234.7233595289154</v>
      </c>
      <c r="X39" s="724">
        <f t="shared" si="15"/>
        <v>5643.5298123881421</v>
      </c>
      <c r="Y39" s="724">
        <f t="shared" si="15"/>
        <v>6084.2620623566136</v>
      </c>
      <c r="Z39" s="724">
        <f t="shared" si="15"/>
        <v>6559.4133590245247</v>
      </c>
      <c r="AA39" s="724">
        <f t="shared" si="15"/>
        <v>7071.6716626575071</v>
      </c>
      <c r="AB39" s="724">
        <f t="shared" si="15"/>
        <v>7112.6761485473016</v>
      </c>
      <c r="AC39" s="724">
        <f t="shared" si="15"/>
        <v>7153.9183954564542</v>
      </c>
      <c r="AD39" s="724">
        <f t="shared" si="15"/>
        <v>7195.3997820219884</v>
      </c>
      <c r="AE39" s="724">
        <f t="shared" si="15"/>
        <v>7237.1216948748361</v>
      </c>
      <c r="AF39" s="724">
        <f t="shared" si="15"/>
        <v>7279.0855286861879</v>
      </c>
      <c r="AG39" s="724">
        <f t="shared" si="15"/>
        <v>7825.0840659259275</v>
      </c>
      <c r="AH39" s="724">
        <f t="shared" si="15"/>
        <v>8412.0375282717268</v>
      </c>
      <c r="AI39" s="724">
        <f t="shared" si="15"/>
        <v>9043.0179127639458</v>
      </c>
      <c r="AJ39" s="724">
        <f t="shared" si="15"/>
        <v>9721.3276445487663</v>
      </c>
      <c r="AK39" s="724">
        <f t="shared" si="15"/>
        <v>10450.516861110962</v>
      </c>
      <c r="AL39" s="724">
        <f t="shared" si="15"/>
        <v>11402.936904942444</v>
      </c>
      <c r="AM39" s="724">
        <f t="shared" si="15"/>
        <v>12442.156860390503</v>
      </c>
      <c r="AN39" s="724">
        <f t="shared" si="15"/>
        <v>13576.087338645486</v>
      </c>
      <c r="AO39" s="724">
        <f t="shared" si="15"/>
        <v>14813.35989367567</v>
      </c>
      <c r="AP39" s="724">
        <f t="shared" si="15"/>
        <v>16163.392726188255</v>
      </c>
      <c r="AQ39" s="724">
        <f t="shared" si="15"/>
        <v>14764.028626131159</v>
      </c>
      <c r="AR39" s="724">
        <f t="shared" si="15"/>
        <v>13485.816063854612</v>
      </c>
      <c r="AS39" s="724">
        <f t="shared" si="15"/>
        <v>12318.266207248376</v>
      </c>
      <c r="AT39" s="724">
        <f t="shared" si="15"/>
        <v>11251.798306766013</v>
      </c>
      <c r="AU39" s="724">
        <f t="shared" si="15"/>
        <v>10277.661077144619</v>
      </c>
      <c r="AV39" s="724">
        <f t="shared" si="15"/>
        <v>11712.773240383072</v>
      </c>
      <c r="AW39" s="724">
        <f t="shared" si="15"/>
        <v>13348.276028065735</v>
      </c>
      <c r="AX39" s="724">
        <f t="shared" si="15"/>
        <v>15212.150808753046</v>
      </c>
      <c r="AY39" s="724">
        <f t="shared" si="15"/>
        <v>17336.286104789135</v>
      </c>
      <c r="AZ39" s="724">
        <f t="shared" si="15"/>
        <v>19757.023164283295</v>
      </c>
      <c r="BA39" s="724">
        <f t="shared" si="15"/>
        <v>18360.971768753996</v>
      </c>
      <c r="BB39" s="724">
        <f t="shared" si="15"/>
        <v>17063.566787856769</v>
      </c>
      <c r="BC39" s="724">
        <f t="shared" si="15"/>
        <v>15857.837765381382</v>
      </c>
      <c r="BD39" s="724">
        <f t="shared" si="15"/>
        <v>14737.306784658558</v>
      </c>
      <c r="BE39" s="724">
        <f t="shared" si="15"/>
        <v>13695.953665213941</v>
      </c>
      <c r="BF39" s="724">
        <f t="shared" si="15"/>
        <v>17217.14575767015</v>
      </c>
      <c r="BG39" s="724">
        <f t="shared" si="15"/>
        <v>21643.626671558894</v>
      </c>
      <c r="BH39" s="724">
        <f t="shared" si="15"/>
        <v>27208.143677887198</v>
      </c>
      <c r="BI39" s="724">
        <f t="shared" si="15"/>
        <v>34203.282732155618</v>
      </c>
      <c r="BJ39" s="724">
        <f t="shared" si="15"/>
        <v>42996.852835886602</v>
      </c>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4"/>
    </row>
    <row r="40" spans="1:121" x14ac:dyDescent="0.2">
      <c r="DQ40" s="54"/>
    </row>
    <row r="41" spans="1:121" ht="15" x14ac:dyDescent="0.25">
      <c r="C41" s="19" t="s">
        <v>142</v>
      </c>
      <c r="D41" s="19"/>
      <c r="E41" s="19"/>
      <c r="F41" s="19"/>
      <c r="DQ41" s="54"/>
    </row>
    <row r="42" spans="1:121" x14ac:dyDescent="0.2">
      <c r="N42" s="114"/>
      <c r="DQ42" s="54"/>
    </row>
    <row r="43" spans="1:121" x14ac:dyDescent="0.2">
      <c r="C43" s="96" t="s">
        <v>321</v>
      </c>
      <c r="DQ43" s="54"/>
    </row>
    <row r="44" spans="1:121" x14ac:dyDescent="0.2">
      <c r="C44" s="118" t="s">
        <v>144</v>
      </c>
      <c r="D44" s="118"/>
      <c r="E44" s="118"/>
      <c r="F44" s="118"/>
      <c r="G44" s="118"/>
      <c r="H44" s="118"/>
      <c r="I44" s="118"/>
      <c r="J44" s="118"/>
      <c r="K44" s="601"/>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DQ44" s="54"/>
    </row>
    <row r="45" spans="1:121" x14ac:dyDescent="0.2">
      <c r="C45" s="118" t="s">
        <v>135</v>
      </c>
      <c r="D45" s="118"/>
      <c r="E45" s="118"/>
      <c r="F45" s="118"/>
      <c r="G45" s="118"/>
      <c r="H45" s="118"/>
      <c r="I45" s="118"/>
      <c r="J45" s="118"/>
      <c r="K45" s="601"/>
      <c r="L45" s="118"/>
      <c r="M45" s="118"/>
      <c r="N45" s="119"/>
      <c r="O45" s="118"/>
      <c r="P45" s="118"/>
      <c r="Q45" s="119"/>
      <c r="R45" s="736">
        <f t="shared" ref="R45:AO45" si="16">+Q48</f>
        <v>0</v>
      </c>
      <c r="S45" s="736">
        <f t="shared" si="16"/>
        <v>1310779.8207709049</v>
      </c>
      <c r="T45" s="736">
        <f t="shared" ca="1" si="16"/>
        <v>1219337.9289464247</v>
      </c>
      <c r="U45" s="736">
        <f t="shared" ca="1" si="16"/>
        <v>1128332.1485063117</v>
      </c>
      <c r="V45" s="736">
        <f t="shared" ca="1" si="16"/>
        <v>1038224.3448954107</v>
      </c>
      <c r="W45" s="736">
        <f t="shared" ca="1" si="16"/>
        <v>949429.31185064511</v>
      </c>
      <c r="X45" s="736">
        <f t="shared" ca="1" si="16"/>
        <v>860689.77010098496</v>
      </c>
      <c r="Y45" s="736">
        <f t="shared" ca="1" si="16"/>
        <v>772010.05324688205</v>
      </c>
      <c r="Z45" s="736">
        <f t="shared" ca="1" si="16"/>
        <v>683394.83332192164</v>
      </c>
      <c r="AA45" s="736">
        <f t="shared" ca="1" si="16"/>
        <v>594849.14722280554</v>
      </c>
      <c r="AB45" s="736">
        <f t="shared" ca="1" si="16"/>
        <v>506378.42520338739</v>
      </c>
      <c r="AC45" s="736">
        <f t="shared" ca="1" si="16"/>
        <v>417477.26289234852</v>
      </c>
      <c r="AD45" s="736">
        <f t="shared" ca="1" si="16"/>
        <v>328143.16441831563</v>
      </c>
      <c r="AE45" s="736">
        <f t="shared" ca="1" si="16"/>
        <v>238373.61943781786</v>
      </c>
      <c r="AF45" s="736">
        <f t="shared" ca="1" si="16"/>
        <v>148166.10305137146</v>
      </c>
      <c r="AG45" s="736">
        <f t="shared" ca="1" si="16"/>
        <v>57518.075719078086</v>
      </c>
      <c r="AH45" s="736">
        <f t="shared" ca="1" si="16"/>
        <v>7825.0840659259266</v>
      </c>
      <c r="AI45" s="736">
        <f t="shared" ca="1" si="16"/>
        <v>10466.007918057461</v>
      </c>
      <c r="AJ45" s="736">
        <f t="shared" ca="1" si="16"/>
        <v>13291.846452796432</v>
      </c>
      <c r="AK45" s="736">
        <f t="shared" ca="1" si="16"/>
        <v>16344.586870760437</v>
      </c>
      <c r="AL45" s="736">
        <f t="shared" ca="1" si="16"/>
        <v>19699.850464041407</v>
      </c>
      <c r="AM45" s="736">
        <f t="shared" ca="1" si="16"/>
        <v>23634.534981106266</v>
      </c>
      <c r="AN45" s="736">
        <f t="shared" ca="1" si="16"/>
        <v>28197.225217258278</v>
      </c>
      <c r="AO45" s="736">
        <f t="shared" ca="1" si="16"/>
        <v>33440.604128465115</v>
      </c>
      <c r="AP45" s="736">
        <f t="shared" ref="AP45:BJ45" ca="1" si="17">+AO48</f>
        <v>39421.800576282876</v>
      </c>
      <c r="AQ45" s="736">
        <f t="shared" ca="1" si="17"/>
        <v>46202.766754303149</v>
      </c>
      <c r="AR45" s="736">
        <f t="shared" ca="1" si="17"/>
        <v>50978.254094697615</v>
      </c>
      <c r="AS45" s="736">
        <f t="shared" ca="1" si="17"/>
        <v>53965.438707643276</v>
      </c>
      <c r="AT45" s="736">
        <f t="shared" ca="1" si="17"/>
        <v>55362.94695275616</v>
      </c>
      <c r="AU45" s="736">
        <f t="shared" ca="1" si="17"/>
        <v>55352.462869038245</v>
      </c>
      <c r="AV45" s="736">
        <f t="shared" ca="1" si="17"/>
        <v>54100.196448239527</v>
      </c>
      <c r="AW45" s="736">
        <f t="shared" ca="1" si="17"/>
        <v>54083.137154115371</v>
      </c>
      <c r="AX45" s="736">
        <f t="shared" ca="1" si="17"/>
        <v>55442.401369376727</v>
      </c>
      <c r="AY45" s="736">
        <f t="shared" ca="1" si="17"/>
        <v>58336.457798672462</v>
      </c>
      <c r="AZ45" s="736">
        <f t="shared" ca="1" si="17"/>
        <v>62943.373997605013</v>
      </c>
      <c r="BA45" s="736">
        <f t="shared" ca="1" si="17"/>
        <v>69463.363358682371</v>
      </c>
      <c r="BB45" s="736">
        <f t="shared" ca="1" si="17"/>
        <v>73966.867570685601</v>
      </c>
      <c r="BC45" s="736">
        <f t="shared" ca="1" si="17"/>
        <v>76709.097810870851</v>
      </c>
      <c r="BD45" s="736">
        <f t="shared" ca="1" si="17"/>
        <v>77937.505033416281</v>
      </c>
      <c r="BE45" s="736">
        <f t="shared" ca="1" si="17"/>
        <v>77893.26458012317</v>
      </c>
      <c r="BF45" s="736">
        <f t="shared" ca="1" si="17"/>
        <v>76812.741214653244</v>
      </c>
      <c r="BG45" s="736">
        <f t="shared" ca="1" si="17"/>
        <v>79417.905879037819</v>
      </c>
      <c r="BH45" s="736">
        <f t="shared" ca="1" si="17"/>
        <v>86286.010315208536</v>
      </c>
      <c r="BI45" s="736">
        <f t="shared" ca="1" si="17"/>
        <v>98174.777717193938</v>
      </c>
      <c r="BJ45" s="736">
        <f t="shared" ca="1" si="17"/>
        <v>116066.02567540517</v>
      </c>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54"/>
    </row>
    <row r="46" spans="1:121" x14ac:dyDescent="0.2">
      <c r="C46" s="118" t="s">
        <v>141</v>
      </c>
      <c r="D46" s="118"/>
      <c r="E46" s="118"/>
      <c r="F46" s="118"/>
      <c r="G46" s="118"/>
      <c r="H46" s="118"/>
      <c r="I46" s="118"/>
      <c r="J46" s="118"/>
      <c r="K46" s="601" t="s">
        <v>62</v>
      </c>
      <c r="L46" s="118"/>
      <c r="M46" s="118"/>
      <c r="N46" s="736">
        <f>+SUM(Q46:BJ46)</f>
        <v>1952484.4642542852</v>
      </c>
      <c r="O46" s="118"/>
      <c r="P46" s="118"/>
      <c r="Q46" s="119"/>
      <c r="R46" s="737">
        <f>+R57</f>
        <v>1397444.1573672025</v>
      </c>
      <c r="S46" s="736">
        <f t="shared" ref="S46:BJ46" si="18">+S57</f>
        <v>1721.0519999999956</v>
      </c>
      <c r="T46" s="736">
        <f t="shared" si="18"/>
        <v>2271.9001843671922</v>
      </c>
      <c r="U46" s="736">
        <f t="shared" si="18"/>
        <v>3321.3370258702384</v>
      </c>
      <c r="V46" s="736">
        <f t="shared" si="18"/>
        <v>4855.5300603970763</v>
      </c>
      <c r="W46" s="736">
        <f t="shared" si="18"/>
        <v>5234.7233595289154</v>
      </c>
      <c r="X46" s="736">
        <f t="shared" si="18"/>
        <v>5643.5298123881421</v>
      </c>
      <c r="Y46" s="736">
        <f t="shared" si="18"/>
        <v>6084.2620623566136</v>
      </c>
      <c r="Z46" s="736">
        <f t="shared" si="18"/>
        <v>6559.4133590245247</v>
      </c>
      <c r="AA46" s="736">
        <f t="shared" si="18"/>
        <v>7071.6716626575071</v>
      </c>
      <c r="AB46" s="736">
        <f t="shared" si="18"/>
        <v>7112.6761485473016</v>
      </c>
      <c r="AC46" s="736">
        <f t="shared" si="18"/>
        <v>7153.9183954564542</v>
      </c>
      <c r="AD46" s="736">
        <f t="shared" si="18"/>
        <v>7195.3997820219884</v>
      </c>
      <c r="AE46" s="736">
        <f t="shared" si="18"/>
        <v>7237.1216948748361</v>
      </c>
      <c r="AF46" s="736">
        <f t="shared" si="18"/>
        <v>7279.0855286861879</v>
      </c>
      <c r="AG46" s="736">
        <f t="shared" si="18"/>
        <v>7825.0840659259275</v>
      </c>
      <c r="AH46" s="736">
        <f t="shared" si="18"/>
        <v>8412.0375282717268</v>
      </c>
      <c r="AI46" s="736">
        <f t="shared" si="18"/>
        <v>9043.0179127639458</v>
      </c>
      <c r="AJ46" s="736">
        <f t="shared" si="18"/>
        <v>9721.3276445487663</v>
      </c>
      <c r="AK46" s="736">
        <f t="shared" si="18"/>
        <v>10450.516861110962</v>
      </c>
      <c r="AL46" s="736">
        <f t="shared" si="18"/>
        <v>11402.936904942444</v>
      </c>
      <c r="AM46" s="736">
        <f t="shared" si="18"/>
        <v>12442.156860390503</v>
      </c>
      <c r="AN46" s="736">
        <f t="shared" si="18"/>
        <v>13576.087338645486</v>
      </c>
      <c r="AO46" s="736">
        <f t="shared" si="18"/>
        <v>14813.35989367567</v>
      </c>
      <c r="AP46" s="736">
        <f t="shared" si="18"/>
        <v>16163.392726188255</v>
      </c>
      <c r="AQ46" s="736">
        <f t="shared" si="18"/>
        <v>14764.028626131159</v>
      </c>
      <c r="AR46" s="736">
        <f t="shared" si="18"/>
        <v>13485.816063854612</v>
      </c>
      <c r="AS46" s="736">
        <f t="shared" si="18"/>
        <v>12318.266207248376</v>
      </c>
      <c r="AT46" s="736">
        <f t="shared" si="18"/>
        <v>11251.798306766013</v>
      </c>
      <c r="AU46" s="736">
        <f t="shared" si="18"/>
        <v>10277.661077144619</v>
      </c>
      <c r="AV46" s="736">
        <f t="shared" si="18"/>
        <v>11712.773240383072</v>
      </c>
      <c r="AW46" s="736">
        <f t="shared" si="18"/>
        <v>13348.276028065735</v>
      </c>
      <c r="AX46" s="736">
        <f t="shared" si="18"/>
        <v>15212.150808753046</v>
      </c>
      <c r="AY46" s="736">
        <f t="shared" si="18"/>
        <v>17336.286104789135</v>
      </c>
      <c r="AZ46" s="736">
        <f t="shared" si="18"/>
        <v>19757.023164283295</v>
      </c>
      <c r="BA46" s="736">
        <f t="shared" si="18"/>
        <v>18360.971768753996</v>
      </c>
      <c r="BB46" s="736">
        <f t="shared" si="18"/>
        <v>17063.566787856769</v>
      </c>
      <c r="BC46" s="736">
        <f t="shared" si="18"/>
        <v>15857.837765381382</v>
      </c>
      <c r="BD46" s="736">
        <f t="shared" si="18"/>
        <v>14737.306784658558</v>
      </c>
      <c r="BE46" s="736">
        <f t="shared" si="18"/>
        <v>13695.953665213941</v>
      </c>
      <c r="BF46" s="736">
        <f t="shared" si="18"/>
        <v>17217.14575767015</v>
      </c>
      <c r="BG46" s="736">
        <f t="shared" si="18"/>
        <v>21643.626671558894</v>
      </c>
      <c r="BH46" s="736">
        <f t="shared" si="18"/>
        <v>27208.143677887198</v>
      </c>
      <c r="BI46" s="736">
        <f t="shared" si="18"/>
        <v>34203.282732155618</v>
      </c>
      <c r="BJ46" s="736">
        <f t="shared" si="18"/>
        <v>42996.852835886602</v>
      </c>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54"/>
    </row>
    <row r="47" spans="1:121" x14ac:dyDescent="0.2">
      <c r="C47" s="118" t="s">
        <v>38</v>
      </c>
      <c r="D47" s="118"/>
      <c r="E47" s="118"/>
      <c r="F47" s="118"/>
      <c r="G47" s="118"/>
      <c r="H47" s="118"/>
      <c r="I47" s="118"/>
      <c r="J47" s="118"/>
      <c r="K47" s="601" t="s">
        <v>62</v>
      </c>
      <c r="L47" s="118"/>
      <c r="M47" s="118"/>
      <c r="N47" s="736">
        <f ca="1">+SUM(Q47:BJ47)</f>
        <v>-1952484.4642542857</v>
      </c>
      <c r="O47" s="118"/>
      <c r="P47" s="118"/>
      <c r="Q47" s="119"/>
      <c r="R47" s="736">
        <f>+R58+R59</f>
        <v>-86664.336596297653</v>
      </c>
      <c r="S47" s="736">
        <f t="shared" ref="S47:BJ47" ca="1" si="19">+S58+S59</f>
        <v>-93162.943824480157</v>
      </c>
      <c r="T47" s="736">
        <f t="shared" ca="1" si="19"/>
        <v>-93277.680624480156</v>
      </c>
      <c r="U47" s="736">
        <f t="shared" ca="1" si="19"/>
        <v>-93429.140636771306</v>
      </c>
      <c r="V47" s="736">
        <f t="shared" ca="1" si="19"/>
        <v>-93650.563105162655</v>
      </c>
      <c r="W47" s="736">
        <f t="shared" ca="1" si="19"/>
        <v>-93974.265109189131</v>
      </c>
      <c r="X47" s="736">
        <f t="shared" ca="1" si="19"/>
        <v>-94323.246666491061</v>
      </c>
      <c r="Y47" s="736">
        <f t="shared" ca="1" si="19"/>
        <v>-94699.481987316933</v>
      </c>
      <c r="Z47" s="736">
        <f t="shared" ca="1" si="19"/>
        <v>-95105.099458140714</v>
      </c>
      <c r="AA47" s="736">
        <f t="shared" ca="1" si="19"/>
        <v>-95542.393682075679</v>
      </c>
      <c r="AB47" s="736">
        <f t="shared" ca="1" si="19"/>
        <v>-96013.838459586186</v>
      </c>
      <c r="AC47" s="736">
        <f t="shared" ca="1" si="19"/>
        <v>-96488.016869489336</v>
      </c>
      <c r="AD47" s="736">
        <f t="shared" ca="1" si="19"/>
        <v>-96964.944762519764</v>
      </c>
      <c r="AE47" s="736">
        <f t="shared" ca="1" si="19"/>
        <v>-97444.638081321231</v>
      </c>
      <c r="AF47" s="736">
        <f t="shared" ca="1" si="19"/>
        <v>-97927.112860979556</v>
      </c>
      <c r="AG47" s="736">
        <f t="shared" ca="1" si="19"/>
        <v>-57518.075719078086</v>
      </c>
      <c r="AH47" s="736">
        <f t="shared" ca="1" si="19"/>
        <v>-5771.1136761401931</v>
      </c>
      <c r="AI47" s="736">
        <f t="shared" ca="1" si="19"/>
        <v>-6217.1793780249754</v>
      </c>
      <c r="AJ47" s="736">
        <f t="shared" ca="1" si="19"/>
        <v>-6668.5872265847593</v>
      </c>
      <c r="AK47" s="736">
        <f t="shared" ca="1" si="19"/>
        <v>-7095.2532678299949</v>
      </c>
      <c r="AL47" s="736">
        <f t="shared" ca="1" si="19"/>
        <v>-7468.2523878775874</v>
      </c>
      <c r="AM47" s="736">
        <f t="shared" ca="1" si="19"/>
        <v>-7879.4666242384892</v>
      </c>
      <c r="AN47" s="736">
        <f t="shared" ca="1" si="19"/>
        <v>-8332.708427438647</v>
      </c>
      <c r="AO47" s="736">
        <f t="shared" ca="1" si="19"/>
        <v>-8832.1634458579047</v>
      </c>
      <c r="AP47" s="736">
        <f t="shared" ca="1" si="19"/>
        <v>-9382.4265481679813</v>
      </c>
      <c r="AQ47" s="736">
        <f t="shared" ca="1" si="19"/>
        <v>-9988.5412857366973</v>
      </c>
      <c r="AR47" s="736">
        <f t="shared" ca="1" si="19"/>
        <v>-10498.631450908953</v>
      </c>
      <c r="AS47" s="736">
        <f t="shared" ca="1" si="19"/>
        <v>-10920.757962135496</v>
      </c>
      <c r="AT47" s="736">
        <f t="shared" ca="1" si="19"/>
        <v>-11262.282390483924</v>
      </c>
      <c r="AU47" s="736">
        <f t="shared" ca="1" si="19"/>
        <v>-11529.927497943338</v>
      </c>
      <c r="AV47" s="736">
        <f t="shared" ca="1" si="19"/>
        <v>-11729.832534507232</v>
      </c>
      <c r="AW47" s="736">
        <f t="shared" ca="1" si="19"/>
        <v>-11989.011812804374</v>
      </c>
      <c r="AX47" s="736">
        <f t="shared" ca="1" si="19"/>
        <v>-12318.09437945731</v>
      </c>
      <c r="AY47" s="736">
        <f t="shared" ca="1" si="19"/>
        <v>-12729.36990585658</v>
      </c>
      <c r="AZ47" s="736">
        <f t="shared" ca="1" si="19"/>
        <v>-13237.033803205937</v>
      </c>
      <c r="BA47" s="736">
        <f t="shared" ca="1" si="19"/>
        <v>-13857.467556750758</v>
      </c>
      <c r="BB47" s="736">
        <f t="shared" ca="1" si="19"/>
        <v>-14321.33654767153</v>
      </c>
      <c r="BC47" s="736">
        <f t="shared" ca="1" si="19"/>
        <v>-14629.430542835948</v>
      </c>
      <c r="BD47" s="736">
        <f t="shared" ca="1" si="19"/>
        <v>-14781.547237951676</v>
      </c>
      <c r="BE47" s="736">
        <f t="shared" ca="1" si="19"/>
        <v>-14776.477030683867</v>
      </c>
      <c r="BF47" s="736">
        <f t="shared" ca="1" si="19"/>
        <v>-14611.981093285578</v>
      </c>
      <c r="BG47" s="736">
        <f t="shared" ca="1" si="19"/>
        <v>-14775.522235388178</v>
      </c>
      <c r="BH47" s="736">
        <f t="shared" ca="1" si="19"/>
        <v>-15319.376275901797</v>
      </c>
      <c r="BI47" s="736">
        <f t="shared" ca="1" si="19"/>
        <v>-16312.034773944386</v>
      </c>
      <c r="BJ47" s="736">
        <f t="shared" ca="1" si="19"/>
        <v>-159062.87851129175</v>
      </c>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54"/>
    </row>
    <row r="48" spans="1:121" x14ac:dyDescent="0.2">
      <c r="C48" s="118" t="s">
        <v>139</v>
      </c>
      <c r="D48" s="118"/>
      <c r="E48" s="118"/>
      <c r="F48" s="118"/>
      <c r="G48" s="118"/>
      <c r="H48" s="118"/>
      <c r="I48" s="118"/>
      <c r="J48" s="118"/>
      <c r="K48" s="601"/>
      <c r="L48" s="118"/>
      <c r="M48" s="118"/>
      <c r="N48" s="119"/>
      <c r="O48" s="118"/>
      <c r="P48" s="118"/>
      <c r="Q48" s="119"/>
      <c r="R48" s="736">
        <f t="shared" ref="R48:AO48" si="20">SUM(R45:R47)</f>
        <v>1310779.8207709049</v>
      </c>
      <c r="S48" s="736">
        <f t="shared" ca="1" si="20"/>
        <v>1219337.9289464247</v>
      </c>
      <c r="T48" s="736">
        <f t="shared" ca="1" si="20"/>
        <v>1128332.1485063117</v>
      </c>
      <c r="U48" s="736">
        <f t="shared" ca="1" si="20"/>
        <v>1038224.3448954107</v>
      </c>
      <c r="V48" s="736">
        <f t="shared" ca="1" si="20"/>
        <v>949429.31185064511</v>
      </c>
      <c r="W48" s="736">
        <f t="shared" ca="1" si="20"/>
        <v>860689.77010098496</v>
      </c>
      <c r="X48" s="736">
        <f t="shared" ca="1" si="20"/>
        <v>772010.05324688205</v>
      </c>
      <c r="Y48" s="736">
        <f t="shared" ca="1" si="20"/>
        <v>683394.83332192164</v>
      </c>
      <c r="Z48" s="736">
        <f t="shared" ca="1" si="20"/>
        <v>594849.14722280554</v>
      </c>
      <c r="AA48" s="736">
        <f t="shared" ca="1" si="20"/>
        <v>506378.42520338739</v>
      </c>
      <c r="AB48" s="736">
        <f t="shared" ca="1" si="20"/>
        <v>417477.26289234852</v>
      </c>
      <c r="AC48" s="736">
        <f t="shared" ca="1" si="20"/>
        <v>328143.16441831563</v>
      </c>
      <c r="AD48" s="736">
        <f t="shared" ca="1" si="20"/>
        <v>238373.61943781786</v>
      </c>
      <c r="AE48" s="736">
        <f t="shared" ca="1" si="20"/>
        <v>148166.10305137146</v>
      </c>
      <c r="AF48" s="736">
        <f t="shared" ca="1" si="20"/>
        <v>57518.075719078086</v>
      </c>
      <c r="AG48" s="736">
        <f t="shared" ca="1" si="20"/>
        <v>7825.0840659259266</v>
      </c>
      <c r="AH48" s="736">
        <f t="shared" ca="1" si="20"/>
        <v>10466.007918057461</v>
      </c>
      <c r="AI48" s="736">
        <f t="shared" ca="1" si="20"/>
        <v>13291.846452796432</v>
      </c>
      <c r="AJ48" s="736">
        <f t="shared" ca="1" si="20"/>
        <v>16344.586870760437</v>
      </c>
      <c r="AK48" s="736">
        <f t="shared" ca="1" si="20"/>
        <v>19699.850464041407</v>
      </c>
      <c r="AL48" s="736">
        <f t="shared" ca="1" si="20"/>
        <v>23634.534981106266</v>
      </c>
      <c r="AM48" s="736">
        <f t="shared" ca="1" si="20"/>
        <v>28197.225217258278</v>
      </c>
      <c r="AN48" s="736">
        <f t="shared" ca="1" si="20"/>
        <v>33440.604128465115</v>
      </c>
      <c r="AO48" s="736">
        <f t="shared" ca="1" si="20"/>
        <v>39421.800576282876</v>
      </c>
      <c r="AP48" s="736">
        <f t="shared" ref="AP48:BJ48" ca="1" si="21">SUM(AP45:AP47)</f>
        <v>46202.766754303149</v>
      </c>
      <c r="AQ48" s="736">
        <f t="shared" ca="1" si="21"/>
        <v>50978.254094697615</v>
      </c>
      <c r="AR48" s="736">
        <f t="shared" ca="1" si="21"/>
        <v>53965.438707643276</v>
      </c>
      <c r="AS48" s="736">
        <f t="shared" ca="1" si="21"/>
        <v>55362.94695275616</v>
      </c>
      <c r="AT48" s="736">
        <f t="shared" ca="1" si="21"/>
        <v>55352.462869038245</v>
      </c>
      <c r="AU48" s="736">
        <f t="shared" ca="1" si="21"/>
        <v>54100.196448239527</v>
      </c>
      <c r="AV48" s="736">
        <f t="shared" ca="1" si="21"/>
        <v>54083.137154115371</v>
      </c>
      <c r="AW48" s="736">
        <f t="shared" ca="1" si="21"/>
        <v>55442.401369376727</v>
      </c>
      <c r="AX48" s="736">
        <f t="shared" ca="1" si="21"/>
        <v>58336.457798672462</v>
      </c>
      <c r="AY48" s="736">
        <f t="shared" ca="1" si="21"/>
        <v>62943.373997605013</v>
      </c>
      <c r="AZ48" s="736">
        <f t="shared" ca="1" si="21"/>
        <v>69463.363358682371</v>
      </c>
      <c r="BA48" s="736">
        <f t="shared" ca="1" si="21"/>
        <v>73966.867570685601</v>
      </c>
      <c r="BB48" s="736">
        <f t="shared" ca="1" si="21"/>
        <v>76709.097810870851</v>
      </c>
      <c r="BC48" s="736">
        <f t="shared" ca="1" si="21"/>
        <v>77937.505033416281</v>
      </c>
      <c r="BD48" s="736">
        <f t="shared" ca="1" si="21"/>
        <v>77893.26458012317</v>
      </c>
      <c r="BE48" s="736">
        <f t="shared" ca="1" si="21"/>
        <v>76812.741214653244</v>
      </c>
      <c r="BF48" s="736">
        <f t="shared" ca="1" si="21"/>
        <v>79417.905879037819</v>
      </c>
      <c r="BG48" s="736">
        <f t="shared" ca="1" si="21"/>
        <v>86286.010315208536</v>
      </c>
      <c r="BH48" s="736">
        <f t="shared" ca="1" si="21"/>
        <v>98174.777717193938</v>
      </c>
      <c r="BI48" s="736">
        <f t="shared" ca="1" si="21"/>
        <v>116066.02567540517</v>
      </c>
      <c r="BJ48" s="736">
        <f t="shared" ca="1" si="21"/>
        <v>0</v>
      </c>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54"/>
    </row>
    <row r="49" spans="1:121" ht="13.5" thickBot="1" x14ac:dyDescent="0.25">
      <c r="DQ49" s="54"/>
    </row>
    <row r="50" spans="1:121" ht="13.5" thickBot="1" x14ac:dyDescent="0.25">
      <c r="L50" s="75"/>
      <c r="N50" s="723">
        <f ca="1">IF((ROUND(N46,0)+ROUND(N47,0))=0,0,1)</f>
        <v>0</v>
      </c>
      <c r="Q50" s="114"/>
      <c r="DQ50" s="54"/>
    </row>
    <row r="51" spans="1:121" x14ac:dyDescent="0.2">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DQ51" s="54"/>
    </row>
    <row r="52" spans="1:121" x14ac:dyDescent="0.2">
      <c r="B52" s="4" t="s">
        <v>350</v>
      </c>
      <c r="Q52" s="117"/>
      <c r="DQ52" s="54"/>
    </row>
    <row r="53" spans="1:121" x14ac:dyDescent="0.2">
      <c r="B53" s="800">
        <v>15</v>
      </c>
      <c r="C53" s="801"/>
      <c r="D53" s="704">
        <f>1/B53</f>
        <v>6.6666666666666666E-2</v>
      </c>
      <c r="G53" s="75" t="str">
        <f ca="1">IF(ROUND(SUM(N57:N59),3) = 0, "OK", "Error")</f>
        <v>OK</v>
      </c>
      <c r="Q53" s="80"/>
      <c r="R53" s="80">
        <f t="shared" ref="R53:BJ53" si="22">+IF(R54&gt;($BJ$54-$B$53),$D$53,0)</f>
        <v>0</v>
      </c>
      <c r="S53" s="80">
        <f t="shared" si="22"/>
        <v>0</v>
      </c>
      <c r="T53" s="80">
        <f t="shared" si="22"/>
        <v>0</v>
      </c>
      <c r="U53" s="80">
        <f t="shared" si="22"/>
        <v>0</v>
      </c>
      <c r="V53" s="80">
        <f t="shared" si="22"/>
        <v>0</v>
      </c>
      <c r="W53" s="80">
        <f t="shared" si="22"/>
        <v>0</v>
      </c>
      <c r="X53" s="80">
        <f t="shared" si="22"/>
        <v>0</v>
      </c>
      <c r="Y53" s="80">
        <f t="shared" si="22"/>
        <v>0</v>
      </c>
      <c r="Z53" s="80">
        <f t="shared" si="22"/>
        <v>0</v>
      </c>
      <c r="AA53" s="80">
        <f t="shared" si="22"/>
        <v>0</v>
      </c>
      <c r="AB53" s="80">
        <f t="shared" si="22"/>
        <v>0</v>
      </c>
      <c r="AC53" s="80">
        <f t="shared" si="22"/>
        <v>0</v>
      </c>
      <c r="AD53" s="80">
        <f t="shared" si="22"/>
        <v>0</v>
      </c>
      <c r="AE53" s="80">
        <f t="shared" si="22"/>
        <v>0</v>
      </c>
      <c r="AF53" s="80">
        <f t="shared" si="22"/>
        <v>0</v>
      </c>
      <c r="AG53" s="80">
        <f t="shared" si="22"/>
        <v>0</v>
      </c>
      <c r="AH53" s="80">
        <f t="shared" si="22"/>
        <v>0</v>
      </c>
      <c r="AI53" s="80">
        <f t="shared" si="22"/>
        <v>0</v>
      </c>
      <c r="AJ53" s="80">
        <f t="shared" si="22"/>
        <v>0</v>
      </c>
      <c r="AK53" s="80">
        <f t="shared" si="22"/>
        <v>0</v>
      </c>
      <c r="AL53" s="80">
        <f t="shared" si="22"/>
        <v>0</v>
      </c>
      <c r="AM53" s="80">
        <f t="shared" si="22"/>
        <v>0</v>
      </c>
      <c r="AN53" s="80">
        <f t="shared" si="22"/>
        <v>0</v>
      </c>
      <c r="AO53" s="80">
        <f t="shared" si="22"/>
        <v>0</v>
      </c>
      <c r="AP53" s="80">
        <f t="shared" si="22"/>
        <v>0</v>
      </c>
      <c r="AQ53" s="80">
        <f t="shared" si="22"/>
        <v>0</v>
      </c>
      <c r="AR53" s="80">
        <f t="shared" si="22"/>
        <v>0</v>
      </c>
      <c r="AS53" s="80">
        <f t="shared" si="22"/>
        <v>0</v>
      </c>
      <c r="AT53" s="80">
        <f t="shared" si="22"/>
        <v>0</v>
      </c>
      <c r="AU53" s="80">
        <f t="shared" si="22"/>
        <v>0</v>
      </c>
      <c r="AV53" s="80">
        <f t="shared" si="22"/>
        <v>6.6666666666666666E-2</v>
      </c>
      <c r="AW53" s="80">
        <f t="shared" si="22"/>
        <v>6.6666666666666666E-2</v>
      </c>
      <c r="AX53" s="80">
        <f t="shared" si="22"/>
        <v>6.6666666666666666E-2</v>
      </c>
      <c r="AY53" s="80">
        <f t="shared" si="22"/>
        <v>6.6666666666666666E-2</v>
      </c>
      <c r="AZ53" s="80">
        <f t="shared" si="22"/>
        <v>6.6666666666666666E-2</v>
      </c>
      <c r="BA53" s="80">
        <f t="shared" si="22"/>
        <v>6.6666666666666666E-2</v>
      </c>
      <c r="BB53" s="80">
        <f t="shared" si="22"/>
        <v>6.6666666666666666E-2</v>
      </c>
      <c r="BC53" s="80">
        <f t="shared" si="22"/>
        <v>6.6666666666666666E-2</v>
      </c>
      <c r="BD53" s="80">
        <f t="shared" si="22"/>
        <v>6.6666666666666666E-2</v>
      </c>
      <c r="BE53" s="80">
        <f t="shared" si="22"/>
        <v>6.6666666666666666E-2</v>
      </c>
      <c r="BF53" s="80">
        <f t="shared" si="22"/>
        <v>6.6666666666666666E-2</v>
      </c>
      <c r="BG53" s="80">
        <f t="shared" si="22"/>
        <v>6.6666666666666666E-2</v>
      </c>
      <c r="BH53" s="80">
        <f t="shared" si="22"/>
        <v>6.6666666666666666E-2</v>
      </c>
      <c r="BI53" s="80">
        <f t="shared" si="22"/>
        <v>6.6666666666666666E-2</v>
      </c>
      <c r="BJ53" s="80">
        <f t="shared" si="22"/>
        <v>6.6666666666666666E-2</v>
      </c>
      <c r="BK53" s="80"/>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54"/>
    </row>
    <row r="54" spans="1:121" x14ac:dyDescent="0.2">
      <c r="C54" t="s">
        <v>143</v>
      </c>
      <c r="K54" s="160" t="s">
        <v>56</v>
      </c>
      <c r="Q54" s="16"/>
      <c r="R54" s="78">
        <f>+SUM(CF!$P$13:R13)</f>
        <v>2</v>
      </c>
      <c r="S54" s="78">
        <f>+SUM(CF!$P$13:S13)</f>
        <v>3</v>
      </c>
      <c r="T54" s="78">
        <f>+SUM(CF!$P$13:T13)</f>
        <v>4</v>
      </c>
      <c r="U54" s="78">
        <f>+SUM(CF!$P$13:U13)</f>
        <v>5</v>
      </c>
      <c r="V54" s="78">
        <f>+SUM(CF!$P$13:V13)</f>
        <v>6</v>
      </c>
      <c r="W54" s="78">
        <f>+SUM(CF!$P$13:W13)</f>
        <v>7</v>
      </c>
      <c r="X54" s="78">
        <f>+SUM(CF!$P$13:X13)</f>
        <v>8</v>
      </c>
      <c r="Y54" s="78">
        <f>+SUM(CF!$P$13:Y13)</f>
        <v>9</v>
      </c>
      <c r="Z54" s="78">
        <f>+SUM(CF!$P$13:Z13)</f>
        <v>10</v>
      </c>
      <c r="AA54" s="78">
        <f>+SUM(CF!$P$13:AA13)</f>
        <v>11</v>
      </c>
      <c r="AB54" s="78">
        <f>+SUM(CF!$P$13:AB13)</f>
        <v>12</v>
      </c>
      <c r="AC54" s="78">
        <f>+SUM(CF!$P$13:AC13)</f>
        <v>13</v>
      </c>
      <c r="AD54" s="78">
        <f>+SUM(CF!$P$13:AD13)</f>
        <v>14</v>
      </c>
      <c r="AE54" s="78">
        <f>+SUM(CF!$P$13:AE13)</f>
        <v>15</v>
      </c>
      <c r="AF54" s="78">
        <f>+SUM(CF!$P$13:AF13)</f>
        <v>16</v>
      </c>
      <c r="AG54" s="78">
        <f>+SUM(CF!$P$13:AG13)</f>
        <v>17</v>
      </c>
      <c r="AH54" s="78">
        <f>+SUM(CF!$P$13:AH13)</f>
        <v>18</v>
      </c>
      <c r="AI54" s="78">
        <f>+SUM(CF!$P$13:AI13)</f>
        <v>19</v>
      </c>
      <c r="AJ54" s="78">
        <f>+SUM(CF!$P$13:AJ13)</f>
        <v>20</v>
      </c>
      <c r="AK54" s="78">
        <f>+SUM(CF!$P$13:AK13)</f>
        <v>21</v>
      </c>
      <c r="AL54" s="78">
        <f>+SUM(CF!$P$13:AL13)</f>
        <v>22</v>
      </c>
      <c r="AM54" s="78">
        <f>+SUM(CF!$P$13:AM13)</f>
        <v>23</v>
      </c>
      <c r="AN54" s="78">
        <f>+SUM(CF!$P$13:AN13)</f>
        <v>24</v>
      </c>
      <c r="AO54" s="78">
        <f>+SUM(CF!$P$13:AO13)</f>
        <v>25</v>
      </c>
      <c r="AP54" s="78">
        <f>+SUM(CF!$P$13:AP13)</f>
        <v>26</v>
      </c>
      <c r="AQ54" s="78">
        <f>+SUM(CF!$P$13:AQ13)</f>
        <v>27</v>
      </c>
      <c r="AR54" s="78">
        <f>+SUM(CF!$P$13:AR13)</f>
        <v>28</v>
      </c>
      <c r="AS54" s="78">
        <f>+SUM(CF!$P$13:AS13)</f>
        <v>29</v>
      </c>
      <c r="AT54" s="78">
        <f>+SUM(CF!$P$13:AT13)</f>
        <v>30</v>
      </c>
      <c r="AU54" s="78">
        <f>+SUM(CF!$P$13:AU13)</f>
        <v>31</v>
      </c>
      <c r="AV54" s="78">
        <f>+SUM(CF!$P$13:AV13)</f>
        <v>32</v>
      </c>
      <c r="AW54" s="78">
        <f>+SUM(CF!$P$13:AW13)</f>
        <v>33</v>
      </c>
      <c r="AX54" s="78">
        <f>+SUM(CF!$P$13:AX13)</f>
        <v>34</v>
      </c>
      <c r="AY54" s="78">
        <f>+SUM(CF!$P$13:AY13)</f>
        <v>35</v>
      </c>
      <c r="AZ54" s="78">
        <f>+SUM(CF!$P$13:AZ13)</f>
        <v>36</v>
      </c>
      <c r="BA54" s="78">
        <f>+SUM(CF!$P$13:BA13)</f>
        <v>37</v>
      </c>
      <c r="BB54" s="78">
        <f>+SUM(CF!$P$13:BB13)</f>
        <v>38</v>
      </c>
      <c r="BC54" s="78">
        <f>+SUM(CF!$P$13:BC13)</f>
        <v>39</v>
      </c>
      <c r="BD54" s="78">
        <f>+SUM(CF!$P$13:BD13)</f>
        <v>40</v>
      </c>
      <c r="BE54" s="78">
        <f>+SUM(CF!$P$13:BE13)</f>
        <v>41</v>
      </c>
      <c r="BF54" s="78">
        <f>+SUM(CF!$P$13:BF13)</f>
        <v>42</v>
      </c>
      <c r="BG54" s="78">
        <f>+SUM(CF!$P$13:BG13)</f>
        <v>43</v>
      </c>
      <c r="BH54" s="78">
        <f>+SUM(CF!$P$13:BH13)</f>
        <v>44</v>
      </c>
      <c r="BI54" s="78">
        <f>+SUM(CF!$P$13:BI13)</f>
        <v>45</v>
      </c>
      <c r="BJ54" s="78">
        <f>+SUM(CF!$P$13:BJ13)</f>
        <v>46</v>
      </c>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54"/>
    </row>
    <row r="55" spans="1:121" x14ac:dyDescent="0.2">
      <c r="Q55" s="16"/>
      <c r="R55" s="588"/>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54"/>
    </row>
    <row r="56" spans="1:121" x14ac:dyDescent="0.2">
      <c r="C56" t="s">
        <v>135</v>
      </c>
      <c r="Q56" s="573"/>
      <c r="R56" s="588"/>
      <c r="S56" s="78">
        <f t="shared" ref="S56:AO56" si="23">+R60</f>
        <v>1310779.8207709049</v>
      </c>
      <c r="T56" s="78">
        <f t="shared" ca="1" si="23"/>
        <v>1219337.9289464247</v>
      </c>
      <c r="U56" s="78">
        <f t="shared" ca="1" si="23"/>
        <v>1128332.1485063117</v>
      </c>
      <c r="V56" s="78">
        <f t="shared" ca="1" si="23"/>
        <v>1038224.3448954107</v>
      </c>
      <c r="W56" s="78">
        <f t="shared" ca="1" si="23"/>
        <v>949429.31185064511</v>
      </c>
      <c r="X56" s="78">
        <f t="shared" ca="1" si="23"/>
        <v>860689.77010098496</v>
      </c>
      <c r="Y56" s="78">
        <f t="shared" ca="1" si="23"/>
        <v>772010.05324688205</v>
      </c>
      <c r="Z56" s="78">
        <f t="shared" ca="1" si="23"/>
        <v>683394.83332192164</v>
      </c>
      <c r="AA56" s="78">
        <f t="shared" ca="1" si="23"/>
        <v>594849.14722280554</v>
      </c>
      <c r="AB56" s="78">
        <f t="shared" ca="1" si="23"/>
        <v>506378.42520338739</v>
      </c>
      <c r="AC56" s="78">
        <f t="shared" ca="1" si="23"/>
        <v>417477.26289234852</v>
      </c>
      <c r="AD56" s="78">
        <f t="shared" ca="1" si="23"/>
        <v>328143.16441831563</v>
      </c>
      <c r="AE56" s="78">
        <f t="shared" ca="1" si="23"/>
        <v>238373.61943781786</v>
      </c>
      <c r="AF56" s="78">
        <f t="shared" ca="1" si="23"/>
        <v>148166.10305137146</v>
      </c>
      <c r="AG56" s="78">
        <f t="shared" ca="1" si="23"/>
        <v>57518.075719078086</v>
      </c>
      <c r="AH56" s="78">
        <f t="shared" ca="1" si="23"/>
        <v>7825.0840659259266</v>
      </c>
      <c r="AI56" s="78">
        <f t="shared" ca="1" si="23"/>
        <v>10466.007918057461</v>
      </c>
      <c r="AJ56" s="78">
        <f t="shared" ca="1" si="23"/>
        <v>13291.846452796432</v>
      </c>
      <c r="AK56" s="78">
        <f t="shared" ca="1" si="23"/>
        <v>16344.586870760437</v>
      </c>
      <c r="AL56" s="78">
        <f t="shared" ca="1" si="23"/>
        <v>19699.850464041407</v>
      </c>
      <c r="AM56" s="78">
        <f t="shared" ca="1" si="23"/>
        <v>23634.534981106266</v>
      </c>
      <c r="AN56" s="78">
        <f t="shared" ca="1" si="23"/>
        <v>28197.225217258278</v>
      </c>
      <c r="AO56" s="78">
        <f t="shared" ca="1" si="23"/>
        <v>33440.604128465115</v>
      </c>
      <c r="AP56" s="78">
        <f t="shared" ref="AP56:BJ56" ca="1" si="24">+AO60</f>
        <v>39421.800576282876</v>
      </c>
      <c r="AQ56" s="78">
        <f t="shared" ca="1" si="24"/>
        <v>46202.766754303149</v>
      </c>
      <c r="AR56" s="78">
        <f t="shared" ca="1" si="24"/>
        <v>50978.254094697615</v>
      </c>
      <c r="AS56" s="78">
        <f t="shared" ca="1" si="24"/>
        <v>53965.438707643276</v>
      </c>
      <c r="AT56" s="78">
        <f t="shared" ca="1" si="24"/>
        <v>55362.94695275616</v>
      </c>
      <c r="AU56" s="78">
        <f t="shared" ca="1" si="24"/>
        <v>55352.462869038245</v>
      </c>
      <c r="AV56" s="78">
        <f t="shared" ca="1" si="24"/>
        <v>54100.196448239527</v>
      </c>
      <c r="AW56" s="78">
        <f t="shared" ca="1" si="24"/>
        <v>54083.137154115371</v>
      </c>
      <c r="AX56" s="78">
        <f t="shared" ca="1" si="24"/>
        <v>55442.401369376727</v>
      </c>
      <c r="AY56" s="78">
        <f t="shared" ca="1" si="24"/>
        <v>58336.457798672462</v>
      </c>
      <c r="AZ56" s="78">
        <f t="shared" ca="1" si="24"/>
        <v>62943.373997605013</v>
      </c>
      <c r="BA56" s="78">
        <f t="shared" ca="1" si="24"/>
        <v>69463.363358682371</v>
      </c>
      <c r="BB56" s="78">
        <f t="shared" ca="1" si="24"/>
        <v>73966.867570685601</v>
      </c>
      <c r="BC56" s="78">
        <f t="shared" ca="1" si="24"/>
        <v>76709.097810870851</v>
      </c>
      <c r="BD56" s="78">
        <f t="shared" ca="1" si="24"/>
        <v>77937.505033416281</v>
      </c>
      <c r="BE56" s="78">
        <f t="shared" ca="1" si="24"/>
        <v>77893.26458012317</v>
      </c>
      <c r="BF56" s="78">
        <f t="shared" ca="1" si="24"/>
        <v>76812.741214653244</v>
      </c>
      <c r="BG56" s="78">
        <f t="shared" ca="1" si="24"/>
        <v>79417.905879037819</v>
      </c>
      <c r="BH56" s="78">
        <f t="shared" ca="1" si="24"/>
        <v>86286.010315208536</v>
      </c>
      <c r="BI56" s="78">
        <f t="shared" ca="1" si="24"/>
        <v>98174.777717193938</v>
      </c>
      <c r="BJ56" s="78">
        <f t="shared" ca="1" si="24"/>
        <v>116066.02567540517</v>
      </c>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54"/>
    </row>
    <row r="57" spans="1:121" x14ac:dyDescent="0.2">
      <c r="C57" t="s">
        <v>136</v>
      </c>
      <c r="K57" s="160" t="s">
        <v>62</v>
      </c>
      <c r="N57" s="78">
        <f>SUM(Q57:BJ57)</f>
        <v>1952484.4642542852</v>
      </c>
      <c r="Q57" s="100"/>
      <c r="R57" s="735">
        <f>R60-R58</f>
        <v>1397444.1573672025</v>
      </c>
      <c r="S57" s="100">
        <f t="shared" ref="S57:BJ57" si="25">+ SUM(S$37:S$37)</f>
        <v>1721.0519999999956</v>
      </c>
      <c r="T57" s="100">
        <f t="shared" si="25"/>
        <v>2271.9001843671922</v>
      </c>
      <c r="U57" s="100">
        <f t="shared" si="25"/>
        <v>3321.3370258702384</v>
      </c>
      <c r="V57" s="100">
        <f t="shared" si="25"/>
        <v>4855.5300603970763</v>
      </c>
      <c r="W57" s="100">
        <f t="shared" si="25"/>
        <v>5234.7233595289154</v>
      </c>
      <c r="X57" s="100">
        <f t="shared" si="25"/>
        <v>5643.5298123881421</v>
      </c>
      <c r="Y57" s="100">
        <f t="shared" si="25"/>
        <v>6084.2620623566136</v>
      </c>
      <c r="Z57" s="100">
        <f t="shared" si="25"/>
        <v>6559.4133590245247</v>
      </c>
      <c r="AA57" s="100">
        <f t="shared" si="25"/>
        <v>7071.6716626575071</v>
      </c>
      <c r="AB57" s="100">
        <f t="shared" si="25"/>
        <v>7112.6761485473016</v>
      </c>
      <c r="AC57" s="100">
        <f t="shared" si="25"/>
        <v>7153.9183954564542</v>
      </c>
      <c r="AD57" s="100">
        <f t="shared" si="25"/>
        <v>7195.3997820219884</v>
      </c>
      <c r="AE57" s="100">
        <f t="shared" si="25"/>
        <v>7237.1216948748361</v>
      </c>
      <c r="AF57" s="100">
        <f t="shared" si="25"/>
        <v>7279.0855286861879</v>
      </c>
      <c r="AG57" s="100">
        <f t="shared" si="25"/>
        <v>7825.0840659259275</v>
      </c>
      <c r="AH57" s="100">
        <f t="shared" si="25"/>
        <v>8412.0375282717268</v>
      </c>
      <c r="AI57" s="100">
        <f t="shared" si="25"/>
        <v>9043.0179127639458</v>
      </c>
      <c r="AJ57" s="100">
        <f t="shared" si="25"/>
        <v>9721.3276445487663</v>
      </c>
      <c r="AK57" s="100">
        <f t="shared" si="25"/>
        <v>10450.516861110962</v>
      </c>
      <c r="AL57" s="100">
        <f t="shared" si="25"/>
        <v>11402.936904942444</v>
      </c>
      <c r="AM57" s="100">
        <f t="shared" si="25"/>
        <v>12442.156860390503</v>
      </c>
      <c r="AN57" s="100">
        <f t="shared" si="25"/>
        <v>13576.087338645486</v>
      </c>
      <c r="AO57" s="100">
        <f t="shared" si="25"/>
        <v>14813.35989367567</v>
      </c>
      <c r="AP57" s="100">
        <f t="shared" si="25"/>
        <v>16163.392726188255</v>
      </c>
      <c r="AQ57" s="100">
        <f t="shared" si="25"/>
        <v>14764.028626131159</v>
      </c>
      <c r="AR57" s="100">
        <f t="shared" si="25"/>
        <v>13485.816063854612</v>
      </c>
      <c r="AS57" s="100">
        <f t="shared" si="25"/>
        <v>12318.266207248376</v>
      </c>
      <c r="AT57" s="100">
        <f t="shared" si="25"/>
        <v>11251.798306766013</v>
      </c>
      <c r="AU57" s="100">
        <f t="shared" si="25"/>
        <v>10277.661077144619</v>
      </c>
      <c r="AV57" s="100">
        <f t="shared" si="25"/>
        <v>11712.773240383072</v>
      </c>
      <c r="AW57" s="100">
        <f t="shared" si="25"/>
        <v>13348.276028065735</v>
      </c>
      <c r="AX57" s="100">
        <f t="shared" si="25"/>
        <v>15212.150808753046</v>
      </c>
      <c r="AY57" s="100">
        <f t="shared" si="25"/>
        <v>17336.286104789135</v>
      </c>
      <c r="AZ57" s="100">
        <f t="shared" si="25"/>
        <v>19757.023164283295</v>
      </c>
      <c r="BA57" s="100">
        <f t="shared" si="25"/>
        <v>18360.971768753996</v>
      </c>
      <c r="BB57" s="100">
        <f t="shared" si="25"/>
        <v>17063.566787856769</v>
      </c>
      <c r="BC57" s="100">
        <f t="shared" si="25"/>
        <v>15857.837765381382</v>
      </c>
      <c r="BD57" s="100">
        <f t="shared" si="25"/>
        <v>14737.306784658558</v>
      </c>
      <c r="BE57" s="100">
        <f t="shared" si="25"/>
        <v>13695.953665213941</v>
      </c>
      <c r="BF57" s="100">
        <f t="shared" si="25"/>
        <v>17217.14575767015</v>
      </c>
      <c r="BG57" s="100">
        <f t="shared" si="25"/>
        <v>21643.626671558894</v>
      </c>
      <c r="BH57" s="100">
        <f t="shared" si="25"/>
        <v>27208.143677887198</v>
      </c>
      <c r="BI57" s="100">
        <f t="shared" si="25"/>
        <v>34203.282732155618</v>
      </c>
      <c r="BJ57" s="100">
        <f t="shared" si="25"/>
        <v>42996.852835886602</v>
      </c>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54"/>
    </row>
    <row r="58" spans="1:121" x14ac:dyDescent="0.2">
      <c r="C58" t="s">
        <v>137</v>
      </c>
      <c r="K58" s="160" t="s">
        <v>62</v>
      </c>
      <c r="N58" s="78">
        <f ca="1">SUM(Q58:BJ58)</f>
        <v>-1811263.7194786309</v>
      </c>
      <c r="Q58" s="573"/>
      <c r="R58" s="197">
        <f>Inputs!$L$225</f>
        <v>-86664.336596297653</v>
      </c>
      <c r="S58" s="197">
        <f t="shared" ref="S58:BJ58" ca="1" si="26">-MIN(SUMPRODUCT(OFFSET(S57,0,-1,1,-MIN($B53,S54)),OFFSET($BK53,0,-1,1,-MIN($B53,S54))),S56)</f>
        <v>-93162.943824480157</v>
      </c>
      <c r="T58" s="197">
        <f t="shared" ca="1" si="26"/>
        <v>-93277.680624480156</v>
      </c>
      <c r="U58" s="197">
        <f t="shared" ca="1" si="26"/>
        <v>-93429.140636771306</v>
      </c>
      <c r="V58" s="197">
        <f t="shared" ca="1" si="26"/>
        <v>-93650.563105162655</v>
      </c>
      <c r="W58" s="197">
        <f t="shared" ca="1" si="26"/>
        <v>-93974.265109189131</v>
      </c>
      <c r="X58" s="197">
        <f t="shared" ca="1" si="26"/>
        <v>-94323.246666491061</v>
      </c>
      <c r="Y58" s="197">
        <f t="shared" ca="1" si="26"/>
        <v>-94699.481987316933</v>
      </c>
      <c r="Z58" s="197">
        <f t="shared" ca="1" si="26"/>
        <v>-95105.099458140714</v>
      </c>
      <c r="AA58" s="197">
        <f t="shared" ca="1" si="26"/>
        <v>-95542.393682075679</v>
      </c>
      <c r="AB58" s="197">
        <f t="shared" ca="1" si="26"/>
        <v>-96013.838459586186</v>
      </c>
      <c r="AC58" s="197">
        <f t="shared" ca="1" si="26"/>
        <v>-96488.016869489336</v>
      </c>
      <c r="AD58" s="197">
        <f t="shared" ca="1" si="26"/>
        <v>-96964.944762519764</v>
      </c>
      <c r="AE58" s="197">
        <f t="shared" ca="1" si="26"/>
        <v>-97444.638081321231</v>
      </c>
      <c r="AF58" s="197">
        <f t="shared" ca="1" si="26"/>
        <v>-97927.112860979556</v>
      </c>
      <c r="AG58" s="197">
        <f t="shared" ca="1" si="26"/>
        <v>-57518.075719078086</v>
      </c>
      <c r="AH58" s="197">
        <f t="shared" ca="1" si="26"/>
        <v>-5771.1136761401931</v>
      </c>
      <c r="AI58" s="197">
        <f t="shared" ca="1" si="26"/>
        <v>-6217.1793780249754</v>
      </c>
      <c r="AJ58" s="197">
        <f t="shared" ca="1" si="26"/>
        <v>-6668.5872265847593</v>
      </c>
      <c r="AK58" s="197">
        <f t="shared" ca="1" si="26"/>
        <v>-7095.2532678299949</v>
      </c>
      <c r="AL58" s="197">
        <f t="shared" ca="1" si="26"/>
        <v>-7468.2523878775874</v>
      </c>
      <c r="AM58" s="197">
        <f t="shared" ca="1" si="26"/>
        <v>-7879.4666242384892</v>
      </c>
      <c r="AN58" s="197">
        <f t="shared" ca="1" si="26"/>
        <v>-8332.708427438647</v>
      </c>
      <c r="AO58" s="197">
        <f t="shared" ca="1" si="26"/>
        <v>-8832.1634458579047</v>
      </c>
      <c r="AP58" s="197">
        <f t="shared" ca="1" si="26"/>
        <v>-9382.4265481679813</v>
      </c>
      <c r="AQ58" s="197">
        <f t="shared" ca="1" si="26"/>
        <v>-9988.5412857366973</v>
      </c>
      <c r="AR58" s="197">
        <f t="shared" ca="1" si="26"/>
        <v>-10498.631450908953</v>
      </c>
      <c r="AS58" s="197">
        <f t="shared" ca="1" si="26"/>
        <v>-10920.757962135496</v>
      </c>
      <c r="AT58" s="197">
        <f t="shared" ca="1" si="26"/>
        <v>-11262.282390483924</v>
      </c>
      <c r="AU58" s="197">
        <f t="shared" ca="1" si="26"/>
        <v>-11529.927497943338</v>
      </c>
      <c r="AV58" s="197">
        <f t="shared" ca="1" si="26"/>
        <v>-11729.832534507232</v>
      </c>
      <c r="AW58" s="197">
        <f t="shared" ca="1" si="26"/>
        <v>-11989.011812804374</v>
      </c>
      <c r="AX58" s="197">
        <f t="shared" ca="1" si="26"/>
        <v>-12318.09437945731</v>
      </c>
      <c r="AY58" s="197">
        <f t="shared" ca="1" si="26"/>
        <v>-12729.36990585658</v>
      </c>
      <c r="AZ58" s="197">
        <f t="shared" ca="1" si="26"/>
        <v>-13237.033803205937</v>
      </c>
      <c r="BA58" s="197">
        <f t="shared" ca="1" si="26"/>
        <v>-13857.467556750758</v>
      </c>
      <c r="BB58" s="197">
        <f t="shared" ca="1" si="26"/>
        <v>-14321.33654767153</v>
      </c>
      <c r="BC58" s="197">
        <f t="shared" ca="1" si="26"/>
        <v>-14629.430542835948</v>
      </c>
      <c r="BD58" s="197">
        <f t="shared" ca="1" si="26"/>
        <v>-14781.547237951676</v>
      </c>
      <c r="BE58" s="197">
        <f t="shared" ca="1" si="26"/>
        <v>-14776.477030683867</v>
      </c>
      <c r="BF58" s="197">
        <f t="shared" ca="1" si="26"/>
        <v>-14611.981093285578</v>
      </c>
      <c r="BG58" s="197">
        <f t="shared" ca="1" si="26"/>
        <v>-14775.522235388178</v>
      </c>
      <c r="BH58" s="197">
        <f t="shared" ca="1" si="26"/>
        <v>-15319.376275901797</v>
      </c>
      <c r="BI58" s="197">
        <f t="shared" ca="1" si="26"/>
        <v>-16312.034773944386</v>
      </c>
      <c r="BJ58" s="197">
        <f t="shared" ca="1" si="26"/>
        <v>-17842.133735637024</v>
      </c>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54"/>
    </row>
    <row r="59" spans="1:121" x14ac:dyDescent="0.2">
      <c r="C59" t="s">
        <v>138</v>
      </c>
      <c r="K59" s="160" t="s">
        <v>62</v>
      </c>
      <c r="N59" s="78">
        <f t="shared" ref="N59" ca="1" si="27">SUM(Q59:BJ59)</f>
        <v>-141220.74477565472</v>
      </c>
      <c r="Q59" s="78"/>
      <c r="R59" s="78">
        <f>0 - SUM(R56:R58) * CF!R$14</f>
        <v>0</v>
      </c>
      <c r="S59" s="78">
        <f ca="1">0 - SUM(S56:S58) * CF!S$14</f>
        <v>0</v>
      </c>
      <c r="T59" s="78">
        <f ca="1">0 - SUM(T56:T58) * CF!T$14</f>
        <v>0</v>
      </c>
      <c r="U59" s="78">
        <f ca="1">0 - SUM(U56:U58) * CF!U$14</f>
        <v>0</v>
      </c>
      <c r="V59" s="78">
        <f ca="1">0 - SUM(V56:V58) * CF!V$14</f>
        <v>0</v>
      </c>
      <c r="W59" s="78">
        <f ca="1">0 - SUM(W56:W58) * CF!W$14</f>
        <v>0</v>
      </c>
      <c r="X59" s="78">
        <f ca="1">0 - SUM(X56:X58) * CF!X$14</f>
        <v>0</v>
      </c>
      <c r="Y59" s="78">
        <f ca="1">0 - SUM(Y56:Y58) * CF!Y$14</f>
        <v>0</v>
      </c>
      <c r="Z59" s="78">
        <f ca="1">0 - SUM(Z56:Z58) * CF!Z$14</f>
        <v>0</v>
      </c>
      <c r="AA59" s="78">
        <f ca="1">0 - SUM(AA56:AA58) * CF!AA$14</f>
        <v>0</v>
      </c>
      <c r="AB59" s="78">
        <f ca="1">0 - SUM(AB56:AB58) * CF!AB$14</f>
        <v>0</v>
      </c>
      <c r="AC59" s="78">
        <f ca="1">0 - SUM(AC56:AC58) * CF!AC$14</f>
        <v>0</v>
      </c>
      <c r="AD59" s="78">
        <f ca="1">0 - SUM(AD56:AD58) * CF!AD$14</f>
        <v>0</v>
      </c>
      <c r="AE59" s="78">
        <f ca="1">0 - SUM(AE56:AE58) * CF!AE$14</f>
        <v>0</v>
      </c>
      <c r="AF59" s="78">
        <f ca="1">0 - SUM(AF56:AF58) * CF!AF$14</f>
        <v>0</v>
      </c>
      <c r="AG59" s="78">
        <f ca="1">0 - SUM(AG56:AG58) * CF!AG$14</f>
        <v>0</v>
      </c>
      <c r="AH59" s="78">
        <f ca="1">0 - SUM(AH56:AH58) * CF!AH$14</f>
        <v>0</v>
      </c>
      <c r="AI59" s="78">
        <f ca="1">0 - SUM(AI56:AI58) * CF!AI$14</f>
        <v>0</v>
      </c>
      <c r="AJ59" s="78">
        <f ca="1">0 - SUM(AJ56:AJ58) * CF!AJ$14</f>
        <v>0</v>
      </c>
      <c r="AK59" s="78">
        <f ca="1">0 - SUM(AK56:AK58) * CF!AK$14</f>
        <v>0</v>
      </c>
      <c r="AL59" s="78">
        <f ca="1">0 - SUM(AL56:AL58) * CF!AL$14</f>
        <v>0</v>
      </c>
      <c r="AM59" s="78">
        <f ca="1">0 - SUM(AM56:AM58) * CF!AM$14</f>
        <v>0</v>
      </c>
      <c r="AN59" s="78">
        <f ca="1">0 - SUM(AN56:AN58) * CF!AN$14</f>
        <v>0</v>
      </c>
      <c r="AO59" s="78">
        <f ca="1">0 - SUM(AO56:AO58) * CF!AO$14</f>
        <v>0</v>
      </c>
      <c r="AP59" s="78">
        <f ca="1">0 - SUM(AP56:AP58) * CF!AP$14</f>
        <v>0</v>
      </c>
      <c r="AQ59" s="78">
        <f ca="1">0 - SUM(AQ56:AQ58) * CF!AQ$14</f>
        <v>0</v>
      </c>
      <c r="AR59" s="78">
        <f ca="1">0 - SUM(AR56:AR58) * CF!AR$14</f>
        <v>0</v>
      </c>
      <c r="AS59" s="78">
        <f ca="1">0 - SUM(AS56:AS58) * CF!AS$14</f>
        <v>0</v>
      </c>
      <c r="AT59" s="78">
        <f ca="1">0 - SUM(AT56:AT58) * CF!AT$14</f>
        <v>0</v>
      </c>
      <c r="AU59" s="78">
        <f ca="1">0 - SUM(AU56:AU58) * CF!AU$14</f>
        <v>0</v>
      </c>
      <c r="AV59" s="78">
        <f ca="1">0 - SUM(AV56:AV58) * CF!AV$14</f>
        <v>0</v>
      </c>
      <c r="AW59" s="78">
        <f ca="1">0 - SUM(AW56:AW58) * CF!AW$14</f>
        <v>0</v>
      </c>
      <c r="AX59" s="78">
        <f ca="1">0 - SUM(AX56:AX58) * CF!AX$14</f>
        <v>0</v>
      </c>
      <c r="AY59" s="78">
        <f ca="1">0 - SUM(AY56:AY58) * CF!AY$14</f>
        <v>0</v>
      </c>
      <c r="AZ59" s="78">
        <f ca="1">0 - SUM(AZ56:AZ58) * CF!AZ$14</f>
        <v>0</v>
      </c>
      <c r="BA59" s="78">
        <f ca="1">0 - SUM(BA56:BA58) * CF!BA$14</f>
        <v>0</v>
      </c>
      <c r="BB59" s="78">
        <f ca="1">0 - SUM(BB56:BB58) * CF!BB$14</f>
        <v>0</v>
      </c>
      <c r="BC59" s="78">
        <f ca="1">0 - SUM(BC56:BC58) * CF!BC$14</f>
        <v>0</v>
      </c>
      <c r="BD59" s="78">
        <f ca="1">0 - SUM(BD56:BD58) * CF!BD$14</f>
        <v>0</v>
      </c>
      <c r="BE59" s="78">
        <f ca="1">0 - SUM(BE56:BE58) * CF!BE$14</f>
        <v>0</v>
      </c>
      <c r="BF59" s="78">
        <f ca="1">0 - SUM(BF56:BF58) * CF!BF$14</f>
        <v>0</v>
      </c>
      <c r="BG59" s="78">
        <f ca="1">0 - SUM(BG56:BG58) * CF!BG$14</f>
        <v>0</v>
      </c>
      <c r="BH59" s="78">
        <f ca="1">0 - SUM(BH56:BH58) * CF!BH$14</f>
        <v>0</v>
      </c>
      <c r="BI59" s="78">
        <f ca="1">0 - SUM(BI56:BI58) * CF!BI$14</f>
        <v>0</v>
      </c>
      <c r="BJ59" s="78">
        <f ca="1">0 - SUM(BJ56:BJ58) * CF!BJ$14</f>
        <v>-141220.74477565472</v>
      </c>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54"/>
    </row>
    <row r="60" spans="1:121" x14ac:dyDescent="0.2">
      <c r="C60" t="s">
        <v>139</v>
      </c>
      <c r="N60" s="16"/>
      <c r="Q60" s="78"/>
      <c r="R60" s="78">
        <f>+Inputs!L203</f>
        <v>1310779.8207709049</v>
      </c>
      <c r="S60" s="78">
        <f t="shared" ref="S60:AO60" ca="1" si="28">SUM(S56:S59)</f>
        <v>1219337.9289464247</v>
      </c>
      <c r="T60" s="78">
        <f t="shared" ca="1" si="28"/>
        <v>1128332.1485063117</v>
      </c>
      <c r="U60" s="78">
        <f t="shared" ca="1" si="28"/>
        <v>1038224.3448954107</v>
      </c>
      <c r="V60" s="78">
        <f t="shared" ca="1" si="28"/>
        <v>949429.31185064511</v>
      </c>
      <c r="W60" s="78">
        <f t="shared" ca="1" si="28"/>
        <v>860689.77010098496</v>
      </c>
      <c r="X60" s="78">
        <f t="shared" ca="1" si="28"/>
        <v>772010.05324688205</v>
      </c>
      <c r="Y60" s="78">
        <f t="shared" ca="1" si="28"/>
        <v>683394.83332192164</v>
      </c>
      <c r="Z60" s="78">
        <f t="shared" ca="1" si="28"/>
        <v>594849.14722280554</v>
      </c>
      <c r="AA60" s="78">
        <f t="shared" ca="1" si="28"/>
        <v>506378.42520338739</v>
      </c>
      <c r="AB60" s="78">
        <f t="shared" ca="1" si="28"/>
        <v>417477.26289234852</v>
      </c>
      <c r="AC60" s="78">
        <f t="shared" ca="1" si="28"/>
        <v>328143.16441831563</v>
      </c>
      <c r="AD60" s="78">
        <f t="shared" ca="1" si="28"/>
        <v>238373.61943781786</v>
      </c>
      <c r="AE60" s="78">
        <f t="shared" ca="1" si="28"/>
        <v>148166.10305137146</v>
      </c>
      <c r="AF60" s="78">
        <f t="shared" ca="1" si="28"/>
        <v>57518.075719078086</v>
      </c>
      <c r="AG60" s="78">
        <f t="shared" ca="1" si="28"/>
        <v>7825.0840659259266</v>
      </c>
      <c r="AH60" s="78">
        <f t="shared" ca="1" si="28"/>
        <v>10466.007918057461</v>
      </c>
      <c r="AI60" s="78">
        <f t="shared" ca="1" si="28"/>
        <v>13291.846452796432</v>
      </c>
      <c r="AJ60" s="78">
        <f t="shared" ca="1" si="28"/>
        <v>16344.586870760437</v>
      </c>
      <c r="AK60" s="78">
        <f t="shared" ca="1" si="28"/>
        <v>19699.850464041407</v>
      </c>
      <c r="AL60" s="78">
        <f t="shared" ca="1" si="28"/>
        <v>23634.534981106266</v>
      </c>
      <c r="AM60" s="78">
        <f t="shared" ca="1" si="28"/>
        <v>28197.225217258278</v>
      </c>
      <c r="AN60" s="78">
        <f t="shared" ca="1" si="28"/>
        <v>33440.604128465115</v>
      </c>
      <c r="AO60" s="78">
        <f t="shared" ca="1" si="28"/>
        <v>39421.800576282876</v>
      </c>
      <c r="AP60" s="78">
        <f t="shared" ref="AP60:BJ60" ca="1" si="29">SUM(AP56:AP59)</f>
        <v>46202.766754303149</v>
      </c>
      <c r="AQ60" s="78">
        <f t="shared" ca="1" si="29"/>
        <v>50978.254094697615</v>
      </c>
      <c r="AR60" s="78">
        <f t="shared" ca="1" si="29"/>
        <v>53965.438707643276</v>
      </c>
      <c r="AS60" s="78">
        <f t="shared" ca="1" si="29"/>
        <v>55362.94695275616</v>
      </c>
      <c r="AT60" s="78">
        <f t="shared" ca="1" si="29"/>
        <v>55352.462869038245</v>
      </c>
      <c r="AU60" s="78">
        <f t="shared" ca="1" si="29"/>
        <v>54100.196448239527</v>
      </c>
      <c r="AV60" s="78">
        <f t="shared" ca="1" si="29"/>
        <v>54083.137154115371</v>
      </c>
      <c r="AW60" s="78">
        <f t="shared" ca="1" si="29"/>
        <v>55442.401369376727</v>
      </c>
      <c r="AX60" s="78">
        <f t="shared" ca="1" si="29"/>
        <v>58336.457798672462</v>
      </c>
      <c r="AY60" s="78">
        <f t="shared" ca="1" si="29"/>
        <v>62943.373997605013</v>
      </c>
      <c r="AZ60" s="78">
        <f t="shared" ca="1" si="29"/>
        <v>69463.363358682371</v>
      </c>
      <c r="BA60" s="78">
        <f t="shared" ca="1" si="29"/>
        <v>73966.867570685601</v>
      </c>
      <c r="BB60" s="78">
        <f t="shared" ca="1" si="29"/>
        <v>76709.097810870851</v>
      </c>
      <c r="BC60" s="78">
        <f t="shared" ca="1" si="29"/>
        <v>77937.505033416281</v>
      </c>
      <c r="BD60" s="78">
        <f t="shared" ca="1" si="29"/>
        <v>77893.26458012317</v>
      </c>
      <c r="BE60" s="78">
        <f t="shared" ca="1" si="29"/>
        <v>76812.741214653244</v>
      </c>
      <c r="BF60" s="78">
        <f t="shared" ca="1" si="29"/>
        <v>79417.905879037819</v>
      </c>
      <c r="BG60" s="78">
        <f t="shared" ca="1" si="29"/>
        <v>86286.010315208536</v>
      </c>
      <c r="BH60" s="78">
        <f t="shared" ca="1" si="29"/>
        <v>98174.777717193938</v>
      </c>
      <c r="BI60" s="78">
        <f t="shared" ca="1" si="29"/>
        <v>116066.02567540517</v>
      </c>
      <c r="BJ60" s="78">
        <f t="shared" ca="1" si="29"/>
        <v>0</v>
      </c>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54"/>
    </row>
    <row r="61" spans="1:121" x14ac:dyDescent="0.2">
      <c r="DQ61" s="54"/>
    </row>
    <row r="62" spans="1:121" ht="15.75" x14ac:dyDescent="0.25">
      <c r="A62" s="136"/>
      <c r="B62" s="136" t="s">
        <v>469</v>
      </c>
      <c r="C62" s="136"/>
      <c r="D62" s="136"/>
      <c r="E62" s="136"/>
      <c r="F62" s="136"/>
      <c r="G62" s="136"/>
      <c r="H62" s="136"/>
      <c r="I62" s="136"/>
      <c r="J62" s="136"/>
      <c r="K62" s="598"/>
      <c r="L62" s="136"/>
      <c r="M62" s="136"/>
      <c r="N62" s="136"/>
      <c r="O62" s="137"/>
      <c r="P62" s="78"/>
      <c r="Q62" s="78"/>
      <c r="R62" s="142">
        <v>1</v>
      </c>
      <c r="S62" s="78">
        <f t="shared" ref="S62:BJ62" si="30">+R62+1</f>
        <v>2</v>
      </c>
      <c r="T62" s="78">
        <f t="shared" si="30"/>
        <v>3</v>
      </c>
      <c r="U62" s="78">
        <f t="shared" si="30"/>
        <v>4</v>
      </c>
      <c r="V62" s="78">
        <f t="shared" si="30"/>
        <v>5</v>
      </c>
      <c r="W62" s="78">
        <f t="shared" si="30"/>
        <v>6</v>
      </c>
      <c r="X62" s="78">
        <f t="shared" si="30"/>
        <v>7</v>
      </c>
      <c r="Y62" s="78">
        <f t="shared" si="30"/>
        <v>8</v>
      </c>
      <c r="Z62" s="78">
        <f t="shared" si="30"/>
        <v>9</v>
      </c>
      <c r="AA62" s="78">
        <f t="shared" si="30"/>
        <v>10</v>
      </c>
      <c r="AB62" s="78">
        <f t="shared" si="30"/>
        <v>11</v>
      </c>
      <c r="AC62" s="78">
        <f t="shared" si="30"/>
        <v>12</v>
      </c>
      <c r="AD62" s="78">
        <f t="shared" si="30"/>
        <v>13</v>
      </c>
      <c r="AE62" s="78">
        <f t="shared" si="30"/>
        <v>14</v>
      </c>
      <c r="AF62" s="78">
        <f t="shared" si="30"/>
        <v>15</v>
      </c>
      <c r="AG62" s="78">
        <f t="shared" si="30"/>
        <v>16</v>
      </c>
      <c r="AH62" s="78">
        <f t="shared" si="30"/>
        <v>17</v>
      </c>
      <c r="AI62" s="78">
        <f t="shared" si="30"/>
        <v>18</v>
      </c>
      <c r="AJ62" s="78">
        <f t="shared" si="30"/>
        <v>19</v>
      </c>
      <c r="AK62" s="78">
        <f t="shared" si="30"/>
        <v>20</v>
      </c>
      <c r="AL62" s="78">
        <f t="shared" si="30"/>
        <v>21</v>
      </c>
      <c r="AM62" s="78">
        <f t="shared" si="30"/>
        <v>22</v>
      </c>
      <c r="AN62" s="78">
        <f t="shared" si="30"/>
        <v>23</v>
      </c>
      <c r="AO62" s="78">
        <f t="shared" si="30"/>
        <v>24</v>
      </c>
      <c r="AP62" s="78">
        <f t="shared" si="30"/>
        <v>25</v>
      </c>
      <c r="AQ62" s="78">
        <f t="shared" si="30"/>
        <v>26</v>
      </c>
      <c r="AR62" s="78">
        <f t="shared" si="30"/>
        <v>27</v>
      </c>
      <c r="AS62" s="78">
        <f t="shared" si="30"/>
        <v>28</v>
      </c>
      <c r="AT62" s="78">
        <f t="shared" si="30"/>
        <v>29</v>
      </c>
      <c r="AU62" s="78">
        <f t="shared" si="30"/>
        <v>30</v>
      </c>
      <c r="AV62" s="78">
        <f t="shared" si="30"/>
        <v>31</v>
      </c>
      <c r="AW62" s="78">
        <f t="shared" si="30"/>
        <v>32</v>
      </c>
      <c r="AX62" s="78">
        <f t="shared" si="30"/>
        <v>33</v>
      </c>
      <c r="AY62" s="78">
        <f t="shared" si="30"/>
        <v>34</v>
      </c>
      <c r="AZ62" s="78">
        <f t="shared" si="30"/>
        <v>35</v>
      </c>
      <c r="BA62" s="78">
        <f t="shared" si="30"/>
        <v>36</v>
      </c>
      <c r="BB62" s="78">
        <f t="shared" si="30"/>
        <v>37</v>
      </c>
      <c r="BC62" s="78">
        <f t="shared" si="30"/>
        <v>38</v>
      </c>
      <c r="BD62" s="78">
        <f t="shared" si="30"/>
        <v>39</v>
      </c>
      <c r="BE62" s="78">
        <f t="shared" si="30"/>
        <v>40</v>
      </c>
      <c r="BF62" s="78">
        <f t="shared" si="30"/>
        <v>41</v>
      </c>
      <c r="BG62" s="78">
        <f t="shared" si="30"/>
        <v>42</v>
      </c>
      <c r="BH62" s="78">
        <f t="shared" si="30"/>
        <v>43</v>
      </c>
      <c r="BI62" s="78">
        <f t="shared" si="30"/>
        <v>44</v>
      </c>
      <c r="BJ62" s="78">
        <f t="shared" si="30"/>
        <v>45</v>
      </c>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row>
    <row r="63" spans="1:121" x14ac:dyDescent="0.2">
      <c r="A63" s="75"/>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row>
    <row r="64" spans="1:121" x14ac:dyDescent="0.2">
      <c r="A64" s="75"/>
      <c r="C64" s="69" t="s">
        <v>470</v>
      </c>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row>
    <row r="65" spans="1:121" x14ac:dyDescent="0.2">
      <c r="A65" s="75"/>
      <c r="C65" s="591" t="s">
        <v>471</v>
      </c>
      <c r="K65" s="160" t="s">
        <v>62</v>
      </c>
      <c r="L65" s="602">
        <f>+Inputs!$L$82</f>
        <v>2021</v>
      </c>
      <c r="R65" s="725">
        <f>+IF(Acc!R7&lt;=$L$65,Acc!R18,Acc!R22)</f>
        <v>0</v>
      </c>
      <c r="S65" s="725">
        <f>+IF(Acc!S7&lt;=$L$65,Acc!S18,Acc!S22)</f>
        <v>82878.581478947803</v>
      </c>
      <c r="T65" s="725">
        <f>+IF(Acc!T7&lt;=$L$65,Acc!T18,Acc!T22)</f>
        <v>92640.919067626703</v>
      </c>
      <c r="U65" s="725">
        <f>+IF(Acc!U7&lt;=$L$65,Acc!U18,Acc!U22)</f>
        <v>103515.56296506115</v>
      </c>
      <c r="V65" s="725">
        <f>+IF(Acc!V7&lt;=$L$65,Acc!V18,Acc!V22)</f>
        <v>115626.94073852101</v>
      </c>
      <c r="W65" s="725">
        <f ca="1">+IF(Acc!W7&lt;=$L$65,Acc!W18,Acc!W22)</f>
        <v>31611.35401296895</v>
      </c>
      <c r="X65" s="725">
        <f ca="1">+IF(Acc!X7&lt;=$L$65,Acc!X18,Acc!X22)</f>
        <v>42890.418110695377</v>
      </c>
      <c r="Y65" s="725">
        <f ca="1">+IF(Acc!Y7&lt;=$L$65,Acc!Y18,Acc!Y22)</f>
        <v>55171.453130945316</v>
      </c>
      <c r="Z65" s="725">
        <f ca="1">+IF(Acc!Z7&lt;=$L$65,Acc!Z18,Acc!Z22)</f>
        <v>68541.511334196242</v>
      </c>
      <c r="AA65" s="725">
        <f ca="1">+IF(Acc!AA7&lt;=$L$65,Acc!AA18,Acc!AA22)</f>
        <v>83095.231124331171</v>
      </c>
      <c r="AB65" s="725">
        <f ca="1">+IF(Acc!AB7&lt;=$L$65,Acc!AB18,Acc!AB22)</f>
        <v>94489.945715331749</v>
      </c>
      <c r="AC65" s="725">
        <f ca="1">+IF(Acc!AC7&lt;=$L$65,Acc!AC18,Acc!AC22)</f>
        <v>106654.94185036633</v>
      </c>
      <c r="AD65" s="725">
        <f ca="1">+IF(Acc!AD7&lt;=$L$65,Acc!AD18,Acc!AD22)</f>
        <v>119640.004737968</v>
      </c>
      <c r="AE65" s="725">
        <f ca="1">+IF(Acc!AE7&lt;=$L$65,Acc!AE18,Acc!AE22)</f>
        <v>133497.51416252778</v>
      </c>
      <c r="AF65" s="725">
        <f ca="1">+IF(Acc!AF7&lt;=$L$65,Acc!AF18,Acc!AF22)</f>
        <v>148284.38223956467</v>
      </c>
      <c r="AG65" s="725">
        <f ca="1">+IF(Acc!AG7&lt;=$L$65,Acc!AG18,Acc!AG22)</f>
        <v>213946.79148061736</v>
      </c>
      <c r="AH65" s="725">
        <f ca="1">+IF(Acc!AH7&lt;=$L$65,Acc!AH18,Acc!AH22)</f>
        <v>293473.76496409695</v>
      </c>
      <c r="AI65" s="725">
        <f ca="1">+IF(Acc!AI7&lt;=$L$65,Acc!AI18,Acc!AI22)</f>
        <v>323584.43723002274</v>
      </c>
      <c r="AJ65" s="725">
        <f ca="1">+IF(Acc!AJ7&lt;=$L$65,Acc!AJ18,Acc!AJ22)</f>
        <v>356740.57060102449</v>
      </c>
      <c r="AK65" s="725">
        <f ca="1">+IF(Acc!AK7&lt;=$L$65,Acc!AK18,Acc!AK22)</f>
        <v>393273.79972874955</v>
      </c>
      <c r="AL65" s="725">
        <f ca="1">+IF(Acc!AL7&lt;=$L$65,Acc!AL18,Acc!AL22)</f>
        <v>433925.89308143768</v>
      </c>
      <c r="AM65" s="725">
        <f ca="1">+IF(Acc!AM7&lt;=$L$65,Acc!AM18,Acc!AM22)</f>
        <v>478677.60142984556</v>
      </c>
      <c r="AN65" s="725">
        <f ca="1">+IF(Acc!AN7&lt;=$L$65,Acc!AN18,Acc!AN22)</f>
        <v>527938.20752868464</v>
      </c>
      <c r="AO65" s="725">
        <f ca="1">+IF(Acc!AO7&lt;=$L$65,Acc!AO18,Acc!AO22)</f>
        <v>582164.67634047777</v>
      </c>
      <c r="AP65" s="725">
        <f ca="1">+IF(Acc!AP7&lt;=$L$65,Acc!AP18,Acc!AP22)</f>
        <v>641847.08213517745</v>
      </c>
      <c r="AQ65" s="725">
        <f ca="1">+IF(Acc!AQ7&lt;=$L$65,Acc!AQ18,Acc!AQ22)</f>
        <v>679852.90862069884</v>
      </c>
      <c r="AR65" s="725">
        <f ca="1">+IF(Acc!AR7&lt;=$L$65,Acc!AR18,Acc!AR22)</f>
        <v>720227.76778366137</v>
      </c>
      <c r="AS65" s="725">
        <f ca="1">+IF(Acc!AS7&lt;=$L$65,Acc!AS18,Acc!AS22)</f>
        <v>763097.33298827789</v>
      </c>
      <c r="AT65" s="725">
        <f ca="1">+IF(Acc!AT7&lt;=$L$65,Acc!AT18,Acc!AT22)</f>
        <v>808595.29183454125</v>
      </c>
      <c r="AU65" s="725">
        <f ca="1">+IF(Acc!AU7&lt;=$L$65,Acc!AU18,Acc!AU22)</f>
        <v>856852.86426491162</v>
      </c>
      <c r="AV65" s="725">
        <f ca="1">+IF(Acc!AV7&lt;=$L$65,Acc!AV18,Acc!AV22)</f>
        <v>907295.32073894038</v>
      </c>
      <c r="AW65" s="725">
        <f ca="1">+IF(Acc!AW7&lt;=$L$65,Acc!AW18,Acc!AW22)</f>
        <v>960616.85642962914</v>
      </c>
      <c r="AX65" s="725">
        <f ca="1">+IF(Acc!AX7&lt;=$L$65,Acc!AX18,Acc!AX22)</f>
        <v>1016978.1161378033</v>
      </c>
      <c r="AY65" s="725">
        <f ca="1">+IF(Acc!AY7&lt;=$L$65,Acc!AY18,Acc!AY22)</f>
        <v>1076545.1433291016</v>
      </c>
      <c r="AZ65" s="725">
        <f ca="1">+IF(Acc!AZ7&lt;=$L$65,Acc!AZ18,Acc!AZ22)</f>
        <v>1139497.0913128033</v>
      </c>
      <c r="BA65" s="725">
        <f ca="1">+IF(Acc!BA7&lt;=$L$65,Acc!BA18,Acc!BA22)</f>
        <v>1193307.9222420864</v>
      </c>
      <c r="BB65" s="725">
        <f ca="1">+IF(Acc!BB7&lt;=$L$65,Acc!BB18,Acc!BB22)</f>
        <v>1247386.9621764929</v>
      </c>
      <c r="BC65" s="725">
        <f ca="1">+IF(Acc!BC7&lt;=$L$65,Acc!BC18,Acc!BC22)</f>
        <v>1280818.8291487959</v>
      </c>
      <c r="BD65" s="725">
        <f ca="1">+IF(Acc!BD7&lt;=$L$65,Acc!BD18,Acc!BD22)</f>
        <v>1340180.4953769892</v>
      </c>
      <c r="BE65" s="725">
        <f ca="1">+IF(Acc!BE7&lt;=$L$65,Acc!BE18,Acc!BE22)</f>
        <v>1402551.6714691708</v>
      </c>
      <c r="BF65" s="725">
        <f ca="1">+IF(Acc!BF7&lt;=$L$65,Acc!BF18,Acc!BF22)</f>
        <v>1455271.356815917</v>
      </c>
      <c r="BG65" s="725">
        <f ca="1">+IF(Acc!BG7&lt;=$L$65,Acc!BG18,Acc!BG22)</f>
        <v>1509781.5656153865</v>
      </c>
      <c r="BH65" s="725">
        <f ca="1">+IF(Acc!BH7&lt;=$L$65,Acc!BH18,Acc!BH22)</f>
        <v>1565614.6127972261</v>
      </c>
      <c r="BI65" s="725">
        <f ca="1">+IF(Acc!BI7&lt;=$L$65,Acc!BI18,Acc!BI22)</f>
        <v>1485322.8600097767</v>
      </c>
      <c r="BJ65" s="725">
        <f ca="1">+IF(Acc!BJ7&lt;=$L$65,Acc!BJ18,Acc!BJ22)</f>
        <v>115901.51815909345</v>
      </c>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row>
    <row r="66" spans="1:121" x14ac:dyDescent="0.2">
      <c r="A66" s="75"/>
      <c r="C66" s="591" t="s">
        <v>472</v>
      </c>
      <c r="K66" s="160" t="s">
        <v>62</v>
      </c>
      <c r="L66" s="734">
        <f>+Inputs!$L$83</f>
        <v>0.3</v>
      </c>
      <c r="R66" s="725">
        <f t="shared" ref="R66:BJ66" si="31">+MAX(R65*$L$66,0)</f>
        <v>0</v>
      </c>
      <c r="S66" s="725">
        <f t="shared" si="31"/>
        <v>24863.574443684342</v>
      </c>
      <c r="T66" s="725">
        <f t="shared" si="31"/>
        <v>27792.275720288009</v>
      </c>
      <c r="U66" s="725">
        <f t="shared" si="31"/>
        <v>31054.668889518343</v>
      </c>
      <c r="V66" s="725">
        <f t="shared" si="31"/>
        <v>34688.082221556302</v>
      </c>
      <c r="W66" s="725">
        <f t="shared" ca="1" si="31"/>
        <v>9483.406203890685</v>
      </c>
      <c r="X66" s="725">
        <f t="shared" ca="1" si="31"/>
        <v>12867.125433208612</v>
      </c>
      <c r="Y66" s="725">
        <f t="shared" ca="1" si="31"/>
        <v>16551.435939283594</v>
      </c>
      <c r="Z66" s="725">
        <f t="shared" ca="1" si="31"/>
        <v>20562.453400258873</v>
      </c>
      <c r="AA66" s="725">
        <f t="shared" ca="1" si="31"/>
        <v>24928.569337299352</v>
      </c>
      <c r="AB66" s="725">
        <f t="shared" ca="1" si="31"/>
        <v>28346.983714599523</v>
      </c>
      <c r="AC66" s="725">
        <f t="shared" ca="1" si="31"/>
        <v>31996.482555109898</v>
      </c>
      <c r="AD66" s="725">
        <f t="shared" ca="1" si="31"/>
        <v>35892.0014213904</v>
      </c>
      <c r="AE66" s="725">
        <f t="shared" ca="1" si="31"/>
        <v>40049.254248758334</v>
      </c>
      <c r="AF66" s="725">
        <f t="shared" ca="1" si="31"/>
        <v>44485.314671869397</v>
      </c>
      <c r="AG66" s="725">
        <f t="shared" ca="1" si="31"/>
        <v>64184.037444185204</v>
      </c>
      <c r="AH66" s="725">
        <f t="shared" ca="1" si="31"/>
        <v>88042.129489229075</v>
      </c>
      <c r="AI66" s="725">
        <f t="shared" ca="1" si="31"/>
        <v>97075.331169006822</v>
      </c>
      <c r="AJ66" s="725">
        <f t="shared" ca="1" si="31"/>
        <v>107022.17118030734</v>
      </c>
      <c r="AK66" s="725">
        <f t="shared" ca="1" si="31"/>
        <v>117982.13991862486</v>
      </c>
      <c r="AL66" s="725">
        <f t="shared" ca="1" si="31"/>
        <v>130177.7679244313</v>
      </c>
      <c r="AM66" s="725">
        <f t="shared" ca="1" si="31"/>
        <v>143603.28042895367</v>
      </c>
      <c r="AN66" s="725">
        <f t="shared" ca="1" si="31"/>
        <v>158381.46225860537</v>
      </c>
      <c r="AO66" s="725">
        <f t="shared" ca="1" si="31"/>
        <v>174649.40290214334</v>
      </c>
      <c r="AP66" s="725">
        <f t="shared" ca="1" si="31"/>
        <v>192554.12464055323</v>
      </c>
      <c r="AQ66" s="725">
        <f t="shared" ca="1" si="31"/>
        <v>203955.87258620965</v>
      </c>
      <c r="AR66" s="725">
        <f t="shared" ca="1" si="31"/>
        <v>216068.33033509841</v>
      </c>
      <c r="AS66" s="725">
        <f t="shared" ca="1" si="31"/>
        <v>228929.19989648336</v>
      </c>
      <c r="AT66" s="725">
        <f t="shared" ca="1" si="31"/>
        <v>242578.58755036237</v>
      </c>
      <c r="AU66" s="725">
        <f t="shared" ca="1" si="31"/>
        <v>257055.85927947349</v>
      </c>
      <c r="AV66" s="725">
        <f t="shared" ca="1" si="31"/>
        <v>272188.59622168209</v>
      </c>
      <c r="AW66" s="725">
        <f t="shared" ca="1" si="31"/>
        <v>288185.05692888872</v>
      </c>
      <c r="AX66" s="725">
        <f t="shared" ca="1" si="31"/>
        <v>305093.43484134099</v>
      </c>
      <c r="AY66" s="725">
        <f t="shared" ca="1" si="31"/>
        <v>322963.5429987305</v>
      </c>
      <c r="AZ66" s="725">
        <f t="shared" ca="1" si="31"/>
        <v>341849.12739384099</v>
      </c>
      <c r="BA66" s="725">
        <f t="shared" ca="1" si="31"/>
        <v>357992.37667262589</v>
      </c>
      <c r="BB66" s="725">
        <f t="shared" ca="1" si="31"/>
        <v>374216.08865294786</v>
      </c>
      <c r="BC66" s="725">
        <f t="shared" ca="1" si="31"/>
        <v>384245.64874463878</v>
      </c>
      <c r="BD66" s="725">
        <f t="shared" ca="1" si="31"/>
        <v>402054.14861309674</v>
      </c>
      <c r="BE66" s="725">
        <f t="shared" ca="1" si="31"/>
        <v>420765.50144075125</v>
      </c>
      <c r="BF66" s="725">
        <f t="shared" ca="1" si="31"/>
        <v>436581.40704477509</v>
      </c>
      <c r="BG66" s="725">
        <f t="shared" ca="1" si="31"/>
        <v>452934.46968461591</v>
      </c>
      <c r="BH66" s="725">
        <f t="shared" ca="1" si="31"/>
        <v>469684.38383916783</v>
      </c>
      <c r="BI66" s="725">
        <f t="shared" ca="1" si="31"/>
        <v>445596.85800293298</v>
      </c>
      <c r="BJ66" s="725">
        <f t="shared" ca="1" si="31"/>
        <v>34770.455447728033</v>
      </c>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row>
    <row r="67" spans="1:121" x14ac:dyDescent="0.2">
      <c r="A67" s="75"/>
      <c r="C67" s="591" t="s">
        <v>473</v>
      </c>
      <c r="I67" s="109"/>
      <c r="K67" s="160" t="s">
        <v>62</v>
      </c>
      <c r="R67" s="695">
        <f>-SUM(Acc!R24:R28)</f>
        <v>0</v>
      </c>
      <c r="S67" s="695">
        <f>-SUM(Acc!S24:S28)</f>
        <v>64166.955093853452</v>
      </c>
      <c r="T67" s="695">
        <f>-SUM(Acc!T24:T28)</f>
        <v>66595.107462786182</v>
      </c>
      <c r="U67" s="695">
        <f>-SUM(Acc!U24:U28)</f>
        <v>63116.902601715396</v>
      </c>
      <c r="V67" s="695">
        <f>-SUM(Acc!V24:V28)</f>
        <v>59393.958364221457</v>
      </c>
      <c r="W67" s="695">
        <f>-SUM(Acc!W24:W28)</f>
        <v>59424.702045758728</v>
      </c>
      <c r="X67" s="695">
        <f>-SUM(Acc!X24:X28)</f>
        <v>59511.746845995949</v>
      </c>
      <c r="Y67" s="695">
        <f>-SUM(Acc!Y24:Y28)</f>
        <v>59730.593962028477</v>
      </c>
      <c r="Z67" s="695">
        <f>-SUM(Acc!Z24:Z28)</f>
        <v>60012.321364462623</v>
      </c>
      <c r="AA67" s="695">
        <f>-SUM(Acc!AA24:AA28)</f>
        <v>60276.009225409558</v>
      </c>
      <c r="AB67" s="695">
        <f>-SUM(Acc!AB24:AB28)</f>
        <v>60522.976208863271</v>
      </c>
      <c r="AC67" s="695">
        <f>-SUM(Acc!AC24:AC28)</f>
        <v>60832.021308299838</v>
      </c>
      <c r="AD67" s="695">
        <f>-SUM(Acc!AD24:AD28)</f>
        <v>61601.24684007324</v>
      </c>
      <c r="AE67" s="695">
        <f>-SUM(Acc!AE24:AE28)</f>
        <v>65372.162787532536</v>
      </c>
      <c r="AF67" s="695">
        <f>-SUM(Acc!AF24:AF28)</f>
        <v>62003.054196433513</v>
      </c>
      <c r="AG67" s="695">
        <f>-SUM(Acc!AG24:AG28)</f>
        <v>62562.164809271861</v>
      </c>
      <c r="AH67" s="695">
        <f>-SUM(Acc!AH24:AH28)</f>
        <v>62969.59541226631</v>
      </c>
      <c r="AI67" s="695">
        <f>-SUM(Acc!AI24:AI28)</f>
        <v>63738.809560553527</v>
      </c>
      <c r="AJ67" s="695">
        <f>-SUM(Acc!AJ24:AJ28)</f>
        <v>64704.65759721295</v>
      </c>
      <c r="AK67" s="695">
        <f>-SUM(Acc!AK24:AK28)</f>
        <v>65931.610851130259</v>
      </c>
      <c r="AL67" s="695">
        <f>-SUM(Acc!AL24:AL28)</f>
        <v>67220.105475395962</v>
      </c>
      <c r="AM67" s="695">
        <f>-SUM(Acc!AM24:AM28)</f>
        <v>69365.220871723228</v>
      </c>
      <c r="AN67" s="695">
        <f>-SUM(Acc!AN24:AN28)</f>
        <v>72096.453062507848</v>
      </c>
      <c r="AO67" s="695">
        <f>-SUM(Acc!AO24:AO28)</f>
        <v>73222.828543809752</v>
      </c>
      <c r="AP67" s="695">
        <f>-SUM(Acc!AP24:AP28)</f>
        <v>70438.316186496653</v>
      </c>
      <c r="AQ67" s="695">
        <f>-SUM(Acc!AQ24:AQ28)</f>
        <v>71163.139927587807</v>
      </c>
      <c r="AR67" s="695">
        <f>-SUM(Acc!AR24:AR28)</f>
        <v>71694.171748565073</v>
      </c>
      <c r="AS67" s="695">
        <f>-SUM(Acc!AS24:AS28)</f>
        <v>72343.202542578001</v>
      </c>
      <c r="AT67" s="695">
        <f>-SUM(Acc!AT24:AT28)</f>
        <v>72475.725848015456</v>
      </c>
      <c r="AU67" s="695">
        <f>-SUM(Acc!AU24:AU28)</f>
        <v>69110.618235245143</v>
      </c>
      <c r="AV67" s="695">
        <f>-SUM(Acc!AV24:AV28)</f>
        <v>63504.788035389596</v>
      </c>
      <c r="AW67" s="695">
        <f>-SUM(Acc!AW24:AW28)</f>
        <v>57365.870438956008</v>
      </c>
      <c r="AX67" s="695">
        <f>-SUM(Acc!AX24:AX28)</f>
        <v>51275.259442287119</v>
      </c>
      <c r="AY67" s="695">
        <f>-SUM(Acc!AY24:AY28)</f>
        <v>42527.567428467984</v>
      </c>
      <c r="AZ67" s="695">
        <f>-SUM(Acc!AZ24:AZ28)</f>
        <v>34151.712846928465</v>
      </c>
      <c r="BA67" s="695">
        <f>-SUM(Acc!BA24:BA28)</f>
        <v>25562.970541721654</v>
      </c>
      <c r="BB67" s="695">
        <f>-SUM(Acc!BB24:BB28)</f>
        <v>16318.008878039089</v>
      </c>
      <c r="BC67" s="695">
        <f>-SUM(Acc!BC24:BC28)</f>
        <v>6765.1405702815318</v>
      </c>
      <c r="BD67" s="695">
        <f>-SUM(Acc!BD24:BD28)</f>
        <v>-3466.451921041823</v>
      </c>
      <c r="BE67" s="695">
        <f>-SUM(Acc!BE24:BE28)</f>
        <v>-9642.6086918270485</v>
      </c>
      <c r="BF67" s="695">
        <f>-SUM(Acc!BF24:BF28)</f>
        <v>-9736.9246790448087</v>
      </c>
      <c r="BG67" s="695">
        <f>-SUM(Acc!BG24:BG28)</f>
        <v>-9624.1770197395927</v>
      </c>
      <c r="BH67" s="695">
        <f>-SUM(Acc!BH24:BH28)</f>
        <v>-9434.8959840826774</v>
      </c>
      <c r="BI67" s="695">
        <f>-SUM(Acc!BI24:BI28)</f>
        <v>-8508.7060004751474</v>
      </c>
      <c r="BJ67" s="695">
        <f>-SUM(Acc!BJ24:BJ28)</f>
        <v>-1940.2901498285173</v>
      </c>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row>
    <row r="68" spans="1:121" x14ac:dyDescent="0.2">
      <c r="A68" s="75"/>
      <c r="C68" s="592" t="s">
        <v>474</v>
      </c>
      <c r="D68" s="112"/>
      <c r="E68" s="112"/>
      <c r="F68" s="112"/>
      <c r="G68" s="112"/>
      <c r="H68" s="112"/>
      <c r="J68" s="112"/>
      <c r="K68" s="595"/>
      <c r="L68" s="595"/>
      <c r="M68" s="112"/>
      <c r="N68" s="112"/>
      <c r="O68" s="112"/>
      <c r="P68" s="112"/>
      <c r="Q68" s="112"/>
      <c r="R68" s="197">
        <f>-R73</f>
        <v>0</v>
      </c>
      <c r="S68" s="197">
        <f t="shared" ref="S68:BJ68" si="32">-S73</f>
        <v>24863.574443684342</v>
      </c>
      <c r="T68" s="197">
        <f t="shared" si="32"/>
        <v>27792.275720288009</v>
      </c>
      <c r="U68" s="197">
        <f t="shared" si="32"/>
        <v>31054.668889518343</v>
      </c>
      <c r="V68" s="197">
        <f t="shared" si="32"/>
        <v>34688.082221556302</v>
      </c>
      <c r="W68" s="197">
        <f t="shared" ca="1" si="32"/>
        <v>9483.406203890685</v>
      </c>
      <c r="X68" s="197">
        <f t="shared" ca="1" si="32"/>
        <v>12867.125433208612</v>
      </c>
      <c r="Y68" s="197">
        <f t="shared" ca="1" si="32"/>
        <v>16551.435939283594</v>
      </c>
      <c r="Z68" s="197">
        <f t="shared" ca="1" si="32"/>
        <v>20562.453400258873</v>
      </c>
      <c r="AA68" s="197">
        <f t="shared" ca="1" si="32"/>
        <v>24928.569337299352</v>
      </c>
      <c r="AB68" s="197">
        <f t="shared" ca="1" si="32"/>
        <v>28346.983714599523</v>
      </c>
      <c r="AC68" s="197">
        <f t="shared" ca="1" si="32"/>
        <v>31996.482555109898</v>
      </c>
      <c r="AD68" s="197">
        <f t="shared" ca="1" si="32"/>
        <v>35892.0014213904</v>
      </c>
      <c r="AE68" s="197">
        <f t="shared" ca="1" si="32"/>
        <v>40049.254248758334</v>
      </c>
      <c r="AF68" s="197">
        <f t="shared" ca="1" si="32"/>
        <v>44485.314671869397</v>
      </c>
      <c r="AG68" s="197">
        <f t="shared" ca="1" si="32"/>
        <v>64184.037444185204</v>
      </c>
      <c r="AH68" s="197">
        <f t="shared" ca="1" si="32"/>
        <v>88042.129489229075</v>
      </c>
      <c r="AI68" s="197">
        <f t="shared" ca="1" si="32"/>
        <v>97075.331169006822</v>
      </c>
      <c r="AJ68" s="197">
        <f t="shared" ca="1" si="32"/>
        <v>107022.17118030734</v>
      </c>
      <c r="AK68" s="197">
        <f t="shared" ca="1" si="32"/>
        <v>117982.13991862486</v>
      </c>
      <c r="AL68" s="197">
        <f t="shared" ca="1" si="32"/>
        <v>130177.7679244313</v>
      </c>
      <c r="AM68" s="197">
        <f t="shared" ca="1" si="32"/>
        <v>143603.28042895367</v>
      </c>
      <c r="AN68" s="197">
        <f t="shared" ca="1" si="32"/>
        <v>158381.46225860537</v>
      </c>
      <c r="AO68" s="197">
        <f t="shared" ca="1" si="32"/>
        <v>174341.2564772467</v>
      </c>
      <c r="AP68" s="197">
        <f t="shared" ca="1" si="32"/>
        <v>70438.316186496653</v>
      </c>
      <c r="AQ68" s="197">
        <f t="shared" ca="1" si="32"/>
        <v>71163.139927587807</v>
      </c>
      <c r="AR68" s="197">
        <f t="shared" ca="1" si="32"/>
        <v>71694.171748565073</v>
      </c>
      <c r="AS68" s="197">
        <f t="shared" ca="1" si="32"/>
        <v>72343.202542578001</v>
      </c>
      <c r="AT68" s="197">
        <f t="shared" ca="1" si="32"/>
        <v>72475.725848015456</v>
      </c>
      <c r="AU68" s="197">
        <f t="shared" ca="1" si="32"/>
        <v>69110.618235245143</v>
      </c>
      <c r="AV68" s="197">
        <f t="shared" ca="1" si="32"/>
        <v>63504.788035389596</v>
      </c>
      <c r="AW68" s="197">
        <f t="shared" ca="1" si="32"/>
        <v>57365.870438956008</v>
      </c>
      <c r="AX68" s="197">
        <f t="shared" ca="1" si="32"/>
        <v>51275.259442287119</v>
      </c>
      <c r="AY68" s="197">
        <f t="shared" ca="1" si="32"/>
        <v>42527.567428467984</v>
      </c>
      <c r="AZ68" s="197">
        <f t="shared" ca="1" si="32"/>
        <v>34151.712846928465</v>
      </c>
      <c r="BA68" s="197">
        <f t="shared" ca="1" si="32"/>
        <v>25562.970541721654</v>
      </c>
      <c r="BB68" s="197">
        <f t="shared" ca="1" si="32"/>
        <v>16318.008878039089</v>
      </c>
      <c r="BC68" s="197">
        <f t="shared" ca="1" si="32"/>
        <v>6765.1405702815318</v>
      </c>
      <c r="BD68" s="197">
        <f t="shared" ca="1" si="32"/>
        <v>-3466.451921041823</v>
      </c>
      <c r="BE68" s="197">
        <f t="shared" ca="1" si="32"/>
        <v>-9642.6086918270485</v>
      </c>
      <c r="BF68" s="197">
        <f t="shared" ca="1" si="32"/>
        <v>-9736.9246790448087</v>
      </c>
      <c r="BG68" s="197">
        <f t="shared" ca="1" si="32"/>
        <v>-9624.1770197395927</v>
      </c>
      <c r="BH68" s="197">
        <f t="shared" ca="1" si="32"/>
        <v>-9434.8959840826774</v>
      </c>
      <c r="BI68" s="197">
        <f t="shared" ca="1" si="32"/>
        <v>-8508.7060004751474</v>
      </c>
      <c r="BJ68" s="197">
        <f t="shared" ca="1" si="32"/>
        <v>-1940.2901498285173</v>
      </c>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row>
    <row r="69" spans="1:121" x14ac:dyDescent="0.2">
      <c r="A69" s="75"/>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row>
    <row r="70" spans="1:121" x14ac:dyDescent="0.2">
      <c r="A70" s="75"/>
      <c r="C70" s="69" t="s">
        <v>475</v>
      </c>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row>
    <row r="71" spans="1:121" x14ac:dyDescent="0.2">
      <c r="A71" s="75"/>
      <c r="C71" s="591" t="s">
        <v>135</v>
      </c>
      <c r="R71" s="725">
        <f t="shared" ref="R71:BJ71" si="33">+Q76</f>
        <v>0</v>
      </c>
      <c r="S71" s="725">
        <f t="shared" si="33"/>
        <v>0</v>
      </c>
      <c r="T71" s="725">
        <f t="shared" si="33"/>
        <v>39303.380650169114</v>
      </c>
      <c r="U71" s="725">
        <f t="shared" si="33"/>
        <v>78106.212392667279</v>
      </c>
      <c r="V71" s="725">
        <f t="shared" si="33"/>
        <v>110168.44610486431</v>
      </c>
      <c r="W71" s="725">
        <f t="shared" si="33"/>
        <v>134874.32224752946</v>
      </c>
      <c r="X71" s="725">
        <f t="shared" ca="1" si="33"/>
        <v>184815.6180893975</v>
      </c>
      <c r="Y71" s="725">
        <f t="shared" ca="1" si="33"/>
        <v>231460.23950218482</v>
      </c>
      <c r="Z71" s="725">
        <f t="shared" ca="1" si="33"/>
        <v>274639.39752492972</v>
      </c>
      <c r="AA71" s="725">
        <f t="shared" ca="1" si="33"/>
        <v>314089.26548913348</v>
      </c>
      <c r="AB71" s="725">
        <f t="shared" ca="1" si="33"/>
        <v>349436.70537724369</v>
      </c>
      <c r="AC71" s="725">
        <f t="shared" ca="1" si="33"/>
        <v>381612.69787150744</v>
      </c>
      <c r="AD71" s="725">
        <f t="shared" ca="1" si="33"/>
        <v>410448.2366246974</v>
      </c>
      <c r="AE71" s="725">
        <f t="shared" ca="1" si="33"/>
        <v>436157.48204338027</v>
      </c>
      <c r="AF71" s="725">
        <f t="shared" ca="1" si="33"/>
        <v>461480.3905821545</v>
      </c>
      <c r="AG71" s="725">
        <f t="shared" ca="1" si="33"/>
        <v>478998.13010671863</v>
      </c>
      <c r="AH71" s="725">
        <f t="shared" ca="1" si="33"/>
        <v>477376.25747180521</v>
      </c>
      <c r="AI71" s="725">
        <f t="shared" ca="1" si="33"/>
        <v>452303.72339484247</v>
      </c>
      <c r="AJ71" s="725">
        <f t="shared" ca="1" si="33"/>
        <v>418967.20178638917</v>
      </c>
      <c r="AK71" s="725">
        <f t="shared" ca="1" si="33"/>
        <v>376649.68820329476</v>
      </c>
      <c r="AL71" s="725">
        <f t="shared" ca="1" si="33"/>
        <v>324599.1591358002</v>
      </c>
      <c r="AM71" s="725">
        <f t="shared" ca="1" si="33"/>
        <v>261641.49668676488</v>
      </c>
      <c r="AN71" s="725">
        <f t="shared" ca="1" si="33"/>
        <v>187403.43712953446</v>
      </c>
      <c r="AO71" s="725">
        <f t="shared" ca="1" si="33"/>
        <v>101118.42793343693</v>
      </c>
      <c r="AP71" s="725">
        <f t="shared" ca="1" si="33"/>
        <v>0</v>
      </c>
      <c r="AQ71" s="725">
        <f t="shared" ca="1" si="33"/>
        <v>0</v>
      </c>
      <c r="AR71" s="725">
        <f t="shared" ca="1" si="33"/>
        <v>0</v>
      </c>
      <c r="AS71" s="725">
        <f t="shared" ca="1" si="33"/>
        <v>0</v>
      </c>
      <c r="AT71" s="725">
        <f t="shared" ca="1" si="33"/>
        <v>0</v>
      </c>
      <c r="AU71" s="725">
        <f t="shared" ca="1" si="33"/>
        <v>0</v>
      </c>
      <c r="AV71" s="725">
        <f t="shared" ca="1" si="33"/>
        <v>0</v>
      </c>
      <c r="AW71" s="725">
        <f t="shared" ca="1" si="33"/>
        <v>0</v>
      </c>
      <c r="AX71" s="725">
        <f t="shared" ca="1" si="33"/>
        <v>0</v>
      </c>
      <c r="AY71" s="725">
        <f t="shared" ca="1" si="33"/>
        <v>0</v>
      </c>
      <c r="AZ71" s="725">
        <f t="shared" ca="1" si="33"/>
        <v>0</v>
      </c>
      <c r="BA71" s="725">
        <f t="shared" ca="1" si="33"/>
        <v>0</v>
      </c>
      <c r="BB71" s="725">
        <f t="shared" ca="1" si="33"/>
        <v>0</v>
      </c>
      <c r="BC71" s="725">
        <f t="shared" ca="1" si="33"/>
        <v>0</v>
      </c>
      <c r="BD71" s="725">
        <f t="shared" ca="1" si="33"/>
        <v>0</v>
      </c>
      <c r="BE71" s="725">
        <f t="shared" ca="1" si="33"/>
        <v>0</v>
      </c>
      <c r="BF71" s="725">
        <f t="shared" ca="1" si="33"/>
        <v>0</v>
      </c>
      <c r="BG71" s="725">
        <f t="shared" ca="1" si="33"/>
        <v>0</v>
      </c>
      <c r="BH71" s="725">
        <f t="shared" ca="1" si="33"/>
        <v>0</v>
      </c>
      <c r="BI71" s="725">
        <f t="shared" ca="1" si="33"/>
        <v>0</v>
      </c>
      <c r="BJ71" s="725">
        <f t="shared" ca="1" si="33"/>
        <v>0</v>
      </c>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row>
    <row r="72" spans="1:121" x14ac:dyDescent="0.2">
      <c r="A72" s="75"/>
      <c r="C72" s="592" t="s">
        <v>476</v>
      </c>
      <c r="D72" s="112"/>
      <c r="E72" s="112"/>
      <c r="F72" s="112"/>
      <c r="G72" s="112"/>
      <c r="H72" s="112"/>
      <c r="I72" s="112"/>
      <c r="J72" s="112"/>
      <c r="K72" s="595" t="s">
        <v>62</v>
      </c>
      <c r="L72" s="112"/>
      <c r="M72" s="112"/>
      <c r="N72" s="731">
        <f>+SUM(R72:BJ72)</f>
        <v>2136713.6427158257</v>
      </c>
      <c r="O72" s="112"/>
      <c r="P72" s="112"/>
      <c r="Q72" s="112"/>
      <c r="R72" s="732">
        <f t="shared" ref="R72:BJ72" si="34">+R67</f>
        <v>0</v>
      </c>
      <c r="S72" s="732">
        <f t="shared" si="34"/>
        <v>64166.955093853452</v>
      </c>
      <c r="T72" s="732">
        <f t="shared" si="34"/>
        <v>66595.107462786182</v>
      </c>
      <c r="U72" s="732">
        <f t="shared" si="34"/>
        <v>63116.902601715396</v>
      </c>
      <c r="V72" s="732">
        <f t="shared" si="34"/>
        <v>59393.958364221457</v>
      </c>
      <c r="W72" s="732">
        <f t="shared" si="34"/>
        <v>59424.702045758728</v>
      </c>
      <c r="X72" s="732">
        <f t="shared" si="34"/>
        <v>59511.746845995949</v>
      </c>
      <c r="Y72" s="732">
        <f t="shared" si="34"/>
        <v>59730.593962028477</v>
      </c>
      <c r="Z72" s="732">
        <f t="shared" si="34"/>
        <v>60012.321364462623</v>
      </c>
      <c r="AA72" s="732">
        <f t="shared" si="34"/>
        <v>60276.009225409558</v>
      </c>
      <c r="AB72" s="732">
        <f t="shared" si="34"/>
        <v>60522.976208863271</v>
      </c>
      <c r="AC72" s="732">
        <f t="shared" si="34"/>
        <v>60832.021308299838</v>
      </c>
      <c r="AD72" s="732">
        <f t="shared" si="34"/>
        <v>61601.24684007324</v>
      </c>
      <c r="AE72" s="732">
        <f t="shared" si="34"/>
        <v>65372.162787532536</v>
      </c>
      <c r="AF72" s="732">
        <f t="shared" si="34"/>
        <v>62003.054196433513</v>
      </c>
      <c r="AG72" s="732">
        <f t="shared" si="34"/>
        <v>62562.164809271861</v>
      </c>
      <c r="AH72" s="732">
        <f t="shared" si="34"/>
        <v>62969.59541226631</v>
      </c>
      <c r="AI72" s="732">
        <f t="shared" si="34"/>
        <v>63738.809560553527</v>
      </c>
      <c r="AJ72" s="732">
        <f t="shared" si="34"/>
        <v>64704.65759721295</v>
      </c>
      <c r="AK72" s="732">
        <f t="shared" si="34"/>
        <v>65931.610851130259</v>
      </c>
      <c r="AL72" s="732">
        <f t="shared" si="34"/>
        <v>67220.105475395962</v>
      </c>
      <c r="AM72" s="732">
        <f t="shared" si="34"/>
        <v>69365.220871723228</v>
      </c>
      <c r="AN72" s="732">
        <f t="shared" si="34"/>
        <v>72096.453062507848</v>
      </c>
      <c r="AO72" s="732">
        <f t="shared" si="34"/>
        <v>73222.828543809752</v>
      </c>
      <c r="AP72" s="732">
        <f t="shared" si="34"/>
        <v>70438.316186496653</v>
      </c>
      <c r="AQ72" s="732">
        <f t="shared" si="34"/>
        <v>71163.139927587807</v>
      </c>
      <c r="AR72" s="732">
        <f t="shared" si="34"/>
        <v>71694.171748565073</v>
      </c>
      <c r="AS72" s="732">
        <f t="shared" si="34"/>
        <v>72343.202542578001</v>
      </c>
      <c r="AT72" s="732">
        <f t="shared" si="34"/>
        <v>72475.725848015456</v>
      </c>
      <c r="AU72" s="732">
        <f t="shared" si="34"/>
        <v>69110.618235245143</v>
      </c>
      <c r="AV72" s="732">
        <f t="shared" si="34"/>
        <v>63504.788035389596</v>
      </c>
      <c r="AW72" s="732">
        <f t="shared" si="34"/>
        <v>57365.870438956008</v>
      </c>
      <c r="AX72" s="732">
        <f t="shared" si="34"/>
        <v>51275.259442287119</v>
      </c>
      <c r="AY72" s="732">
        <f t="shared" si="34"/>
        <v>42527.567428467984</v>
      </c>
      <c r="AZ72" s="732">
        <f t="shared" si="34"/>
        <v>34151.712846928465</v>
      </c>
      <c r="BA72" s="732">
        <f t="shared" si="34"/>
        <v>25562.970541721654</v>
      </c>
      <c r="BB72" s="732">
        <f t="shared" si="34"/>
        <v>16318.008878039089</v>
      </c>
      <c r="BC72" s="732">
        <f t="shared" si="34"/>
        <v>6765.1405702815318</v>
      </c>
      <c r="BD72" s="732">
        <f t="shared" si="34"/>
        <v>-3466.451921041823</v>
      </c>
      <c r="BE72" s="732">
        <f t="shared" si="34"/>
        <v>-9642.6086918270485</v>
      </c>
      <c r="BF72" s="732">
        <f t="shared" si="34"/>
        <v>-9736.9246790448087</v>
      </c>
      <c r="BG72" s="732">
        <f t="shared" si="34"/>
        <v>-9624.1770197395927</v>
      </c>
      <c r="BH72" s="732">
        <f t="shared" si="34"/>
        <v>-9434.8959840826774</v>
      </c>
      <c r="BI72" s="732">
        <f t="shared" si="34"/>
        <v>-8508.7060004751474</v>
      </c>
      <c r="BJ72" s="732">
        <f t="shared" si="34"/>
        <v>-1940.2901498285173</v>
      </c>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row>
    <row r="73" spans="1:121" x14ac:dyDescent="0.2">
      <c r="A73" s="75"/>
      <c r="C73" s="593" t="s">
        <v>477</v>
      </c>
      <c r="D73" s="72"/>
      <c r="E73" s="72"/>
      <c r="F73" s="72"/>
      <c r="G73" s="72"/>
      <c r="H73" s="72"/>
      <c r="I73" s="72"/>
      <c r="J73" s="72"/>
      <c r="K73" s="596" t="s">
        <v>62</v>
      </c>
      <c r="L73" s="72"/>
      <c r="M73" s="72"/>
      <c r="N73" s="206">
        <f ca="1">+SUM(R73:BJ73)</f>
        <v>-2136713.6427158262</v>
      </c>
      <c r="O73" s="72"/>
      <c r="P73" s="72"/>
      <c r="Q73" s="72"/>
      <c r="R73" s="725">
        <f t="shared" ref="R73:BJ73" si="35">-MIN(MAX(R66,0),SUM(R71:R72))</f>
        <v>0</v>
      </c>
      <c r="S73" s="725">
        <f t="shared" si="35"/>
        <v>-24863.574443684342</v>
      </c>
      <c r="T73" s="725">
        <f t="shared" si="35"/>
        <v>-27792.275720288009</v>
      </c>
      <c r="U73" s="725">
        <f t="shared" si="35"/>
        <v>-31054.668889518343</v>
      </c>
      <c r="V73" s="725">
        <f t="shared" si="35"/>
        <v>-34688.082221556302</v>
      </c>
      <c r="W73" s="725">
        <f t="shared" ca="1" si="35"/>
        <v>-9483.406203890685</v>
      </c>
      <c r="X73" s="725">
        <f t="shared" ca="1" si="35"/>
        <v>-12867.125433208612</v>
      </c>
      <c r="Y73" s="725">
        <f t="shared" ca="1" si="35"/>
        <v>-16551.435939283594</v>
      </c>
      <c r="Z73" s="725">
        <f t="shared" ca="1" si="35"/>
        <v>-20562.453400258873</v>
      </c>
      <c r="AA73" s="725">
        <f t="shared" ca="1" si="35"/>
        <v>-24928.569337299352</v>
      </c>
      <c r="AB73" s="725">
        <f t="shared" ca="1" si="35"/>
        <v>-28346.983714599523</v>
      </c>
      <c r="AC73" s="725">
        <f t="shared" ca="1" si="35"/>
        <v>-31996.482555109898</v>
      </c>
      <c r="AD73" s="725">
        <f t="shared" ca="1" si="35"/>
        <v>-35892.0014213904</v>
      </c>
      <c r="AE73" s="725">
        <f t="shared" ca="1" si="35"/>
        <v>-40049.254248758334</v>
      </c>
      <c r="AF73" s="725">
        <f t="shared" ca="1" si="35"/>
        <v>-44485.314671869397</v>
      </c>
      <c r="AG73" s="725">
        <f t="shared" ca="1" si="35"/>
        <v>-64184.037444185204</v>
      </c>
      <c r="AH73" s="725">
        <f t="shared" ca="1" si="35"/>
        <v>-88042.129489229075</v>
      </c>
      <c r="AI73" s="725">
        <f t="shared" ca="1" si="35"/>
        <v>-97075.331169006822</v>
      </c>
      <c r="AJ73" s="725">
        <f t="shared" ca="1" si="35"/>
        <v>-107022.17118030734</v>
      </c>
      <c r="AK73" s="725">
        <f t="shared" ca="1" si="35"/>
        <v>-117982.13991862486</v>
      </c>
      <c r="AL73" s="725">
        <f t="shared" ca="1" si="35"/>
        <v>-130177.7679244313</v>
      </c>
      <c r="AM73" s="725">
        <f t="shared" ca="1" si="35"/>
        <v>-143603.28042895367</v>
      </c>
      <c r="AN73" s="725">
        <f t="shared" ca="1" si="35"/>
        <v>-158381.46225860537</v>
      </c>
      <c r="AO73" s="725">
        <f t="shared" ca="1" si="35"/>
        <v>-174341.2564772467</v>
      </c>
      <c r="AP73" s="725">
        <f t="shared" ca="1" si="35"/>
        <v>-70438.316186496653</v>
      </c>
      <c r="AQ73" s="725">
        <f t="shared" ca="1" si="35"/>
        <v>-71163.139927587807</v>
      </c>
      <c r="AR73" s="725">
        <f t="shared" ca="1" si="35"/>
        <v>-71694.171748565073</v>
      </c>
      <c r="AS73" s="725">
        <f t="shared" ca="1" si="35"/>
        <v>-72343.202542578001</v>
      </c>
      <c r="AT73" s="725">
        <f t="shared" ca="1" si="35"/>
        <v>-72475.725848015456</v>
      </c>
      <c r="AU73" s="725">
        <f t="shared" ca="1" si="35"/>
        <v>-69110.618235245143</v>
      </c>
      <c r="AV73" s="725">
        <f t="shared" ca="1" si="35"/>
        <v>-63504.788035389596</v>
      </c>
      <c r="AW73" s="725">
        <f t="shared" ca="1" si="35"/>
        <v>-57365.870438956008</v>
      </c>
      <c r="AX73" s="725">
        <f t="shared" ca="1" si="35"/>
        <v>-51275.259442287119</v>
      </c>
      <c r="AY73" s="725">
        <f t="shared" ca="1" si="35"/>
        <v>-42527.567428467984</v>
      </c>
      <c r="AZ73" s="725">
        <f t="shared" ca="1" si="35"/>
        <v>-34151.712846928465</v>
      </c>
      <c r="BA73" s="725">
        <f t="shared" ca="1" si="35"/>
        <v>-25562.970541721654</v>
      </c>
      <c r="BB73" s="725">
        <f t="shared" ca="1" si="35"/>
        <v>-16318.008878039089</v>
      </c>
      <c r="BC73" s="725">
        <f t="shared" ca="1" si="35"/>
        <v>-6765.1405702815318</v>
      </c>
      <c r="BD73" s="725">
        <f t="shared" ca="1" si="35"/>
        <v>3466.451921041823</v>
      </c>
      <c r="BE73" s="725">
        <f t="shared" ca="1" si="35"/>
        <v>9642.6086918270485</v>
      </c>
      <c r="BF73" s="725">
        <f t="shared" ca="1" si="35"/>
        <v>9736.9246790448087</v>
      </c>
      <c r="BG73" s="725">
        <f t="shared" ca="1" si="35"/>
        <v>9624.1770197395927</v>
      </c>
      <c r="BH73" s="725">
        <f t="shared" ca="1" si="35"/>
        <v>9434.8959840826774</v>
      </c>
      <c r="BI73" s="725">
        <f t="shared" ca="1" si="35"/>
        <v>8508.7060004751474</v>
      </c>
      <c r="BJ73" s="725">
        <f t="shared" ca="1" si="35"/>
        <v>1940.2901498285173</v>
      </c>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row>
    <row r="74" spans="1:121" x14ac:dyDescent="0.2">
      <c r="A74" s="75"/>
      <c r="C74" s="593" t="s">
        <v>478</v>
      </c>
      <c r="D74" s="72"/>
      <c r="E74" s="72"/>
      <c r="F74" s="72"/>
      <c r="G74" s="72"/>
      <c r="H74" s="72"/>
      <c r="I74" s="72"/>
      <c r="J74" s="72"/>
      <c r="K74" s="596" t="s">
        <v>62</v>
      </c>
      <c r="L74" s="730">
        <f>+Inputs!L84</f>
        <v>100</v>
      </c>
      <c r="M74" s="72"/>
      <c r="N74" s="206">
        <f ca="1">+SUM(R74:BJ74)</f>
        <v>0</v>
      </c>
      <c r="O74" s="72"/>
      <c r="P74" s="72"/>
      <c r="Q74" s="72"/>
      <c r="R74" s="725">
        <f>MIN(SUM($Q75:R75)-SUM($Q74:Q74)-SUM($Q73:R73),0)</f>
        <v>0</v>
      </c>
      <c r="S74" s="725">
        <f>MIN(SUM($Q75:S75)-SUM($Q74:R74)-SUM($Q73:S73),0)</f>
        <v>0</v>
      </c>
      <c r="T74" s="725">
        <f>MIN(SUM($Q75:T75)-SUM($Q74:S74)-SUM($Q73:T73),0)</f>
        <v>0</v>
      </c>
      <c r="U74" s="725">
        <f>MIN(SUM($Q75:U75)-SUM($Q74:T74)-SUM($Q73:U73),0)</f>
        <v>0</v>
      </c>
      <c r="V74" s="725">
        <f>MIN(SUM($Q75:V75)-SUM($Q74:U74)-SUM($Q73:V73),0)</f>
        <v>0</v>
      </c>
      <c r="W74" s="725">
        <f ca="1">MIN(SUM($Q75:W75)-SUM($Q74:V74)-SUM($Q73:W73),0)</f>
        <v>0</v>
      </c>
      <c r="X74" s="725">
        <f ca="1">MIN(SUM($Q75:X75)-SUM($Q74:W74)-SUM($Q73:X73),0)</f>
        <v>0</v>
      </c>
      <c r="Y74" s="725">
        <f ca="1">MIN(SUM($Q75:Y75)-SUM($Q74:X74)-SUM($Q73:Y73),0)</f>
        <v>0</v>
      </c>
      <c r="Z74" s="725">
        <f ca="1">MIN(SUM($Q75:Z75)-SUM($Q74:Y74)-SUM($Q73:Z73),0)</f>
        <v>0</v>
      </c>
      <c r="AA74" s="725">
        <f ca="1">MIN(SUM($Q75:AA75)-SUM($Q74:Z74)-SUM($Q73:AA73),0)</f>
        <v>0</v>
      </c>
      <c r="AB74" s="725">
        <f ca="1">MIN(SUM($Q75:AB75)-SUM($Q74:AA74)-SUM($Q73:AB73),0)</f>
        <v>0</v>
      </c>
      <c r="AC74" s="725">
        <f ca="1">MIN(SUM($Q75:AC75)-SUM($Q74:AB74)-SUM($Q73:AC73),0)</f>
        <v>0</v>
      </c>
      <c r="AD74" s="725">
        <f ca="1">MIN(SUM($Q75:AD75)-SUM($Q74:AC74)-SUM($Q73:AD73),0)</f>
        <v>0</v>
      </c>
      <c r="AE74" s="725">
        <f ca="1">MIN(SUM($Q75:AE75)-SUM($Q74:AD74)-SUM($Q73:AE73),0)</f>
        <v>0</v>
      </c>
      <c r="AF74" s="725">
        <f ca="1">MIN(SUM($Q75:AF75)-SUM($Q74:AE74)-SUM($Q73:AF73),0)</f>
        <v>0</v>
      </c>
      <c r="AG74" s="725">
        <f ca="1">MIN(SUM($Q75:AG75)-SUM($Q74:AF74)-SUM($Q73:AG73),0)</f>
        <v>0</v>
      </c>
      <c r="AH74" s="725">
        <f ca="1">MIN(SUM($Q75:AH75)-SUM($Q74:AG74)-SUM($Q73:AH73),0)</f>
        <v>0</v>
      </c>
      <c r="AI74" s="725">
        <f ca="1">MIN(SUM($Q75:AI75)-SUM($Q74:AH74)-SUM($Q73:AI73),0)</f>
        <v>0</v>
      </c>
      <c r="AJ74" s="725">
        <f ca="1">MIN(SUM($Q75:AJ75)-SUM($Q74:AI74)-SUM($Q73:AJ73),0)</f>
        <v>0</v>
      </c>
      <c r="AK74" s="725">
        <f ca="1">MIN(SUM($Q75:AK75)-SUM($Q74:AJ74)-SUM($Q73:AK73),0)</f>
        <v>0</v>
      </c>
      <c r="AL74" s="725">
        <f ca="1">MIN(SUM($Q75:AL75)-SUM($Q74:AK74)-SUM($Q73:AL73),0)</f>
        <v>0</v>
      </c>
      <c r="AM74" s="725">
        <f ca="1">MIN(SUM($Q75:AM75)-SUM($Q74:AL74)-SUM($Q73:AM73),0)</f>
        <v>0</v>
      </c>
      <c r="AN74" s="725">
        <f ca="1">MIN(SUM($Q75:AN75)-SUM($Q74:AM74)-SUM($Q73:AN73),0)</f>
        <v>0</v>
      </c>
      <c r="AO74" s="725">
        <f ca="1">MIN(SUM($Q75:AO75)-SUM($Q74:AN74)-SUM($Q73:AO73),0)</f>
        <v>0</v>
      </c>
      <c r="AP74" s="725">
        <f ca="1">MIN(SUM($Q75:AP75)-SUM($Q74:AO74)-SUM($Q73:AP73),0)</f>
        <v>0</v>
      </c>
      <c r="AQ74" s="725">
        <f ca="1">MIN(SUM($Q75:AQ75)-SUM($Q74:AP74)-SUM($Q73:AQ73),0)</f>
        <v>0</v>
      </c>
      <c r="AR74" s="725">
        <f ca="1">MIN(SUM($Q75:AR75)-SUM($Q74:AQ74)-SUM($Q73:AR73),0)</f>
        <v>0</v>
      </c>
      <c r="AS74" s="725">
        <f ca="1">MIN(SUM($Q75:AS75)-SUM($Q74:AR74)-SUM($Q73:AS73),0)</f>
        <v>0</v>
      </c>
      <c r="AT74" s="725">
        <f ca="1">MIN(SUM($Q75:AT75)-SUM($Q74:AS74)-SUM($Q73:AT73),0)</f>
        <v>0</v>
      </c>
      <c r="AU74" s="725">
        <f ca="1">MIN(SUM($Q75:AU75)-SUM($Q74:AT74)-SUM($Q73:AU73),0)</f>
        <v>0</v>
      </c>
      <c r="AV74" s="725">
        <f ca="1">MIN(SUM($Q75:AV75)-SUM($Q74:AU74)-SUM($Q73:AV73),0)</f>
        <v>0</v>
      </c>
      <c r="AW74" s="725">
        <f ca="1">MIN(SUM($Q75:AW75)-SUM($Q74:AV74)-SUM($Q73:AW73),0)</f>
        <v>0</v>
      </c>
      <c r="AX74" s="725">
        <f ca="1">MIN(SUM($Q75:AX75)-SUM($Q74:AW74)-SUM($Q73:AX73),0)</f>
        <v>0</v>
      </c>
      <c r="AY74" s="725">
        <f ca="1">MIN(SUM($Q75:AY75)-SUM($Q74:AX74)-SUM($Q73:AY73),0)</f>
        <v>0</v>
      </c>
      <c r="AZ74" s="725">
        <f ca="1">MIN(SUM($Q75:AZ75)-SUM($Q74:AY74)-SUM($Q73:AZ73),0)</f>
        <v>0</v>
      </c>
      <c r="BA74" s="725">
        <f ca="1">MIN(SUM($Q75:BA75)-SUM($Q74:AZ74)-SUM($Q73:BA73),0)</f>
        <v>0</v>
      </c>
      <c r="BB74" s="725">
        <f ca="1">MIN(SUM($Q75:BB75)-SUM($Q74:BA74)-SUM($Q73:BB73),0)</f>
        <v>0</v>
      </c>
      <c r="BC74" s="725">
        <f ca="1">MIN(SUM($Q75:BC75)-SUM($Q74:BB74)-SUM($Q73:BC73),0)</f>
        <v>0</v>
      </c>
      <c r="BD74" s="725">
        <f ca="1">MIN(SUM($Q75:BD75)-SUM($Q74:BC74)-SUM($Q73:BD73),0)</f>
        <v>0</v>
      </c>
      <c r="BE74" s="725">
        <f ca="1">MIN(SUM($Q75:BE75)-SUM($Q74:BD74)-SUM($Q73:BE73),0)</f>
        <v>0</v>
      </c>
      <c r="BF74" s="725">
        <f ca="1">MIN(SUM($Q75:BF75)-SUM($Q74:BE74)-SUM($Q73:BF73),0)</f>
        <v>0</v>
      </c>
      <c r="BG74" s="725">
        <f ca="1">MIN(SUM($Q75:BG75)-SUM($Q74:BF74)-SUM($Q73:BG73),0)</f>
        <v>0</v>
      </c>
      <c r="BH74" s="725">
        <f ca="1">MIN(SUM($Q75:BH75)-SUM($Q74:BG74)-SUM($Q73:BH73),0)</f>
        <v>0</v>
      </c>
      <c r="BI74" s="725">
        <f ca="1">MIN(SUM($Q75:BI75)-SUM($Q74:BH74)-SUM($Q73:BI73),0)</f>
        <v>0</v>
      </c>
      <c r="BJ74" s="725">
        <f ca="1">MIN(SUM($Q75:BJ75)-SUM($Q74:BI74)-SUM($Q73:BJ73),0)</f>
        <v>0</v>
      </c>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row>
    <row r="75" spans="1:121" x14ac:dyDescent="0.2">
      <c r="A75" s="75"/>
      <c r="C75" s="594" t="s">
        <v>479</v>
      </c>
      <c r="D75" s="109"/>
      <c r="E75" s="109"/>
      <c r="F75" s="109"/>
      <c r="G75" s="109"/>
      <c r="H75" s="109"/>
      <c r="I75" s="109"/>
      <c r="J75" s="109"/>
      <c r="K75" s="597" t="s">
        <v>62</v>
      </c>
      <c r="L75" s="109"/>
      <c r="M75" s="109"/>
      <c r="N75" s="695">
        <f>+SUM(R75:BJ75)</f>
        <v>0</v>
      </c>
      <c r="O75" s="109"/>
      <c r="P75" s="109"/>
      <c r="Q75" s="109"/>
      <c r="R75" s="733">
        <f t="shared" ref="R75:BJ75" si="36">-SUMIF($R$62:$BR$62,R$62-$L74-1,$R72:$BR72)</f>
        <v>0</v>
      </c>
      <c r="S75" s="733">
        <f t="shared" si="36"/>
        <v>0</v>
      </c>
      <c r="T75" s="733">
        <f t="shared" si="36"/>
        <v>0</v>
      </c>
      <c r="U75" s="733">
        <f t="shared" si="36"/>
        <v>0</v>
      </c>
      <c r="V75" s="733">
        <f t="shared" si="36"/>
        <v>0</v>
      </c>
      <c r="W75" s="733">
        <f t="shared" si="36"/>
        <v>0</v>
      </c>
      <c r="X75" s="733">
        <f t="shared" si="36"/>
        <v>0</v>
      </c>
      <c r="Y75" s="733">
        <f t="shared" si="36"/>
        <v>0</v>
      </c>
      <c r="Z75" s="733">
        <f t="shared" si="36"/>
        <v>0</v>
      </c>
      <c r="AA75" s="733">
        <f t="shared" si="36"/>
        <v>0</v>
      </c>
      <c r="AB75" s="733">
        <f t="shared" si="36"/>
        <v>0</v>
      </c>
      <c r="AC75" s="733">
        <f t="shared" si="36"/>
        <v>0</v>
      </c>
      <c r="AD75" s="733">
        <f t="shared" si="36"/>
        <v>0</v>
      </c>
      <c r="AE75" s="733">
        <f t="shared" si="36"/>
        <v>0</v>
      </c>
      <c r="AF75" s="733">
        <f t="shared" si="36"/>
        <v>0</v>
      </c>
      <c r="AG75" s="733">
        <f t="shared" si="36"/>
        <v>0</v>
      </c>
      <c r="AH75" s="733">
        <f t="shared" si="36"/>
        <v>0</v>
      </c>
      <c r="AI75" s="733">
        <f t="shared" si="36"/>
        <v>0</v>
      </c>
      <c r="AJ75" s="733">
        <f t="shared" si="36"/>
        <v>0</v>
      </c>
      <c r="AK75" s="733">
        <f t="shared" si="36"/>
        <v>0</v>
      </c>
      <c r="AL75" s="733">
        <f t="shared" si="36"/>
        <v>0</v>
      </c>
      <c r="AM75" s="733">
        <f t="shared" si="36"/>
        <v>0</v>
      </c>
      <c r="AN75" s="733">
        <f t="shared" si="36"/>
        <v>0</v>
      </c>
      <c r="AO75" s="733">
        <f t="shared" si="36"/>
        <v>0</v>
      </c>
      <c r="AP75" s="733">
        <f t="shared" si="36"/>
        <v>0</v>
      </c>
      <c r="AQ75" s="733">
        <f t="shared" si="36"/>
        <v>0</v>
      </c>
      <c r="AR75" s="733">
        <f t="shared" si="36"/>
        <v>0</v>
      </c>
      <c r="AS75" s="733">
        <f t="shared" si="36"/>
        <v>0</v>
      </c>
      <c r="AT75" s="733">
        <f t="shared" si="36"/>
        <v>0</v>
      </c>
      <c r="AU75" s="733">
        <f t="shared" si="36"/>
        <v>0</v>
      </c>
      <c r="AV75" s="733">
        <f t="shared" si="36"/>
        <v>0</v>
      </c>
      <c r="AW75" s="733">
        <f t="shared" si="36"/>
        <v>0</v>
      </c>
      <c r="AX75" s="733">
        <f t="shared" si="36"/>
        <v>0</v>
      </c>
      <c r="AY75" s="733">
        <f t="shared" si="36"/>
        <v>0</v>
      </c>
      <c r="AZ75" s="733">
        <f t="shared" si="36"/>
        <v>0</v>
      </c>
      <c r="BA75" s="733">
        <f t="shared" si="36"/>
        <v>0</v>
      </c>
      <c r="BB75" s="733">
        <f t="shared" si="36"/>
        <v>0</v>
      </c>
      <c r="BC75" s="733">
        <f t="shared" si="36"/>
        <v>0</v>
      </c>
      <c r="BD75" s="733">
        <f t="shared" si="36"/>
        <v>0</v>
      </c>
      <c r="BE75" s="733">
        <f t="shared" si="36"/>
        <v>0</v>
      </c>
      <c r="BF75" s="733">
        <f t="shared" si="36"/>
        <v>0</v>
      </c>
      <c r="BG75" s="733">
        <f t="shared" si="36"/>
        <v>0</v>
      </c>
      <c r="BH75" s="733">
        <f t="shared" si="36"/>
        <v>0</v>
      </c>
      <c r="BI75" s="733">
        <f t="shared" si="36"/>
        <v>0</v>
      </c>
      <c r="BJ75" s="733">
        <f t="shared" si="36"/>
        <v>0</v>
      </c>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row>
    <row r="76" spans="1:121" x14ac:dyDescent="0.2">
      <c r="A76" s="75"/>
      <c r="C76" s="591" t="s">
        <v>139</v>
      </c>
      <c r="R76" s="725">
        <f t="shared" ref="R76:BJ76" si="37">+SUM(R71:R75)</f>
        <v>0</v>
      </c>
      <c r="S76" s="725">
        <f t="shared" si="37"/>
        <v>39303.380650169114</v>
      </c>
      <c r="T76" s="725">
        <f t="shared" si="37"/>
        <v>78106.212392667279</v>
      </c>
      <c r="U76" s="725">
        <f t="shared" si="37"/>
        <v>110168.44610486431</v>
      </c>
      <c r="V76" s="725">
        <f t="shared" si="37"/>
        <v>134874.32224752946</v>
      </c>
      <c r="W76" s="725">
        <f t="shared" ca="1" si="37"/>
        <v>184815.6180893975</v>
      </c>
      <c r="X76" s="725">
        <f t="shared" ca="1" si="37"/>
        <v>231460.23950218482</v>
      </c>
      <c r="Y76" s="725">
        <f t="shared" ca="1" si="37"/>
        <v>274639.39752492972</v>
      </c>
      <c r="Z76" s="725">
        <f t="shared" ca="1" si="37"/>
        <v>314089.26548913348</v>
      </c>
      <c r="AA76" s="725">
        <f t="shared" ca="1" si="37"/>
        <v>349436.70537724369</v>
      </c>
      <c r="AB76" s="725">
        <f t="shared" ca="1" si="37"/>
        <v>381612.69787150744</v>
      </c>
      <c r="AC76" s="725">
        <f t="shared" ca="1" si="37"/>
        <v>410448.2366246974</v>
      </c>
      <c r="AD76" s="725">
        <f t="shared" ca="1" si="37"/>
        <v>436157.48204338027</v>
      </c>
      <c r="AE76" s="725">
        <f t="shared" ca="1" si="37"/>
        <v>461480.3905821545</v>
      </c>
      <c r="AF76" s="725">
        <f t="shared" ca="1" si="37"/>
        <v>478998.13010671863</v>
      </c>
      <c r="AG76" s="725">
        <f t="shared" ca="1" si="37"/>
        <v>477376.25747180521</v>
      </c>
      <c r="AH76" s="725">
        <f t="shared" ca="1" si="37"/>
        <v>452303.72339484247</v>
      </c>
      <c r="AI76" s="725">
        <f t="shared" ca="1" si="37"/>
        <v>418967.20178638917</v>
      </c>
      <c r="AJ76" s="725">
        <f t="shared" ca="1" si="37"/>
        <v>376649.68820329476</v>
      </c>
      <c r="AK76" s="725">
        <f t="shared" ca="1" si="37"/>
        <v>324599.1591358002</v>
      </c>
      <c r="AL76" s="725">
        <f t="shared" ca="1" si="37"/>
        <v>261641.49668676488</v>
      </c>
      <c r="AM76" s="725">
        <f t="shared" ca="1" si="37"/>
        <v>187403.43712953446</v>
      </c>
      <c r="AN76" s="725">
        <f t="shared" ca="1" si="37"/>
        <v>101118.42793343693</v>
      </c>
      <c r="AO76" s="725">
        <f t="shared" ca="1" si="37"/>
        <v>0</v>
      </c>
      <c r="AP76" s="725">
        <f t="shared" ca="1" si="37"/>
        <v>0</v>
      </c>
      <c r="AQ76" s="725">
        <f t="shared" ca="1" si="37"/>
        <v>0</v>
      </c>
      <c r="AR76" s="725">
        <f t="shared" ca="1" si="37"/>
        <v>0</v>
      </c>
      <c r="AS76" s="725">
        <f t="shared" ca="1" si="37"/>
        <v>0</v>
      </c>
      <c r="AT76" s="725">
        <f t="shared" ca="1" si="37"/>
        <v>0</v>
      </c>
      <c r="AU76" s="725">
        <f t="shared" ca="1" si="37"/>
        <v>0</v>
      </c>
      <c r="AV76" s="725">
        <f t="shared" ca="1" si="37"/>
        <v>0</v>
      </c>
      <c r="AW76" s="725">
        <f t="shared" ca="1" si="37"/>
        <v>0</v>
      </c>
      <c r="AX76" s="725">
        <f t="shared" ca="1" si="37"/>
        <v>0</v>
      </c>
      <c r="AY76" s="725">
        <f t="shared" ca="1" si="37"/>
        <v>0</v>
      </c>
      <c r="AZ76" s="725">
        <f t="shared" ca="1" si="37"/>
        <v>0</v>
      </c>
      <c r="BA76" s="725">
        <f t="shared" ca="1" si="37"/>
        <v>0</v>
      </c>
      <c r="BB76" s="725">
        <f t="shared" ca="1" si="37"/>
        <v>0</v>
      </c>
      <c r="BC76" s="725">
        <f t="shared" ca="1" si="37"/>
        <v>0</v>
      </c>
      <c r="BD76" s="725">
        <f t="shared" ca="1" si="37"/>
        <v>0</v>
      </c>
      <c r="BE76" s="725">
        <f t="shared" ca="1" si="37"/>
        <v>0</v>
      </c>
      <c r="BF76" s="725">
        <f t="shared" ca="1" si="37"/>
        <v>0</v>
      </c>
      <c r="BG76" s="725">
        <f t="shared" ca="1" si="37"/>
        <v>0</v>
      </c>
      <c r="BH76" s="725">
        <f t="shared" ca="1" si="37"/>
        <v>0</v>
      </c>
      <c r="BI76" s="725">
        <f t="shared" ca="1" si="37"/>
        <v>0</v>
      </c>
      <c r="BJ76" s="725">
        <f t="shared" ca="1" si="37"/>
        <v>0</v>
      </c>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row>
    <row r="77" spans="1:121" ht="13.5" thickBot="1" x14ac:dyDescent="0.25">
      <c r="A77" s="75"/>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row>
    <row r="78" spans="1:121" ht="13.5" thickBot="1" x14ac:dyDescent="0.25">
      <c r="A78" s="75"/>
      <c r="C78" s="69" t="s">
        <v>480</v>
      </c>
      <c r="D78" s="69"/>
      <c r="E78" s="69"/>
      <c r="F78" s="69"/>
      <c r="G78" s="69"/>
      <c r="H78" s="69"/>
      <c r="I78" s="69"/>
      <c r="J78" s="69"/>
      <c r="K78" s="185"/>
      <c r="L78" s="658"/>
      <c r="M78" s="69"/>
      <c r="N78" s="723">
        <f ca="1">IF((ROUND(N74,0)+ ROUND(N75,0)+ROUND(N72,0)+ROUND(N73,0))=0,0,1)</f>
        <v>0</v>
      </c>
      <c r="O78" s="69"/>
      <c r="P78" s="69"/>
      <c r="Q78" s="69"/>
      <c r="R78" s="729">
        <f>+Acc!R22-R68+SUM(Acc!R24:R28)</f>
        <v>0</v>
      </c>
      <c r="S78" s="729">
        <f ca="1">+Acc!S22-S68</f>
        <v>-35509.029789216685</v>
      </c>
      <c r="T78" s="729">
        <f ca="1">+Acc!T22-T68</f>
        <v>-29026.626783364154</v>
      </c>
      <c r="U78" s="729">
        <f ca="1">+Acc!U22-U68</f>
        <v>-21618.816468154862</v>
      </c>
      <c r="V78" s="729">
        <f ca="1">+Acc!V22-V68</f>
        <v>-13433.892323444838</v>
      </c>
      <c r="W78" s="729">
        <f ca="1">+Acc!W22-W68</f>
        <v>22127.947809078265</v>
      </c>
      <c r="X78" s="729">
        <f ca="1">+Acc!X22-X68</f>
        <v>30023.292677486766</v>
      </c>
      <c r="Y78" s="729">
        <f ca="1">+Acc!Y22-Y68</f>
        <v>38620.017191661726</v>
      </c>
      <c r="Z78" s="729">
        <f ca="1">+Acc!Z22-Z68</f>
        <v>47979.057933937365</v>
      </c>
      <c r="AA78" s="729">
        <f ca="1">+Acc!AA22-AA68</f>
        <v>58166.661787031815</v>
      </c>
      <c r="AB78" s="729">
        <f ca="1">+Acc!AB22-AB68</f>
        <v>66142.962000732223</v>
      </c>
      <c r="AC78" s="729">
        <f ca="1">+Acc!AC22-AC68</f>
        <v>74658.459295256442</v>
      </c>
      <c r="AD78" s="729">
        <f ca="1">+Acc!AD22-AD68</f>
        <v>83748.003316577611</v>
      </c>
      <c r="AE78" s="729">
        <f ca="1">+Acc!AE22-AE68</f>
        <v>93448.259913769434</v>
      </c>
      <c r="AF78" s="729">
        <f ca="1">+Acc!AF22-AF68</f>
        <v>103799.06756769528</v>
      </c>
      <c r="AG78" s="729">
        <f ca="1">+Acc!AG22-AG68</f>
        <v>149762.75403643216</v>
      </c>
      <c r="AH78" s="729">
        <f ca="1">+Acc!AH22-AH68</f>
        <v>205431.63547486789</v>
      </c>
      <c r="AI78" s="729">
        <f ca="1">+Acc!AI22-AI68</f>
        <v>226509.10606101592</v>
      </c>
      <c r="AJ78" s="729">
        <f ca="1">+Acc!AJ22-AJ68</f>
        <v>249718.39942071715</v>
      </c>
      <c r="AK78" s="729">
        <f ca="1">+Acc!AK22-AK68</f>
        <v>275291.65981012466</v>
      </c>
      <c r="AL78" s="729">
        <f ca="1">+Acc!AL22-AL68</f>
        <v>303748.12515700638</v>
      </c>
      <c r="AM78" s="729">
        <f ca="1">+Acc!AM22-AM68</f>
        <v>335074.32100089185</v>
      </c>
      <c r="AN78" s="729">
        <f ca="1">+Acc!AN22-AN68</f>
        <v>369556.74527007923</v>
      </c>
      <c r="AO78" s="729">
        <f ca="1">+Acc!AO22-AO68</f>
        <v>407823.41986323107</v>
      </c>
      <c r="AP78" s="729">
        <f ca="1">+Acc!AP22-AP68</f>
        <v>571408.76594868081</v>
      </c>
      <c r="AQ78" s="729">
        <f ca="1">+Acc!AQ22-AQ68</f>
        <v>608689.76869311102</v>
      </c>
      <c r="AR78" s="729">
        <f ca="1">+Acc!AR22-AR68</f>
        <v>648533.59603509633</v>
      </c>
      <c r="AS78" s="729">
        <f ca="1">+Acc!AS22-AS68</f>
        <v>690754.13044569991</v>
      </c>
      <c r="AT78" s="729">
        <f ca="1">+Acc!AT22-AT68</f>
        <v>736119.56598652573</v>
      </c>
      <c r="AU78" s="729">
        <f ca="1">+Acc!AU22-AU68</f>
        <v>787742.24602966651</v>
      </c>
      <c r="AV78" s="729">
        <f ca="1">+Acc!AV22-AV68</f>
        <v>843790.53270355077</v>
      </c>
      <c r="AW78" s="729">
        <f ca="1">+Acc!AW22-AW68</f>
        <v>903250.98599067319</v>
      </c>
      <c r="AX78" s="729">
        <f ca="1">+Acc!AX22-AX68</f>
        <v>965702.85669551615</v>
      </c>
      <c r="AY78" s="729">
        <f ca="1">+Acc!AY22-AY68</f>
        <v>1034017.5759006336</v>
      </c>
      <c r="AZ78" s="729">
        <f ca="1">+Acc!AZ22-AZ68</f>
        <v>1105345.3784658748</v>
      </c>
      <c r="BA78" s="729">
        <f ca="1">+Acc!BA22-BA68</f>
        <v>1167744.9517003647</v>
      </c>
      <c r="BB78" s="729">
        <f ca="1">+Acc!BB22-BB68</f>
        <v>1231068.9532984537</v>
      </c>
      <c r="BC78" s="729">
        <f ca="1">+Acc!BC22-BC68</f>
        <v>1274053.6885785144</v>
      </c>
      <c r="BD78" s="729">
        <f ca="1">+Acc!BD22-BD68</f>
        <v>1343646.9472980311</v>
      </c>
      <c r="BE78" s="729">
        <f ca="1">+Acc!BE22-BE68</f>
        <v>1412194.280160998</v>
      </c>
      <c r="BF78" s="729">
        <f ca="1">+Acc!BF22-BF68</f>
        <v>1465008.2814949618</v>
      </c>
      <c r="BG78" s="729">
        <f ca="1">+Acc!BG22-BG68</f>
        <v>1519405.742635126</v>
      </c>
      <c r="BH78" s="729">
        <f ca="1">+Acc!BH22-BH68</f>
        <v>1575049.5087813088</v>
      </c>
      <c r="BI78" s="729">
        <f ca="1">+Acc!BI22-BI68</f>
        <v>1493831.5660102519</v>
      </c>
      <c r="BJ78" s="729">
        <f ca="1">+Acc!BJ22-BJ68</f>
        <v>117841.80830892197</v>
      </c>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row>
    <row r="79" spans="1:121" x14ac:dyDescent="0.2">
      <c r="DQ79" s="54"/>
    </row>
    <row r="80" spans="1:121" x14ac:dyDescent="0.2">
      <c r="DQ80" s="54"/>
    </row>
    <row r="81" spans="14:121" x14ac:dyDescent="0.2">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row>
    <row r="82" spans="14:121" x14ac:dyDescent="0.2">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row>
    <row r="83" spans="14:121" x14ac:dyDescent="0.2">
      <c r="DQ83" s="54"/>
    </row>
    <row r="111" spans="12:121" x14ac:dyDescent="0.2">
      <c r="N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54"/>
    </row>
    <row r="112" spans="12:121" x14ac:dyDescent="0.2">
      <c r="L112" s="91"/>
      <c r="N112" s="78"/>
      <c r="Q112" s="80"/>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54"/>
    </row>
    <row r="113" spans="17:121" x14ac:dyDescent="0.2">
      <c r="DQ113" s="54"/>
    </row>
    <row r="114" spans="17:121" x14ac:dyDescent="0.2">
      <c r="DQ114" s="54"/>
    </row>
    <row r="116" spans="17:121" x14ac:dyDescent="0.2">
      <c r="Q116" s="114"/>
    </row>
    <row r="117" spans="17:121" x14ac:dyDescent="0.2">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c r="BB117" s="105"/>
      <c r="BC117" s="105"/>
      <c r="BD117" s="105"/>
      <c r="BE117" s="105"/>
      <c r="BF117" s="105"/>
      <c r="BG117" s="105"/>
      <c r="BH117" s="105"/>
      <c r="BI117" s="105"/>
    </row>
    <row r="118" spans="17:121" x14ac:dyDescent="0.2">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c r="BC118" s="114"/>
      <c r="BD118" s="114"/>
      <c r="BE118" s="114"/>
      <c r="BF118" s="114"/>
      <c r="BG118" s="114"/>
      <c r="BH118" s="114"/>
      <c r="BI118" s="114"/>
      <c r="BJ118" s="114"/>
      <c r="DQ118" s="197"/>
    </row>
    <row r="119" spans="17:121" x14ac:dyDescent="0.2">
      <c r="Q119" s="105"/>
    </row>
  </sheetData>
  <sheetProtection algorithmName="SHA-512" hashValue="5vNnPwCoCOQ0c3mt0AZnpavp6x2tZE01UIWLi8SiPXra4aQeOj+LBzr5L/cYvu6dDeBH77LwE++BaWSgt9WGiA==" saltValue="gLyukjr2QXRxP0i74lLOwg==" spinCount="100000" sheet="1" objects="1" scenarios="1"/>
  <customSheetViews>
    <customSheetView guid="{A171ABFC-BD20-4BE9-8F97-F532286F0C2D}" scale="70" showGridLines="0" hiddenRows="1" hiddenColumns="1">
      <pane xSplit="15" ySplit="10" topLeftCell="Y11" activePane="bottomRight" state="frozen"/>
      <selection pane="bottomRight" activeCell="N176" sqref="N176"/>
      <pageMargins left="0.7" right="0.7" top="0.75" bottom="0.75" header="0.3" footer="0.3"/>
      <pageSetup orientation="portrait" r:id="rId1"/>
    </customSheetView>
    <customSheetView guid="{5F88CBE0-3291-4A41-996B-A8A1DC273A84}" scale="70" showGridLines="0" hiddenRows="1" hiddenColumns="1">
      <pane xSplit="15" ySplit="10" topLeftCell="Y11" activePane="bottomRight" state="frozen"/>
      <selection pane="bottomRight" activeCell="N176" sqref="N176"/>
      <pageMargins left="0.7" right="0.7" top="0.75" bottom="0.75" header="0.3" footer="0.3"/>
      <pageSetup orientation="portrait" r:id="rId2"/>
    </customSheetView>
  </customSheetViews>
  <mergeCells count="1">
    <mergeCell ref="B53:C53"/>
  </mergeCells>
  <conditionalFormatting sqref="F4">
    <cfRule type="cellIs" dxfId="15" priority="23" stopIfTrue="1" operator="equal">
      <formula>0</formula>
    </cfRule>
    <cfRule type="cellIs" dxfId="14" priority="24" stopIfTrue="1" operator="equal">
      <formula>1</formula>
    </cfRule>
  </conditionalFormatting>
  <conditionalFormatting sqref="N50">
    <cfRule type="cellIs" dxfId="13" priority="12" stopIfTrue="1" operator="equal">
      <formula>0</formula>
    </cfRule>
    <cfRule type="cellIs" dxfId="12" priority="13" stopIfTrue="1" operator="equal">
      <formula>1</formula>
    </cfRule>
  </conditionalFormatting>
  <conditionalFormatting sqref="N32">
    <cfRule type="cellIs" dxfId="11" priority="1" stopIfTrue="1" operator="equal">
      <formula>0</formula>
    </cfRule>
    <cfRule type="cellIs" dxfId="10" priority="2" stopIfTrue="1" operator="equal">
      <formula>1</formula>
    </cfRule>
  </conditionalFormatting>
  <conditionalFormatting sqref="N78">
    <cfRule type="cellIs" dxfId="9" priority="3" stopIfTrue="1" operator="equal">
      <formula>0</formula>
    </cfRule>
    <cfRule type="cellIs" dxfId="8" priority="4" stopIfTrue="1" operator="equal">
      <formula>1</formula>
    </cfRule>
  </conditionalFormatting>
  <printOptions verticalCentered="1"/>
  <pageMargins left="0.23622047244094491" right="0.23622047244094491" top="0.15748031496062992" bottom="0.15748031496062992" header="0.31496062992125984" footer="0.31496062992125984"/>
  <pageSetup paperSize="9" scale="35" orientation="landscape" r:id="rId3"/>
  <colBreaks count="2" manualBreakCount="2">
    <brk id="33" max="166" man="1"/>
    <brk id="53" max="166"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2:BJ101"/>
  <sheetViews>
    <sheetView showGridLines="0" view="pageBreakPreview" zoomScale="70" zoomScaleNormal="70" zoomScaleSheetLayoutView="70" workbookViewId="0">
      <pane xSplit="15" ySplit="11" topLeftCell="P12" activePane="bottomRight" state="frozen"/>
      <selection pane="topRight" activeCell="P1" sqref="P1"/>
      <selection pane="bottomLeft" activeCell="A12" sqref="A12"/>
      <selection pane="bottomRight"/>
    </sheetView>
  </sheetViews>
  <sheetFormatPr baseColWidth="10" defaultColWidth="9.140625" defaultRowHeight="12.75" x14ac:dyDescent="0.2"/>
  <cols>
    <col min="1" max="2" width="2.5703125" customWidth="1"/>
    <col min="11" max="11" width="9.140625" style="160"/>
    <col min="14" max="14" width="14.5703125" bestFit="1" customWidth="1"/>
    <col min="15" max="15" width="4.85546875" customWidth="1"/>
    <col min="16" max="16" width="3.28515625" customWidth="1"/>
    <col min="17" max="62" width="13.85546875" customWidth="1"/>
  </cols>
  <sheetData>
    <row r="2" spans="1:62" x14ac:dyDescent="0.2">
      <c r="C2" t="s">
        <v>2</v>
      </c>
      <c r="F2" s="75" t="str">
        <f>+Inputs!$G$2</f>
        <v>NTE Express</v>
      </c>
    </row>
    <row r="3" spans="1:62" ht="13.5" thickBot="1" x14ac:dyDescent="0.25">
      <c r="C3" t="s">
        <v>3</v>
      </c>
      <c r="F3" t="s">
        <v>434</v>
      </c>
    </row>
    <row r="4" spans="1:62" ht="13.5" thickBot="1" x14ac:dyDescent="0.25">
      <c r="C4" t="s">
        <v>4</v>
      </c>
      <c r="F4" s="710">
        <f ca="1">+Inputs!G4</f>
        <v>0</v>
      </c>
    </row>
    <row r="5" spans="1:62" x14ac:dyDescent="0.2">
      <c r="BJ5" s="133"/>
    </row>
    <row r="7" spans="1:62" x14ac:dyDescent="0.2">
      <c r="C7" t="s">
        <v>19</v>
      </c>
      <c r="Q7" s="655">
        <f t="shared" ref="Q7:BJ7" si="0">+YEAR(Q9)</f>
        <v>2016</v>
      </c>
      <c r="R7" s="655">
        <f t="shared" si="0"/>
        <v>2017</v>
      </c>
      <c r="S7" s="655">
        <f t="shared" si="0"/>
        <v>2018</v>
      </c>
      <c r="T7" s="655">
        <f t="shared" si="0"/>
        <v>2019</v>
      </c>
      <c r="U7" s="655">
        <f t="shared" si="0"/>
        <v>2020</v>
      </c>
      <c r="V7" s="655">
        <f t="shared" si="0"/>
        <v>2021</v>
      </c>
      <c r="W7" s="655">
        <f t="shared" si="0"/>
        <v>2022</v>
      </c>
      <c r="X7" s="655">
        <f t="shared" si="0"/>
        <v>2023</v>
      </c>
      <c r="Y7" s="655">
        <f t="shared" si="0"/>
        <v>2024</v>
      </c>
      <c r="Z7" s="655">
        <f t="shared" si="0"/>
        <v>2025</v>
      </c>
      <c r="AA7" s="655">
        <f t="shared" si="0"/>
        <v>2026</v>
      </c>
      <c r="AB7" s="655">
        <f t="shared" si="0"/>
        <v>2027</v>
      </c>
      <c r="AC7" s="655">
        <f t="shared" si="0"/>
        <v>2028</v>
      </c>
      <c r="AD7" s="655">
        <f t="shared" si="0"/>
        <v>2029</v>
      </c>
      <c r="AE7" s="655">
        <f t="shared" si="0"/>
        <v>2030</v>
      </c>
      <c r="AF7" s="655">
        <f t="shared" si="0"/>
        <v>2031</v>
      </c>
      <c r="AG7" s="655">
        <f t="shared" si="0"/>
        <v>2032</v>
      </c>
      <c r="AH7" s="655">
        <f t="shared" si="0"/>
        <v>2033</v>
      </c>
      <c r="AI7" s="655">
        <f t="shared" si="0"/>
        <v>2034</v>
      </c>
      <c r="AJ7" s="655">
        <f t="shared" si="0"/>
        <v>2035</v>
      </c>
      <c r="AK7" s="655">
        <f t="shared" si="0"/>
        <v>2036</v>
      </c>
      <c r="AL7" s="655">
        <f t="shared" si="0"/>
        <v>2037</v>
      </c>
      <c r="AM7" s="655">
        <f t="shared" si="0"/>
        <v>2038</v>
      </c>
      <c r="AN7" s="655">
        <f t="shared" si="0"/>
        <v>2039</v>
      </c>
      <c r="AO7" s="655">
        <f t="shared" si="0"/>
        <v>2040</v>
      </c>
      <c r="AP7" s="655">
        <f t="shared" si="0"/>
        <v>2041</v>
      </c>
      <c r="AQ7" s="655">
        <f t="shared" si="0"/>
        <v>2042</v>
      </c>
      <c r="AR7" s="655">
        <f t="shared" si="0"/>
        <v>2043</v>
      </c>
      <c r="AS7" s="655">
        <f t="shared" si="0"/>
        <v>2044</v>
      </c>
      <c r="AT7" s="655">
        <f t="shared" si="0"/>
        <v>2045</v>
      </c>
      <c r="AU7" s="655">
        <f t="shared" si="0"/>
        <v>2046</v>
      </c>
      <c r="AV7" s="655">
        <f t="shared" si="0"/>
        <v>2047</v>
      </c>
      <c r="AW7" s="655">
        <f t="shared" si="0"/>
        <v>2048</v>
      </c>
      <c r="AX7" s="655">
        <f t="shared" si="0"/>
        <v>2049</v>
      </c>
      <c r="AY7" s="655">
        <f t="shared" si="0"/>
        <v>2050</v>
      </c>
      <c r="AZ7" s="655">
        <f t="shared" si="0"/>
        <v>2051</v>
      </c>
      <c r="BA7" s="655">
        <f t="shared" si="0"/>
        <v>2052</v>
      </c>
      <c r="BB7" s="655">
        <f t="shared" si="0"/>
        <v>2053</v>
      </c>
      <c r="BC7" s="655">
        <f t="shared" si="0"/>
        <v>2054</v>
      </c>
      <c r="BD7" s="655">
        <f t="shared" si="0"/>
        <v>2055</v>
      </c>
      <c r="BE7" s="655">
        <f t="shared" si="0"/>
        <v>2056</v>
      </c>
      <c r="BF7" s="655">
        <f t="shared" si="0"/>
        <v>2057</v>
      </c>
      <c r="BG7" s="655">
        <f t="shared" si="0"/>
        <v>2058</v>
      </c>
      <c r="BH7" s="655">
        <f t="shared" si="0"/>
        <v>2059</v>
      </c>
      <c r="BI7" s="655">
        <f t="shared" si="0"/>
        <v>2060</v>
      </c>
      <c r="BJ7" s="655">
        <f t="shared" si="0"/>
        <v>2061</v>
      </c>
    </row>
    <row r="8" spans="1:62" x14ac:dyDescent="0.2">
      <c r="C8" t="s">
        <v>45</v>
      </c>
      <c r="Q8" s="167">
        <v>42370</v>
      </c>
      <c r="R8" s="84">
        <f t="shared" ref="R8:BJ8" si="1">+Q9+1</f>
        <v>42736</v>
      </c>
      <c r="S8" s="84">
        <f t="shared" si="1"/>
        <v>43101</v>
      </c>
      <c r="T8" s="84">
        <f t="shared" si="1"/>
        <v>43466</v>
      </c>
      <c r="U8" s="84">
        <f t="shared" si="1"/>
        <v>43831</v>
      </c>
      <c r="V8" s="84">
        <f t="shared" si="1"/>
        <v>44197</v>
      </c>
      <c r="W8" s="84">
        <f t="shared" si="1"/>
        <v>44562</v>
      </c>
      <c r="X8" s="84">
        <f t="shared" si="1"/>
        <v>44927</v>
      </c>
      <c r="Y8" s="84">
        <f t="shared" si="1"/>
        <v>45292</v>
      </c>
      <c r="Z8" s="84">
        <f t="shared" si="1"/>
        <v>45658</v>
      </c>
      <c r="AA8" s="84">
        <f t="shared" si="1"/>
        <v>46023</v>
      </c>
      <c r="AB8" s="84">
        <f t="shared" si="1"/>
        <v>46388</v>
      </c>
      <c r="AC8" s="84">
        <f t="shared" si="1"/>
        <v>46753</v>
      </c>
      <c r="AD8" s="84">
        <f t="shared" si="1"/>
        <v>47119</v>
      </c>
      <c r="AE8" s="84">
        <f t="shared" si="1"/>
        <v>47484</v>
      </c>
      <c r="AF8" s="84">
        <f t="shared" si="1"/>
        <v>47849</v>
      </c>
      <c r="AG8" s="84">
        <f t="shared" si="1"/>
        <v>48214</v>
      </c>
      <c r="AH8" s="84">
        <f t="shared" si="1"/>
        <v>48580</v>
      </c>
      <c r="AI8" s="84">
        <f t="shared" si="1"/>
        <v>48945</v>
      </c>
      <c r="AJ8" s="84">
        <f t="shared" si="1"/>
        <v>49310</v>
      </c>
      <c r="AK8" s="84">
        <f t="shared" si="1"/>
        <v>49675</v>
      </c>
      <c r="AL8" s="84">
        <f t="shared" si="1"/>
        <v>50041</v>
      </c>
      <c r="AM8" s="84">
        <f t="shared" si="1"/>
        <v>50406</v>
      </c>
      <c r="AN8" s="84">
        <f t="shared" si="1"/>
        <v>50771</v>
      </c>
      <c r="AO8" s="84">
        <f t="shared" si="1"/>
        <v>51136</v>
      </c>
      <c r="AP8" s="84">
        <f t="shared" si="1"/>
        <v>51502</v>
      </c>
      <c r="AQ8" s="84">
        <f t="shared" si="1"/>
        <v>51867</v>
      </c>
      <c r="AR8" s="84">
        <f t="shared" si="1"/>
        <v>52232</v>
      </c>
      <c r="AS8" s="84">
        <f t="shared" si="1"/>
        <v>52597</v>
      </c>
      <c r="AT8" s="84">
        <f t="shared" si="1"/>
        <v>52963</v>
      </c>
      <c r="AU8" s="84">
        <f t="shared" si="1"/>
        <v>53328</v>
      </c>
      <c r="AV8" s="84">
        <f t="shared" si="1"/>
        <v>53693</v>
      </c>
      <c r="AW8" s="84">
        <f t="shared" si="1"/>
        <v>54058</v>
      </c>
      <c r="AX8" s="84">
        <f t="shared" si="1"/>
        <v>54424</v>
      </c>
      <c r="AY8" s="84">
        <f t="shared" si="1"/>
        <v>54789</v>
      </c>
      <c r="AZ8" s="84">
        <f t="shared" si="1"/>
        <v>55154</v>
      </c>
      <c r="BA8" s="84">
        <f t="shared" si="1"/>
        <v>55519</v>
      </c>
      <c r="BB8" s="84">
        <f t="shared" si="1"/>
        <v>55885</v>
      </c>
      <c r="BC8" s="84">
        <f t="shared" si="1"/>
        <v>56250</v>
      </c>
      <c r="BD8" s="84">
        <f t="shared" si="1"/>
        <v>56615</v>
      </c>
      <c r="BE8" s="84">
        <f t="shared" si="1"/>
        <v>56980</v>
      </c>
      <c r="BF8" s="84">
        <f t="shared" si="1"/>
        <v>57346</v>
      </c>
      <c r="BG8" s="84">
        <f t="shared" si="1"/>
        <v>57711</v>
      </c>
      <c r="BH8" s="84">
        <f t="shared" si="1"/>
        <v>58076</v>
      </c>
      <c r="BI8" s="84">
        <f t="shared" si="1"/>
        <v>58441</v>
      </c>
      <c r="BJ8" s="84">
        <f t="shared" si="1"/>
        <v>58807</v>
      </c>
    </row>
    <row r="9" spans="1:62" x14ac:dyDescent="0.2">
      <c r="C9" t="s">
        <v>46</v>
      </c>
      <c r="Q9" s="84">
        <f t="shared" ref="Q9:BJ9" si="2">+EOMONTH(Q8,11)</f>
        <v>42735</v>
      </c>
      <c r="R9" s="84">
        <f t="shared" si="2"/>
        <v>43100</v>
      </c>
      <c r="S9" s="84">
        <f t="shared" si="2"/>
        <v>43465</v>
      </c>
      <c r="T9" s="84">
        <f t="shared" si="2"/>
        <v>43830</v>
      </c>
      <c r="U9" s="84">
        <f t="shared" si="2"/>
        <v>44196</v>
      </c>
      <c r="V9" s="84">
        <f t="shared" si="2"/>
        <v>44561</v>
      </c>
      <c r="W9" s="84">
        <f t="shared" si="2"/>
        <v>44926</v>
      </c>
      <c r="X9" s="84">
        <f t="shared" si="2"/>
        <v>45291</v>
      </c>
      <c r="Y9" s="84">
        <f t="shared" si="2"/>
        <v>45657</v>
      </c>
      <c r="Z9" s="84">
        <f t="shared" si="2"/>
        <v>46022</v>
      </c>
      <c r="AA9" s="84">
        <f t="shared" si="2"/>
        <v>46387</v>
      </c>
      <c r="AB9" s="84">
        <f t="shared" si="2"/>
        <v>46752</v>
      </c>
      <c r="AC9" s="84">
        <f t="shared" si="2"/>
        <v>47118</v>
      </c>
      <c r="AD9" s="84">
        <f t="shared" si="2"/>
        <v>47483</v>
      </c>
      <c r="AE9" s="84">
        <f t="shared" si="2"/>
        <v>47848</v>
      </c>
      <c r="AF9" s="84">
        <f t="shared" si="2"/>
        <v>48213</v>
      </c>
      <c r="AG9" s="84">
        <f t="shared" si="2"/>
        <v>48579</v>
      </c>
      <c r="AH9" s="84">
        <f t="shared" si="2"/>
        <v>48944</v>
      </c>
      <c r="AI9" s="84">
        <f t="shared" si="2"/>
        <v>49309</v>
      </c>
      <c r="AJ9" s="84">
        <f t="shared" si="2"/>
        <v>49674</v>
      </c>
      <c r="AK9" s="84">
        <f t="shared" si="2"/>
        <v>50040</v>
      </c>
      <c r="AL9" s="84">
        <f t="shared" si="2"/>
        <v>50405</v>
      </c>
      <c r="AM9" s="84">
        <f t="shared" si="2"/>
        <v>50770</v>
      </c>
      <c r="AN9" s="84">
        <f t="shared" si="2"/>
        <v>51135</v>
      </c>
      <c r="AO9" s="84">
        <f t="shared" si="2"/>
        <v>51501</v>
      </c>
      <c r="AP9" s="84">
        <f t="shared" si="2"/>
        <v>51866</v>
      </c>
      <c r="AQ9" s="84">
        <f t="shared" si="2"/>
        <v>52231</v>
      </c>
      <c r="AR9" s="84">
        <f t="shared" si="2"/>
        <v>52596</v>
      </c>
      <c r="AS9" s="84">
        <f t="shared" si="2"/>
        <v>52962</v>
      </c>
      <c r="AT9" s="84">
        <f t="shared" si="2"/>
        <v>53327</v>
      </c>
      <c r="AU9" s="84">
        <f t="shared" si="2"/>
        <v>53692</v>
      </c>
      <c r="AV9" s="84">
        <f t="shared" si="2"/>
        <v>54057</v>
      </c>
      <c r="AW9" s="84">
        <f t="shared" si="2"/>
        <v>54423</v>
      </c>
      <c r="AX9" s="84">
        <f t="shared" si="2"/>
        <v>54788</v>
      </c>
      <c r="AY9" s="84">
        <f t="shared" si="2"/>
        <v>55153</v>
      </c>
      <c r="AZ9" s="84">
        <f t="shared" si="2"/>
        <v>55518</v>
      </c>
      <c r="BA9" s="84">
        <f t="shared" si="2"/>
        <v>55884</v>
      </c>
      <c r="BB9" s="84">
        <f t="shared" si="2"/>
        <v>56249</v>
      </c>
      <c r="BC9" s="84">
        <f t="shared" si="2"/>
        <v>56614</v>
      </c>
      <c r="BD9" s="84">
        <f t="shared" si="2"/>
        <v>56979</v>
      </c>
      <c r="BE9" s="84">
        <f t="shared" si="2"/>
        <v>57345</v>
      </c>
      <c r="BF9" s="84">
        <f t="shared" si="2"/>
        <v>57710</v>
      </c>
      <c r="BG9" s="84">
        <f t="shared" si="2"/>
        <v>58075</v>
      </c>
      <c r="BH9" s="84">
        <f t="shared" si="2"/>
        <v>58440</v>
      </c>
      <c r="BI9" s="84">
        <f t="shared" si="2"/>
        <v>58806</v>
      </c>
      <c r="BJ9" s="84">
        <f t="shared" si="2"/>
        <v>59171</v>
      </c>
    </row>
    <row r="13" spans="1:62" s="140" customFormat="1" ht="15.75" x14ac:dyDescent="0.25">
      <c r="A13" s="136"/>
      <c r="B13" s="136" t="s">
        <v>77</v>
      </c>
      <c r="C13" s="136"/>
      <c r="D13" s="136"/>
      <c r="E13" s="136"/>
      <c r="F13" s="136"/>
      <c r="G13" s="136"/>
      <c r="H13" s="136"/>
      <c r="I13" s="136"/>
      <c r="J13" s="136"/>
      <c r="K13" s="598"/>
      <c r="L13" s="136"/>
      <c r="M13" s="136"/>
      <c r="N13" s="136"/>
      <c r="O13" s="137"/>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row>
    <row r="16" spans="1:62" x14ac:dyDescent="0.2">
      <c r="C16" t="s">
        <v>0</v>
      </c>
      <c r="K16" s="160" t="s">
        <v>62</v>
      </c>
      <c r="N16" s="78">
        <f>SUM(Q16:BJ16)</f>
        <v>31170658.306342017</v>
      </c>
      <c r="O16" s="78"/>
      <c r="P16" s="78"/>
      <c r="Q16" s="78"/>
      <c r="R16" s="78"/>
      <c r="S16" s="78">
        <f>+CF!S25 + CF!S26</f>
        <v>99995.383361491404</v>
      </c>
      <c r="T16" s="78">
        <f>+CF!T25 + CF!T26</f>
        <v>110892.63499175895</v>
      </c>
      <c r="U16" s="78">
        <f>+CF!U25 + CF!U26</f>
        <v>122977.44237811655</v>
      </c>
      <c r="V16" s="78">
        <f>+CF!V25 + CF!V26</f>
        <v>136379.22243426612</v>
      </c>
      <c r="W16" s="78">
        <f>+CF!W25 + CF!W26</f>
        <v>147989.64874127222</v>
      </c>
      <c r="X16" s="78">
        <f>+CF!X25 + CF!X26</f>
        <v>160588.51006516948</v>
      </c>
      <c r="Y16" s="78">
        <f>+CF!Y25 + CF!Y26</f>
        <v>174259.95523536199</v>
      </c>
      <c r="Z16" s="78">
        <f>+CF!Z25 + CF!Z26</f>
        <v>189095.29695684407</v>
      </c>
      <c r="AA16" s="78">
        <f>+CF!AA25 + CF!AA26</f>
        <v>205193.6216952556</v>
      </c>
      <c r="AB16" s="78">
        <f>+CF!AB25 + CF!AB26</f>
        <v>218151.68779285997</v>
      </c>
      <c r="AC16" s="78">
        <f>+CF!AC25 + CF!AC26</f>
        <v>231928.06137781523</v>
      </c>
      <c r="AD16" s="78">
        <f>+CF!AD25 + CF!AD26</f>
        <v>246574.41892242918</v>
      </c>
      <c r="AE16" s="78">
        <f>+CF!AE25 + CF!AE26</f>
        <v>262145.70029062143</v>
      </c>
      <c r="AF16" s="78">
        <f>+CF!AF25 + CF!AF26</f>
        <v>278700.31482251739</v>
      </c>
      <c r="AG16" s="78">
        <f>+CF!AG25 + CF!AG26</f>
        <v>305795.33461873961</v>
      </c>
      <c r="AH16" s="78">
        <f>+CF!AH25 + CF!AH26</f>
        <v>335524.51038362371</v>
      </c>
      <c r="AI16" s="78">
        <f>+CF!AI25 + CF!AI26</f>
        <v>368143.9326356274</v>
      </c>
      <c r="AJ16" s="78">
        <f>+CF!AJ25 + CF!AJ26</f>
        <v>403934.58880684001</v>
      </c>
      <c r="AK16" s="78">
        <f>+CF!AK25 + CF!AK26</f>
        <v>443204.78370084305</v>
      </c>
      <c r="AL16" s="78">
        <f>+CF!AL25 + CF!AL26</f>
        <v>486909.90690950124</v>
      </c>
      <c r="AM16" s="78">
        <f>+CF!AM25 + CF!AM26</f>
        <v>534924.8612953726</v>
      </c>
      <c r="AN16" s="78">
        <f>+CF!AN25 + CF!AN26</f>
        <v>587674.64611283329</v>
      </c>
      <c r="AO16" s="78">
        <f>+CF!AO25 + CF!AO26</f>
        <v>645626.17046348774</v>
      </c>
      <c r="AP16" s="78">
        <f>+CF!AP25 + CF!AP26</f>
        <v>709292.3860923493</v>
      </c>
      <c r="AQ16" s="78">
        <f>+CF!AQ25 + CF!AQ26</f>
        <v>750382.9050056797</v>
      </c>
      <c r="AR16" s="78">
        <f>+CF!AR25 + CF!AR26</f>
        <v>793853.86783420376</v>
      </c>
      <c r="AS16" s="78">
        <f>+CF!AS25 + CF!AS26</f>
        <v>839843.17775810137</v>
      </c>
      <c r="AT16" s="78">
        <f>+CF!AT25 + CF!AT26</f>
        <v>888496.72692422429</v>
      </c>
      <c r="AU16" s="78">
        <f>+CF!AU25 + CF!AU26</f>
        <v>939968.8592605762</v>
      </c>
      <c r="AV16" s="78">
        <f>+CF!AV25 + CF!AV26</f>
        <v>993784.81824656378</v>
      </c>
      <c r="AW16" s="78">
        <f>+CF!AW25 + CF!AW26</f>
        <v>1050681.8978601643</v>
      </c>
      <c r="AX16" s="78">
        <f>+CF!AX25 + CF!AX26</f>
        <v>1110836.5012446234</v>
      </c>
      <c r="AY16" s="78">
        <f>+CF!AY25 + CF!AY26</f>
        <v>1174435.131137687</v>
      </c>
      <c r="AZ16" s="78">
        <f>+CF!AZ25 + CF!AZ26</f>
        <v>1241674.9681028472</v>
      </c>
      <c r="BA16" s="78">
        <f>+CF!BA25 + CF!BA26</f>
        <v>1299492.443952414</v>
      </c>
      <c r="BB16" s="78">
        <f>+CF!BB25 + CF!BB26</f>
        <v>1357551.063654965</v>
      </c>
      <c r="BC16" s="78">
        <f>+CF!BC25 + CF!BC26</f>
        <v>1394940.8152210829</v>
      </c>
      <c r="BD16" s="78">
        <f>+CF!BD25 + CF!BD26</f>
        <v>1458244.9303068535</v>
      </c>
      <c r="BE16" s="78">
        <f>+CF!BE25 + CF!BE26</f>
        <v>1524535.8384352427</v>
      </c>
      <c r="BF16" s="78">
        <f>+CF!BF25 + CF!BF26</f>
        <v>1580645.9331800339</v>
      </c>
      <c r="BG16" s="78">
        <f>+CF!BG25 + CF!BG26</f>
        <v>1638991.5349116041</v>
      </c>
      <c r="BH16" s="78">
        <f>+CF!BH25 + CF!BH26</f>
        <v>1699161.8441716556</v>
      </c>
      <c r="BI16" s="78">
        <f>+CF!BI25 + CF!BI26</f>
        <v>1623778.3023709413</v>
      </c>
      <c r="BJ16" s="78">
        <f>+CF!BJ25 + CF!BJ26</f>
        <v>403453.72667755489</v>
      </c>
    </row>
    <row r="17" spans="1:62" x14ac:dyDescent="0.2">
      <c r="C17" s="40" t="s">
        <v>78</v>
      </c>
      <c r="D17" s="40"/>
      <c r="E17" s="40"/>
      <c r="F17" s="40"/>
      <c r="G17" s="40"/>
      <c r="H17" s="40"/>
      <c r="I17" s="40"/>
      <c r="J17" s="40"/>
      <c r="K17" s="620" t="s">
        <v>62</v>
      </c>
      <c r="L17" s="40"/>
      <c r="M17" s="40"/>
      <c r="N17" s="82">
        <f>SUM(Q17:BJ17)</f>
        <v>-2463761.5831894916</v>
      </c>
      <c r="O17" s="82"/>
      <c r="P17" s="82"/>
      <c r="Q17" s="82"/>
      <c r="R17" s="82"/>
      <c r="S17" s="82">
        <f>+CF!S27+CF!S31</f>
        <v>-17116.801882543594</v>
      </c>
      <c r="T17" s="82">
        <f>+CF!T27+CF!T31</f>
        <v>-18251.715924132259</v>
      </c>
      <c r="U17" s="82">
        <f>+CF!U27+CF!U31</f>
        <v>-19461.879413055398</v>
      </c>
      <c r="V17" s="82">
        <f>+CF!V27+CF!V31</f>
        <v>-20752.281695745118</v>
      </c>
      <c r="W17" s="82">
        <f>+CF!W27+CF!W31</f>
        <v>-21619.771470281008</v>
      </c>
      <c r="X17" s="82">
        <f>+CF!X27+CF!X31</f>
        <v>-22523.524173393016</v>
      </c>
      <c r="Y17" s="82">
        <f>+CF!Y27+CF!Y31</f>
        <v>-23465.055673080424</v>
      </c>
      <c r="Z17" s="82">
        <f>+CF!Z27+CF!Z31</f>
        <v>-24445.945203868072</v>
      </c>
      <c r="AA17" s="82">
        <f>+CF!AA27+CF!AA31</f>
        <v>-25467.838015662743</v>
      </c>
      <c r="AB17" s="82">
        <f>+CF!AB27+CF!AB31</f>
        <v>-26490.989749443772</v>
      </c>
      <c r="AC17" s="82">
        <f>+CF!AC27+CF!AC31</f>
        <v>-27555.245854537963</v>
      </c>
      <c r="AD17" s="82">
        <f>+CF!AD27+CF!AD31</f>
        <v>-28662.257668948518</v>
      </c>
      <c r="AE17" s="82">
        <f>+CF!AE27+CF!AE31</f>
        <v>-29813.742871973129</v>
      </c>
      <c r="AF17" s="82">
        <f>+CF!AF27+CF!AF31</f>
        <v>-31011.48814941684</v>
      </c>
      <c r="AG17" s="82">
        <f>+CF!AG27+CF!AG31</f>
        <v>-32710.13366247325</v>
      </c>
      <c r="AH17" s="82">
        <f>+CF!AH27+CF!AH31</f>
        <v>-34501.822004210582</v>
      </c>
      <c r="AI17" s="82">
        <f>+CF!AI27+CF!AI31</f>
        <v>-36391.649569316498</v>
      </c>
      <c r="AJ17" s="82">
        <f>+CF!AJ27+CF!AJ31</f>
        <v>-38384.991906059637</v>
      </c>
      <c r="AK17" s="82">
        <f>+CF!AK27+CF!AK31</f>
        <v>-40487.519006848277</v>
      </c>
      <c r="AL17" s="82">
        <f>+CF!AL27+CF!AL31</f>
        <v>-42936.801184184449</v>
      </c>
      <c r="AM17" s="82">
        <f>+CF!AM27+CF!AM31</f>
        <v>-45534.252064651133</v>
      </c>
      <c r="AN17" s="82">
        <f>+CF!AN27+CF!AN31</f>
        <v>-48288.835076305142</v>
      </c>
      <c r="AO17" s="82">
        <f>+CF!AO27+CF!AO31</f>
        <v>-51210.055887506605</v>
      </c>
      <c r="AP17" s="82">
        <f>+CF!AP27+CF!AP31</f>
        <v>-54307.995209608394</v>
      </c>
      <c r="AQ17" s="82">
        <f>+CF!AQ27+CF!AQ31</f>
        <v>-56570.629298947191</v>
      </c>
      <c r="AR17" s="82">
        <f>+CF!AR27+CF!AR31</f>
        <v>-58927.531515888171</v>
      </c>
      <c r="AS17" s="82">
        <f>+CF!AS27+CF!AS31</f>
        <v>-61382.629353579039</v>
      </c>
      <c r="AT17" s="82">
        <f>+CF!AT27+CF!AT31</f>
        <v>-63940.013936320618</v>
      </c>
      <c r="AU17" s="82">
        <f>+CF!AU27+CF!AU31</f>
        <v>-66603.946836931951</v>
      </c>
      <c r="AV17" s="82">
        <f>+CF!AV27+CF!AV31</f>
        <v>-69494.383668132767</v>
      </c>
      <c r="AW17" s="82">
        <f>+CF!AW27+CF!AW31</f>
        <v>-72510.257886634616</v>
      </c>
      <c r="AX17" s="82">
        <f>+CF!AX27+CF!AX31</f>
        <v>-75657.0131464773</v>
      </c>
      <c r="AY17" s="82">
        <f>+CF!AY27+CF!AY31</f>
        <v>-78940.329342026875</v>
      </c>
      <c r="AZ17" s="82">
        <f>+CF!AZ27+CF!AZ31</f>
        <v>-82366.132860187121</v>
      </c>
      <c r="BA17" s="82">
        <f>+CF!BA27+CF!BA31</f>
        <v>-85447.987193585664</v>
      </c>
      <c r="BB17" s="82">
        <f>+CF!BB27+CF!BB31</f>
        <v>-88645.153801610621</v>
      </c>
      <c r="BC17" s="82">
        <f>+CF!BC27+CF!BC31</f>
        <v>-91961.947268678021</v>
      </c>
      <c r="BD17" s="82">
        <f>+CF!BD27+CF!BD31</f>
        <v>-95402.843615952515</v>
      </c>
      <c r="BE17" s="82">
        <f>+CF!BE27+CF!BE31</f>
        <v>-98972.486341749158</v>
      </c>
      <c r="BF17" s="82">
        <f>+CF!BF27+CF!BF31</f>
        <v>-102223.65601555163</v>
      </c>
      <c r="BG17" s="82">
        <f>+CF!BG27+CF!BG31</f>
        <v>-105581.62410008973</v>
      </c>
      <c r="BH17" s="82">
        <f>+CF!BH27+CF!BH31</f>
        <v>-109049.89884060444</v>
      </c>
      <c r="BI17" s="82">
        <f>+CF!BI27+CF!BI31</f>
        <v>-112632.10372548105</v>
      </c>
      <c r="BJ17" s="82">
        <f>+CF!BJ27+CF!BJ31</f>
        <v>-126058.42112381772</v>
      </c>
    </row>
    <row r="18" spans="1:62" x14ac:dyDescent="0.2">
      <c r="A18" s="57"/>
      <c r="B18" s="57"/>
      <c r="C18" s="20" t="s">
        <v>79</v>
      </c>
      <c r="D18" s="20"/>
      <c r="E18" s="20"/>
      <c r="F18" s="20"/>
      <c r="G18" s="20"/>
      <c r="H18" s="20"/>
      <c r="I18" s="20"/>
      <c r="J18" s="25"/>
      <c r="K18" s="621" t="s">
        <v>62</v>
      </c>
      <c r="L18" s="25"/>
      <c r="M18" s="25"/>
      <c r="N18" s="740">
        <f>SUM(Q18:BJ18)</f>
        <v>28706896.723152533</v>
      </c>
      <c r="O18" s="25"/>
      <c r="P18" s="20"/>
      <c r="Q18" s="25"/>
      <c r="R18" s="25"/>
      <c r="S18" s="740">
        <f t="shared" ref="S18:BJ18" si="3">SUM(S16:S17)</f>
        <v>82878.581478947803</v>
      </c>
      <c r="T18" s="740">
        <f t="shared" si="3"/>
        <v>92640.919067626703</v>
      </c>
      <c r="U18" s="740">
        <f t="shared" si="3"/>
        <v>103515.56296506115</v>
      </c>
      <c r="V18" s="740">
        <f t="shared" si="3"/>
        <v>115626.94073852101</v>
      </c>
      <c r="W18" s="740">
        <f t="shared" si="3"/>
        <v>126369.87727099122</v>
      </c>
      <c r="X18" s="740">
        <f t="shared" si="3"/>
        <v>138064.98589177645</v>
      </c>
      <c r="Y18" s="740">
        <f t="shared" si="3"/>
        <v>150794.89956228156</v>
      </c>
      <c r="Z18" s="740">
        <f t="shared" si="3"/>
        <v>164649.35175297601</v>
      </c>
      <c r="AA18" s="740">
        <f t="shared" si="3"/>
        <v>179725.78367959286</v>
      </c>
      <c r="AB18" s="740">
        <f t="shared" si="3"/>
        <v>191660.6980434162</v>
      </c>
      <c r="AC18" s="740">
        <f t="shared" si="3"/>
        <v>204372.81552327727</v>
      </c>
      <c r="AD18" s="740">
        <f t="shared" si="3"/>
        <v>217912.16125348065</v>
      </c>
      <c r="AE18" s="740">
        <f t="shared" si="3"/>
        <v>232331.95741864829</v>
      </c>
      <c r="AF18" s="740">
        <f t="shared" si="3"/>
        <v>247688.82667310056</v>
      </c>
      <c r="AG18" s="740">
        <f t="shared" si="3"/>
        <v>273085.20095626637</v>
      </c>
      <c r="AH18" s="740">
        <f t="shared" si="3"/>
        <v>301022.6883794131</v>
      </c>
      <c r="AI18" s="740">
        <f t="shared" si="3"/>
        <v>331752.28306631092</v>
      </c>
      <c r="AJ18" s="740">
        <f t="shared" si="3"/>
        <v>365549.59690078039</v>
      </c>
      <c r="AK18" s="740">
        <f t="shared" si="3"/>
        <v>402717.26469399477</v>
      </c>
      <c r="AL18" s="740">
        <f t="shared" si="3"/>
        <v>443973.1057253168</v>
      </c>
      <c r="AM18" s="740">
        <f t="shared" si="3"/>
        <v>489390.60923072149</v>
      </c>
      <c r="AN18" s="740">
        <f t="shared" si="3"/>
        <v>539385.81103652809</v>
      </c>
      <c r="AO18" s="740">
        <f t="shared" si="3"/>
        <v>594416.11457598116</v>
      </c>
      <c r="AP18" s="740">
        <f t="shared" si="3"/>
        <v>654984.39088274096</v>
      </c>
      <c r="AQ18" s="740">
        <f t="shared" si="3"/>
        <v>693812.27570673253</v>
      </c>
      <c r="AR18" s="740">
        <f t="shared" si="3"/>
        <v>734926.33631831559</v>
      </c>
      <c r="AS18" s="740">
        <f t="shared" si="3"/>
        <v>778460.54840452236</v>
      </c>
      <c r="AT18" s="740">
        <f t="shared" si="3"/>
        <v>824556.71298790362</v>
      </c>
      <c r="AU18" s="740">
        <f t="shared" si="3"/>
        <v>873364.91242364421</v>
      </c>
      <c r="AV18" s="740">
        <f t="shared" si="3"/>
        <v>924290.43457843107</v>
      </c>
      <c r="AW18" s="740">
        <f t="shared" si="3"/>
        <v>978171.63997352961</v>
      </c>
      <c r="AX18" s="740">
        <f t="shared" si="3"/>
        <v>1035179.4880981462</v>
      </c>
      <c r="AY18" s="740">
        <f t="shared" si="3"/>
        <v>1095494.8017956601</v>
      </c>
      <c r="AZ18" s="740">
        <f t="shared" si="3"/>
        <v>1159308.83524266</v>
      </c>
      <c r="BA18" s="740">
        <f t="shared" si="3"/>
        <v>1214044.4567588284</v>
      </c>
      <c r="BB18" s="740">
        <f t="shared" si="3"/>
        <v>1268905.9098533543</v>
      </c>
      <c r="BC18" s="740">
        <f t="shared" si="3"/>
        <v>1302978.8679524048</v>
      </c>
      <c r="BD18" s="740">
        <f t="shared" si="3"/>
        <v>1362842.0866909011</v>
      </c>
      <c r="BE18" s="740">
        <f t="shared" si="3"/>
        <v>1425563.3520934936</v>
      </c>
      <c r="BF18" s="740">
        <f t="shared" si="3"/>
        <v>1478422.2771644823</v>
      </c>
      <c r="BG18" s="740">
        <f t="shared" si="3"/>
        <v>1533409.9108115144</v>
      </c>
      <c r="BH18" s="740">
        <f t="shared" si="3"/>
        <v>1590111.9453310512</v>
      </c>
      <c r="BI18" s="740">
        <f t="shared" si="3"/>
        <v>1511146.1986454602</v>
      </c>
      <c r="BJ18" s="740">
        <f t="shared" si="3"/>
        <v>277395.30555373715</v>
      </c>
    </row>
    <row r="20" spans="1:62" x14ac:dyDescent="0.2">
      <c r="C20" t="s">
        <v>271</v>
      </c>
      <c r="N20" s="725">
        <f>SUM(Q20:BJ20)</f>
        <v>-167120.29139333681</v>
      </c>
      <c r="Q20" s="50"/>
      <c r="R20" s="50"/>
      <c r="S20" s="50">
        <f>+CF!S32</f>
        <v>-361.09300000000002</v>
      </c>
      <c r="T20" s="50">
        <f>+CF!T32</f>
        <v>-597.58950622269083</v>
      </c>
      <c r="U20" s="50">
        <f>+CF!U32</f>
        <v>-650.56990692636111</v>
      </c>
      <c r="V20" s="50">
        <f>+CF!V32</f>
        <v>-722.18773524688527</v>
      </c>
      <c r="W20" s="50">
        <f>+CF!W32</f>
        <v>-784.25814883314024</v>
      </c>
      <c r="X20" s="50">
        <f>+CF!X32</f>
        <v>-851.32111459000021</v>
      </c>
      <c r="Y20" s="50">
        <f>+CF!Y32</f>
        <v>-923.96444401930376</v>
      </c>
      <c r="Z20" s="50">
        <f>+CF!Z32</f>
        <v>-1002.7409606390532</v>
      </c>
      <c r="AA20" s="50">
        <f>+CF!AA32</f>
        <v>-1088.1588731859977</v>
      </c>
      <c r="AB20" s="50">
        <f>+CF!AB32</f>
        <v>-1156.9138684982522</v>
      </c>
      <c r="AC20" s="50">
        <f>+CF!AC32</f>
        <v>-1229.8568034216039</v>
      </c>
      <c r="AD20" s="50">
        <f>+CF!AD32</f>
        <v>-1307.2117529928701</v>
      </c>
      <c r="AE20" s="50">
        <f>+CF!AE32</f>
        <v>-1389.8051747992881</v>
      </c>
      <c r="AF20" s="50">
        <f>+CF!AF32</f>
        <v>-1477.3315725563468</v>
      </c>
      <c r="AG20" s="50">
        <f>+CF!AG32</f>
        <v>-1620.3337565709298</v>
      </c>
      <c r="AH20" s="50">
        <f>+CF!AH32</f>
        <v>-1777.8097391759304</v>
      </c>
      <c r="AI20" s="50">
        <f>+CF!AI32</f>
        <v>-1950.6664582631711</v>
      </c>
      <c r="AJ20" s="50">
        <f>+CF!AJ32</f>
        <v>-2140.4390731711032</v>
      </c>
      <c r="AK20" s="50">
        <f>+CF!AK32</f>
        <v>-2348.2116974152345</v>
      </c>
      <c r="AL20" s="50">
        <f>+CF!AL32</f>
        <v>-2578.9602560015287</v>
      </c>
      <c r="AM20" s="50">
        <f>+CF!AM32</f>
        <v>-2833.5411766374718</v>
      </c>
      <c r="AN20" s="50">
        <f>+CF!AN32</f>
        <v>-3114.8950804047963</v>
      </c>
      <c r="AO20" s="50">
        <f>+CF!AO32</f>
        <v>-3419.2747896454416</v>
      </c>
      <c r="AP20" s="50">
        <f>+CF!AP32</f>
        <v>-3754.882199395538</v>
      </c>
      <c r="AQ20" s="50">
        <f>+CF!AQ32</f>
        <v>-3970.8258002969851</v>
      </c>
      <c r="AR20" s="50">
        <f>+CF!AR32</f>
        <v>-4199.9370837452852</v>
      </c>
      <c r="AS20" s="50">
        <f>+CF!AS32</f>
        <v>-4442.4574541090042</v>
      </c>
      <c r="AT20" s="50">
        <f>+CF!AT32</f>
        <v>-4699.1387628785442</v>
      </c>
      <c r="AU20" s="50">
        <f>+CF!AU32</f>
        <v>-4982.1206607893573</v>
      </c>
      <c r="AV20" s="50">
        <f>+CF!AV32</f>
        <v>-5265.2813049834103</v>
      </c>
      <c r="AW20" s="50">
        <f>+CF!AW32</f>
        <v>-5565.7717310961307</v>
      </c>
      <c r="AX20" s="50">
        <f>+CF!AX32</f>
        <v>-5883.2775808855986</v>
      </c>
      <c r="AY20" s="50">
        <f>+CF!AY32</f>
        <v>-6220.2885607018206</v>
      </c>
      <c r="AZ20" s="50">
        <f>+CF!AZ32</f>
        <v>-6574.7101266507943</v>
      </c>
      <c r="BA20" s="50">
        <f>+CF!BA32</f>
        <v>-6879.0669599911671</v>
      </c>
      <c r="BB20" s="50">
        <f>+CF!BB32</f>
        <v>-7197.6111291899551</v>
      </c>
      <c r="BC20" s="50">
        <f>+CF!BC32</f>
        <v>-7530.6082607729713</v>
      </c>
      <c r="BD20" s="50">
        <f>+CF!BD32</f>
        <v>-7880.0440759600906</v>
      </c>
      <c r="BE20" s="50">
        <f>+CF!BE32</f>
        <v>-8235.2035936389293</v>
      </c>
      <c r="BF20" s="50">
        <f>+CF!BF32</f>
        <v>-8538.9392552796307</v>
      </c>
      <c r="BG20" s="50">
        <f>+CF!BG32</f>
        <v>-8852.8229607396916</v>
      </c>
      <c r="BH20" s="50">
        <f>+CF!BH32</f>
        <v>-9177.9562579234662</v>
      </c>
      <c r="BI20" s="50">
        <f>+CF!BI32</f>
        <v>-9511.3038617391248</v>
      </c>
      <c r="BJ20" s="50">
        <f>+CF!BJ32</f>
        <v>-2430.9088833519277</v>
      </c>
    </row>
    <row r="21" spans="1:62" x14ac:dyDescent="0.2">
      <c r="A21" s="57"/>
      <c r="B21" s="57"/>
      <c r="C21" s="41" t="s">
        <v>423</v>
      </c>
      <c r="D21" s="41"/>
      <c r="E21" s="41"/>
      <c r="F21" s="41"/>
      <c r="G21" s="41"/>
      <c r="H21" s="41"/>
      <c r="I21" s="41"/>
      <c r="J21" s="41"/>
      <c r="K21" s="622" t="s">
        <v>62</v>
      </c>
      <c r="L21" s="41"/>
      <c r="M21" s="41"/>
      <c r="N21" s="733">
        <f ca="1">SUM(Q21:BJ21)</f>
        <v>-1865820.1276579879</v>
      </c>
      <c r="O21" s="23"/>
      <c r="P21" s="23"/>
      <c r="Q21" s="23"/>
      <c r="R21" s="23"/>
      <c r="S21" s="733">
        <f ca="1">+Tax!S47</f>
        <v>-93162.943824480157</v>
      </c>
      <c r="T21" s="733">
        <f ca="1">+Tax!T47</f>
        <v>-93277.680624480156</v>
      </c>
      <c r="U21" s="733">
        <f ca="1">+Tax!U47</f>
        <v>-93429.140636771306</v>
      </c>
      <c r="V21" s="733">
        <f ca="1">+Tax!V47</f>
        <v>-93650.563105162655</v>
      </c>
      <c r="W21" s="733">
        <f ca="1">+Tax!W47</f>
        <v>-93974.265109189131</v>
      </c>
      <c r="X21" s="733">
        <f ca="1">+Tax!X47</f>
        <v>-94323.246666491061</v>
      </c>
      <c r="Y21" s="733">
        <f ca="1">+Tax!Y47</f>
        <v>-94699.481987316933</v>
      </c>
      <c r="Z21" s="733">
        <f ca="1">+Tax!Z47</f>
        <v>-95105.099458140714</v>
      </c>
      <c r="AA21" s="733">
        <f ca="1">+Tax!AA47</f>
        <v>-95542.393682075679</v>
      </c>
      <c r="AB21" s="733">
        <f ca="1">+Tax!AB47</f>
        <v>-96013.838459586186</v>
      </c>
      <c r="AC21" s="733">
        <f ca="1">+Tax!AC47</f>
        <v>-96488.016869489336</v>
      </c>
      <c r="AD21" s="733">
        <f ca="1">+Tax!AD47</f>
        <v>-96964.944762519764</v>
      </c>
      <c r="AE21" s="733">
        <f ca="1">+Tax!AE47</f>
        <v>-97444.638081321231</v>
      </c>
      <c r="AF21" s="733">
        <f ca="1">+Tax!AF47</f>
        <v>-97927.112860979556</v>
      </c>
      <c r="AG21" s="733">
        <f ca="1">+Tax!AG47</f>
        <v>-57518.075719078086</v>
      </c>
      <c r="AH21" s="733">
        <f ca="1">+Tax!AH47</f>
        <v>-5771.1136761401931</v>
      </c>
      <c r="AI21" s="733">
        <f ca="1">+Tax!AI47</f>
        <v>-6217.1793780249754</v>
      </c>
      <c r="AJ21" s="733">
        <f ca="1">+Tax!AJ47</f>
        <v>-6668.5872265847593</v>
      </c>
      <c r="AK21" s="733">
        <f ca="1">+Tax!AK47</f>
        <v>-7095.2532678299949</v>
      </c>
      <c r="AL21" s="733">
        <f ca="1">+Tax!AL47</f>
        <v>-7468.2523878775874</v>
      </c>
      <c r="AM21" s="733">
        <f ca="1">+Tax!AM47</f>
        <v>-7879.4666242384892</v>
      </c>
      <c r="AN21" s="733">
        <f ca="1">+Tax!AN47</f>
        <v>-8332.708427438647</v>
      </c>
      <c r="AO21" s="733">
        <f ca="1">+Tax!AO47</f>
        <v>-8832.1634458579047</v>
      </c>
      <c r="AP21" s="733">
        <f ca="1">+Tax!AP47</f>
        <v>-9382.4265481679813</v>
      </c>
      <c r="AQ21" s="733">
        <f ca="1">+Tax!AQ47</f>
        <v>-9988.5412857366973</v>
      </c>
      <c r="AR21" s="733">
        <f ca="1">+Tax!AR47</f>
        <v>-10498.631450908953</v>
      </c>
      <c r="AS21" s="733">
        <f ca="1">+Tax!AS47</f>
        <v>-10920.757962135496</v>
      </c>
      <c r="AT21" s="733">
        <f ca="1">+Tax!AT47</f>
        <v>-11262.282390483924</v>
      </c>
      <c r="AU21" s="733">
        <f ca="1">+Tax!AU47</f>
        <v>-11529.927497943338</v>
      </c>
      <c r="AV21" s="733">
        <f ca="1">+Tax!AV47</f>
        <v>-11729.832534507232</v>
      </c>
      <c r="AW21" s="733">
        <f ca="1">+Tax!AW47</f>
        <v>-11989.011812804374</v>
      </c>
      <c r="AX21" s="733">
        <f ca="1">+Tax!AX47</f>
        <v>-12318.09437945731</v>
      </c>
      <c r="AY21" s="733">
        <f ca="1">+Tax!AY47</f>
        <v>-12729.36990585658</v>
      </c>
      <c r="AZ21" s="733">
        <f ca="1">+Tax!AZ47</f>
        <v>-13237.033803205937</v>
      </c>
      <c r="BA21" s="733">
        <f ca="1">+Tax!BA47</f>
        <v>-13857.467556750758</v>
      </c>
      <c r="BB21" s="733">
        <f ca="1">+Tax!BB47</f>
        <v>-14321.33654767153</v>
      </c>
      <c r="BC21" s="733">
        <f ca="1">+Tax!BC47</f>
        <v>-14629.430542835948</v>
      </c>
      <c r="BD21" s="733">
        <f ca="1">+Tax!BD47</f>
        <v>-14781.547237951676</v>
      </c>
      <c r="BE21" s="733">
        <f ca="1">+Tax!BE47</f>
        <v>-14776.477030683867</v>
      </c>
      <c r="BF21" s="733">
        <f ca="1">+Tax!BF47</f>
        <v>-14611.981093285578</v>
      </c>
      <c r="BG21" s="733">
        <f ca="1">+Tax!BG47</f>
        <v>-14775.522235388178</v>
      </c>
      <c r="BH21" s="733">
        <f ca="1">+Tax!BH47</f>
        <v>-15319.376275901797</v>
      </c>
      <c r="BI21" s="733">
        <f ca="1">+Tax!BI47</f>
        <v>-16312.034773944386</v>
      </c>
      <c r="BJ21" s="733">
        <f ca="1">+Tax!BJ47</f>
        <v>-159062.87851129175</v>
      </c>
    </row>
    <row r="22" spans="1:62" x14ac:dyDescent="0.2">
      <c r="A22" s="57"/>
      <c r="B22" s="57"/>
      <c r="C22" s="20" t="s">
        <v>80</v>
      </c>
      <c r="D22" s="20"/>
      <c r="E22" s="20"/>
      <c r="F22" s="20"/>
      <c r="G22" s="20"/>
      <c r="H22" s="20"/>
      <c r="I22" s="20"/>
      <c r="J22" s="25"/>
      <c r="K22" s="621" t="s">
        <v>62</v>
      </c>
      <c r="L22" s="25"/>
      <c r="M22" s="25"/>
      <c r="N22" s="740">
        <f ca="1">SUM(Q22:BJ22)</f>
        <v>26673956.304101203</v>
      </c>
      <c r="O22" s="25"/>
      <c r="P22" s="20"/>
      <c r="Q22" s="25"/>
      <c r="R22" s="25"/>
      <c r="S22" s="740">
        <f t="shared" ref="S22:BJ22" ca="1" si="4">SUM(S18:S21)</f>
        <v>-10645.455345532348</v>
      </c>
      <c r="T22" s="740">
        <f t="shared" ca="1" si="4"/>
        <v>-1234.3510630761448</v>
      </c>
      <c r="U22" s="740">
        <f t="shared" ca="1" si="4"/>
        <v>9435.852421363481</v>
      </c>
      <c r="V22" s="740">
        <f t="shared" ca="1" si="4"/>
        <v>21254.189898111465</v>
      </c>
      <c r="W22" s="740">
        <f t="shared" ca="1" si="4"/>
        <v>31611.35401296895</v>
      </c>
      <c r="X22" s="740">
        <f t="shared" ca="1" si="4"/>
        <v>42890.418110695377</v>
      </c>
      <c r="Y22" s="740">
        <f t="shared" ca="1" si="4"/>
        <v>55171.453130945316</v>
      </c>
      <c r="Z22" s="740">
        <f t="shared" ca="1" si="4"/>
        <v>68541.511334196242</v>
      </c>
      <c r="AA22" s="740">
        <f t="shared" ca="1" si="4"/>
        <v>83095.231124331171</v>
      </c>
      <c r="AB22" s="740">
        <f t="shared" ca="1" si="4"/>
        <v>94489.945715331749</v>
      </c>
      <c r="AC22" s="740">
        <f t="shared" ca="1" si="4"/>
        <v>106654.94185036633</v>
      </c>
      <c r="AD22" s="740">
        <f t="shared" ca="1" si="4"/>
        <v>119640.004737968</v>
      </c>
      <c r="AE22" s="740">
        <f t="shared" ca="1" si="4"/>
        <v>133497.51416252778</v>
      </c>
      <c r="AF22" s="740">
        <f t="shared" ca="1" si="4"/>
        <v>148284.38223956467</v>
      </c>
      <c r="AG22" s="740">
        <f t="shared" ca="1" si="4"/>
        <v>213946.79148061736</v>
      </c>
      <c r="AH22" s="740">
        <f t="shared" ca="1" si="4"/>
        <v>293473.76496409695</v>
      </c>
      <c r="AI22" s="740">
        <f t="shared" ca="1" si="4"/>
        <v>323584.43723002274</v>
      </c>
      <c r="AJ22" s="740">
        <f t="shared" ca="1" si="4"/>
        <v>356740.57060102449</v>
      </c>
      <c r="AK22" s="740">
        <f t="shared" ca="1" si="4"/>
        <v>393273.79972874955</v>
      </c>
      <c r="AL22" s="740">
        <f t="shared" ca="1" si="4"/>
        <v>433925.89308143768</v>
      </c>
      <c r="AM22" s="740">
        <f t="shared" ca="1" si="4"/>
        <v>478677.60142984556</v>
      </c>
      <c r="AN22" s="740">
        <f t="shared" ca="1" si="4"/>
        <v>527938.20752868464</v>
      </c>
      <c r="AO22" s="740">
        <f t="shared" ca="1" si="4"/>
        <v>582164.67634047777</v>
      </c>
      <c r="AP22" s="740">
        <f t="shared" ca="1" si="4"/>
        <v>641847.08213517745</v>
      </c>
      <c r="AQ22" s="740">
        <f t="shared" ca="1" si="4"/>
        <v>679852.90862069884</v>
      </c>
      <c r="AR22" s="740">
        <f t="shared" ca="1" si="4"/>
        <v>720227.76778366137</v>
      </c>
      <c r="AS22" s="740">
        <f t="shared" ca="1" si="4"/>
        <v>763097.33298827789</v>
      </c>
      <c r="AT22" s="740">
        <f t="shared" ca="1" si="4"/>
        <v>808595.29183454125</v>
      </c>
      <c r="AU22" s="740">
        <f t="shared" ca="1" si="4"/>
        <v>856852.86426491162</v>
      </c>
      <c r="AV22" s="740">
        <f t="shared" ca="1" si="4"/>
        <v>907295.32073894038</v>
      </c>
      <c r="AW22" s="740">
        <f t="shared" ca="1" si="4"/>
        <v>960616.85642962914</v>
      </c>
      <c r="AX22" s="740">
        <f t="shared" ca="1" si="4"/>
        <v>1016978.1161378033</v>
      </c>
      <c r="AY22" s="740">
        <f t="shared" ca="1" si="4"/>
        <v>1076545.1433291016</v>
      </c>
      <c r="AZ22" s="740">
        <f t="shared" ca="1" si="4"/>
        <v>1139497.0913128033</v>
      </c>
      <c r="BA22" s="740">
        <f t="shared" ca="1" si="4"/>
        <v>1193307.9222420864</v>
      </c>
      <c r="BB22" s="740">
        <f t="shared" ca="1" si="4"/>
        <v>1247386.9621764929</v>
      </c>
      <c r="BC22" s="740">
        <f t="shared" ca="1" si="4"/>
        <v>1280818.8291487959</v>
      </c>
      <c r="BD22" s="740">
        <f t="shared" ca="1" si="4"/>
        <v>1340180.4953769892</v>
      </c>
      <c r="BE22" s="740">
        <f t="shared" ca="1" si="4"/>
        <v>1402551.6714691708</v>
      </c>
      <c r="BF22" s="740">
        <f t="shared" ca="1" si="4"/>
        <v>1455271.356815917</v>
      </c>
      <c r="BG22" s="740">
        <f t="shared" ca="1" si="4"/>
        <v>1509781.5656153865</v>
      </c>
      <c r="BH22" s="740">
        <f t="shared" ca="1" si="4"/>
        <v>1565614.6127972261</v>
      </c>
      <c r="BI22" s="740">
        <f t="shared" ca="1" si="4"/>
        <v>1485322.8600097767</v>
      </c>
      <c r="BJ22" s="740">
        <f t="shared" ca="1" si="4"/>
        <v>115901.51815909345</v>
      </c>
    </row>
    <row r="23" spans="1:62" x14ac:dyDescent="0.2">
      <c r="A23" s="57"/>
      <c r="B23" s="57"/>
      <c r="C23" s="57"/>
      <c r="D23" s="57"/>
      <c r="E23" s="57"/>
      <c r="F23" s="57"/>
      <c r="G23" s="57"/>
      <c r="H23" s="57"/>
      <c r="I23" s="57"/>
      <c r="J23" s="57"/>
      <c r="K23" s="623"/>
      <c r="L23" s="57"/>
      <c r="M23" s="57"/>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row>
    <row r="24" spans="1:62" x14ac:dyDescent="0.2">
      <c r="A24" s="57"/>
      <c r="B24" s="57"/>
      <c r="C24" s="57" t="s">
        <v>81</v>
      </c>
      <c r="D24" s="57"/>
      <c r="E24" s="57"/>
      <c r="F24" s="57"/>
      <c r="G24" s="57"/>
      <c r="H24" s="57"/>
      <c r="I24" s="57"/>
      <c r="J24" s="57"/>
      <c r="K24" s="623" t="s">
        <v>62</v>
      </c>
      <c r="L24" s="57"/>
      <c r="M24" s="57"/>
      <c r="N24" s="725">
        <f t="shared" ref="N24:N29" si="5">SUM(Q24:BJ24)</f>
        <v>-1555231.2045126476</v>
      </c>
      <c r="O24" s="24"/>
      <c r="P24" s="24"/>
      <c r="Q24" s="24"/>
      <c r="R24" s="24"/>
      <c r="S24" s="725">
        <f>-(-Fin!S210+Fin!S187) * CF!S13</f>
        <v>0</v>
      </c>
      <c r="T24" s="725">
        <f>-(-Fin!T210+Fin!T187) * CF!T13</f>
        <v>0</v>
      </c>
      <c r="U24" s="725">
        <f>-(-Fin!U210+Fin!U187) * CF!U13</f>
        <v>-21394.319090938956</v>
      </c>
      <c r="V24" s="725">
        <f>-(-Fin!V210+Fin!V187) * CF!V13</f>
        <v>-21533.072623482854</v>
      </c>
      <c r="W24" s="725">
        <f>-(-Fin!W210+Fin!W187) * CF!W13</f>
        <v>-21796.574478152332</v>
      </c>
      <c r="X24" s="725">
        <f>-(-Fin!X210+Fin!X187) * CF!X13</f>
        <v>-22080.654547014004</v>
      </c>
      <c r="Y24" s="725">
        <f>-(-Fin!Y210+Fin!Y187) * CF!Y13</f>
        <v>-22478.809003345694</v>
      </c>
      <c r="Z24" s="725">
        <f>-(-Fin!Z210+Fin!Z187) * CF!Z13</f>
        <v>-23012.815902482387</v>
      </c>
      <c r="AA24" s="725">
        <f>-(-Fin!AA210+Fin!AA187) * CF!AA13</f>
        <v>-24066.146323830177</v>
      </c>
      <c r="AB24" s="725">
        <f>-(-Fin!AB210+Fin!AB187) * CF!AB13</f>
        <v>-25095.786012695826</v>
      </c>
      <c r="AC24" s="725">
        <f>-(-Fin!AC210+Fin!AC187) * CF!AC13</f>
        <v>-25994.513872108193</v>
      </c>
      <c r="AD24" s="725">
        <f>-(-Fin!AD210+Fin!AD187) * CF!AD13</f>
        <v>-26546.655917501525</v>
      </c>
      <c r="AE24" s="725">
        <f>-(-Fin!AE210+Fin!AE187) * CF!AE13</f>
        <v>-26994.435548383903</v>
      </c>
      <c r="AF24" s="725">
        <f>-(-Fin!AF210+Fin!AF187) * CF!AF13</f>
        <v>-27576.108793610329</v>
      </c>
      <c r="AG24" s="725">
        <f>-(-Fin!AG210+Fin!AG187) * CF!AG13</f>
        <v>-28940.262453783151</v>
      </c>
      <c r="AH24" s="725">
        <f>-(-Fin!AH210+Fin!AH187) * CF!AH13</f>
        <v>-30631.501561227979</v>
      </c>
      <c r="AI24" s="725">
        <f>-(-Fin!AI210+Fin!AI187) * CF!AI13</f>
        <v>-33133.864127427769</v>
      </c>
      <c r="AJ24" s="725">
        <f>-(-Fin!AJ210+Fin!AJ187) * CF!AJ13</f>
        <v>-36877.707184973508</v>
      </c>
      <c r="AK24" s="725">
        <f>-(-Fin!AK210+Fin!AK187) * CF!AK13</f>
        <v>-41966.709009774713</v>
      </c>
      <c r="AL24" s="725">
        <f>-(-Fin!AL210+Fin!AL187) * CF!AL13</f>
        <v>-47805.075051783657</v>
      </c>
      <c r="AM24" s="725">
        <f>-(-Fin!AM210+Fin!AM187) * CF!AM13</f>
        <v>-55455.834092569632</v>
      </c>
      <c r="AN24" s="725">
        <f>-(-Fin!AN210+Fin!AN187) * CF!AN13</f>
        <v>-66051.790461043929</v>
      </c>
      <c r="AO24" s="725">
        <f>-(-Fin!AO210+Fin!AO187) * CF!AO13</f>
        <v>-75247.537943107614</v>
      </c>
      <c r="AP24" s="725">
        <f>-(-Fin!AP210+Fin!AP187) * CF!AP13</f>
        <v>-75848.411660478436</v>
      </c>
      <c r="AQ24" s="725">
        <f>-(-Fin!AQ210+Fin!AQ187) * CF!AQ13</f>
        <v>-76690.153839572173</v>
      </c>
      <c r="AR24" s="725">
        <f>-(-Fin!AR210+Fin!AR187) * CF!AR13</f>
        <v>-77459.021232605737</v>
      </c>
      <c r="AS24" s="725">
        <f>-(-Fin!AS210+Fin!AS187) * CF!AS13</f>
        <v>-78375.463668142591</v>
      </c>
      <c r="AT24" s="725">
        <f>-(-Fin!AT210+Fin!AT187) * CF!AT13</f>
        <v>-78802.822302612563</v>
      </c>
      <c r="AU24" s="725">
        <f>-(-Fin!AU210+Fin!AU187) * CF!AU13</f>
        <v>-77918.428145632293</v>
      </c>
      <c r="AV24" s="725">
        <f>-(-Fin!AV210+Fin!AV187) * CF!AV13</f>
        <v>-72478.798839589537</v>
      </c>
      <c r="AW24" s="725">
        <f>-(-Fin!AW210+Fin!AW187) * CF!AW13</f>
        <v>-66715.682786605292</v>
      </c>
      <c r="AX24" s="725">
        <f>-(-Fin!AX210+Fin!AX187) * CF!AX13</f>
        <v>-59932.708558178914</v>
      </c>
      <c r="AY24" s="725">
        <f>-(-Fin!AY210+Fin!AY187) * CF!AY13</f>
        <v>-52788.654653238365</v>
      </c>
      <c r="AZ24" s="725">
        <f>-(-Fin!AZ210+Fin!AZ187) * CF!AZ13</f>
        <v>-44679.057853223916</v>
      </c>
      <c r="BA24" s="725">
        <f>-(-Fin!BA210+Fin!BA187) * CF!BA13</f>
        <v>-36242.731076609285</v>
      </c>
      <c r="BB24" s="725">
        <f>-(-Fin!BB210+Fin!BB187) * CF!BB13</f>
        <v>-27160.250681012705</v>
      </c>
      <c r="BC24" s="725">
        <f>-(-Fin!BC210+Fin!BC187) * CF!BC13</f>
        <v>-17705.162672456412</v>
      </c>
      <c r="BD24" s="725">
        <f>-(-Fin!BD210+Fin!BD187) * CF!BD13</f>
        <v>-7753.6825434509183</v>
      </c>
      <c r="BE24" s="725">
        <f>-(-Fin!BE210+Fin!BE187) * CF!BE13</f>
        <v>0</v>
      </c>
      <c r="BF24" s="725">
        <f>-(-Fin!BF210+Fin!BF187) * CF!BF13</f>
        <v>0</v>
      </c>
      <c r="BG24" s="725">
        <f>-(-Fin!BG210+Fin!BG187) * CF!BG13</f>
        <v>0</v>
      </c>
      <c r="BH24" s="725">
        <f>-(-Fin!BH210+Fin!BH187) * CF!BH13</f>
        <v>0</v>
      </c>
      <c r="BI24" s="725">
        <f>-(-Fin!BI210+Fin!BI187) * CF!BI13</f>
        <v>0</v>
      </c>
      <c r="BJ24" s="725">
        <f>-(-Fin!BJ210+Fin!BJ187) * CF!BJ13</f>
        <v>0</v>
      </c>
    </row>
    <row r="25" spans="1:62" x14ac:dyDescent="0.2">
      <c r="A25" s="57"/>
      <c r="B25" s="57"/>
      <c r="C25" s="57" t="s">
        <v>82</v>
      </c>
      <c r="D25" s="57"/>
      <c r="E25" s="57"/>
      <c r="F25" s="57"/>
      <c r="G25" s="57"/>
      <c r="H25" s="57"/>
      <c r="I25" s="57"/>
      <c r="J25" s="57"/>
      <c r="K25" s="623" t="s">
        <v>62</v>
      </c>
      <c r="L25" s="57"/>
      <c r="M25" s="57"/>
      <c r="N25" s="725">
        <f t="shared" si="5"/>
        <v>-55747.5625</v>
      </c>
      <c r="O25" s="24"/>
      <c r="P25" s="24"/>
      <c r="Q25" s="24"/>
      <c r="R25" s="24"/>
      <c r="S25" s="725">
        <f>-Fin!S90</f>
        <v>-27873.78125</v>
      </c>
      <c r="T25" s="725">
        <f>-Fin!T90</f>
        <v>-27873.78125</v>
      </c>
      <c r="U25" s="725">
        <f>-Fin!U90</f>
        <v>0</v>
      </c>
      <c r="V25" s="725">
        <f>-Fin!V90</f>
        <v>0</v>
      </c>
      <c r="W25" s="725">
        <f>-Fin!W90</f>
        <v>0</v>
      </c>
      <c r="X25" s="725">
        <f>-Fin!X90</f>
        <v>0</v>
      </c>
      <c r="Y25" s="725">
        <f>-Fin!Y90</f>
        <v>0</v>
      </c>
      <c r="Z25" s="725">
        <f>-Fin!Z90</f>
        <v>0</v>
      </c>
      <c r="AA25" s="725">
        <f>-Fin!AA90</f>
        <v>0</v>
      </c>
      <c r="AB25" s="725">
        <f>-Fin!AB90</f>
        <v>0</v>
      </c>
      <c r="AC25" s="725">
        <f>-Fin!AC90</f>
        <v>0</v>
      </c>
      <c r="AD25" s="725">
        <f>-Fin!AD90</f>
        <v>0</v>
      </c>
      <c r="AE25" s="725">
        <f>-Fin!AE90</f>
        <v>0</v>
      </c>
      <c r="AF25" s="725">
        <f>-Fin!AF90</f>
        <v>0</v>
      </c>
      <c r="AG25" s="725">
        <f>-Fin!AG90</f>
        <v>0</v>
      </c>
      <c r="AH25" s="725">
        <f>-Fin!AH90</f>
        <v>0</v>
      </c>
      <c r="AI25" s="725">
        <f>-Fin!AI90</f>
        <v>0</v>
      </c>
      <c r="AJ25" s="725">
        <f>-Fin!AJ90</f>
        <v>0</v>
      </c>
      <c r="AK25" s="725">
        <f>-Fin!AK90</f>
        <v>0</v>
      </c>
      <c r="AL25" s="725">
        <f>-Fin!AL90</f>
        <v>0</v>
      </c>
      <c r="AM25" s="725">
        <f>-Fin!AM90</f>
        <v>0</v>
      </c>
      <c r="AN25" s="725">
        <f>-Fin!AN90</f>
        <v>0</v>
      </c>
      <c r="AO25" s="725">
        <f>-Fin!AO90</f>
        <v>0</v>
      </c>
      <c r="AP25" s="725">
        <f>-Fin!AP90</f>
        <v>0</v>
      </c>
      <c r="AQ25" s="725">
        <f>-Fin!AQ90</f>
        <v>0</v>
      </c>
      <c r="AR25" s="725">
        <f>-Fin!AR90</f>
        <v>0</v>
      </c>
      <c r="AS25" s="725">
        <f>-Fin!AS90</f>
        <v>0</v>
      </c>
      <c r="AT25" s="725">
        <f>-Fin!AT90</f>
        <v>0</v>
      </c>
      <c r="AU25" s="725">
        <f>-Fin!AU90</f>
        <v>0</v>
      </c>
      <c r="AV25" s="725">
        <f>-Fin!AV90</f>
        <v>0</v>
      </c>
      <c r="AW25" s="725">
        <f>-Fin!AW90</f>
        <v>0</v>
      </c>
      <c r="AX25" s="725">
        <f>-Fin!AX90</f>
        <v>0</v>
      </c>
      <c r="AY25" s="725">
        <f>-Fin!AY90</f>
        <v>0</v>
      </c>
      <c r="AZ25" s="725">
        <f>-Fin!AZ90</f>
        <v>0</v>
      </c>
      <c r="BA25" s="725">
        <f>-Fin!BA90</f>
        <v>0</v>
      </c>
      <c r="BB25" s="725">
        <f>-Fin!BB90</f>
        <v>0</v>
      </c>
      <c r="BC25" s="725">
        <f>-Fin!BC90</f>
        <v>0</v>
      </c>
      <c r="BD25" s="725">
        <f>-Fin!BD90</f>
        <v>0</v>
      </c>
      <c r="BE25" s="725">
        <f>-Fin!BE90</f>
        <v>0</v>
      </c>
      <c r="BF25" s="725">
        <f>-Fin!BF90</f>
        <v>0</v>
      </c>
      <c r="BG25" s="725">
        <f>-Fin!BG90</f>
        <v>0</v>
      </c>
      <c r="BH25" s="725">
        <f>-Fin!BH90</f>
        <v>0</v>
      </c>
      <c r="BI25" s="725">
        <f>-Fin!BI90</f>
        <v>0</v>
      </c>
      <c r="BJ25" s="725">
        <f>-Fin!BJ90</f>
        <v>0</v>
      </c>
    </row>
    <row r="26" spans="1:62" x14ac:dyDescent="0.2">
      <c r="A26" s="57"/>
      <c r="B26" s="57"/>
      <c r="C26" s="57" t="s">
        <v>83</v>
      </c>
      <c r="D26" s="57"/>
      <c r="E26" s="57"/>
      <c r="F26" s="57"/>
      <c r="G26" s="57"/>
      <c r="H26" s="57"/>
      <c r="I26" s="57"/>
      <c r="J26" s="57"/>
      <c r="K26" s="623" t="s">
        <v>62</v>
      </c>
      <c r="L26" s="57"/>
      <c r="M26" s="57"/>
      <c r="N26" s="725">
        <f t="shared" si="5"/>
        <v>-730052.91543559218</v>
      </c>
      <c r="O26" s="24"/>
      <c r="P26" s="24"/>
      <c r="Q26" s="24"/>
      <c r="R26" s="24"/>
      <c r="S26" s="725">
        <f>-Fin!S130</f>
        <v>-36293.173843853452</v>
      </c>
      <c r="T26" s="725">
        <f>-Fin!T130</f>
        <v>-37528.094930355095</v>
      </c>
      <c r="U26" s="725">
        <f>-Fin!U130</f>
        <v>-38350.607335617889</v>
      </c>
      <c r="V26" s="725">
        <f>-Fin!V130</f>
        <v>-38350.607335617889</v>
      </c>
      <c r="W26" s="725">
        <f>-Fin!W130</f>
        <v>-38350.607335617889</v>
      </c>
      <c r="X26" s="725">
        <f>-Fin!X130</f>
        <v>-38350.607335617889</v>
      </c>
      <c r="Y26" s="725">
        <f>-Fin!Y130</f>
        <v>-38337.669724726009</v>
      </c>
      <c r="Z26" s="725">
        <f>-Fin!Z130</f>
        <v>-38173.303355345735</v>
      </c>
      <c r="AA26" s="725">
        <f>-Fin!AA130</f>
        <v>-37582.005737129424</v>
      </c>
      <c r="AB26" s="725">
        <f>-Fin!AB130</f>
        <v>-37006.189673607616</v>
      </c>
      <c r="AC26" s="725">
        <f>-Fin!AC130</f>
        <v>-36603.405771874575</v>
      </c>
      <c r="AD26" s="725">
        <f>-Fin!AD130</f>
        <v>-36375.960420083495</v>
      </c>
      <c r="AE26" s="725">
        <f>-Fin!AE130</f>
        <v>-36312.339336189019</v>
      </c>
      <c r="AF26" s="725">
        <f>-Fin!AF130</f>
        <v>-36229.168988251433</v>
      </c>
      <c r="AG26" s="725">
        <f>-Fin!AG130</f>
        <v>-35518.460701668344</v>
      </c>
      <c r="AH26" s="725">
        <f>-Fin!AH130</f>
        <v>-34432.923214893875</v>
      </c>
      <c r="AI26" s="725">
        <f>-Fin!AI130</f>
        <v>-32820.442946167299</v>
      </c>
      <c r="AJ26" s="725">
        <f>-Fin!AJ130</f>
        <v>-30195.111254534899</v>
      </c>
      <c r="AK26" s="725">
        <f>-Fin!AK130</f>
        <v>-26513.453107909398</v>
      </c>
      <c r="AL26" s="725">
        <f>-Fin!AL130</f>
        <v>-22055.204026455205</v>
      </c>
      <c r="AM26" s="725">
        <f>-Fin!AM130</f>
        <v>-16443.386713211112</v>
      </c>
      <c r="AN26" s="725">
        <f>-Fin!AN130</f>
        <v>-8230.1923468647765</v>
      </c>
      <c r="AO26" s="725">
        <f>-Fin!AO130</f>
        <v>0</v>
      </c>
      <c r="AP26" s="725">
        <f>-Fin!AP130</f>
        <v>0</v>
      </c>
      <c r="AQ26" s="725">
        <f>-Fin!AQ130</f>
        <v>0</v>
      </c>
      <c r="AR26" s="725">
        <f>-Fin!AR130</f>
        <v>0</v>
      </c>
      <c r="AS26" s="725">
        <f>-Fin!AS130</f>
        <v>0</v>
      </c>
      <c r="AT26" s="725">
        <f>-Fin!AT130</f>
        <v>0</v>
      </c>
      <c r="AU26" s="725">
        <f>-Fin!AU130</f>
        <v>0</v>
      </c>
      <c r="AV26" s="725">
        <f>-Fin!AV130</f>
        <v>0</v>
      </c>
      <c r="AW26" s="725">
        <f>-Fin!AW130</f>
        <v>0</v>
      </c>
      <c r="AX26" s="725">
        <f>-Fin!AX130</f>
        <v>0</v>
      </c>
      <c r="AY26" s="725">
        <f>-Fin!AY130</f>
        <v>0</v>
      </c>
      <c r="AZ26" s="725">
        <f>-Fin!AZ130</f>
        <v>0</v>
      </c>
      <c r="BA26" s="725">
        <f>-Fin!BA130</f>
        <v>0</v>
      </c>
      <c r="BB26" s="725">
        <f>-Fin!BB130</f>
        <v>0</v>
      </c>
      <c r="BC26" s="725">
        <f>-Fin!BC130</f>
        <v>0</v>
      </c>
      <c r="BD26" s="725">
        <f>-Fin!BD130</f>
        <v>0</v>
      </c>
      <c r="BE26" s="725">
        <f>-Fin!BE130</f>
        <v>0</v>
      </c>
      <c r="BF26" s="725">
        <f>-Fin!BF130</f>
        <v>0</v>
      </c>
      <c r="BG26" s="725">
        <f>-Fin!BG130</f>
        <v>0</v>
      </c>
      <c r="BH26" s="725">
        <f>-Fin!BH130</f>
        <v>0</v>
      </c>
      <c r="BI26" s="725">
        <f>-Fin!BI130</f>
        <v>0</v>
      </c>
      <c r="BJ26" s="725">
        <f>-Fin!BJ130</f>
        <v>0</v>
      </c>
    </row>
    <row r="27" spans="1:62" x14ac:dyDescent="0.2">
      <c r="A27" s="57"/>
      <c r="B27" s="57"/>
      <c r="C27" s="57" t="s">
        <v>84</v>
      </c>
      <c r="D27" s="57"/>
      <c r="E27" s="57"/>
      <c r="F27" s="57"/>
      <c r="G27" s="57"/>
      <c r="H27" s="57"/>
      <c r="I27" s="57"/>
      <c r="J27" s="57"/>
      <c r="K27" s="623" t="s">
        <v>62</v>
      </c>
      <c r="L27" s="57"/>
      <c r="M27" s="57"/>
      <c r="N27" s="725">
        <f t="shared" si="5"/>
        <v>-41714.296273598251</v>
      </c>
      <c r="O27" s="24"/>
      <c r="P27" s="24"/>
      <c r="Q27" s="24"/>
      <c r="R27" s="24"/>
      <c r="S27" s="725">
        <f>-(Fin!S63*Oper!S12+SUM(Fin!S60:S62)) * CF!S13</f>
        <v>0</v>
      </c>
      <c r="T27" s="725">
        <f>-(Fin!T63*Oper!T12+SUM(Fin!T60:T62)) * CF!T13</f>
        <v>-4127.168904518021</v>
      </c>
      <c r="U27" s="725">
        <f>-(Fin!U63*Oper!U12+SUM(Fin!U60:U62)) * CF!U13</f>
        <v>-4312.6113068250797</v>
      </c>
      <c r="V27" s="725">
        <f>-(Fin!V63*Oper!V12+SUM(Fin!V60:V62)) * CF!V13</f>
        <v>-690.62458930895025</v>
      </c>
      <c r="W27" s="725">
        <f>-(Fin!W63*Oper!W12+SUM(Fin!W60:W62)) * CF!W13</f>
        <v>-670.3760303620669</v>
      </c>
      <c r="X27" s="725">
        <f>-(Fin!X63*Oper!X12+SUM(Fin!X60:X62)) * CF!X13</f>
        <v>-648.37767724224011</v>
      </c>
      <c r="Y27" s="725">
        <f>-(Fin!Y63*Oper!Y12+SUM(Fin!Y60:Y62)) * CF!Y13</f>
        <v>-647.3874308431333</v>
      </c>
      <c r="Z27" s="725">
        <f>-(Fin!Z63*Oper!Z12+SUM(Fin!Z60:Z62)) * CF!Z13</f>
        <v>-729.18336675298258</v>
      </c>
      <c r="AA27" s="725">
        <f>-(Fin!AA63*Oper!AA12+SUM(Fin!AA60:AA62)) * CF!AA13</f>
        <v>-702.59226652727841</v>
      </c>
      <c r="AB27" s="725">
        <f>-(Fin!AB63*Oper!AB12+SUM(Fin!AB60:AB62)) * CF!AB13</f>
        <v>-633.8591103193686</v>
      </c>
      <c r="AC27" s="725">
        <f>-(Fin!AC63*Oper!AC12+SUM(Fin!AC60:AC62)) * CF!AC13</f>
        <v>-564.47903347406316</v>
      </c>
      <c r="AD27" s="725">
        <f>-(Fin!AD63*Oper!AD12+SUM(Fin!AD60:AD62)) * CF!AD13</f>
        <v>-1096.9264358438415</v>
      </c>
      <c r="AE27" s="725">
        <f>-(Fin!AE63*Oper!AE12+SUM(Fin!AE60:AE62)) * CF!AE13</f>
        <v>-4644.4828122026092</v>
      </c>
      <c r="AF27" s="725">
        <f>-(Fin!AF63*Oper!AF12+SUM(Fin!AF60:AF62)) * CF!AF13</f>
        <v>-893.95160278707374</v>
      </c>
      <c r="AG27" s="725">
        <f>-(Fin!AG63*Oper!AG12+SUM(Fin!AG60:AG62)) * CF!AG13</f>
        <v>-943.10828668651152</v>
      </c>
      <c r="AH27" s="725">
        <f>-(Fin!AH63*Oper!AH12+SUM(Fin!AH60:AH62)) * CF!AH13</f>
        <v>-1011.0867622217945</v>
      </c>
      <c r="AI27" s="725">
        <f>-(Fin!AI63*Oper!AI12+SUM(Fin!AI60:AI62)) * CF!AI13</f>
        <v>-1196.0857109827239</v>
      </c>
      <c r="AJ27" s="725">
        <f>-(Fin!AJ63*Oper!AJ12+SUM(Fin!AJ60:AJ62)) * CF!AJ13</f>
        <v>-1399.9309548842241</v>
      </c>
      <c r="AK27" s="725">
        <f>-(Fin!AK63*Oper!AK12+SUM(Fin!AK60:AK62)) * CF!AK13</f>
        <v>-1525.0835878858845</v>
      </c>
      <c r="AL27" s="725">
        <f>-(Fin!AL63*Oper!AL12+SUM(Fin!AL60:AL62)) * CF!AL13</f>
        <v>-1680.4444403280509</v>
      </c>
      <c r="AM27" s="725">
        <f>-(Fin!AM63*Oper!AM12+SUM(Fin!AM60:AM62)) * CF!AM13</f>
        <v>-2263.2676538979686</v>
      </c>
      <c r="AN27" s="725">
        <f>-(Fin!AN63*Oper!AN12+SUM(Fin!AN60:AN62)) * CF!AN13</f>
        <v>-3453.1727902986563</v>
      </c>
      <c r="AO27" s="725">
        <f>-(Fin!AO63*Oper!AO12+SUM(Fin!AO60:AO62)) * CF!AO13</f>
        <v>-3639.5562601556812</v>
      </c>
      <c r="AP27" s="725">
        <f>-(Fin!AP63*Oper!AP12+SUM(Fin!AP60:AP62)) * CF!AP13</f>
        <v>-513.17546139057026</v>
      </c>
      <c r="AQ27" s="725">
        <f>-(Fin!AQ63*Oper!AQ12+SUM(Fin!AQ60:AQ62)) * CF!AQ13</f>
        <v>-437.85256747595884</v>
      </c>
      <c r="AR27" s="725">
        <f>-(Fin!AR63*Oper!AR12+SUM(Fin!AR60:AR62)) * CF!AR13</f>
        <v>-369.29863323855659</v>
      </c>
      <c r="AS27" s="725">
        <f>-(Fin!AS63*Oper!AS12+SUM(Fin!AS60:AS62)) * CF!AS13</f>
        <v>-306.93332757294644</v>
      </c>
      <c r="AT27" s="725">
        <f>-(Fin!AT63*Oper!AT12+SUM(Fin!AT60:AT62)) * CF!AT13</f>
        <v>-250.22669328218672</v>
      </c>
      <c r="AU27" s="725">
        <f>-(Fin!AU63*Oper!AU12+SUM(Fin!AU60:AU62)) * CF!AU13</f>
        <v>-198.69478891433511</v>
      </c>
      <c r="AV27" s="725">
        <f>-(Fin!AV63*Oper!AV12+SUM(Fin!AV60:AV62)) * CF!AV13</f>
        <v>-151.89570798127258</v>
      </c>
      <c r="AW27" s="725">
        <f>-(Fin!AW63*Oper!AW12+SUM(Fin!AW60:AW62)) * CF!AW13</f>
        <v>-115.28619144946826</v>
      </c>
      <c r="AX27" s="725">
        <f>-(Fin!AX63*Oper!AX12+SUM(Fin!AX60:AX62)) * CF!AX13</f>
        <v>-1130.3507605514185</v>
      </c>
      <c r="AY27" s="725">
        <f>-(Fin!AY63*Oper!AY12+SUM(Fin!AY60:AY62)) * CF!AY13</f>
        <v>-120.65034265142054</v>
      </c>
      <c r="AZ27" s="725">
        <f>-(Fin!AZ63*Oper!AZ12+SUM(Fin!AZ60:AZ62)) * CF!AZ13</f>
        <v>-123.4253005324032</v>
      </c>
      <c r="BA27" s="725">
        <f>-(Fin!BA63*Oper!BA12+SUM(Fin!BA60:BA62)) * CF!BA13</f>
        <v>-126.26408244464847</v>
      </c>
      <c r="BB27" s="725">
        <f>-(Fin!BB63*Oper!BB12+SUM(Fin!BB60:BB62)) * CF!BB13</f>
        <v>-129.16815634087538</v>
      </c>
      <c r="BC27" s="725">
        <f>-(Fin!BC63*Oper!BC12+SUM(Fin!BC60:BC62)) * CF!BC13</f>
        <v>-132.13902393671552</v>
      </c>
      <c r="BD27" s="725">
        <f>-(Fin!BD63*Oper!BD12+SUM(Fin!BD60:BD62)) * CF!BD13</f>
        <v>-135.17822148725995</v>
      </c>
      <c r="BE27" s="725">
        <f>-(Fin!BE63*Oper!BE12+SUM(Fin!BE60:BE62)) * CF!BE13</f>
        <v>0</v>
      </c>
      <c r="BF27" s="725">
        <f>-(Fin!BF63*Oper!BF12+SUM(Fin!BF60:BF62)) * CF!BF13</f>
        <v>0</v>
      </c>
      <c r="BG27" s="725">
        <f>-(Fin!BG63*Oper!BG12+SUM(Fin!BG60:BG62)) * CF!BG13</f>
        <v>0</v>
      </c>
      <c r="BH27" s="725">
        <f>-(Fin!BH63*Oper!BH12+SUM(Fin!BH60:BH62)) * CF!BH13</f>
        <v>0</v>
      </c>
      <c r="BI27" s="725">
        <f>-(Fin!BI63*Oper!BI12+SUM(Fin!BI60:BI62)) * CF!BI13</f>
        <v>0</v>
      </c>
      <c r="BJ27" s="725">
        <f>-(Fin!BJ63*Oper!BJ12+SUM(Fin!BJ60:BJ62)) * CF!BJ13</f>
        <v>0</v>
      </c>
    </row>
    <row r="28" spans="1:62" x14ac:dyDescent="0.2">
      <c r="A28" s="57"/>
      <c r="B28" s="57"/>
      <c r="C28" s="41" t="s">
        <v>72</v>
      </c>
      <c r="D28" s="41"/>
      <c r="E28" s="41"/>
      <c r="F28" s="41"/>
      <c r="G28" s="41"/>
      <c r="H28" s="41"/>
      <c r="I28" s="41"/>
      <c r="J28" s="41"/>
      <c r="K28" s="622" t="s">
        <v>62</v>
      </c>
      <c r="L28" s="41"/>
      <c r="M28" s="41"/>
      <c r="N28" s="733">
        <f t="shared" si="5"/>
        <v>246032.33600601187</v>
      </c>
      <c r="O28" s="23"/>
      <c r="P28" s="23"/>
      <c r="Q28" s="23"/>
      <c r="R28" s="23"/>
      <c r="S28" s="82">
        <f>+CF!S43</f>
        <v>0</v>
      </c>
      <c r="T28" s="82">
        <f>+CF!T43</f>
        <v>2933.937622086924</v>
      </c>
      <c r="U28" s="82">
        <f>+CF!U43</f>
        <v>940.6351316665299</v>
      </c>
      <c r="V28" s="82">
        <f>+CF!V43</f>
        <v>1180.3461841882392</v>
      </c>
      <c r="W28" s="82">
        <f>+CF!W43</f>
        <v>1392.855798373562</v>
      </c>
      <c r="X28" s="82">
        <f>+CF!X43</f>
        <v>1567.8927138781878</v>
      </c>
      <c r="Y28" s="82">
        <f>+CF!Y43</f>
        <v>1733.2721968863589</v>
      </c>
      <c r="Z28" s="82">
        <f>+CF!Z43</f>
        <v>1902.9812601184744</v>
      </c>
      <c r="AA28" s="82">
        <f>+CF!AA43</f>
        <v>2074.7351020773285</v>
      </c>
      <c r="AB28" s="82">
        <f>+CF!AB43</f>
        <v>2212.8585877595424</v>
      </c>
      <c r="AC28" s="82">
        <f>+CF!AC43</f>
        <v>2330.3773691569895</v>
      </c>
      <c r="AD28" s="82">
        <f>+CF!AD43</f>
        <v>2418.2959333556219</v>
      </c>
      <c r="AE28" s="82">
        <f>+CF!AE43</f>
        <v>2579.0949092429973</v>
      </c>
      <c r="AF28" s="82">
        <f>+CF!AF43</f>
        <v>2696.1751882153148</v>
      </c>
      <c r="AG28" s="82">
        <f>+CF!AG43</f>
        <v>2839.6666328661431</v>
      </c>
      <c r="AH28" s="82">
        <f>+CF!AH43</f>
        <v>3105.9161260773412</v>
      </c>
      <c r="AI28" s="82">
        <f>+CF!AI43</f>
        <v>3411.5832240242535</v>
      </c>
      <c r="AJ28" s="82">
        <f>+CF!AJ43</f>
        <v>3768.0917971796848</v>
      </c>
      <c r="AK28" s="82">
        <f>+CF!AK43</f>
        <v>4073.6348544397351</v>
      </c>
      <c r="AL28" s="82">
        <f>+CF!AL43</f>
        <v>4320.6180431709508</v>
      </c>
      <c r="AM28" s="82">
        <f>+CF!AM43</f>
        <v>4797.2675879554872</v>
      </c>
      <c r="AN28" s="82">
        <f>+CF!AN43</f>
        <v>5638.7025356995109</v>
      </c>
      <c r="AO28" s="82">
        <f>+CF!AO43</f>
        <v>5664.2656594535383</v>
      </c>
      <c r="AP28" s="82">
        <f>+CF!AP43</f>
        <v>5923.2709353723476</v>
      </c>
      <c r="AQ28" s="82">
        <f>+CF!AQ43</f>
        <v>5964.8664794603264</v>
      </c>
      <c r="AR28" s="82">
        <f>+CF!AR43</f>
        <v>6134.1481172792337</v>
      </c>
      <c r="AS28" s="82">
        <f>+CF!AS43</f>
        <v>6339.194453137532</v>
      </c>
      <c r="AT28" s="82">
        <f>+CF!AT43</f>
        <v>6577.3231478792877</v>
      </c>
      <c r="AU28" s="82">
        <f>+CF!AU43</f>
        <v>9006.5046993014894</v>
      </c>
      <c r="AV28" s="82">
        <f>+CF!AV43</f>
        <v>9125.9065121812091</v>
      </c>
      <c r="AW28" s="82">
        <f>+CF!AW43</f>
        <v>9465.0985390987535</v>
      </c>
      <c r="AX28" s="82">
        <f>+CF!AX43</f>
        <v>9787.7998764432105</v>
      </c>
      <c r="AY28" s="82">
        <f>+CF!AY43</f>
        <v>10381.737567421795</v>
      </c>
      <c r="AZ28" s="82">
        <f>+CF!AZ43</f>
        <v>10650.770306827853</v>
      </c>
      <c r="BA28" s="82">
        <f>+CF!BA43</f>
        <v>10806.024617332281</v>
      </c>
      <c r="BB28" s="82">
        <f>+CF!BB43</f>
        <v>10971.409959314491</v>
      </c>
      <c r="BC28" s="82">
        <f>+CF!BC43</f>
        <v>11072.161126111594</v>
      </c>
      <c r="BD28" s="82">
        <f>+CF!BD43</f>
        <v>11355.312685980001</v>
      </c>
      <c r="BE28" s="82">
        <f>+CF!BE43</f>
        <v>9642.6086918270485</v>
      </c>
      <c r="BF28" s="82">
        <f>+CF!BF43</f>
        <v>9736.9246790448087</v>
      </c>
      <c r="BG28" s="82">
        <f>+CF!BG43</f>
        <v>9624.1770197395927</v>
      </c>
      <c r="BH28" s="82">
        <f>+CF!BH43</f>
        <v>9434.8959840826774</v>
      </c>
      <c r="BI28" s="82">
        <f>+CF!BI43</f>
        <v>8508.7060004751474</v>
      </c>
      <c r="BJ28" s="82">
        <f>+CF!BJ43</f>
        <v>1940.2901498285173</v>
      </c>
    </row>
    <row r="29" spans="1:62" x14ac:dyDescent="0.2">
      <c r="A29" s="57"/>
      <c r="B29" s="57"/>
      <c r="C29" s="20" t="s">
        <v>85</v>
      </c>
      <c r="D29" s="20"/>
      <c r="E29" s="20"/>
      <c r="F29" s="20"/>
      <c r="G29" s="20"/>
      <c r="H29" s="20"/>
      <c r="I29" s="20"/>
      <c r="J29" s="25"/>
      <c r="K29" s="621" t="s">
        <v>62</v>
      </c>
      <c r="L29" s="25"/>
      <c r="M29" s="25"/>
      <c r="N29" s="740">
        <f t="shared" ca="1" si="5"/>
        <v>24537242.661385372</v>
      </c>
      <c r="O29" s="25"/>
      <c r="P29" s="20"/>
      <c r="Q29" s="25"/>
      <c r="R29" s="25"/>
      <c r="S29" s="740">
        <f t="shared" ref="S29:BJ29" ca="1" si="6">SUM(S22:S28)</f>
        <v>-74812.4104393858</v>
      </c>
      <c r="T29" s="740">
        <f t="shared" ca="1" si="6"/>
        <v>-67829.458525862326</v>
      </c>
      <c r="U29" s="740">
        <f t="shared" ca="1" si="6"/>
        <v>-53681.050180351915</v>
      </c>
      <c r="V29" s="740">
        <f t="shared" ca="1" si="6"/>
        <v>-38139.768466109992</v>
      </c>
      <c r="W29" s="740">
        <f t="shared" ca="1" si="6"/>
        <v>-27813.348032789774</v>
      </c>
      <c r="X29" s="740">
        <f t="shared" ca="1" si="6"/>
        <v>-16621.328735300569</v>
      </c>
      <c r="Y29" s="740">
        <f t="shared" ca="1" si="6"/>
        <v>-4559.1408310831612</v>
      </c>
      <c r="Z29" s="740">
        <f t="shared" ca="1" si="6"/>
        <v>8529.1899697336157</v>
      </c>
      <c r="AA29" s="740">
        <f t="shared" ca="1" si="6"/>
        <v>22819.221898921616</v>
      </c>
      <c r="AB29" s="740">
        <f t="shared" ca="1" si="6"/>
        <v>33966.969506468478</v>
      </c>
      <c r="AC29" s="740">
        <f t="shared" ca="1" si="6"/>
        <v>45822.920542066495</v>
      </c>
      <c r="AD29" s="740">
        <f t="shared" ca="1" si="6"/>
        <v>58038.757897894757</v>
      </c>
      <c r="AE29" s="740">
        <f t="shared" ca="1" si="6"/>
        <v>68125.35137499524</v>
      </c>
      <c r="AF29" s="740">
        <f t="shared" ca="1" si="6"/>
        <v>86281.328043131158</v>
      </c>
      <c r="AG29" s="740">
        <f t="shared" ca="1" si="6"/>
        <v>151384.6266713455</v>
      </c>
      <c r="AH29" s="740">
        <f t="shared" ca="1" si="6"/>
        <v>230504.16955183068</v>
      </c>
      <c r="AI29" s="740">
        <f t="shared" ca="1" si="6"/>
        <v>259845.62766946919</v>
      </c>
      <c r="AJ29" s="740">
        <f t="shared" ca="1" si="6"/>
        <v>292035.9130038115</v>
      </c>
      <c r="AK29" s="740">
        <f t="shared" ca="1" si="6"/>
        <v>327342.18887761928</v>
      </c>
      <c r="AL29" s="740">
        <f t="shared" ca="1" si="6"/>
        <v>366705.7876060417</v>
      </c>
      <c r="AM29" s="740">
        <f t="shared" ca="1" si="6"/>
        <v>409312.38055812224</v>
      </c>
      <c r="AN29" s="740">
        <f t="shared" ca="1" si="6"/>
        <v>455841.75446617679</v>
      </c>
      <c r="AO29" s="740">
        <f t="shared" ca="1" si="6"/>
        <v>508941.84779666801</v>
      </c>
      <c r="AP29" s="740">
        <f t="shared" ca="1" si="6"/>
        <v>571408.76594868081</v>
      </c>
      <c r="AQ29" s="740">
        <f t="shared" ca="1" si="6"/>
        <v>608689.76869311102</v>
      </c>
      <c r="AR29" s="740">
        <f t="shared" ca="1" si="6"/>
        <v>648533.59603509645</v>
      </c>
      <c r="AS29" s="740">
        <f t="shared" ca="1" si="6"/>
        <v>690754.13044569991</v>
      </c>
      <c r="AT29" s="740">
        <f t="shared" ca="1" si="6"/>
        <v>736119.56598652585</v>
      </c>
      <c r="AU29" s="740">
        <f t="shared" ca="1" si="6"/>
        <v>787742.24602966651</v>
      </c>
      <c r="AV29" s="740">
        <f t="shared" ca="1" si="6"/>
        <v>843790.53270355065</v>
      </c>
      <c r="AW29" s="740">
        <f t="shared" ca="1" si="6"/>
        <v>903250.98599067307</v>
      </c>
      <c r="AX29" s="740">
        <f t="shared" ca="1" si="6"/>
        <v>965702.85669551615</v>
      </c>
      <c r="AY29" s="740">
        <f t="shared" ca="1" si="6"/>
        <v>1034017.5759006336</v>
      </c>
      <c r="AZ29" s="740">
        <f t="shared" ca="1" si="6"/>
        <v>1105345.3784658748</v>
      </c>
      <c r="BA29" s="740">
        <f t="shared" ca="1" si="6"/>
        <v>1167744.9517003647</v>
      </c>
      <c r="BB29" s="740">
        <f t="shared" ca="1" si="6"/>
        <v>1231068.9532984537</v>
      </c>
      <c r="BC29" s="740">
        <f t="shared" ca="1" si="6"/>
        <v>1274053.6885785144</v>
      </c>
      <c r="BD29" s="740">
        <f t="shared" ca="1" si="6"/>
        <v>1343646.9472980311</v>
      </c>
      <c r="BE29" s="740">
        <f t="shared" ca="1" si="6"/>
        <v>1412194.280160998</v>
      </c>
      <c r="BF29" s="740">
        <f t="shared" ca="1" si="6"/>
        <v>1465008.2814949618</v>
      </c>
      <c r="BG29" s="740">
        <f t="shared" ca="1" si="6"/>
        <v>1519405.742635126</v>
      </c>
      <c r="BH29" s="740">
        <f t="shared" ca="1" si="6"/>
        <v>1575049.5087813088</v>
      </c>
      <c r="BI29" s="740">
        <f t="shared" ca="1" si="6"/>
        <v>1493831.5660102519</v>
      </c>
      <c r="BJ29" s="740">
        <f t="shared" ca="1" si="6"/>
        <v>117841.80830892197</v>
      </c>
    </row>
    <row r="30" spans="1:62" x14ac:dyDescent="0.2">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row>
    <row r="31" spans="1:62" x14ac:dyDescent="0.2">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row>
    <row r="32" spans="1:62" x14ac:dyDescent="0.2">
      <c r="C32" s="45" t="s">
        <v>86</v>
      </c>
      <c r="D32" s="45"/>
      <c r="E32" s="45"/>
      <c r="F32" s="45"/>
      <c r="G32" s="45"/>
      <c r="H32" s="45"/>
      <c r="I32" s="45"/>
      <c r="J32" s="45"/>
      <c r="K32" s="618" t="s">
        <v>62</v>
      </c>
      <c r="L32" s="46"/>
      <c r="M32" s="46"/>
      <c r="N32" s="724">
        <f ca="1">SUM(Q32:BJ32)</f>
        <v>24537242.661385372</v>
      </c>
      <c r="O32" s="45"/>
      <c r="P32" s="45"/>
      <c r="Q32" s="194"/>
      <c r="R32" s="724">
        <f>+Inputs!L223</f>
        <v>0</v>
      </c>
      <c r="S32" s="724">
        <f t="shared" ref="S32:BJ32" ca="1" si="7">+S29</f>
        <v>-74812.4104393858</v>
      </c>
      <c r="T32" s="724">
        <f t="shared" ca="1" si="7"/>
        <v>-67829.458525862326</v>
      </c>
      <c r="U32" s="724">
        <f t="shared" ca="1" si="7"/>
        <v>-53681.050180351915</v>
      </c>
      <c r="V32" s="724">
        <f t="shared" ca="1" si="7"/>
        <v>-38139.768466109992</v>
      </c>
      <c r="W32" s="724">
        <f t="shared" ca="1" si="7"/>
        <v>-27813.348032789774</v>
      </c>
      <c r="X32" s="724">
        <f t="shared" ca="1" si="7"/>
        <v>-16621.328735300569</v>
      </c>
      <c r="Y32" s="724">
        <f t="shared" ca="1" si="7"/>
        <v>-4559.1408310831612</v>
      </c>
      <c r="Z32" s="724">
        <f t="shared" ca="1" si="7"/>
        <v>8529.1899697336157</v>
      </c>
      <c r="AA32" s="724">
        <f t="shared" ca="1" si="7"/>
        <v>22819.221898921616</v>
      </c>
      <c r="AB32" s="724">
        <f t="shared" ca="1" si="7"/>
        <v>33966.969506468478</v>
      </c>
      <c r="AC32" s="724">
        <f t="shared" ca="1" si="7"/>
        <v>45822.920542066495</v>
      </c>
      <c r="AD32" s="724">
        <f t="shared" ca="1" si="7"/>
        <v>58038.757897894757</v>
      </c>
      <c r="AE32" s="724">
        <f t="shared" ca="1" si="7"/>
        <v>68125.35137499524</v>
      </c>
      <c r="AF32" s="724">
        <f t="shared" ca="1" si="7"/>
        <v>86281.328043131158</v>
      </c>
      <c r="AG32" s="724">
        <f t="shared" ca="1" si="7"/>
        <v>151384.6266713455</v>
      </c>
      <c r="AH32" s="724">
        <f t="shared" ca="1" si="7"/>
        <v>230504.16955183068</v>
      </c>
      <c r="AI32" s="724">
        <f t="shared" ca="1" si="7"/>
        <v>259845.62766946919</v>
      </c>
      <c r="AJ32" s="724">
        <f t="shared" ca="1" si="7"/>
        <v>292035.9130038115</v>
      </c>
      <c r="AK32" s="724">
        <f t="shared" ca="1" si="7"/>
        <v>327342.18887761928</v>
      </c>
      <c r="AL32" s="724">
        <f t="shared" ca="1" si="7"/>
        <v>366705.7876060417</v>
      </c>
      <c r="AM32" s="724">
        <f t="shared" ca="1" si="7"/>
        <v>409312.38055812224</v>
      </c>
      <c r="AN32" s="724">
        <f t="shared" ca="1" si="7"/>
        <v>455841.75446617679</v>
      </c>
      <c r="AO32" s="724">
        <f t="shared" ca="1" si="7"/>
        <v>508941.84779666801</v>
      </c>
      <c r="AP32" s="724">
        <f t="shared" ca="1" si="7"/>
        <v>571408.76594868081</v>
      </c>
      <c r="AQ32" s="724">
        <f t="shared" ca="1" si="7"/>
        <v>608689.76869311102</v>
      </c>
      <c r="AR32" s="724">
        <f t="shared" ca="1" si="7"/>
        <v>648533.59603509645</v>
      </c>
      <c r="AS32" s="724">
        <f t="shared" ca="1" si="7"/>
        <v>690754.13044569991</v>
      </c>
      <c r="AT32" s="724">
        <f t="shared" ca="1" si="7"/>
        <v>736119.56598652585</v>
      </c>
      <c r="AU32" s="724">
        <f t="shared" ca="1" si="7"/>
        <v>787742.24602966651</v>
      </c>
      <c r="AV32" s="724">
        <f t="shared" ca="1" si="7"/>
        <v>843790.53270355065</v>
      </c>
      <c r="AW32" s="724">
        <f t="shared" ca="1" si="7"/>
        <v>903250.98599067307</v>
      </c>
      <c r="AX32" s="724">
        <f t="shared" ca="1" si="7"/>
        <v>965702.85669551615</v>
      </c>
      <c r="AY32" s="724">
        <f t="shared" ca="1" si="7"/>
        <v>1034017.5759006336</v>
      </c>
      <c r="AZ32" s="724">
        <f t="shared" ca="1" si="7"/>
        <v>1105345.3784658748</v>
      </c>
      <c r="BA32" s="724">
        <f t="shared" ca="1" si="7"/>
        <v>1167744.9517003647</v>
      </c>
      <c r="BB32" s="724">
        <f t="shared" ca="1" si="7"/>
        <v>1231068.9532984537</v>
      </c>
      <c r="BC32" s="724">
        <f t="shared" ca="1" si="7"/>
        <v>1274053.6885785144</v>
      </c>
      <c r="BD32" s="724">
        <f t="shared" ca="1" si="7"/>
        <v>1343646.9472980311</v>
      </c>
      <c r="BE32" s="724">
        <f t="shared" ca="1" si="7"/>
        <v>1412194.280160998</v>
      </c>
      <c r="BF32" s="724">
        <f t="shared" ca="1" si="7"/>
        <v>1465008.2814949618</v>
      </c>
      <c r="BG32" s="724">
        <f t="shared" ca="1" si="7"/>
        <v>1519405.742635126</v>
      </c>
      <c r="BH32" s="724">
        <f t="shared" ca="1" si="7"/>
        <v>1575049.5087813088</v>
      </c>
      <c r="BI32" s="724">
        <f t="shared" ca="1" si="7"/>
        <v>1493831.5660102519</v>
      </c>
      <c r="BJ32" s="724">
        <f t="shared" ca="1" si="7"/>
        <v>117841.80830892197</v>
      </c>
    </row>
    <row r="33" spans="1:62" x14ac:dyDescent="0.2">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row>
    <row r="34" spans="1:62" s="140" customFormat="1" ht="15.75" x14ac:dyDescent="0.25">
      <c r="A34" s="136"/>
      <c r="B34" s="136" t="s">
        <v>33</v>
      </c>
      <c r="C34" s="136"/>
      <c r="D34" s="136"/>
      <c r="E34" s="136"/>
      <c r="F34" s="136"/>
      <c r="G34" s="136"/>
      <c r="H34" s="136"/>
      <c r="I34" s="136"/>
      <c r="J34" s="136"/>
      <c r="K34" s="598"/>
      <c r="L34" s="136"/>
      <c r="M34" s="136"/>
      <c r="N34" s="136"/>
      <c r="O34" s="137"/>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row>
    <row r="36" spans="1:62" x14ac:dyDescent="0.2">
      <c r="S36" s="114"/>
    </row>
    <row r="37" spans="1:62" x14ac:dyDescent="0.2">
      <c r="C37" s="42" t="s">
        <v>89</v>
      </c>
      <c r="D37" s="42"/>
      <c r="E37" s="42"/>
      <c r="F37" s="42"/>
      <c r="G37" s="42"/>
      <c r="H37" s="42"/>
      <c r="I37" s="42"/>
      <c r="J37" s="42"/>
      <c r="K37" s="624" t="s">
        <v>62</v>
      </c>
      <c r="L37" s="42"/>
      <c r="M37" s="42"/>
      <c r="N37" s="42"/>
      <c r="O37" s="42"/>
      <c r="P37" s="42"/>
      <c r="Q37" s="43"/>
      <c r="R37" s="43">
        <f t="shared" ref="R37:AV37" si="8">SUM(R38:R43)</f>
        <v>155265.09135022902</v>
      </c>
      <c r="S37" s="43">
        <f t="shared" si="8"/>
        <v>208187.74657917686</v>
      </c>
      <c r="T37" s="43">
        <f t="shared" si="8"/>
        <v>42326.74127247274</v>
      </c>
      <c r="U37" s="43">
        <f t="shared" si="8"/>
        <v>47642.75469322774</v>
      </c>
      <c r="V37" s="43">
        <f t="shared" si="8"/>
        <v>50538.877458578259</v>
      </c>
      <c r="W37" s="43">
        <f t="shared" si="8"/>
        <v>51988.446137454914</v>
      </c>
      <c r="X37" s="43">
        <f t="shared" si="8"/>
        <v>53464.140677853524</v>
      </c>
      <c r="Y37" s="43">
        <f t="shared" si="8"/>
        <v>54876.944498191893</v>
      </c>
      <c r="Z37" s="43">
        <f t="shared" si="8"/>
        <v>56491.13368043425</v>
      </c>
      <c r="AA37" s="43">
        <f t="shared" si="8"/>
        <v>57634.370323258314</v>
      </c>
      <c r="AB37" s="43">
        <f t="shared" si="8"/>
        <v>58722.924531647535</v>
      </c>
      <c r="AC37" s="43">
        <f t="shared" si="8"/>
        <v>59647.987944899774</v>
      </c>
      <c r="AD37" s="43">
        <f t="shared" si="8"/>
        <v>60767.2562333276</v>
      </c>
      <c r="AE37" s="43">
        <f t="shared" si="8"/>
        <v>62443.707022234805</v>
      </c>
      <c r="AF37" s="43">
        <f t="shared" si="8"/>
        <v>65460.601389624462</v>
      </c>
      <c r="AG37" s="43">
        <f t="shared" si="8"/>
        <v>68953.831159520094</v>
      </c>
      <c r="AH37" s="43">
        <f t="shared" si="8"/>
        <v>73454.641467593552</v>
      </c>
      <c r="AI37" s="43">
        <f t="shared" si="8"/>
        <v>79362.513263008907</v>
      </c>
      <c r="AJ37" s="43">
        <f t="shared" si="8"/>
        <v>86899.519402557999</v>
      </c>
      <c r="AK37" s="43">
        <f t="shared" si="8"/>
        <v>95568.312534970595</v>
      </c>
      <c r="AL37" s="43">
        <f t="shared" si="8"/>
        <v>105886.8841737609</v>
      </c>
      <c r="AM37" s="43">
        <f t="shared" si="8"/>
        <v>132169.88531624552</v>
      </c>
      <c r="AN37" s="43">
        <f t="shared" si="8"/>
        <v>119014.5135547782</v>
      </c>
      <c r="AO37" s="43">
        <f t="shared" si="8"/>
        <v>118576.76584385651</v>
      </c>
      <c r="AP37" s="43">
        <f t="shared" si="8"/>
        <v>115968.91593544315</v>
      </c>
      <c r="AQ37" s="43">
        <f t="shared" si="8"/>
        <v>113935.58045071228</v>
      </c>
      <c r="AR37" s="43">
        <f t="shared" si="8"/>
        <v>113154.83879610553</v>
      </c>
      <c r="AS37" s="43">
        <f t="shared" si="8"/>
        <v>113479.76888547439</v>
      </c>
      <c r="AT37" s="43">
        <f t="shared" si="8"/>
        <v>225109.20270231576</v>
      </c>
      <c r="AU37" s="43">
        <f t="shared" si="8"/>
        <v>230192.09819800602</v>
      </c>
      <c r="AV37" s="43">
        <f t="shared" si="8"/>
        <v>235292.13740311289</v>
      </c>
      <c r="AW37" s="43">
        <f t="shared" ref="AW37:BJ37" si="9">SUM(AW38:AW43)</f>
        <v>238947.05252010521</v>
      </c>
      <c r="AX37" s="43">
        <f t="shared" si="9"/>
        <v>255787.88217987877</v>
      </c>
      <c r="AY37" s="43">
        <f t="shared" si="9"/>
        <v>255522.17554870807</v>
      </c>
      <c r="AZ37" s="43">
        <f t="shared" si="9"/>
        <v>251884.37400838171</v>
      </c>
      <c r="BA37" s="43">
        <f t="shared" si="9"/>
        <v>248958.08466547698</v>
      </c>
      <c r="BB37" s="43">
        <f t="shared" si="9"/>
        <v>248045.55486436945</v>
      </c>
      <c r="BC37" s="43">
        <f t="shared" si="9"/>
        <v>250257.16042403033</v>
      </c>
      <c r="BD37" s="43">
        <f t="shared" si="9"/>
        <v>2883.7478702290005</v>
      </c>
      <c r="BE37" s="43">
        <f t="shared" si="9"/>
        <v>146152.7995453875</v>
      </c>
      <c r="BF37" s="43">
        <f t="shared" si="9"/>
        <v>128935.65378771734</v>
      </c>
      <c r="BG37" s="43">
        <f t="shared" si="9"/>
        <v>107292.02711615844</v>
      </c>
      <c r="BH37" s="43">
        <f t="shared" si="9"/>
        <v>80083.883438271238</v>
      </c>
      <c r="BI37" s="43">
        <f t="shared" si="9"/>
        <v>45880.600706115627</v>
      </c>
      <c r="BJ37" s="43">
        <f t="shared" si="9"/>
        <v>2.1827872842550278E-11</v>
      </c>
    </row>
    <row r="38" spans="1:62" x14ac:dyDescent="0.2">
      <c r="C38" s="47" t="s">
        <v>32</v>
      </c>
      <c r="K38" s="160" t="s">
        <v>62</v>
      </c>
      <c r="Q38" s="190"/>
      <c r="R38" s="737">
        <f>Inputs!$L$194</f>
        <v>20000</v>
      </c>
      <c r="S38" s="78">
        <f>+R38 - CF!S47</f>
        <v>20000</v>
      </c>
      <c r="T38" s="78">
        <f>+S38 - CF!T47</f>
        <v>12563.890311304778</v>
      </c>
      <c r="U38" s="78">
        <f>+T38 - CF!U47</f>
        <v>14756.141199515881</v>
      </c>
      <c r="V38" s="78">
        <f>+U38 - CF!V47</f>
        <v>15908.524110196922</v>
      </c>
      <c r="W38" s="78">
        <f>+V38 - CF!W47</f>
        <v>17074.213720211905</v>
      </c>
      <c r="X38" s="78">
        <f>+W38 - CF!X47</f>
        <v>18151.552804278828</v>
      </c>
      <c r="Y38" s="78">
        <f>+X38 - CF!Y47</f>
        <v>19030.349725480504</v>
      </c>
      <c r="Z38" s="78">
        <f>+Y38 - CF!Z47</f>
        <v>19591.208486375075</v>
      </c>
      <c r="AA38" s="78">
        <f>+Z38 - CF!AA47</f>
        <v>19704.80644033349</v>
      </c>
      <c r="AB38" s="78">
        <f>+AA38 - CF!AB47</f>
        <v>19894.631789310341</v>
      </c>
      <c r="AC38" s="78">
        <f>+AB38 - CF!AC47</f>
        <v>20267.553157169252</v>
      </c>
      <c r="AD38" s="78">
        <f>+AC38 - CF!AD47</f>
        <v>20939.041814714692</v>
      </c>
      <c r="AE38" s="78">
        <f>+AD38 - CF!AE47</f>
        <v>22033.820358395467</v>
      </c>
      <c r="AF38" s="78">
        <f>+AE38 - CF!AF47</f>
        <v>23686.56006561231</v>
      </c>
      <c r="AG38" s="78">
        <f>+AF38 - CF!AG47</f>
        <v>25488.550728063128</v>
      </c>
      <c r="AH38" s="78">
        <f>+AG38 - CF!AH47</f>
        <v>27486.998469936781</v>
      </c>
      <c r="AI38" s="78">
        <f>+AH38 - CF!AI47</f>
        <v>29735.932207806396</v>
      </c>
      <c r="AJ38" s="78">
        <f>+AI38 - CF!AJ47</f>
        <v>32297.014522554295</v>
      </c>
      <c r="AK38" s="78">
        <f>+AJ38 - CF!AK47</f>
        <v>35240.440612957937</v>
      </c>
      <c r="AL38" s="78">
        <f>+AK38 - CF!AL47</f>
        <v>38021.254210962274</v>
      </c>
      <c r="AM38" s="78">
        <f>+AL38 - CF!AM47</f>
        <v>40087.451320097607</v>
      </c>
      <c r="AN38" s="78">
        <f>+AM38 - CF!AN47</f>
        <v>40883.227741441588</v>
      </c>
      <c r="AO38" s="78">
        <f>+AN38 - CF!AO47</f>
        <v>39844.606313149081</v>
      </c>
      <c r="AP38" s="78">
        <f>+AO38 - CF!AP47</f>
        <v>36395.014225641971</v>
      </c>
      <c r="AQ38" s="78">
        <f>+AP38 - CF!AQ47</f>
        <v>33592.811347877549</v>
      </c>
      <c r="AR38" s="78">
        <f>+AQ38 - CF!AR47</f>
        <v>31895.627257733944</v>
      </c>
      <c r="AS38" s="78">
        <f>+AR38 - CF!AS47</f>
        <v>31793.198712632835</v>
      </c>
      <c r="AT38" s="78">
        <f>+AS38 - CF!AT47</f>
        <v>33814.605467792782</v>
      </c>
      <c r="AU38" s="78">
        <f>+AT38 - CF!AU47</f>
        <v>38536.27815554609</v>
      </c>
      <c r="AV38" s="78">
        <f>+AU38 - CF!AV47</f>
        <v>43294.036563673508</v>
      </c>
      <c r="AW38" s="78">
        <f>+AV38 - CF!AW47</f>
        <v>47305.995724505468</v>
      </c>
      <c r="AX38" s="78">
        <f>+AW38 - CF!AX47</f>
        <v>49736.697686133921</v>
      </c>
      <c r="AY38" s="78">
        <f>+AX38 - CF!AY47</f>
        <v>49685.701801538125</v>
      </c>
      <c r="AZ38" s="78">
        <f>+AY38 - CF!AZ47</f>
        <v>46174.85946658122</v>
      </c>
      <c r="BA38" s="78">
        <f>+AZ38 - CF!BA47</f>
        <v>43585.441150537576</v>
      </c>
      <c r="BB38" s="78">
        <f>+BA38 - CF!BB47</f>
        <v>42923.245497392287</v>
      </c>
      <c r="BC38" s="78">
        <f>+BB38 - CF!BC47</f>
        <v>45398.327747783354</v>
      </c>
      <c r="BD38" s="78">
        <f>+BC38 - CF!BD47</f>
        <v>0</v>
      </c>
      <c r="BE38" s="78">
        <f>+BD38 - CF!BE47</f>
        <v>0</v>
      </c>
      <c r="BF38" s="78">
        <f>+BE38 - CF!BF47</f>
        <v>0</v>
      </c>
      <c r="BG38" s="78">
        <f>+BF38 - CF!BG47</f>
        <v>0</v>
      </c>
      <c r="BH38" s="78">
        <f>+BG38 - CF!BH47</f>
        <v>0</v>
      </c>
      <c r="BI38" s="78">
        <f>+BH38 - CF!BI47</f>
        <v>0</v>
      </c>
      <c r="BJ38" s="78">
        <f>+BI38 - CF!BJ47</f>
        <v>0</v>
      </c>
    </row>
    <row r="39" spans="1:62" x14ac:dyDescent="0.2">
      <c r="C39" s="47" t="s">
        <v>42</v>
      </c>
      <c r="K39" s="160" t="s">
        <v>62</v>
      </c>
      <c r="Q39" s="190"/>
      <c r="R39" s="737">
        <f>Inputs!$L$195</f>
        <v>40000</v>
      </c>
      <c r="S39" s="78">
        <f>+R39 - CF!S48</f>
        <v>40000</v>
      </c>
      <c r="T39" s="78">
        <f>+S39 - CF!T48</f>
        <v>26879.103090938956</v>
      </c>
      <c r="U39" s="78">
        <f>+T39 - CF!U48</f>
        <v>30002.865623482852</v>
      </c>
      <c r="V39" s="78">
        <f>+U39 - CF!V48</f>
        <v>31746.605478152331</v>
      </c>
      <c r="W39" s="78">
        <f>+V39 - CF!W48</f>
        <v>32030.484547014006</v>
      </c>
      <c r="X39" s="78">
        <f>+W39 - CF!X48</f>
        <v>32428.840003345693</v>
      </c>
      <c r="Y39" s="78">
        <f>+X39 - CF!Y48</f>
        <v>32962.846902482386</v>
      </c>
      <c r="Z39" s="78">
        <f>+Y39 - CF!Z48</f>
        <v>34016.177323830176</v>
      </c>
      <c r="AA39" s="78">
        <f>+Z39 - CF!AA48</f>
        <v>35045.816012695825</v>
      </c>
      <c r="AB39" s="78">
        <f>+AA39 - CF!AB48</f>
        <v>35944.544872108192</v>
      </c>
      <c r="AC39" s="78">
        <f>+AB39 - CF!AC48</f>
        <v>36496.686917501516</v>
      </c>
      <c r="AD39" s="78">
        <f>+AC39 - CF!AD48</f>
        <v>36944.466548383905</v>
      </c>
      <c r="AE39" s="78">
        <f>+AD39 - CF!AE48</f>
        <v>37526.138793610335</v>
      </c>
      <c r="AF39" s="78">
        <f>+AE39 - CF!AF48</f>
        <v>38890.293453783153</v>
      </c>
      <c r="AG39" s="78">
        <f>+AF39 - CF!AG48</f>
        <v>40581.532561227978</v>
      </c>
      <c r="AH39" s="78">
        <f>+AG39 - CF!AH48</f>
        <v>43083.895127427772</v>
      </c>
      <c r="AI39" s="78">
        <f>+AH39 - CF!AI48</f>
        <v>46742.833184973511</v>
      </c>
      <c r="AJ39" s="78">
        <f>+AI39 - CF!AJ48</f>
        <v>51718.757009774708</v>
      </c>
      <c r="AK39" s="78">
        <f>+AJ39 - CF!AK48</f>
        <v>57444.124051783656</v>
      </c>
      <c r="AL39" s="78">
        <f>+AK39 - CF!AL48</f>
        <v>64981.882092569635</v>
      </c>
      <c r="AM39" s="78">
        <f>+AL39 - CF!AM48</f>
        <v>89198.686125918917</v>
      </c>
      <c r="AN39" s="78">
        <f>+AM39 - CF!AN48</f>
        <v>75247.537943107614</v>
      </c>
      <c r="AO39" s="78">
        <f>+AN39 - CF!AO48</f>
        <v>75848.411660478436</v>
      </c>
      <c r="AP39" s="78">
        <f>+AO39 - CF!AP48</f>
        <v>76690.153839572173</v>
      </c>
      <c r="AQ39" s="78">
        <f>+AP39 - CF!AQ48</f>
        <v>77459.021232605737</v>
      </c>
      <c r="AR39" s="78">
        <f>+AQ39 - CF!AR48</f>
        <v>78375.463668142591</v>
      </c>
      <c r="AS39" s="78">
        <f>+AR39 - CF!AS48</f>
        <v>78802.822302612563</v>
      </c>
      <c r="AT39" s="78">
        <f>+AS39 - CF!AT48</f>
        <v>188410.84936429397</v>
      </c>
      <c r="AU39" s="78">
        <f>+AT39 - CF!AU48</f>
        <v>188772.07217223092</v>
      </c>
      <c r="AV39" s="78">
        <f>+AU39 - CF!AV48</f>
        <v>189114.35296921036</v>
      </c>
      <c r="AW39" s="78">
        <f>+AV39 - CF!AW48</f>
        <v>188757.30892537074</v>
      </c>
      <c r="AX39" s="78">
        <f>+AW39 - CF!AX48</f>
        <v>203167.43662351585</v>
      </c>
      <c r="AY39" s="78">
        <f>+AX39 - CF!AY48</f>
        <v>202952.72587694094</v>
      </c>
      <c r="AZ39" s="78">
        <f>+AY39 - CF!AZ48</f>
        <v>202825.76667157147</v>
      </c>
      <c r="BA39" s="78">
        <f>+AZ39 - CF!BA48</f>
        <v>202488.8956447104</v>
      </c>
      <c r="BB39" s="78">
        <f>+BA39 - CF!BB48</f>
        <v>202238.56149674815</v>
      </c>
      <c r="BC39" s="78">
        <f>+BB39 - CF!BC48</f>
        <v>201975.08480601796</v>
      </c>
      <c r="BD39" s="78">
        <f>+BC39 - CF!BD48</f>
        <v>0</v>
      </c>
      <c r="BE39" s="78">
        <f>+BD39 - CF!BE48</f>
        <v>0</v>
      </c>
      <c r="BF39" s="78">
        <f>+BE39 - CF!BF48</f>
        <v>0</v>
      </c>
      <c r="BG39" s="78">
        <f>+BF39 - CF!BG48</f>
        <v>0</v>
      </c>
      <c r="BH39" s="78">
        <f>+BG39 - CF!BH48</f>
        <v>0</v>
      </c>
      <c r="BI39" s="78">
        <f>+BH39 - CF!BI48</f>
        <v>0</v>
      </c>
      <c r="BJ39" s="78">
        <f>+BI39 - CF!BJ48</f>
        <v>0</v>
      </c>
    </row>
    <row r="40" spans="1:62" x14ac:dyDescent="0.2">
      <c r="C40" s="101" t="s">
        <v>311</v>
      </c>
      <c r="K40" s="160" t="s">
        <v>62</v>
      </c>
      <c r="Q40" s="190"/>
      <c r="R40" s="737">
        <f>Inputs!$L$196</f>
        <v>2883.7478702290005</v>
      </c>
      <c r="S40" s="78">
        <f>+R40 - CF!S33</f>
        <v>2883.7478702290005</v>
      </c>
      <c r="T40" s="78">
        <f>+S40 - CF!T33</f>
        <v>2883.7478702290005</v>
      </c>
      <c r="U40" s="78">
        <f>+T40 - CF!U33</f>
        <v>2883.7478702290005</v>
      </c>
      <c r="V40" s="78">
        <f>+U40 - CF!V33</f>
        <v>2883.7478702290005</v>
      </c>
      <c r="W40" s="78">
        <f>+V40 - CF!W33</f>
        <v>2883.7478702290005</v>
      </c>
      <c r="X40" s="78">
        <f>+W40 - CF!X33</f>
        <v>2883.7478702290005</v>
      </c>
      <c r="Y40" s="78">
        <f>+X40 - CF!Y33</f>
        <v>2883.7478702290005</v>
      </c>
      <c r="Z40" s="78">
        <f>+Y40 - CF!Z33</f>
        <v>2883.7478702290005</v>
      </c>
      <c r="AA40" s="78">
        <f>+Z40 - CF!AA33</f>
        <v>2883.7478702290005</v>
      </c>
      <c r="AB40" s="78">
        <f>+AA40 - CF!AB33</f>
        <v>2883.7478702290005</v>
      </c>
      <c r="AC40" s="78">
        <f>+AB40 - CF!AC33</f>
        <v>2883.7478702290005</v>
      </c>
      <c r="AD40" s="78">
        <f>+AC40 - CF!AD33</f>
        <v>2883.7478702290005</v>
      </c>
      <c r="AE40" s="78">
        <f>+AD40 - CF!AE33</f>
        <v>2883.7478702290005</v>
      </c>
      <c r="AF40" s="78">
        <f>+AE40 - CF!AF33</f>
        <v>2883.7478702290005</v>
      </c>
      <c r="AG40" s="78">
        <f>+AF40 - CF!AG33</f>
        <v>2883.7478702290005</v>
      </c>
      <c r="AH40" s="78">
        <f>+AG40 - CF!AH33</f>
        <v>2883.7478702290005</v>
      </c>
      <c r="AI40" s="78">
        <f>+AH40 - CF!AI33</f>
        <v>2883.7478702290005</v>
      </c>
      <c r="AJ40" s="78">
        <f>+AI40 - CF!AJ33</f>
        <v>2883.7478702290005</v>
      </c>
      <c r="AK40" s="78">
        <f>+AJ40 - CF!AK33</f>
        <v>2883.7478702290005</v>
      </c>
      <c r="AL40" s="78">
        <f>+AK40 - CF!AL33</f>
        <v>2883.7478702290005</v>
      </c>
      <c r="AM40" s="78">
        <f>+AL40 - CF!AM33</f>
        <v>2883.7478702290005</v>
      </c>
      <c r="AN40" s="78">
        <f>+AM40 - CF!AN33</f>
        <v>2883.7478702290005</v>
      </c>
      <c r="AO40" s="78">
        <f>+AN40 - CF!AO33</f>
        <v>2883.7478702290005</v>
      </c>
      <c r="AP40" s="78">
        <f>+AO40 - CF!AP33</f>
        <v>2883.7478702290005</v>
      </c>
      <c r="AQ40" s="78">
        <f>+AP40 - CF!AQ33</f>
        <v>2883.7478702290005</v>
      </c>
      <c r="AR40" s="78">
        <f>+AQ40 - CF!AR33</f>
        <v>2883.7478702290005</v>
      </c>
      <c r="AS40" s="78">
        <f>+AR40 - CF!AS33</f>
        <v>2883.7478702290005</v>
      </c>
      <c r="AT40" s="78">
        <f>+AS40 - CF!AT33</f>
        <v>2883.7478702290005</v>
      </c>
      <c r="AU40" s="78">
        <f>+AT40 - CF!AU33</f>
        <v>2883.7478702290005</v>
      </c>
      <c r="AV40" s="78">
        <f>+AU40 - CF!AV33</f>
        <v>2883.7478702290005</v>
      </c>
      <c r="AW40" s="78">
        <f>+AV40 - CF!AW33</f>
        <v>2883.7478702290005</v>
      </c>
      <c r="AX40" s="78">
        <f>+AW40 - CF!AX33</f>
        <v>2883.7478702290005</v>
      </c>
      <c r="AY40" s="78">
        <f>+AX40 - CF!AY33</f>
        <v>2883.7478702290005</v>
      </c>
      <c r="AZ40" s="78">
        <f>+AY40 - CF!AZ33</f>
        <v>2883.7478702290005</v>
      </c>
      <c r="BA40" s="78">
        <f>+AZ40 - CF!BA33</f>
        <v>2883.7478702290005</v>
      </c>
      <c r="BB40" s="78">
        <f>+BA40 - CF!BB33</f>
        <v>2883.7478702290005</v>
      </c>
      <c r="BC40" s="78">
        <f>+BB40 - CF!BC33</f>
        <v>2883.7478702290005</v>
      </c>
      <c r="BD40" s="78">
        <f>+BC40 - CF!BD33</f>
        <v>2883.7478702290005</v>
      </c>
      <c r="BE40" s="78">
        <f>+BD40 - CF!BE33</f>
        <v>2883.7478702290005</v>
      </c>
      <c r="BF40" s="78">
        <f>+BE40 - CF!BF33</f>
        <v>2883.7478702290005</v>
      </c>
      <c r="BG40" s="78">
        <f>+BF40 - CF!BG33</f>
        <v>2883.7478702290005</v>
      </c>
      <c r="BH40" s="78">
        <f>+BG40 - CF!BH33</f>
        <v>2883.7478702290005</v>
      </c>
      <c r="BI40" s="78">
        <f>+BH40 - CF!BI33</f>
        <v>2883.7478702290005</v>
      </c>
      <c r="BJ40" s="78">
        <f>+BI40 - CF!BJ33</f>
        <v>0</v>
      </c>
    </row>
    <row r="41" spans="1:62" x14ac:dyDescent="0.2">
      <c r="C41" s="101" t="s">
        <v>315</v>
      </c>
      <c r="K41" s="160" t="s">
        <v>62</v>
      </c>
      <c r="Q41" s="191"/>
      <c r="R41" s="739">
        <f>Inputs!$L$197</f>
        <v>0</v>
      </c>
      <c r="S41" s="85">
        <f>+(R41 - CF!S29) * CF!S12</f>
        <v>0</v>
      </c>
      <c r="T41" s="85">
        <f>+(S41 - CF!T29) * CF!T12</f>
        <v>0</v>
      </c>
      <c r="U41" s="85">
        <f>+(T41 - CF!U29) * CF!U12</f>
        <v>0</v>
      </c>
      <c r="V41" s="85">
        <f>+(U41 - CF!V29) * CF!V12</f>
        <v>0</v>
      </c>
      <c r="W41" s="85">
        <f>+(V41 - CF!W29) * CF!W12</f>
        <v>0</v>
      </c>
      <c r="X41" s="85">
        <f>+(W41 - CF!X29) * CF!X12</f>
        <v>0</v>
      </c>
      <c r="Y41" s="85">
        <f>+(X41 - CF!Y29) * CF!Y12</f>
        <v>0</v>
      </c>
      <c r="Z41" s="85">
        <f>+(Y41 - CF!Z29) * CF!Z12</f>
        <v>0</v>
      </c>
      <c r="AA41" s="85">
        <f>+(Z41 - CF!AA29) * CF!AA12</f>
        <v>0</v>
      </c>
      <c r="AB41" s="85">
        <f>+(AA41 - CF!AB29) * CF!AB12</f>
        <v>0</v>
      </c>
      <c r="AC41" s="85">
        <f>+(AB41 - CF!AC29) * CF!AC12</f>
        <v>0</v>
      </c>
      <c r="AD41" s="85">
        <f>+(AC41 - CF!AD29) * CF!AD12</f>
        <v>0</v>
      </c>
      <c r="AE41" s="85">
        <f>+(AD41 - CF!AE29) * CF!AE12</f>
        <v>0</v>
      </c>
      <c r="AF41" s="85">
        <f>+(AE41 - CF!AF29) * CF!AF12</f>
        <v>0</v>
      </c>
      <c r="AG41" s="85">
        <f>+(AF41 - CF!AG29) * CF!AG12</f>
        <v>0</v>
      </c>
      <c r="AH41" s="85">
        <f>+(AG41 - CF!AH29) * CF!AH12</f>
        <v>0</v>
      </c>
      <c r="AI41" s="85">
        <f>+(AH41 - CF!AI29) * CF!AI12</f>
        <v>0</v>
      </c>
      <c r="AJ41" s="85">
        <f>+(AI41 - CF!AJ29) * CF!AJ12</f>
        <v>0</v>
      </c>
      <c r="AK41" s="85">
        <f>+(AJ41 - CF!AK29) * CF!AK12</f>
        <v>0</v>
      </c>
      <c r="AL41" s="85">
        <f>+(AK41 - CF!AL29) * CF!AL12</f>
        <v>0</v>
      </c>
      <c r="AM41" s="85">
        <f>+(AL41 - CF!AM29) * CF!AM12</f>
        <v>0</v>
      </c>
      <c r="AN41" s="85">
        <f>+(AM41 - CF!AN29) * CF!AN12</f>
        <v>0</v>
      </c>
      <c r="AO41" s="85">
        <f>+(AN41 - CF!AO29) * CF!AO12</f>
        <v>0</v>
      </c>
      <c r="AP41" s="85">
        <f>+(AO41 - CF!AP29) * CF!AP12</f>
        <v>0</v>
      </c>
      <c r="AQ41" s="85">
        <f>+(AP41 - CF!AQ29) * CF!AQ12</f>
        <v>0</v>
      </c>
      <c r="AR41" s="85">
        <f>+(AQ41 - CF!AR29) * CF!AR12</f>
        <v>0</v>
      </c>
      <c r="AS41" s="85">
        <f>+(AR41 - CF!AS29) * CF!AS12</f>
        <v>0</v>
      </c>
      <c r="AT41" s="85">
        <f>+(AS41 - CF!AT29) * CF!AT12</f>
        <v>0</v>
      </c>
      <c r="AU41" s="85">
        <f>+(AT41 - CF!AU29) * CF!AU12</f>
        <v>0</v>
      </c>
      <c r="AV41" s="85">
        <f>+(AU41 - CF!AV29) * CF!AV12</f>
        <v>0</v>
      </c>
      <c r="AW41" s="85">
        <f>+(AV41 - CF!AW29) * CF!AW12</f>
        <v>0</v>
      </c>
      <c r="AX41" s="85">
        <f>+(AW41 - CF!AX29) * CF!AX12</f>
        <v>0</v>
      </c>
      <c r="AY41" s="85">
        <f>+(AX41 - CF!AY29) * CF!AY12</f>
        <v>0</v>
      </c>
      <c r="AZ41" s="85">
        <f>+(AY41 - CF!AZ29) * CF!AZ12</f>
        <v>0</v>
      </c>
      <c r="BA41" s="85">
        <f>+(AZ41 - CF!BA29) * CF!BA12</f>
        <v>0</v>
      </c>
      <c r="BB41" s="85">
        <f>+(BA41 - CF!BB29) * CF!BB12</f>
        <v>0</v>
      </c>
      <c r="BC41" s="85">
        <f>+(BB41 - CF!BC29) * CF!BC12</f>
        <v>0</v>
      </c>
      <c r="BD41" s="85">
        <f>+(BC41 - CF!BD29) * CF!BD12</f>
        <v>0</v>
      </c>
      <c r="BE41" s="85">
        <f>+(BD41 - CF!BE29) * CF!BE12</f>
        <v>143269.05167515849</v>
      </c>
      <c r="BF41" s="85">
        <f>+(BE41 - CF!BF29) * CF!BF12</f>
        <v>126051.90591748834</v>
      </c>
      <c r="BG41" s="85">
        <f>+(BF41 - CF!BG29) * CF!BG12</f>
        <v>104408.27924592944</v>
      </c>
      <c r="BH41" s="85">
        <f>+(BG41 - CF!BH29) * CF!BH12</f>
        <v>77200.135568042242</v>
      </c>
      <c r="BI41" s="85">
        <f>+(BH41 - CF!BI29) * CF!BI12</f>
        <v>42996.852835886624</v>
      </c>
      <c r="BJ41" s="85">
        <f>+(BI41 - CF!BJ29) * CF!BJ12</f>
        <v>2.1827872842550278E-11</v>
      </c>
    </row>
    <row r="42" spans="1:62" x14ac:dyDescent="0.2">
      <c r="C42" s="47" t="s">
        <v>74</v>
      </c>
      <c r="K42" s="160" t="s">
        <v>62</v>
      </c>
      <c r="O42" s="78"/>
      <c r="P42" s="78"/>
      <c r="Q42" s="190"/>
      <c r="R42" s="737">
        <f>Inputs!$L$198</f>
        <v>92381.343480000025</v>
      </c>
      <c r="S42" s="78">
        <f>+R42 - CF!S49</f>
        <v>145303.99870894785</v>
      </c>
      <c r="T42" s="78">
        <f>+S42 - CF!T49</f>
        <v>0</v>
      </c>
      <c r="U42" s="78">
        <f>+T42 - CF!U49</f>
        <v>0</v>
      </c>
      <c r="V42" s="78">
        <f>+U42 - CF!V49</f>
        <v>0</v>
      </c>
      <c r="W42" s="78">
        <f>+V42 - CF!W49</f>
        <v>0</v>
      </c>
      <c r="X42" s="78">
        <f>+W42 - CF!X49</f>
        <v>0</v>
      </c>
      <c r="Y42" s="78">
        <f>+X42 - CF!Y49</f>
        <v>0</v>
      </c>
      <c r="Z42" s="78">
        <f>+Y42 - CF!Z49</f>
        <v>0</v>
      </c>
      <c r="AA42" s="78">
        <f>+Z42 - CF!AA49</f>
        <v>0</v>
      </c>
      <c r="AB42" s="78">
        <f>+AA42 - CF!AB49</f>
        <v>0</v>
      </c>
      <c r="AC42" s="78">
        <f>+AB42 - CF!AC49</f>
        <v>0</v>
      </c>
      <c r="AD42" s="78">
        <f>+AC42 - CF!AD49</f>
        <v>0</v>
      </c>
      <c r="AE42" s="78">
        <f>+AD42 - CF!AE49</f>
        <v>0</v>
      </c>
      <c r="AF42" s="78">
        <f>+AE42 - CF!AF49</f>
        <v>0</v>
      </c>
      <c r="AG42" s="78">
        <f>+AF42 - CF!AG49</f>
        <v>0</v>
      </c>
      <c r="AH42" s="78">
        <f>+AG42 - CF!AH49</f>
        <v>0</v>
      </c>
      <c r="AI42" s="78">
        <f>+AH42 - CF!AI49</f>
        <v>0</v>
      </c>
      <c r="AJ42" s="78">
        <f>+AI42 - CF!AJ49</f>
        <v>0</v>
      </c>
      <c r="AK42" s="78">
        <f>+AJ42 - CF!AK49</f>
        <v>0</v>
      </c>
      <c r="AL42" s="78">
        <f>+AK42 - CF!AL49</f>
        <v>0</v>
      </c>
      <c r="AM42" s="78">
        <f>+AL42 - CF!AM49</f>
        <v>0</v>
      </c>
      <c r="AN42" s="78">
        <f>+AM42 - CF!AN49</f>
        <v>0</v>
      </c>
      <c r="AO42" s="78">
        <f>+AN42 - CF!AO49</f>
        <v>0</v>
      </c>
      <c r="AP42" s="78">
        <f>+AO42 - CF!AP49</f>
        <v>0</v>
      </c>
      <c r="AQ42" s="78">
        <f>+AP42 - CF!AQ49</f>
        <v>0</v>
      </c>
      <c r="AR42" s="78">
        <f>+AQ42 - CF!AR49</f>
        <v>0</v>
      </c>
      <c r="AS42" s="78">
        <f>+AR42 - CF!AS49</f>
        <v>0</v>
      </c>
      <c r="AT42" s="78">
        <f>+AS42 - CF!AT49</f>
        <v>0</v>
      </c>
      <c r="AU42" s="78">
        <f>+AT42 - CF!AU49</f>
        <v>0</v>
      </c>
      <c r="AV42" s="78">
        <f>+AU42 - CF!AV49</f>
        <v>0</v>
      </c>
      <c r="AW42" s="78">
        <f>+AV42 - CF!AW49</f>
        <v>0</v>
      </c>
      <c r="AX42" s="78">
        <f>+AW42 - CF!AX49</f>
        <v>0</v>
      </c>
      <c r="AY42" s="78">
        <f>+AX42 - CF!AY49</f>
        <v>0</v>
      </c>
      <c r="AZ42" s="78">
        <f>+AY42 - CF!AZ49</f>
        <v>0</v>
      </c>
      <c r="BA42" s="78">
        <f>+AZ42 - CF!BA49</f>
        <v>0</v>
      </c>
      <c r="BB42" s="78">
        <f>+BA42 - CF!BB49</f>
        <v>0</v>
      </c>
      <c r="BC42" s="78">
        <f>+BB42 - CF!BC49</f>
        <v>0</v>
      </c>
      <c r="BD42" s="78">
        <f>+BC42 - CF!BD49</f>
        <v>0</v>
      </c>
      <c r="BE42" s="78">
        <f>+BD42 - CF!BE49</f>
        <v>0</v>
      </c>
      <c r="BF42" s="78">
        <f>+BE42 - CF!BF49</f>
        <v>0</v>
      </c>
      <c r="BG42" s="78">
        <f>+BF42 - CF!BG49</f>
        <v>0</v>
      </c>
      <c r="BH42" s="78">
        <f>+BG42 - CF!BH49</f>
        <v>0</v>
      </c>
      <c r="BI42" s="78">
        <f>+BH42 - CF!BI49</f>
        <v>0</v>
      </c>
      <c r="BJ42" s="78">
        <f>+BI42 - CF!BJ49</f>
        <v>0</v>
      </c>
    </row>
    <row r="43" spans="1:62" x14ac:dyDescent="0.2">
      <c r="C43" s="47" t="s">
        <v>90</v>
      </c>
      <c r="K43" s="160" t="s">
        <v>62</v>
      </c>
      <c r="Q43" s="190"/>
      <c r="R43" s="737">
        <f>Inputs!$L$199</f>
        <v>0</v>
      </c>
      <c r="S43" s="78">
        <f>+CF!S54</f>
        <v>0</v>
      </c>
      <c r="T43" s="78">
        <f>+CF!T54</f>
        <v>0</v>
      </c>
      <c r="U43" s="78">
        <f>+CF!U54</f>
        <v>0</v>
      </c>
      <c r="V43" s="78">
        <f>+CF!V54</f>
        <v>0</v>
      </c>
      <c r="W43" s="78">
        <f>+CF!W54</f>
        <v>0</v>
      </c>
      <c r="X43" s="78">
        <f>+CF!X54</f>
        <v>0</v>
      </c>
      <c r="Y43" s="78">
        <f>+CF!Y54</f>
        <v>0</v>
      </c>
      <c r="Z43" s="78">
        <f>+CF!Z54</f>
        <v>0</v>
      </c>
      <c r="AA43" s="78">
        <f>+CF!AA54</f>
        <v>0</v>
      </c>
      <c r="AB43" s="78">
        <f>+CF!AB54</f>
        <v>0</v>
      </c>
      <c r="AC43" s="78">
        <f>+CF!AC54</f>
        <v>0</v>
      </c>
      <c r="AD43" s="78">
        <f>+CF!AD54</f>
        <v>0</v>
      </c>
      <c r="AE43" s="78">
        <f>+CF!AE54</f>
        <v>0</v>
      </c>
      <c r="AF43" s="78">
        <f>+CF!AF54</f>
        <v>0</v>
      </c>
      <c r="AG43" s="78">
        <f>+CF!AG54</f>
        <v>0</v>
      </c>
      <c r="AH43" s="78">
        <f>+CF!AH54</f>
        <v>0</v>
      </c>
      <c r="AI43" s="78">
        <f>+CF!AI54</f>
        <v>0</v>
      </c>
      <c r="AJ43" s="78">
        <f>+CF!AJ54</f>
        <v>0</v>
      </c>
      <c r="AK43" s="78">
        <f>+CF!AK54</f>
        <v>0</v>
      </c>
      <c r="AL43" s="78">
        <f>+CF!AL54</f>
        <v>0</v>
      </c>
      <c r="AM43" s="78">
        <f>+CF!AM54</f>
        <v>0</v>
      </c>
      <c r="AN43" s="78">
        <f>+CF!AN54</f>
        <v>0</v>
      </c>
      <c r="AO43" s="78">
        <f>+CF!AO54</f>
        <v>0</v>
      </c>
      <c r="AP43" s="78">
        <f>+CF!AP54</f>
        <v>0</v>
      </c>
      <c r="AQ43" s="78">
        <f>+CF!AQ54</f>
        <v>0</v>
      </c>
      <c r="AR43" s="78">
        <f>+CF!AR54</f>
        <v>0</v>
      </c>
      <c r="AS43" s="78">
        <f>+CF!AS54</f>
        <v>0</v>
      </c>
      <c r="AT43" s="78">
        <f>+CF!AT54</f>
        <v>0</v>
      </c>
      <c r="AU43" s="78">
        <f>+CF!AU54</f>
        <v>0</v>
      </c>
      <c r="AV43" s="78">
        <f>+CF!AV54</f>
        <v>0</v>
      </c>
      <c r="AW43" s="78">
        <f>+CF!AW54</f>
        <v>0</v>
      </c>
      <c r="AX43" s="78">
        <f>+CF!AX54</f>
        <v>0</v>
      </c>
      <c r="AY43" s="78">
        <f>+CF!AY54</f>
        <v>0</v>
      </c>
      <c r="AZ43" s="78">
        <f>+CF!AZ54</f>
        <v>0</v>
      </c>
      <c r="BA43" s="78">
        <f>+CF!BA54</f>
        <v>0</v>
      </c>
      <c r="BB43" s="78">
        <f>+CF!BB54</f>
        <v>0</v>
      </c>
      <c r="BC43" s="78">
        <f>+CF!BC54</f>
        <v>0</v>
      </c>
      <c r="BD43" s="78">
        <f>+CF!BD54</f>
        <v>0</v>
      </c>
      <c r="BE43" s="78">
        <f>+CF!BE54</f>
        <v>0</v>
      </c>
      <c r="BF43" s="78">
        <f>+CF!BF54</f>
        <v>0</v>
      </c>
      <c r="BG43" s="78">
        <f>+CF!BG54</f>
        <v>0</v>
      </c>
      <c r="BH43" s="78">
        <f>+CF!BH54</f>
        <v>0</v>
      </c>
      <c r="BI43" s="78">
        <f>+CF!BI54</f>
        <v>0</v>
      </c>
      <c r="BJ43" s="78">
        <f>+CF!BJ54</f>
        <v>0</v>
      </c>
    </row>
    <row r="44" spans="1:62" x14ac:dyDescent="0.2">
      <c r="C44" s="187"/>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row>
    <row r="45" spans="1:62" x14ac:dyDescent="0.2">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row>
    <row r="46" spans="1:62" x14ac:dyDescent="0.2">
      <c r="C46" s="42" t="s">
        <v>91</v>
      </c>
      <c r="D46" s="42"/>
      <c r="E46" s="42"/>
      <c r="F46" s="42"/>
      <c r="G46" s="42"/>
      <c r="H46" s="42"/>
      <c r="I46" s="42"/>
      <c r="J46" s="42"/>
      <c r="K46" s="624" t="s">
        <v>62</v>
      </c>
      <c r="L46" s="42"/>
      <c r="M46" s="42"/>
      <c r="N46" s="42"/>
      <c r="O46" s="42"/>
      <c r="P46" s="42"/>
      <c r="Q46" s="43"/>
      <c r="R46" s="43">
        <f t="shared" ref="R46:AO46" si="10">SUM(R47:R47)</f>
        <v>1310779.8207709049</v>
      </c>
      <c r="S46" s="43">
        <f t="shared" ca="1" si="10"/>
        <v>1219337.9289464247</v>
      </c>
      <c r="T46" s="43">
        <f t="shared" ca="1" si="10"/>
        <v>1128332.1485063117</v>
      </c>
      <c r="U46" s="43">
        <f t="shared" ca="1" si="10"/>
        <v>1038224.3448954107</v>
      </c>
      <c r="V46" s="43">
        <f t="shared" ca="1" si="10"/>
        <v>949429.31185064511</v>
      </c>
      <c r="W46" s="43">
        <f t="shared" ca="1" si="10"/>
        <v>860689.77010098496</v>
      </c>
      <c r="X46" s="43">
        <f t="shared" ca="1" si="10"/>
        <v>772010.05324688205</v>
      </c>
      <c r="Y46" s="43">
        <f t="shared" ca="1" si="10"/>
        <v>683394.83332192164</v>
      </c>
      <c r="Z46" s="43">
        <f t="shared" ca="1" si="10"/>
        <v>594849.14722280554</v>
      </c>
      <c r="AA46" s="43">
        <f t="shared" ca="1" si="10"/>
        <v>506378.42520338739</v>
      </c>
      <c r="AB46" s="43">
        <f t="shared" ca="1" si="10"/>
        <v>417477.26289234852</v>
      </c>
      <c r="AC46" s="43">
        <f t="shared" ca="1" si="10"/>
        <v>328143.16441831563</v>
      </c>
      <c r="AD46" s="43">
        <f t="shared" ca="1" si="10"/>
        <v>238373.61943781786</v>
      </c>
      <c r="AE46" s="43">
        <f t="shared" ca="1" si="10"/>
        <v>148166.10305137146</v>
      </c>
      <c r="AF46" s="43">
        <f t="shared" ca="1" si="10"/>
        <v>57518.075719078086</v>
      </c>
      <c r="AG46" s="43">
        <f t="shared" ca="1" si="10"/>
        <v>7825.0840659259266</v>
      </c>
      <c r="AH46" s="43">
        <f t="shared" ca="1" si="10"/>
        <v>10466.007918057461</v>
      </c>
      <c r="AI46" s="43">
        <f t="shared" ca="1" si="10"/>
        <v>13291.846452796432</v>
      </c>
      <c r="AJ46" s="43">
        <f t="shared" ca="1" si="10"/>
        <v>16344.586870760437</v>
      </c>
      <c r="AK46" s="43">
        <f t="shared" ca="1" si="10"/>
        <v>19699.850464041407</v>
      </c>
      <c r="AL46" s="43">
        <f t="shared" ca="1" si="10"/>
        <v>23634.534981106266</v>
      </c>
      <c r="AM46" s="43">
        <f t="shared" ca="1" si="10"/>
        <v>28197.225217258278</v>
      </c>
      <c r="AN46" s="43">
        <f t="shared" ca="1" si="10"/>
        <v>33440.604128465115</v>
      </c>
      <c r="AO46" s="43">
        <f t="shared" ca="1" si="10"/>
        <v>39421.800576282876</v>
      </c>
      <c r="AP46" s="43">
        <f t="shared" ref="AP46:BJ46" ca="1" si="11">SUM(AP47:AP47)</f>
        <v>46202.766754303149</v>
      </c>
      <c r="AQ46" s="43">
        <f t="shared" ca="1" si="11"/>
        <v>50978.254094697615</v>
      </c>
      <c r="AR46" s="43">
        <f t="shared" ca="1" si="11"/>
        <v>53965.438707643276</v>
      </c>
      <c r="AS46" s="43">
        <f t="shared" ca="1" si="11"/>
        <v>55362.94695275616</v>
      </c>
      <c r="AT46" s="43">
        <f t="shared" ca="1" si="11"/>
        <v>55352.462869038245</v>
      </c>
      <c r="AU46" s="43">
        <f t="shared" ca="1" si="11"/>
        <v>54100.196448239527</v>
      </c>
      <c r="AV46" s="43">
        <f t="shared" ca="1" si="11"/>
        <v>54083.137154115371</v>
      </c>
      <c r="AW46" s="43">
        <f t="shared" ca="1" si="11"/>
        <v>55442.401369376727</v>
      </c>
      <c r="AX46" s="43">
        <f t="shared" ca="1" si="11"/>
        <v>58336.457798672462</v>
      </c>
      <c r="AY46" s="43">
        <f t="shared" ca="1" si="11"/>
        <v>62943.373997605013</v>
      </c>
      <c r="AZ46" s="43">
        <f t="shared" ca="1" si="11"/>
        <v>69463.363358682371</v>
      </c>
      <c r="BA46" s="43">
        <f t="shared" ca="1" si="11"/>
        <v>73966.867570685601</v>
      </c>
      <c r="BB46" s="43">
        <f t="shared" ca="1" si="11"/>
        <v>76709.097810870851</v>
      </c>
      <c r="BC46" s="43">
        <f t="shared" ca="1" si="11"/>
        <v>77937.505033416281</v>
      </c>
      <c r="BD46" s="43">
        <f t="shared" ca="1" si="11"/>
        <v>77893.26458012317</v>
      </c>
      <c r="BE46" s="43">
        <f t="shared" ca="1" si="11"/>
        <v>76812.741214653244</v>
      </c>
      <c r="BF46" s="43">
        <f t="shared" ca="1" si="11"/>
        <v>79417.905879037819</v>
      </c>
      <c r="BG46" s="43">
        <f t="shared" ca="1" si="11"/>
        <v>86286.010315208536</v>
      </c>
      <c r="BH46" s="43">
        <f t="shared" ca="1" si="11"/>
        <v>98174.777717193938</v>
      </c>
      <c r="BI46" s="43">
        <f t="shared" ca="1" si="11"/>
        <v>116066.02567540517</v>
      </c>
      <c r="BJ46" s="43">
        <f t="shared" ca="1" si="11"/>
        <v>0</v>
      </c>
    </row>
    <row r="47" spans="1:62" x14ac:dyDescent="0.2">
      <c r="C47" s="47" t="s">
        <v>92</v>
      </c>
      <c r="K47" s="160" t="s">
        <v>62</v>
      </c>
      <c r="Q47" s="190"/>
      <c r="R47" s="737">
        <f>Inputs!$L$203</f>
        <v>1310779.8207709049</v>
      </c>
      <c r="S47" s="78">
        <f ca="1">+Tax!S48 * CF!S12</f>
        <v>1219337.9289464247</v>
      </c>
      <c r="T47" s="78">
        <f ca="1">+Tax!T48 * CF!T12</f>
        <v>1128332.1485063117</v>
      </c>
      <c r="U47" s="78">
        <f ca="1">+Tax!U48 * CF!U12</f>
        <v>1038224.3448954107</v>
      </c>
      <c r="V47" s="78">
        <f ca="1">+Tax!V48 * CF!V12</f>
        <v>949429.31185064511</v>
      </c>
      <c r="W47" s="78">
        <f ca="1">+Tax!W48 * CF!W12</f>
        <v>860689.77010098496</v>
      </c>
      <c r="X47" s="78">
        <f ca="1">+Tax!X48 * CF!X12</f>
        <v>772010.05324688205</v>
      </c>
      <c r="Y47" s="78">
        <f ca="1">+Tax!Y48 * CF!Y12</f>
        <v>683394.83332192164</v>
      </c>
      <c r="Z47" s="78">
        <f ca="1">+Tax!Z48 * CF!Z12</f>
        <v>594849.14722280554</v>
      </c>
      <c r="AA47" s="78">
        <f ca="1">+Tax!AA48 * CF!AA12</f>
        <v>506378.42520338739</v>
      </c>
      <c r="AB47" s="78">
        <f ca="1">+Tax!AB48 * CF!AB12</f>
        <v>417477.26289234852</v>
      </c>
      <c r="AC47" s="78">
        <f ca="1">+Tax!AC48 * CF!AC12</f>
        <v>328143.16441831563</v>
      </c>
      <c r="AD47" s="78">
        <f ca="1">+Tax!AD48 * CF!AD12</f>
        <v>238373.61943781786</v>
      </c>
      <c r="AE47" s="78">
        <f ca="1">+Tax!AE48 * CF!AE12</f>
        <v>148166.10305137146</v>
      </c>
      <c r="AF47" s="78">
        <f ca="1">+Tax!AF48 * CF!AF12</f>
        <v>57518.075719078086</v>
      </c>
      <c r="AG47" s="78">
        <f ca="1">+Tax!AG48 * CF!AG12</f>
        <v>7825.0840659259266</v>
      </c>
      <c r="AH47" s="78">
        <f ca="1">+Tax!AH48 * CF!AH12</f>
        <v>10466.007918057461</v>
      </c>
      <c r="AI47" s="78">
        <f ca="1">+Tax!AI48 * CF!AI12</f>
        <v>13291.846452796432</v>
      </c>
      <c r="AJ47" s="78">
        <f ca="1">+Tax!AJ48 * CF!AJ12</f>
        <v>16344.586870760437</v>
      </c>
      <c r="AK47" s="78">
        <f ca="1">+Tax!AK48 * CF!AK12</f>
        <v>19699.850464041407</v>
      </c>
      <c r="AL47" s="78">
        <f ca="1">+Tax!AL48 * CF!AL12</f>
        <v>23634.534981106266</v>
      </c>
      <c r="AM47" s="78">
        <f ca="1">+Tax!AM48 * CF!AM12</f>
        <v>28197.225217258278</v>
      </c>
      <c r="AN47" s="78">
        <f ca="1">+Tax!AN48 * CF!AN12</f>
        <v>33440.604128465115</v>
      </c>
      <c r="AO47" s="78">
        <f ca="1">+Tax!AO48 * CF!AO12</f>
        <v>39421.800576282876</v>
      </c>
      <c r="AP47" s="78">
        <f ca="1">+Tax!AP48 * CF!AP12</f>
        <v>46202.766754303149</v>
      </c>
      <c r="AQ47" s="78">
        <f ca="1">+Tax!AQ48 * CF!AQ12</f>
        <v>50978.254094697615</v>
      </c>
      <c r="AR47" s="78">
        <f ca="1">+Tax!AR48 * CF!AR12</f>
        <v>53965.438707643276</v>
      </c>
      <c r="AS47" s="78">
        <f ca="1">+Tax!AS48 * CF!AS12</f>
        <v>55362.94695275616</v>
      </c>
      <c r="AT47" s="78">
        <f ca="1">+Tax!AT48 * CF!AT12</f>
        <v>55352.462869038245</v>
      </c>
      <c r="AU47" s="78">
        <f ca="1">+Tax!AU48 * CF!AU12</f>
        <v>54100.196448239527</v>
      </c>
      <c r="AV47" s="78">
        <f ca="1">+Tax!AV48 * CF!AV12</f>
        <v>54083.137154115371</v>
      </c>
      <c r="AW47" s="78">
        <f ca="1">+Tax!AW48 * CF!AW12</f>
        <v>55442.401369376727</v>
      </c>
      <c r="AX47" s="78">
        <f ca="1">+Tax!AX48 * CF!AX12</f>
        <v>58336.457798672462</v>
      </c>
      <c r="AY47" s="78">
        <f ca="1">+Tax!AY48 * CF!AY12</f>
        <v>62943.373997605013</v>
      </c>
      <c r="AZ47" s="78">
        <f ca="1">+Tax!AZ48 * CF!AZ12</f>
        <v>69463.363358682371</v>
      </c>
      <c r="BA47" s="78">
        <f ca="1">+Tax!BA48 * CF!BA12</f>
        <v>73966.867570685601</v>
      </c>
      <c r="BB47" s="78">
        <f ca="1">+Tax!BB48 * CF!BB12</f>
        <v>76709.097810870851</v>
      </c>
      <c r="BC47" s="78">
        <f ca="1">+Tax!BC48 * CF!BC12</f>
        <v>77937.505033416281</v>
      </c>
      <c r="BD47" s="78">
        <f ca="1">+Tax!BD48 * CF!BD12</f>
        <v>77893.26458012317</v>
      </c>
      <c r="BE47" s="78">
        <f ca="1">+Tax!BE48 * CF!BE12</f>
        <v>76812.741214653244</v>
      </c>
      <c r="BF47" s="78">
        <f ca="1">+Tax!BF48 * CF!BF12</f>
        <v>79417.905879037819</v>
      </c>
      <c r="BG47" s="78">
        <f ca="1">+Tax!BG48 * CF!BG12</f>
        <v>86286.010315208536</v>
      </c>
      <c r="BH47" s="78">
        <f ca="1">+Tax!BH48 * CF!BH12</f>
        <v>98174.777717193938</v>
      </c>
      <c r="BI47" s="78">
        <f ca="1">+Tax!BI48 * CF!BI12</f>
        <v>116066.02567540517</v>
      </c>
      <c r="BJ47" s="78">
        <f ca="1">+Tax!BJ48 * CF!BJ12</f>
        <v>0</v>
      </c>
    </row>
    <row r="48" spans="1:62" x14ac:dyDescent="0.2">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row>
    <row r="49" spans="3:62" x14ac:dyDescent="0.2">
      <c r="C49" s="45" t="s">
        <v>93</v>
      </c>
      <c r="D49" s="45"/>
      <c r="E49" s="45"/>
      <c r="F49" s="45"/>
      <c r="G49" s="45"/>
      <c r="H49" s="45"/>
      <c r="I49" s="45"/>
      <c r="J49" s="45"/>
      <c r="K49" s="618" t="s">
        <v>62</v>
      </c>
      <c r="L49" s="46"/>
      <c r="M49" s="46"/>
      <c r="N49" s="46"/>
      <c r="O49" s="45"/>
      <c r="P49" s="45"/>
      <c r="Q49" s="46"/>
      <c r="R49" s="724">
        <f t="shared" ref="R49:AV49" si="12">+R46+R37</f>
        <v>1466044.9121211339</v>
      </c>
      <c r="S49" s="724">
        <f t="shared" ca="1" si="12"/>
        <v>1427525.6755256015</v>
      </c>
      <c r="T49" s="724">
        <f t="shared" ca="1" si="12"/>
        <v>1170658.8897787845</v>
      </c>
      <c r="U49" s="724">
        <f t="shared" ca="1" si="12"/>
        <v>1085867.0995886384</v>
      </c>
      <c r="V49" s="724">
        <f t="shared" ca="1" si="12"/>
        <v>999968.18930922332</v>
      </c>
      <c r="W49" s="724">
        <f t="shared" ca="1" si="12"/>
        <v>912678.2162384399</v>
      </c>
      <c r="X49" s="724">
        <f t="shared" ca="1" si="12"/>
        <v>825474.19392473553</v>
      </c>
      <c r="Y49" s="724">
        <f t="shared" ca="1" si="12"/>
        <v>738271.77782011358</v>
      </c>
      <c r="Z49" s="724">
        <f t="shared" ca="1" si="12"/>
        <v>651340.28090323973</v>
      </c>
      <c r="AA49" s="724">
        <f t="shared" ca="1" si="12"/>
        <v>564012.79552664573</v>
      </c>
      <c r="AB49" s="724">
        <f t="shared" ca="1" si="12"/>
        <v>476200.18742399605</v>
      </c>
      <c r="AC49" s="724">
        <f t="shared" ca="1" si="12"/>
        <v>387791.1523632154</v>
      </c>
      <c r="AD49" s="724">
        <f t="shared" ca="1" si="12"/>
        <v>299140.87567114545</v>
      </c>
      <c r="AE49" s="724">
        <f t="shared" ca="1" si="12"/>
        <v>210609.81007360626</v>
      </c>
      <c r="AF49" s="724">
        <f t="shared" ca="1" si="12"/>
        <v>122978.67710870254</v>
      </c>
      <c r="AG49" s="724">
        <f t="shared" ca="1" si="12"/>
        <v>76778.91522544602</v>
      </c>
      <c r="AH49" s="724">
        <f t="shared" ca="1" si="12"/>
        <v>83920.649385651021</v>
      </c>
      <c r="AI49" s="724">
        <f t="shared" ca="1" si="12"/>
        <v>92654.359715805331</v>
      </c>
      <c r="AJ49" s="724">
        <f t="shared" ca="1" si="12"/>
        <v>103244.10627331844</v>
      </c>
      <c r="AK49" s="724">
        <f t="shared" ca="1" si="12"/>
        <v>115268.162999012</v>
      </c>
      <c r="AL49" s="724">
        <f t="shared" ca="1" si="12"/>
        <v>129521.41915486717</v>
      </c>
      <c r="AM49" s="724">
        <f t="shared" ca="1" si="12"/>
        <v>160367.11053350379</v>
      </c>
      <c r="AN49" s="724">
        <f t="shared" ca="1" si="12"/>
        <v>152455.1176832433</v>
      </c>
      <c r="AO49" s="724">
        <f t="shared" ca="1" si="12"/>
        <v>157998.5664201394</v>
      </c>
      <c r="AP49" s="724">
        <f t="shared" ca="1" si="12"/>
        <v>162171.68268974629</v>
      </c>
      <c r="AQ49" s="724">
        <f t="shared" ca="1" si="12"/>
        <v>164913.83454540989</v>
      </c>
      <c r="AR49" s="724">
        <f t="shared" ca="1" si="12"/>
        <v>167120.2775037488</v>
      </c>
      <c r="AS49" s="724">
        <f t="shared" ca="1" si="12"/>
        <v>168842.71583823056</v>
      </c>
      <c r="AT49" s="724">
        <f t="shared" ca="1" si="12"/>
        <v>280461.66557135398</v>
      </c>
      <c r="AU49" s="724">
        <f t="shared" ca="1" si="12"/>
        <v>284292.29464624554</v>
      </c>
      <c r="AV49" s="724">
        <f t="shared" ca="1" si="12"/>
        <v>289375.27455722826</v>
      </c>
      <c r="AW49" s="724">
        <f t="shared" ref="AW49:BJ49" ca="1" si="13">+AW46+AW37</f>
        <v>294389.45388948196</v>
      </c>
      <c r="AX49" s="724">
        <f t="shared" ca="1" si="13"/>
        <v>314124.33997855126</v>
      </c>
      <c r="AY49" s="724">
        <f t="shared" ca="1" si="13"/>
        <v>318465.54954631306</v>
      </c>
      <c r="AZ49" s="724">
        <f t="shared" ca="1" si="13"/>
        <v>321347.73736706411</v>
      </c>
      <c r="BA49" s="724">
        <f t="shared" ca="1" si="13"/>
        <v>322924.95223616262</v>
      </c>
      <c r="BB49" s="724">
        <f t="shared" ca="1" si="13"/>
        <v>324754.6526752403</v>
      </c>
      <c r="BC49" s="724">
        <f t="shared" ca="1" si="13"/>
        <v>328194.66545744659</v>
      </c>
      <c r="BD49" s="724">
        <f t="shared" ca="1" si="13"/>
        <v>80777.012450352166</v>
      </c>
      <c r="BE49" s="724">
        <f t="shared" ca="1" si="13"/>
        <v>222965.54076004075</v>
      </c>
      <c r="BF49" s="724">
        <f t="shared" ca="1" si="13"/>
        <v>208353.55966675514</v>
      </c>
      <c r="BG49" s="724">
        <f t="shared" ca="1" si="13"/>
        <v>193578.03743136697</v>
      </c>
      <c r="BH49" s="724">
        <f t="shared" ca="1" si="13"/>
        <v>178258.66115546518</v>
      </c>
      <c r="BI49" s="724">
        <f t="shared" ca="1" si="13"/>
        <v>161946.62638152079</v>
      </c>
      <c r="BJ49" s="724">
        <f t="shared" ca="1" si="13"/>
        <v>2.1827872842550278E-11</v>
      </c>
    </row>
    <row r="50" spans="3:62" x14ac:dyDescent="0.2">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row>
    <row r="51" spans="3:62" x14ac:dyDescent="0.2">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row>
    <row r="52" spans="3:62" x14ac:dyDescent="0.2">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row>
    <row r="53" spans="3:62" x14ac:dyDescent="0.2">
      <c r="C53" s="42" t="s">
        <v>94</v>
      </c>
      <c r="D53" s="42"/>
      <c r="E53" s="42"/>
      <c r="F53" s="42"/>
      <c r="G53" s="42"/>
      <c r="H53" s="42"/>
      <c r="I53" s="42"/>
      <c r="J53" s="42"/>
      <c r="K53" s="624" t="s">
        <v>62</v>
      </c>
      <c r="L53" s="42"/>
      <c r="M53" s="42"/>
      <c r="N53" s="42"/>
      <c r="O53" s="42"/>
      <c r="P53" s="42"/>
      <c r="Q53" s="43"/>
      <c r="R53" s="43">
        <f t="shared" ref="R53:AO53" si="14">SUM(R54:R55)</f>
        <v>272070.49901000003</v>
      </c>
      <c r="S53" s="43">
        <f t="shared" ca="1" si="14"/>
        <v>197258.0885706142</v>
      </c>
      <c r="T53" s="43">
        <f t="shared" ca="1" si="14"/>
        <v>-77805.874283786805</v>
      </c>
      <c r="U53" s="43">
        <f t="shared" ca="1" si="14"/>
        <v>-165919.0014998031</v>
      </c>
      <c r="V53" s="43">
        <f t="shared" ca="1" si="14"/>
        <v>-256673.44183961517</v>
      </c>
      <c r="W53" s="43">
        <f t="shared" ca="1" si="14"/>
        <v>-349198.13826992764</v>
      </c>
      <c r="X53" s="43">
        <f t="shared" ca="1" si="14"/>
        <v>-442045.69039602013</v>
      </c>
      <c r="Y53" s="43">
        <f t="shared" ca="1" si="14"/>
        <v>-535332.36856299872</v>
      </c>
      <c r="Z53" s="43">
        <f t="shared" ca="1" si="14"/>
        <v>-628823.27883889712</v>
      </c>
      <c r="AA53" s="43">
        <f t="shared" ca="1" si="14"/>
        <v>-723222.43587814877</v>
      </c>
      <c r="AB53" s="43">
        <f t="shared" ca="1" si="14"/>
        <v>-818147.72012934578</v>
      </c>
      <c r="AC53" s="43">
        <f t="shared" ca="1" si="14"/>
        <v>-913710.67358558299</v>
      </c>
      <c r="AD53" s="43">
        <f t="shared" ca="1" si="14"/>
        <v>-1009556.3500596748</v>
      </c>
      <c r="AE53" s="43">
        <f t="shared" ca="1" si="14"/>
        <v>-1105324.5373520888</v>
      </c>
      <c r="AF53" s="43">
        <f t="shared" ca="1" si="14"/>
        <v>-1200234.7558456787</v>
      </c>
      <c r="AG53" s="43">
        <f t="shared" ca="1" si="14"/>
        <v>-1254259.6017948613</v>
      </c>
      <c r="AH53" s="43">
        <f t="shared" ca="1" si="14"/>
        <v>-1255529.9051629279</v>
      </c>
      <c r="AI53" s="43">
        <f t="shared" ca="1" si="14"/>
        <v>-1255839.2127455375</v>
      </c>
      <c r="AJ53" s="43">
        <f t="shared" ca="1" si="14"/>
        <v>-1254970.7938325731</v>
      </c>
      <c r="AK53" s="43">
        <f t="shared" ca="1" si="14"/>
        <v>-1253397.2539679904</v>
      </c>
      <c r="AL53" s="43">
        <f t="shared" ca="1" si="14"/>
        <v>-1250546.9347170778</v>
      </c>
      <c r="AM53" s="43">
        <f t="shared" ca="1" si="14"/>
        <v>-1232143.4001988317</v>
      </c>
      <c r="AN53" s="43">
        <f t="shared" ca="1" si="14"/>
        <v>-1253631.4803877377</v>
      </c>
      <c r="AO53" s="43">
        <f t="shared" ca="1" si="14"/>
        <v>-1262901.3915445174</v>
      </c>
      <c r="AP53" s="43">
        <f t="shared" ref="AP53:BJ53" ca="1" si="15">SUM(AP54:AP55)</f>
        <v>-1274891.6680010986</v>
      </c>
      <c r="AQ53" s="43">
        <f t="shared" ca="1" si="15"/>
        <v>-1286913.5447715665</v>
      </c>
      <c r="AR53" s="43">
        <f t="shared" ca="1" si="15"/>
        <v>-1298192.9178770822</v>
      </c>
      <c r="AS53" s="43">
        <f t="shared" ca="1" si="15"/>
        <v>-1308788.7457498489</v>
      </c>
      <c r="AT53" s="43">
        <f t="shared" ca="1" si="15"/>
        <v>-1208421.5943234914</v>
      </c>
      <c r="AU53" s="43">
        <f t="shared" ca="1" si="15"/>
        <v>-1104376.2051070826</v>
      </c>
      <c r="AV53" s="43">
        <f t="shared" ca="1" si="15"/>
        <v>-991166.92763231113</v>
      </c>
      <c r="AW53" s="43">
        <f t="shared" ca="1" si="15"/>
        <v>-863754.07811745233</v>
      </c>
      <c r="AX53" s="43">
        <f t="shared" ca="1" si="15"/>
        <v>-715194.59166119108</v>
      </c>
      <c r="AY53" s="43">
        <f t="shared" ca="1" si="15"/>
        <v>-560474.6001231519</v>
      </c>
      <c r="AZ53" s="43">
        <f t="shared" ca="1" si="15"/>
        <v>-399318.74427868385</v>
      </c>
      <c r="BA53" s="43">
        <f t="shared" ca="1" si="15"/>
        <v>-231158.49381462327</v>
      </c>
      <c r="BB53" s="43">
        <f t="shared" ca="1" si="15"/>
        <v>-54000.148411847709</v>
      </c>
      <c r="BC53" s="43">
        <f t="shared" ca="1" si="15"/>
        <v>133973.26319465035</v>
      </c>
      <c r="BD53" s="43">
        <f t="shared" ca="1" si="15"/>
        <v>80777.012450122682</v>
      </c>
      <c r="BE53" s="43">
        <f t="shared" ca="1" si="15"/>
        <v>222965.54075981135</v>
      </c>
      <c r="BF53" s="43">
        <f t="shared" ca="1" si="15"/>
        <v>208353.55966652575</v>
      </c>
      <c r="BG53" s="43">
        <f t="shared" ca="1" si="15"/>
        <v>193578.03743113758</v>
      </c>
      <c r="BH53" s="43">
        <f t="shared" ca="1" si="15"/>
        <v>178258.6611552359</v>
      </c>
      <c r="BI53" s="43">
        <f t="shared" ca="1" si="15"/>
        <v>161946.62638129148</v>
      </c>
      <c r="BJ53" s="43">
        <f t="shared" ca="1" si="15"/>
        <v>-2.2927997633814812E-7</v>
      </c>
    </row>
    <row r="54" spans="3:62" x14ac:dyDescent="0.2">
      <c r="C54" s="47" t="s">
        <v>95</v>
      </c>
      <c r="K54" s="160" t="s">
        <v>62</v>
      </c>
      <c r="Q54" s="190"/>
      <c r="R54" s="737">
        <f>Inputs!$L$210</f>
        <v>426255.96098999999</v>
      </c>
      <c r="S54" s="78">
        <f>+R54 * CF!S12</f>
        <v>426255.96098999999</v>
      </c>
      <c r="T54" s="78">
        <f>+S54 * CF!T12</f>
        <v>426255.96098999999</v>
      </c>
      <c r="U54" s="78">
        <f>+T54 * CF!U12</f>
        <v>426255.96098999999</v>
      </c>
      <c r="V54" s="78">
        <f>+U54 * CF!V12</f>
        <v>426255.96098999999</v>
      </c>
      <c r="W54" s="78">
        <f>+V54 * CF!W12</f>
        <v>426255.96098999999</v>
      </c>
      <c r="X54" s="78">
        <f>+W54 * CF!X12</f>
        <v>426255.96098999999</v>
      </c>
      <c r="Y54" s="78">
        <f>+X54 * CF!Y12</f>
        <v>426255.96098999999</v>
      </c>
      <c r="Z54" s="78">
        <f>+Y54 * CF!Z12</f>
        <v>426255.96098999999</v>
      </c>
      <c r="AA54" s="78">
        <f>+Z54 * CF!AA12</f>
        <v>426255.96098999999</v>
      </c>
      <c r="AB54" s="78">
        <f>+AA54 * CF!AB12</f>
        <v>426255.96098999999</v>
      </c>
      <c r="AC54" s="78">
        <f>+AB54 * CF!AC12</f>
        <v>426255.96098999999</v>
      </c>
      <c r="AD54" s="78">
        <f>+AC54 * CF!AD12</f>
        <v>426255.96098999999</v>
      </c>
      <c r="AE54" s="78">
        <f>+AD54 * CF!AE12</f>
        <v>426255.96098999999</v>
      </c>
      <c r="AF54" s="78">
        <f>+AE54 * CF!AF12</f>
        <v>426255.96098999999</v>
      </c>
      <c r="AG54" s="78">
        <f>+AF54 * CF!AG12</f>
        <v>426255.96098999999</v>
      </c>
      <c r="AH54" s="78">
        <f>+AG54 * CF!AH12</f>
        <v>426255.96098999999</v>
      </c>
      <c r="AI54" s="78">
        <f>+AH54 * CF!AI12</f>
        <v>426255.96098999999</v>
      </c>
      <c r="AJ54" s="78">
        <f>+AI54 * CF!AJ12</f>
        <v>426255.96098999999</v>
      </c>
      <c r="AK54" s="78">
        <f>+AJ54 * CF!AK12</f>
        <v>426255.96098999999</v>
      </c>
      <c r="AL54" s="78">
        <f>+AK54 * CF!AL12</f>
        <v>426255.96098999999</v>
      </c>
      <c r="AM54" s="78">
        <f>+AL54 * CF!AM12</f>
        <v>426255.96098999999</v>
      </c>
      <c r="AN54" s="78">
        <f>+AM54 * CF!AN12</f>
        <v>426255.96098999999</v>
      </c>
      <c r="AO54" s="78">
        <f>+AN54 * CF!AO12</f>
        <v>426255.96098999999</v>
      </c>
      <c r="AP54" s="78">
        <f>+AO54 * CF!AP12</f>
        <v>426255.96098999999</v>
      </c>
      <c r="AQ54" s="78">
        <f>+AP54 * CF!AQ12</f>
        <v>426255.96098999999</v>
      </c>
      <c r="AR54" s="78">
        <f>+AQ54 * CF!AR12</f>
        <v>426255.96098999999</v>
      </c>
      <c r="AS54" s="78">
        <f>+AR54 * CF!AS12</f>
        <v>426255.96098999999</v>
      </c>
      <c r="AT54" s="78">
        <f>+AS54 * CF!AT12</f>
        <v>426255.96098999999</v>
      </c>
      <c r="AU54" s="78">
        <f>+AT54 * CF!AU12</f>
        <v>426255.96098999999</v>
      </c>
      <c r="AV54" s="78">
        <f>+AU54 * CF!AV12</f>
        <v>426255.96098999999</v>
      </c>
      <c r="AW54" s="78">
        <f>+AV54 * CF!AW12</f>
        <v>426255.96098999999</v>
      </c>
      <c r="AX54" s="78">
        <f>+AW54 * CF!AX12</f>
        <v>426255.96098999999</v>
      </c>
      <c r="AY54" s="78">
        <f>+AX54 * CF!AY12</f>
        <v>426255.96098999999</v>
      </c>
      <c r="AZ54" s="78">
        <f>+AY54 * CF!AZ12</f>
        <v>426255.96098999999</v>
      </c>
      <c r="BA54" s="78">
        <f>+AZ54 * CF!BA12</f>
        <v>426255.96098999999</v>
      </c>
      <c r="BB54" s="78">
        <f>+BA54 * CF!BB12</f>
        <v>426255.96098999999</v>
      </c>
      <c r="BC54" s="78">
        <f>+BB54 * CF!BC12</f>
        <v>426255.96098999999</v>
      </c>
      <c r="BD54" s="78">
        <f>+BC54 * CF!BD12</f>
        <v>426255.96098999999</v>
      </c>
      <c r="BE54" s="78">
        <f>+BD54 * CF!BE12</f>
        <v>426255.96098999999</v>
      </c>
      <c r="BF54" s="78">
        <f>+BE54 * CF!BF12</f>
        <v>426255.96098999999</v>
      </c>
      <c r="BG54" s="78">
        <f>+BF54 * CF!BG12</f>
        <v>426255.96098999999</v>
      </c>
      <c r="BH54" s="78">
        <f>+BG54 * CF!BH12</f>
        <v>426255.96098999999</v>
      </c>
      <c r="BI54" s="78">
        <f>+BH54 * CF!BI12</f>
        <v>426255.96098999999</v>
      </c>
      <c r="BJ54" s="78">
        <f>+BI54 * CF!BJ12</f>
        <v>426255.96098999999</v>
      </c>
    </row>
    <row r="55" spans="3:62" x14ac:dyDescent="0.2">
      <c r="C55" s="47" t="s">
        <v>96</v>
      </c>
      <c r="K55" s="160" t="s">
        <v>62</v>
      </c>
      <c r="Q55" s="190"/>
      <c r="R55" s="737">
        <f>Inputs!$L$211</f>
        <v>-154185.46197999999</v>
      </c>
      <c r="S55" s="78">
        <f ca="1">(R55+S32-CF!S51)*IF(CF!S8&gt;Inputs!$L$30,0,1)</f>
        <v>-228997.87241938579</v>
      </c>
      <c r="T55" s="78">
        <f ca="1">(S55+T32-CF!T51)*IF(CF!T8&gt;Inputs!$L$30,0,1)</f>
        <v>-504061.8352737868</v>
      </c>
      <c r="U55" s="78">
        <f ca="1">(T55+U32-CF!U51)*IF(CF!U8&gt;Inputs!$L$30,0,1)</f>
        <v>-592174.96248980309</v>
      </c>
      <c r="V55" s="78">
        <f ca="1">(U55+V32-CF!V51)*IF(CF!V8&gt;Inputs!$L$30,0,1)</f>
        <v>-682929.40282961517</v>
      </c>
      <c r="W55" s="78">
        <f ca="1">(V55+W32-CF!W51)*IF(CF!W8&gt;Inputs!$L$30,0,1)</f>
        <v>-775454.09925992764</v>
      </c>
      <c r="X55" s="78">
        <f ca="1">(W55+X32-CF!X51)*IF(CF!X8&gt;Inputs!$L$30,0,1)</f>
        <v>-868301.65138602012</v>
      </c>
      <c r="Y55" s="78">
        <f ca="1">(X55+Y32-CF!Y51)*IF(CF!Y8&gt;Inputs!$L$30,0,1)</f>
        <v>-961588.32955299877</v>
      </c>
      <c r="Z55" s="78">
        <f ca="1">(Y55+Z32-CF!Z51)*IF(CF!Z8&gt;Inputs!$L$30,0,1)</f>
        <v>-1055079.2398288972</v>
      </c>
      <c r="AA55" s="78">
        <f ca="1">(Z55+AA32-CF!AA51)*IF(CF!AA8&gt;Inputs!$L$30,0,1)</f>
        <v>-1149478.3968681488</v>
      </c>
      <c r="AB55" s="78">
        <f ca="1">(AA55+AB32-CF!AB51)*IF(CF!AB8&gt;Inputs!$L$30,0,1)</f>
        <v>-1244403.6811193458</v>
      </c>
      <c r="AC55" s="78">
        <f ca="1">(AB55+AC32-CF!AC51)*IF(CF!AC8&gt;Inputs!$L$30,0,1)</f>
        <v>-1339966.634575583</v>
      </c>
      <c r="AD55" s="78">
        <f ca="1">(AC55+AD32-CF!AD51)*IF(CF!AD8&gt;Inputs!$L$30,0,1)</f>
        <v>-1435812.3110496749</v>
      </c>
      <c r="AE55" s="78">
        <f ca="1">(AD55+AE32-CF!AE51)*IF(CF!AE8&gt;Inputs!$L$30,0,1)</f>
        <v>-1531580.4983420889</v>
      </c>
      <c r="AF55" s="78">
        <f ca="1">(AE55+AF32-CF!AF51)*IF(CF!AF8&gt;Inputs!$L$30,0,1)</f>
        <v>-1626490.7168356788</v>
      </c>
      <c r="AG55" s="78">
        <f ca="1">(AF55+AG32-CF!AG51)*IF(CF!AG8&gt;Inputs!$L$30,0,1)</f>
        <v>-1680515.5627848613</v>
      </c>
      <c r="AH55" s="78">
        <f ca="1">(AG55+AH32-CF!AH51)*IF(CF!AH8&gt;Inputs!$L$30,0,1)</f>
        <v>-1681785.866152928</v>
      </c>
      <c r="AI55" s="78">
        <f ca="1">(AH55+AI32-CF!AI51)*IF(CF!AI8&gt;Inputs!$L$30,0,1)</f>
        <v>-1682095.1737355376</v>
      </c>
      <c r="AJ55" s="78">
        <f ca="1">(AI55+AJ32-CF!AJ51)*IF(CF!AJ8&gt;Inputs!$L$30,0,1)</f>
        <v>-1681226.7548225732</v>
      </c>
      <c r="AK55" s="78">
        <f ca="1">(AJ55+AK32-CF!AK51)*IF(CF!AK8&gt;Inputs!$L$30,0,1)</f>
        <v>-1679653.2149579905</v>
      </c>
      <c r="AL55" s="78">
        <f ca="1">(AK55+AL32-CF!AL51)*IF(CF!AL8&gt;Inputs!$L$30,0,1)</f>
        <v>-1676802.8957070778</v>
      </c>
      <c r="AM55" s="78">
        <f ca="1">(AL55+AM32-CF!AM51)*IF(CF!AM8&gt;Inputs!$L$30,0,1)</f>
        <v>-1658399.3611888317</v>
      </c>
      <c r="AN55" s="78">
        <f ca="1">(AM55+AN32-CF!AN51)*IF(CF!AN8&gt;Inputs!$L$30,0,1)</f>
        <v>-1679887.4413777378</v>
      </c>
      <c r="AO55" s="78">
        <f ca="1">(AN55+AO32-CF!AO51)*IF(CF!AO8&gt;Inputs!$L$30,0,1)</f>
        <v>-1689157.3525345174</v>
      </c>
      <c r="AP55" s="78">
        <f ca="1">(AO55+AP32-CF!AP51)*IF(CF!AP8&gt;Inputs!$L$30,0,1)</f>
        <v>-1701147.6289910986</v>
      </c>
      <c r="AQ55" s="78">
        <f ca="1">(AP55+AQ32-CF!AQ51)*IF(CF!AQ8&gt;Inputs!$L$30,0,1)</f>
        <v>-1713169.5057615666</v>
      </c>
      <c r="AR55" s="78">
        <f ca="1">(AQ55+AR32-CF!AR51)*IF(CF!AR8&gt;Inputs!$L$30,0,1)</f>
        <v>-1724448.8788670823</v>
      </c>
      <c r="AS55" s="78">
        <f ca="1">(AR55+AS32-CF!AS51)*IF(CF!AS8&gt;Inputs!$L$30,0,1)</f>
        <v>-1735044.7067398489</v>
      </c>
      <c r="AT55" s="78">
        <f ca="1">(AS55+AT32-CF!AT51)*IF(CF!AT8&gt;Inputs!$L$30,0,1)</f>
        <v>-1634677.5553134915</v>
      </c>
      <c r="AU55" s="78">
        <f ca="1">(AT55+AU32-CF!AU51)*IF(CF!AU8&gt;Inputs!$L$30,0,1)</f>
        <v>-1530632.1660970827</v>
      </c>
      <c r="AV55" s="78">
        <f ca="1">(AU55+AV32-CF!AV51)*IF(CF!AV8&gt;Inputs!$L$30,0,1)</f>
        <v>-1417422.8886223112</v>
      </c>
      <c r="AW55" s="78">
        <f ca="1">(AV55+AW32-CF!AW51)*IF(CF!AW8&gt;Inputs!$L$30,0,1)</f>
        <v>-1290010.0391074524</v>
      </c>
      <c r="AX55" s="78">
        <f ca="1">(AW55+AX32-CF!AX51)*IF(CF!AX8&gt;Inputs!$L$30,0,1)</f>
        <v>-1141450.5526511911</v>
      </c>
      <c r="AY55" s="78">
        <f ca="1">(AX55+AY32-CF!AY51)*IF(CF!AY8&gt;Inputs!$L$30,0,1)</f>
        <v>-986730.56111315184</v>
      </c>
      <c r="AZ55" s="78">
        <f ca="1">(AY55+AZ32-CF!AZ51)*IF(CF!AZ8&gt;Inputs!$L$30,0,1)</f>
        <v>-825574.70526868384</v>
      </c>
      <c r="BA55" s="78">
        <f ca="1">(AZ55+BA32-CF!BA51)*IF(CF!BA8&gt;Inputs!$L$30,0,1)</f>
        <v>-657414.45480462327</v>
      </c>
      <c r="BB55" s="78">
        <f ca="1">(BA55+BB32-CF!BB51)*IF(CF!BB8&gt;Inputs!$L$30,0,1)</f>
        <v>-480256.1094018477</v>
      </c>
      <c r="BC55" s="78">
        <f ca="1">(BB55+BC32-CF!BC51)*IF(CF!BC8&gt;Inputs!$L$30,0,1)</f>
        <v>-292282.69779534964</v>
      </c>
      <c r="BD55" s="78">
        <f ca="1">(BC55+BD32-CF!BD51)*IF(CF!BD8&gt;Inputs!$L$30,0,1)</f>
        <v>-345478.94853987731</v>
      </c>
      <c r="BE55" s="78">
        <f ca="1">(BD55+BE32-CF!BE51)*IF(CF!BE8&gt;Inputs!$L$30,0,1)</f>
        <v>-203290.42023018864</v>
      </c>
      <c r="BF55" s="78">
        <f ca="1">(BE55+BF32-CF!BF51)*IF(CF!BF8&gt;Inputs!$L$30,0,1)</f>
        <v>-217902.40132347425</v>
      </c>
      <c r="BG55" s="78">
        <f ca="1">(BF55+BG32-CF!BG51)*IF(CF!BG8&gt;Inputs!$L$30,0,1)</f>
        <v>-232677.92355886241</v>
      </c>
      <c r="BH55" s="78">
        <f ca="1">(BG55+BH32-CF!BH51)*IF(CF!BH8&gt;Inputs!$L$30,0,1)</f>
        <v>-247997.2998347641</v>
      </c>
      <c r="BI55" s="78">
        <f ca="1">(BH55+BI32-CF!BI51)*IF(CF!BI8&gt;Inputs!$L$30,0,1)</f>
        <v>-264309.33460870851</v>
      </c>
      <c r="BJ55" s="78">
        <f ca="1">(BI55+BJ32-CF!BJ51)*IF(CF!BJ8&gt;Inputs!$L$30,0,1)</f>
        <v>-426255.96099022927</v>
      </c>
    </row>
    <row r="56" spans="3:62" x14ac:dyDescent="0.2">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row>
    <row r="57" spans="3:62" x14ac:dyDescent="0.2">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row>
    <row r="58" spans="3:62" x14ac:dyDescent="0.2">
      <c r="C58" s="42" t="s">
        <v>97</v>
      </c>
      <c r="D58" s="42"/>
      <c r="E58" s="42"/>
      <c r="F58" s="42"/>
      <c r="G58" s="42"/>
      <c r="H58" s="42"/>
      <c r="I58" s="42"/>
      <c r="J58" s="42"/>
      <c r="K58" s="624" t="s">
        <v>62</v>
      </c>
      <c r="L58" s="42"/>
      <c r="M58" s="42"/>
      <c r="N58" s="42"/>
      <c r="O58" s="42"/>
      <c r="P58" s="42"/>
      <c r="Q58" s="43"/>
      <c r="R58" s="43">
        <f t="shared" ref="R58:AO58" si="16">SUM(R59:R62)</f>
        <v>1193974.4131109053</v>
      </c>
      <c r="S58" s="43">
        <f t="shared" si="16"/>
        <v>1230267.586954759</v>
      </c>
      <c r="T58" s="43">
        <f t="shared" si="16"/>
        <v>1248464.7640623427</v>
      </c>
      <c r="U58" s="43">
        <f t="shared" si="16"/>
        <v>1251786.1010882128</v>
      </c>
      <c r="V58" s="43">
        <f t="shared" si="16"/>
        <v>1256641.63114861</v>
      </c>
      <c r="W58" s="43">
        <f t="shared" si="16"/>
        <v>1261876.354508139</v>
      </c>
      <c r="X58" s="43">
        <f t="shared" si="16"/>
        <v>1267519.8843205271</v>
      </c>
      <c r="Y58" s="43">
        <f t="shared" si="16"/>
        <v>1273604.1463828837</v>
      </c>
      <c r="Z58" s="43">
        <f t="shared" si="16"/>
        <v>1280163.5597419082</v>
      </c>
      <c r="AA58" s="43">
        <f t="shared" si="16"/>
        <v>1287235.2314045657</v>
      </c>
      <c r="AB58" s="43">
        <f t="shared" si="16"/>
        <v>1294347.9075531131</v>
      </c>
      <c r="AC58" s="43">
        <f t="shared" si="16"/>
        <v>1301501.8259485695</v>
      </c>
      <c r="AD58" s="43">
        <f t="shared" si="16"/>
        <v>1308697.2257305915</v>
      </c>
      <c r="AE58" s="43">
        <f t="shared" si="16"/>
        <v>1315934.3474254664</v>
      </c>
      <c r="AF58" s="43">
        <f t="shared" si="16"/>
        <v>1323213.4329541526</v>
      </c>
      <c r="AG58" s="43">
        <f t="shared" si="16"/>
        <v>1331038.5170200784</v>
      </c>
      <c r="AH58" s="43">
        <f t="shared" si="16"/>
        <v>1339450.5545483502</v>
      </c>
      <c r="AI58" s="43">
        <f t="shared" si="16"/>
        <v>1348493.572461114</v>
      </c>
      <c r="AJ58" s="43">
        <f t="shared" si="16"/>
        <v>1358214.9001056629</v>
      </c>
      <c r="AK58" s="43">
        <f t="shared" si="16"/>
        <v>1368665.4169667738</v>
      </c>
      <c r="AL58" s="43">
        <f t="shared" si="16"/>
        <v>1380068.3538717162</v>
      </c>
      <c r="AM58" s="43">
        <f t="shared" si="16"/>
        <v>1392510.5107321066</v>
      </c>
      <c r="AN58" s="43">
        <f t="shared" si="16"/>
        <v>1406086.5980707521</v>
      </c>
      <c r="AO58" s="43">
        <f t="shared" si="16"/>
        <v>1420899.9579644278</v>
      </c>
      <c r="AP58" s="43">
        <f t="shared" ref="AP58:BJ58" si="17">SUM(AP59:AP62)</f>
        <v>1437063.3506906161</v>
      </c>
      <c r="AQ58" s="43">
        <f t="shared" si="17"/>
        <v>1451827.3793167472</v>
      </c>
      <c r="AR58" s="43">
        <f t="shared" si="17"/>
        <v>1465313.1953806018</v>
      </c>
      <c r="AS58" s="43">
        <f t="shared" si="17"/>
        <v>1477631.4615878502</v>
      </c>
      <c r="AT58" s="43">
        <f t="shared" si="17"/>
        <v>1488883.2598946162</v>
      </c>
      <c r="AU58" s="43">
        <f t="shared" si="17"/>
        <v>1388668.4997530992</v>
      </c>
      <c r="AV58" s="43">
        <f t="shared" si="17"/>
        <v>1280542.2021893102</v>
      </c>
      <c r="AW58" s="43">
        <f t="shared" si="17"/>
        <v>1158143.5320067052</v>
      </c>
      <c r="AX58" s="43">
        <f t="shared" si="17"/>
        <v>1029318.9316395134</v>
      </c>
      <c r="AY58" s="43">
        <f t="shared" si="17"/>
        <v>878940.14966923581</v>
      </c>
      <c r="AZ58" s="43">
        <f t="shared" si="17"/>
        <v>720666.4816455188</v>
      </c>
      <c r="BA58" s="43">
        <f t="shared" si="17"/>
        <v>554083.44605055649</v>
      </c>
      <c r="BB58" s="43">
        <f t="shared" si="17"/>
        <v>378754.80108685879</v>
      </c>
      <c r="BC58" s="43">
        <f t="shared" si="17"/>
        <v>194221.40226256705</v>
      </c>
      <c r="BD58" s="43">
        <f t="shared" si="17"/>
        <v>0</v>
      </c>
      <c r="BE58" s="43">
        <f t="shared" si="17"/>
        <v>0</v>
      </c>
      <c r="BF58" s="43">
        <f t="shared" si="17"/>
        <v>0</v>
      </c>
      <c r="BG58" s="43">
        <f t="shared" si="17"/>
        <v>0</v>
      </c>
      <c r="BH58" s="43">
        <f t="shared" si="17"/>
        <v>0</v>
      </c>
      <c r="BI58" s="43">
        <f t="shared" si="17"/>
        <v>0</v>
      </c>
      <c r="BJ58" s="43">
        <f t="shared" si="17"/>
        <v>0</v>
      </c>
    </row>
    <row r="59" spans="3:62" x14ac:dyDescent="0.2">
      <c r="C59" s="47" t="s">
        <v>98</v>
      </c>
      <c r="K59" s="160" t="s">
        <v>62</v>
      </c>
      <c r="Q59" s="190"/>
      <c r="R59" s="737">
        <f>Inputs!$L$215</f>
        <v>0</v>
      </c>
      <c r="S59" s="78">
        <f>+Fin!S216</f>
        <v>0</v>
      </c>
      <c r="T59" s="78">
        <f>+Fin!T216</f>
        <v>0</v>
      </c>
      <c r="U59" s="78">
        <f>+Fin!U216</f>
        <v>3321.3370258702384</v>
      </c>
      <c r="V59" s="78">
        <f>+Fin!V216</f>
        <v>8176.8670862673152</v>
      </c>
      <c r="W59" s="78">
        <f>+Fin!W216</f>
        <v>13411.590445796232</v>
      </c>
      <c r="X59" s="78">
        <f>+Fin!X216</f>
        <v>19055.120258184375</v>
      </c>
      <c r="Y59" s="78">
        <f>+Fin!Y216</f>
        <v>25139.38232054099</v>
      </c>
      <c r="Z59" s="78">
        <f>+Fin!Z216</f>
        <v>31698.795679565515</v>
      </c>
      <c r="AA59" s="78">
        <f>+Fin!AA216</f>
        <v>38770.467342223026</v>
      </c>
      <c r="AB59" s="78">
        <f>+Fin!AB216</f>
        <v>45883.14349077033</v>
      </c>
      <c r="AC59" s="78">
        <f>+Fin!AC216</f>
        <v>53037.061886226787</v>
      </c>
      <c r="AD59" s="78">
        <f>+Fin!AD216</f>
        <v>0</v>
      </c>
      <c r="AE59" s="78">
        <f>+Fin!AE216</f>
        <v>7237.1216948748361</v>
      </c>
      <c r="AF59" s="78">
        <f>+Fin!AF216</f>
        <v>14516.207223561025</v>
      </c>
      <c r="AG59" s="78">
        <f>+Fin!AG216</f>
        <v>22341.291289486951</v>
      </c>
      <c r="AH59" s="78">
        <f>+Fin!AH216</f>
        <v>30753.32881775868</v>
      </c>
      <c r="AI59" s="78">
        <f>+Fin!AI216</f>
        <v>39796.346730522622</v>
      </c>
      <c r="AJ59" s="78">
        <f>+Fin!AJ216</f>
        <v>49517.674375071387</v>
      </c>
      <c r="AK59" s="78">
        <f>+Fin!AK216</f>
        <v>59968.191236182349</v>
      </c>
      <c r="AL59" s="78">
        <f>+Fin!AL216</f>
        <v>71371.128141124791</v>
      </c>
      <c r="AM59" s="78">
        <f>+Fin!AM216</f>
        <v>83813.285001515294</v>
      </c>
      <c r="AN59" s="78">
        <f>+Fin!AN216</f>
        <v>0</v>
      </c>
      <c r="AO59" s="78">
        <f>+Fin!AO216</f>
        <v>14813.35989367567</v>
      </c>
      <c r="AP59" s="78">
        <f>+Fin!AP216</f>
        <v>30976.752619863924</v>
      </c>
      <c r="AQ59" s="78">
        <f>+Fin!AQ216</f>
        <v>45740.78124599508</v>
      </c>
      <c r="AR59" s="78">
        <f>+Fin!AR216</f>
        <v>59226.597309849691</v>
      </c>
      <c r="AS59" s="78">
        <f>+Fin!AS216</f>
        <v>71544.863517098071</v>
      </c>
      <c r="AT59" s="78">
        <f>+Fin!AT216</f>
        <v>82796.66182386408</v>
      </c>
      <c r="AU59" s="78">
        <f>+Fin!AU216</f>
        <v>93074.322901008694</v>
      </c>
      <c r="AV59" s="78">
        <f>+Fin!AV216</f>
        <v>101241.29866986125</v>
      </c>
      <c r="AW59" s="78">
        <f>+Fin!AW216</f>
        <v>101241.29866986125</v>
      </c>
      <c r="AX59" s="78">
        <f>+Fin!AX216</f>
        <v>0</v>
      </c>
      <c r="AY59" s="78">
        <f>+Fin!AY216</f>
        <v>0</v>
      </c>
      <c r="AZ59" s="78">
        <f>+Fin!AZ216</f>
        <v>0</v>
      </c>
      <c r="BA59" s="78">
        <f>+Fin!BA216</f>
        <v>0</v>
      </c>
      <c r="BB59" s="78">
        <f>+Fin!BB216</f>
        <v>0</v>
      </c>
      <c r="BC59" s="78">
        <f>+Fin!BC216</f>
        <v>0</v>
      </c>
      <c r="BD59" s="78">
        <f>+Fin!BD216</f>
        <v>0</v>
      </c>
      <c r="BE59" s="78">
        <f>+Fin!BE216</f>
        <v>0</v>
      </c>
      <c r="BF59" s="78">
        <f>+Fin!BF216</f>
        <v>0</v>
      </c>
      <c r="BG59" s="78">
        <f>+Fin!BG216</f>
        <v>0</v>
      </c>
      <c r="BH59" s="78">
        <f>+Fin!BH216</f>
        <v>0</v>
      </c>
      <c r="BI59" s="78">
        <f>+Fin!BI216</f>
        <v>0</v>
      </c>
      <c r="BJ59" s="78">
        <f>+Fin!BJ216</f>
        <v>0</v>
      </c>
    </row>
    <row r="60" spans="3:62" x14ac:dyDescent="0.2">
      <c r="C60" s="47" t="s">
        <v>99</v>
      </c>
      <c r="K60" s="160" t="s">
        <v>62</v>
      </c>
      <c r="Q60" s="190"/>
      <c r="R60" s="737">
        <f>+Inputs!$L$216</f>
        <v>400000</v>
      </c>
      <c r="S60" s="78">
        <f>+Fin!S93</f>
        <v>400000</v>
      </c>
      <c r="T60" s="78">
        <f>+Fin!T93</f>
        <v>0</v>
      </c>
      <c r="U60" s="78">
        <f>+Fin!U93</f>
        <v>0</v>
      </c>
      <c r="V60" s="78">
        <f>+Fin!V93</f>
        <v>0</v>
      </c>
      <c r="W60" s="78">
        <f>+Fin!W93</f>
        <v>0</v>
      </c>
      <c r="X60" s="78">
        <f>+Fin!X93</f>
        <v>0</v>
      </c>
      <c r="Y60" s="78">
        <f>+Fin!Y93</f>
        <v>0</v>
      </c>
      <c r="Z60" s="78">
        <f>+Fin!Z93</f>
        <v>0</v>
      </c>
      <c r="AA60" s="78">
        <f>+Fin!AA93</f>
        <v>0</v>
      </c>
      <c r="AB60" s="78">
        <f>+Fin!AB93</f>
        <v>0</v>
      </c>
      <c r="AC60" s="78">
        <f>+Fin!AC93</f>
        <v>0</v>
      </c>
      <c r="AD60" s="78">
        <f>+Fin!AD93</f>
        <v>0</v>
      </c>
      <c r="AE60" s="78">
        <f>+Fin!AE93</f>
        <v>0</v>
      </c>
      <c r="AF60" s="78">
        <f>+Fin!AF93</f>
        <v>0</v>
      </c>
      <c r="AG60" s="78">
        <f>+Fin!AG93</f>
        <v>0</v>
      </c>
      <c r="AH60" s="78">
        <f>+Fin!AH93</f>
        <v>0</v>
      </c>
      <c r="AI60" s="78">
        <f>+Fin!AI93</f>
        <v>0</v>
      </c>
      <c r="AJ60" s="78">
        <f>+Fin!AJ93</f>
        <v>0</v>
      </c>
      <c r="AK60" s="78">
        <f>+Fin!AK93</f>
        <v>0</v>
      </c>
      <c r="AL60" s="78">
        <f>+Fin!AL93</f>
        <v>0</v>
      </c>
      <c r="AM60" s="78">
        <f>+Fin!AM93</f>
        <v>0</v>
      </c>
      <c r="AN60" s="78">
        <f>+Fin!AN93</f>
        <v>0</v>
      </c>
      <c r="AO60" s="78">
        <f>+Fin!AO93</f>
        <v>0</v>
      </c>
      <c r="AP60" s="78">
        <f>+Fin!AP93</f>
        <v>0</v>
      </c>
      <c r="AQ60" s="78">
        <f>+Fin!AQ93</f>
        <v>0</v>
      </c>
      <c r="AR60" s="78">
        <f>+Fin!AR93</f>
        <v>0</v>
      </c>
      <c r="AS60" s="78">
        <f>+Fin!AS93</f>
        <v>0</v>
      </c>
      <c r="AT60" s="78">
        <f>+Fin!AT93</f>
        <v>0</v>
      </c>
      <c r="AU60" s="78">
        <f>+Fin!AU93</f>
        <v>0</v>
      </c>
      <c r="AV60" s="78">
        <f>+Fin!AV93</f>
        <v>0</v>
      </c>
      <c r="AW60" s="78">
        <f>+Fin!AW93</f>
        <v>0</v>
      </c>
      <c r="AX60" s="78">
        <f>+Fin!AX93</f>
        <v>0</v>
      </c>
      <c r="AY60" s="78">
        <f>+Fin!AY93</f>
        <v>0</v>
      </c>
      <c r="AZ60" s="78">
        <f>+Fin!AZ93</f>
        <v>0</v>
      </c>
      <c r="BA60" s="78">
        <f>+Fin!BA93</f>
        <v>0</v>
      </c>
      <c r="BB60" s="78">
        <f>+Fin!BB93</f>
        <v>0</v>
      </c>
      <c r="BC60" s="78">
        <f>+Fin!BC93</f>
        <v>0</v>
      </c>
      <c r="BD60" s="78">
        <f>+Fin!BD93</f>
        <v>0</v>
      </c>
      <c r="BE60" s="78">
        <f>+Fin!BE93</f>
        <v>0</v>
      </c>
      <c r="BF60" s="78">
        <f>+Fin!BF93</f>
        <v>0</v>
      </c>
      <c r="BG60" s="78">
        <f>+Fin!BG93</f>
        <v>0</v>
      </c>
      <c r="BH60" s="78">
        <f>+Fin!BH93</f>
        <v>0</v>
      </c>
      <c r="BI60" s="78">
        <f>+Fin!BI93</f>
        <v>0</v>
      </c>
      <c r="BJ60" s="78">
        <f>+Fin!BJ93</f>
        <v>0</v>
      </c>
    </row>
    <row r="61" spans="3:62" x14ac:dyDescent="0.2">
      <c r="C61" s="47" t="s">
        <v>100</v>
      </c>
      <c r="K61" s="160" t="s">
        <v>62</v>
      </c>
      <c r="Q61" s="190"/>
      <c r="R61" s="737">
        <f>Inputs!$L$217</f>
        <v>793974.41311090544</v>
      </c>
      <c r="S61" s="78">
        <f>+Fin!S141</f>
        <v>830267.58695475885</v>
      </c>
      <c r="T61" s="78">
        <f>+Fin!T141</f>
        <v>848464.7640623427</v>
      </c>
      <c r="U61" s="78">
        <f>+Fin!U141</f>
        <v>848464.7640623427</v>
      </c>
      <c r="V61" s="78">
        <f>+Fin!V141</f>
        <v>848464.7640623427</v>
      </c>
      <c r="W61" s="78">
        <f>+Fin!W141</f>
        <v>848464.7640623427</v>
      </c>
      <c r="X61" s="78">
        <f>+Fin!X141</f>
        <v>848464.7640623427</v>
      </c>
      <c r="Y61" s="78">
        <f>+Fin!Y141</f>
        <v>846174.92142661195</v>
      </c>
      <c r="Z61" s="78">
        <f>+Fin!Z141</f>
        <v>833112.42706605885</v>
      </c>
      <c r="AA61" s="78">
        <f>+Fin!AA141</f>
        <v>819895.44188792841</v>
      </c>
      <c r="AB61" s="78">
        <f>+Fin!AB141</f>
        <v>810499.99060885748</v>
      </c>
      <c r="AC61" s="78">
        <f>+Fin!AC141</f>
        <v>804978.96341491456</v>
      </c>
      <c r="AD61" s="78">
        <f>+Fin!AD141</f>
        <v>803370.33929621731</v>
      </c>
      <c r="AE61" s="78">
        <f>+Fin!AE141</f>
        <v>803370.33929621731</v>
      </c>
      <c r="AF61" s="78">
        <f>+Fin!AF141</f>
        <v>788649.92373204324</v>
      </c>
      <c r="AG61" s="78">
        <f>+Fin!AG141</f>
        <v>765903.7554099171</v>
      </c>
      <c r="AH61" s="78">
        <f>+Fin!AH141</f>
        <v>732996.40503215184</v>
      </c>
      <c r="AI61" s="78">
        <f>+Fin!AI141</f>
        <v>677953.11984879617</v>
      </c>
      <c r="AJ61" s="78">
        <f>+Fin!AJ141</f>
        <v>598595.63973717042</v>
      </c>
      <c r="AK61" s="78">
        <f>+Fin!AK141</f>
        <v>502477.08961138193</v>
      </c>
      <c r="AL61" s="78">
        <f>+Fin!AL141</f>
        <v>386236.30660620419</v>
      </c>
      <c r="AM61" s="78">
        <f>+Fin!AM141</f>
        <v>206679.78529836063</v>
      </c>
      <c r="AN61" s="78">
        <f>+Fin!AN141</f>
        <v>0</v>
      </c>
      <c r="AO61" s="78">
        <f>+Fin!AO141</f>
        <v>0</v>
      </c>
      <c r="AP61" s="78">
        <f>+Fin!AP141</f>
        <v>0</v>
      </c>
      <c r="AQ61" s="78">
        <f>+Fin!AQ141</f>
        <v>0</v>
      </c>
      <c r="AR61" s="78">
        <f>+Fin!AR141</f>
        <v>0</v>
      </c>
      <c r="AS61" s="78">
        <f>+Fin!AS141</f>
        <v>0</v>
      </c>
      <c r="AT61" s="78">
        <f>+Fin!AT141</f>
        <v>0</v>
      </c>
      <c r="AU61" s="78">
        <f>+Fin!AU141</f>
        <v>0</v>
      </c>
      <c r="AV61" s="78">
        <f>+Fin!AV141</f>
        <v>0</v>
      </c>
      <c r="AW61" s="78">
        <f>+Fin!AW141</f>
        <v>0</v>
      </c>
      <c r="AX61" s="78">
        <f>+Fin!AX141</f>
        <v>0</v>
      </c>
      <c r="AY61" s="78">
        <f>+Fin!AY141</f>
        <v>0</v>
      </c>
      <c r="AZ61" s="78">
        <f>+Fin!AZ141</f>
        <v>0</v>
      </c>
      <c r="BA61" s="78">
        <f>+Fin!BA141</f>
        <v>0</v>
      </c>
      <c r="BB61" s="78">
        <f>+Fin!BB141</f>
        <v>0</v>
      </c>
      <c r="BC61" s="78">
        <f>+Fin!BC141</f>
        <v>0</v>
      </c>
      <c r="BD61" s="78">
        <f>+Fin!BD141</f>
        <v>0</v>
      </c>
      <c r="BE61" s="78">
        <f>+Fin!BE141</f>
        <v>0</v>
      </c>
      <c r="BF61" s="78">
        <f>+Fin!BF141</f>
        <v>0</v>
      </c>
      <c r="BG61" s="78">
        <f>+Fin!BG141</f>
        <v>0</v>
      </c>
      <c r="BH61" s="78">
        <f>+Fin!BH141</f>
        <v>0</v>
      </c>
      <c r="BI61" s="78">
        <f>+Fin!BI141</f>
        <v>0</v>
      </c>
      <c r="BJ61" s="78">
        <f>+Fin!BJ141</f>
        <v>0</v>
      </c>
    </row>
    <row r="62" spans="3:62" x14ac:dyDescent="0.2">
      <c r="C62" s="47" t="s">
        <v>101</v>
      </c>
      <c r="K62" s="160" t="s">
        <v>62</v>
      </c>
      <c r="Q62" s="190"/>
      <c r="R62" s="737">
        <f>Inputs!$L$218</f>
        <v>0</v>
      </c>
      <c r="S62" s="78">
        <f>+Fin!S190</f>
        <v>0</v>
      </c>
      <c r="T62" s="78">
        <f>+Fin!T190</f>
        <v>400000</v>
      </c>
      <c r="U62" s="78">
        <f>+Fin!U190</f>
        <v>400000</v>
      </c>
      <c r="V62" s="78">
        <f>+Fin!V190</f>
        <v>400000</v>
      </c>
      <c r="W62" s="78">
        <f>+Fin!W190</f>
        <v>400000</v>
      </c>
      <c r="X62" s="78">
        <f>+Fin!X190</f>
        <v>400000</v>
      </c>
      <c r="Y62" s="78">
        <f>+Fin!Y190</f>
        <v>402289.84263573081</v>
      </c>
      <c r="Z62" s="78">
        <f>+Fin!Z190</f>
        <v>415352.33699628391</v>
      </c>
      <c r="AA62" s="78">
        <f>+Fin!AA190</f>
        <v>428569.32217441441</v>
      </c>
      <c r="AB62" s="78">
        <f>+Fin!AB190</f>
        <v>437964.77345348534</v>
      </c>
      <c r="AC62" s="78">
        <f>+Fin!AC190</f>
        <v>443485.80064742826</v>
      </c>
      <c r="AD62" s="78">
        <f>+Fin!AD190</f>
        <v>505326.8864343742</v>
      </c>
      <c r="AE62" s="78">
        <f>+Fin!AE190</f>
        <v>505326.88643437426</v>
      </c>
      <c r="AF62" s="78">
        <f>+Fin!AF190</f>
        <v>520047.30199854833</v>
      </c>
      <c r="AG62" s="78">
        <f>+Fin!AG190</f>
        <v>542793.47032067436</v>
      </c>
      <c r="AH62" s="78">
        <f>+Fin!AH190</f>
        <v>575700.82069843961</v>
      </c>
      <c r="AI62" s="78">
        <f>+Fin!AI190</f>
        <v>630744.10588179529</v>
      </c>
      <c r="AJ62" s="78">
        <f>+Fin!AJ190</f>
        <v>710101.58599342103</v>
      </c>
      <c r="AK62" s="78">
        <f>+Fin!AK190</f>
        <v>806220.13611920946</v>
      </c>
      <c r="AL62" s="78">
        <f>+Fin!AL190</f>
        <v>922460.9191243872</v>
      </c>
      <c r="AM62" s="78">
        <f>+Fin!AM190</f>
        <v>1102017.4404322307</v>
      </c>
      <c r="AN62" s="78">
        <f>+Fin!AN190</f>
        <v>1406086.5980707521</v>
      </c>
      <c r="AO62" s="78">
        <f>+Fin!AO190</f>
        <v>1406086.5980707521</v>
      </c>
      <c r="AP62" s="78">
        <f>+Fin!AP190</f>
        <v>1406086.5980707521</v>
      </c>
      <c r="AQ62" s="78">
        <f>+Fin!AQ190</f>
        <v>1406086.5980707521</v>
      </c>
      <c r="AR62" s="78">
        <f>+Fin!AR190</f>
        <v>1406086.5980707521</v>
      </c>
      <c r="AS62" s="78">
        <f>+Fin!AS190</f>
        <v>1406086.5980707521</v>
      </c>
      <c r="AT62" s="78">
        <f>+Fin!AT190</f>
        <v>1406086.5980707521</v>
      </c>
      <c r="AU62" s="78">
        <f>+Fin!AU190</f>
        <v>1295594.1768520905</v>
      </c>
      <c r="AV62" s="78">
        <f>+Fin!AV190</f>
        <v>1179300.9035194491</v>
      </c>
      <c r="AW62" s="78">
        <f>+Fin!AW190</f>
        <v>1056902.233336844</v>
      </c>
      <c r="AX62" s="78">
        <f>+Fin!AX190</f>
        <v>1029318.9316395134</v>
      </c>
      <c r="AY62" s="78">
        <f>+Fin!AY190</f>
        <v>878940.14966923581</v>
      </c>
      <c r="AZ62" s="78">
        <f>+Fin!AZ190</f>
        <v>720666.4816455188</v>
      </c>
      <c r="BA62" s="78">
        <f>+Fin!BA190</f>
        <v>554083.44605055649</v>
      </c>
      <c r="BB62" s="78">
        <f>+Fin!BB190</f>
        <v>378754.80108685879</v>
      </c>
      <c r="BC62" s="78">
        <f>+Fin!BC190</f>
        <v>194221.40226256705</v>
      </c>
      <c r="BD62" s="78">
        <f>+Fin!BD190</f>
        <v>0</v>
      </c>
      <c r="BE62" s="78">
        <f>+Fin!BE190</f>
        <v>0</v>
      </c>
      <c r="BF62" s="78">
        <f>+Fin!BF190</f>
        <v>0</v>
      </c>
      <c r="BG62" s="78">
        <f>+Fin!BG190</f>
        <v>0</v>
      </c>
      <c r="BH62" s="78">
        <f>+Fin!BH190</f>
        <v>0</v>
      </c>
      <c r="BI62" s="78">
        <f>+Fin!BI190</f>
        <v>0</v>
      </c>
      <c r="BJ62" s="78">
        <f>+Fin!BJ190</f>
        <v>0</v>
      </c>
    </row>
    <row r="63" spans="3:62" x14ac:dyDescent="0.2">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row>
    <row r="64" spans="3:62" x14ac:dyDescent="0.2">
      <c r="C64" s="45" t="s">
        <v>102</v>
      </c>
      <c r="D64" s="45"/>
      <c r="E64" s="45"/>
      <c r="F64" s="45"/>
      <c r="G64" s="45"/>
      <c r="H64" s="45"/>
      <c r="I64" s="45"/>
      <c r="J64" s="45"/>
      <c r="K64" s="618" t="s">
        <v>62</v>
      </c>
      <c r="L64" s="46"/>
      <c r="M64" s="46"/>
      <c r="N64" s="46"/>
      <c r="O64" s="45"/>
      <c r="P64" s="45"/>
      <c r="Q64" s="46"/>
      <c r="R64" s="724">
        <f t="shared" ref="R64:AO64" si="18">+R58+R53</f>
        <v>1466044.9121209052</v>
      </c>
      <c r="S64" s="724">
        <f t="shared" ca="1" si="18"/>
        <v>1427525.6755253731</v>
      </c>
      <c r="T64" s="724">
        <f t="shared" ca="1" si="18"/>
        <v>1170658.8897785558</v>
      </c>
      <c r="U64" s="724">
        <f t="shared" ca="1" si="18"/>
        <v>1085867.0995884098</v>
      </c>
      <c r="V64" s="724">
        <f t="shared" ca="1" si="18"/>
        <v>999968.18930899492</v>
      </c>
      <c r="W64" s="724">
        <f t="shared" ca="1" si="18"/>
        <v>912678.21623821137</v>
      </c>
      <c r="X64" s="724">
        <f t="shared" ca="1" si="18"/>
        <v>825474.19392450689</v>
      </c>
      <c r="Y64" s="724">
        <f t="shared" ca="1" si="18"/>
        <v>738271.77781988494</v>
      </c>
      <c r="Z64" s="724">
        <f t="shared" ca="1" si="18"/>
        <v>651340.28090301109</v>
      </c>
      <c r="AA64" s="724">
        <f t="shared" ca="1" si="18"/>
        <v>564012.79552641697</v>
      </c>
      <c r="AB64" s="724">
        <f t="shared" ca="1" si="18"/>
        <v>476200.18742376729</v>
      </c>
      <c r="AC64" s="724">
        <f t="shared" ca="1" si="18"/>
        <v>387791.15236298647</v>
      </c>
      <c r="AD64" s="724">
        <f t="shared" ca="1" si="18"/>
        <v>299140.87567091663</v>
      </c>
      <c r="AE64" s="724">
        <f t="shared" ca="1" si="18"/>
        <v>210609.81007337756</v>
      </c>
      <c r="AF64" s="724">
        <f t="shared" ca="1" si="18"/>
        <v>122978.67710847384</v>
      </c>
      <c r="AG64" s="724">
        <f t="shared" ca="1" si="18"/>
        <v>76778.915225217119</v>
      </c>
      <c r="AH64" s="724">
        <f t="shared" ca="1" si="18"/>
        <v>83920.649385422235</v>
      </c>
      <c r="AI64" s="724">
        <f t="shared" ca="1" si="18"/>
        <v>92654.359715576516</v>
      </c>
      <c r="AJ64" s="724">
        <f t="shared" ca="1" si="18"/>
        <v>103244.10627308977</v>
      </c>
      <c r="AK64" s="724">
        <f t="shared" ca="1" si="18"/>
        <v>115268.1629987834</v>
      </c>
      <c r="AL64" s="724">
        <f t="shared" ca="1" si="18"/>
        <v>129521.41915463842</v>
      </c>
      <c r="AM64" s="724">
        <f t="shared" ca="1" si="18"/>
        <v>160367.11053327494</v>
      </c>
      <c r="AN64" s="724">
        <f t="shared" ca="1" si="18"/>
        <v>152455.11768301437</v>
      </c>
      <c r="AO64" s="724">
        <f t="shared" ca="1" si="18"/>
        <v>157998.56641991041</v>
      </c>
      <c r="AP64" s="724">
        <f t="shared" ref="AP64:BJ64" ca="1" si="19">+AP58+AP53</f>
        <v>162171.6826895175</v>
      </c>
      <c r="AQ64" s="724">
        <f t="shared" ca="1" si="19"/>
        <v>164913.83454518067</v>
      </c>
      <c r="AR64" s="724">
        <f t="shared" ca="1" si="19"/>
        <v>167120.27750351955</v>
      </c>
      <c r="AS64" s="724">
        <f t="shared" ca="1" si="19"/>
        <v>168842.71583800134</v>
      </c>
      <c r="AT64" s="724">
        <f t="shared" ca="1" si="19"/>
        <v>280461.66557112476</v>
      </c>
      <c r="AU64" s="724">
        <f t="shared" ca="1" si="19"/>
        <v>284292.29464601655</v>
      </c>
      <c r="AV64" s="724">
        <f t="shared" ca="1" si="19"/>
        <v>289375.27455699909</v>
      </c>
      <c r="AW64" s="724">
        <f t="shared" ca="1" si="19"/>
        <v>294389.45388925285</v>
      </c>
      <c r="AX64" s="724">
        <f t="shared" ca="1" si="19"/>
        <v>314124.33997832227</v>
      </c>
      <c r="AY64" s="724">
        <f t="shared" ca="1" si="19"/>
        <v>318465.5495460839</v>
      </c>
      <c r="AZ64" s="724">
        <f t="shared" ca="1" si="19"/>
        <v>321347.73736683495</v>
      </c>
      <c r="BA64" s="724">
        <f t="shared" ca="1" si="19"/>
        <v>322924.95223593322</v>
      </c>
      <c r="BB64" s="724">
        <f t="shared" ca="1" si="19"/>
        <v>324754.65267501108</v>
      </c>
      <c r="BC64" s="724">
        <f t="shared" ca="1" si="19"/>
        <v>328194.66545721737</v>
      </c>
      <c r="BD64" s="724">
        <f t="shared" ca="1" si="19"/>
        <v>80777.012450122682</v>
      </c>
      <c r="BE64" s="724">
        <f t="shared" ca="1" si="19"/>
        <v>222965.54075981135</v>
      </c>
      <c r="BF64" s="724">
        <f t="shared" ca="1" si="19"/>
        <v>208353.55966652575</v>
      </c>
      <c r="BG64" s="724">
        <f t="shared" ca="1" si="19"/>
        <v>193578.03743113758</v>
      </c>
      <c r="BH64" s="724">
        <f t="shared" ca="1" si="19"/>
        <v>178258.6611552359</v>
      </c>
      <c r="BI64" s="724">
        <f t="shared" ca="1" si="19"/>
        <v>161946.62638129148</v>
      </c>
      <c r="BJ64" s="724">
        <f t="shared" ca="1" si="19"/>
        <v>-2.2927997633814812E-7</v>
      </c>
    </row>
    <row r="65" spans="1:62" ht="13.5" thickBot="1" x14ac:dyDescent="0.25">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row>
    <row r="66" spans="1:62" ht="13.5" thickBot="1" x14ac:dyDescent="0.25">
      <c r="C66" t="s">
        <v>103</v>
      </c>
      <c r="N66" s="723">
        <f ca="1">IF(SUM(Q66:BJ66)=0,0,1)</f>
        <v>0</v>
      </c>
      <c r="Q66" s="78"/>
      <c r="R66" s="78">
        <f t="shared" ref="R66:AV66" si="20">+ROUND(R64-R49,0)</f>
        <v>0</v>
      </c>
      <c r="S66" s="78">
        <f t="shared" ca="1" si="20"/>
        <v>0</v>
      </c>
      <c r="T66" s="78">
        <f t="shared" ca="1" si="20"/>
        <v>0</v>
      </c>
      <c r="U66" s="144">
        <f t="shared" ca="1" si="20"/>
        <v>0</v>
      </c>
      <c r="V66" s="78">
        <f t="shared" ca="1" si="20"/>
        <v>0</v>
      </c>
      <c r="W66" s="78">
        <f t="shared" ca="1" si="20"/>
        <v>0</v>
      </c>
      <c r="X66" s="78">
        <f t="shared" ca="1" si="20"/>
        <v>0</v>
      </c>
      <c r="Y66" s="78">
        <f t="shared" ca="1" si="20"/>
        <v>0</v>
      </c>
      <c r="Z66" s="78">
        <f t="shared" ca="1" si="20"/>
        <v>0</v>
      </c>
      <c r="AA66" s="78">
        <f t="shared" ca="1" si="20"/>
        <v>0</v>
      </c>
      <c r="AB66" s="78">
        <f t="shared" ca="1" si="20"/>
        <v>0</v>
      </c>
      <c r="AC66" s="78">
        <f t="shared" ca="1" si="20"/>
        <v>0</v>
      </c>
      <c r="AD66" s="78">
        <f t="shared" ca="1" si="20"/>
        <v>0</v>
      </c>
      <c r="AE66" s="78">
        <f t="shared" ca="1" si="20"/>
        <v>0</v>
      </c>
      <c r="AF66" s="78">
        <f t="shared" ca="1" si="20"/>
        <v>0</v>
      </c>
      <c r="AG66" s="78">
        <f t="shared" ca="1" si="20"/>
        <v>0</v>
      </c>
      <c r="AH66" s="78">
        <f t="shared" ca="1" si="20"/>
        <v>0</v>
      </c>
      <c r="AI66" s="78">
        <f t="shared" ca="1" si="20"/>
        <v>0</v>
      </c>
      <c r="AJ66" s="78">
        <f t="shared" ca="1" si="20"/>
        <v>0</v>
      </c>
      <c r="AK66" s="78">
        <f t="shared" ca="1" si="20"/>
        <v>0</v>
      </c>
      <c r="AL66" s="78">
        <f t="shared" ca="1" si="20"/>
        <v>0</v>
      </c>
      <c r="AM66" s="78">
        <f t="shared" ca="1" si="20"/>
        <v>0</v>
      </c>
      <c r="AN66" s="78">
        <f t="shared" ca="1" si="20"/>
        <v>0</v>
      </c>
      <c r="AO66" s="78">
        <f t="shared" ca="1" si="20"/>
        <v>0</v>
      </c>
      <c r="AP66" s="78">
        <f t="shared" ca="1" si="20"/>
        <v>0</v>
      </c>
      <c r="AQ66" s="78">
        <f t="shared" ca="1" si="20"/>
        <v>0</v>
      </c>
      <c r="AR66" s="78">
        <f t="shared" ca="1" si="20"/>
        <v>0</v>
      </c>
      <c r="AS66" s="78">
        <f t="shared" ca="1" si="20"/>
        <v>0</v>
      </c>
      <c r="AT66" s="78">
        <f t="shared" ca="1" si="20"/>
        <v>0</v>
      </c>
      <c r="AU66" s="78">
        <f t="shared" ca="1" si="20"/>
        <v>0</v>
      </c>
      <c r="AV66" s="78">
        <f t="shared" ca="1" si="20"/>
        <v>0</v>
      </c>
      <c r="AW66" s="78">
        <f t="shared" ref="AW66:BJ66" ca="1" si="21">+ROUND(AW64-AW49,0)</f>
        <v>0</v>
      </c>
      <c r="AX66" s="78">
        <f t="shared" ca="1" si="21"/>
        <v>0</v>
      </c>
      <c r="AY66" s="78">
        <f t="shared" ca="1" si="21"/>
        <v>0</v>
      </c>
      <c r="AZ66" s="78">
        <f t="shared" ca="1" si="21"/>
        <v>0</v>
      </c>
      <c r="BA66" s="78">
        <f t="shared" ca="1" si="21"/>
        <v>0</v>
      </c>
      <c r="BB66" s="78">
        <f t="shared" ca="1" si="21"/>
        <v>0</v>
      </c>
      <c r="BC66" s="78">
        <f t="shared" ca="1" si="21"/>
        <v>0</v>
      </c>
      <c r="BD66" s="78">
        <f t="shared" ca="1" si="21"/>
        <v>0</v>
      </c>
      <c r="BE66" s="78">
        <f t="shared" ca="1" si="21"/>
        <v>0</v>
      </c>
      <c r="BF66" s="78">
        <f t="shared" ca="1" si="21"/>
        <v>0</v>
      </c>
      <c r="BG66" s="78">
        <f t="shared" ca="1" si="21"/>
        <v>0</v>
      </c>
      <c r="BH66" s="78">
        <f t="shared" ca="1" si="21"/>
        <v>0</v>
      </c>
      <c r="BI66" s="78">
        <f t="shared" ca="1" si="21"/>
        <v>0</v>
      </c>
      <c r="BJ66" s="78">
        <f t="shared" ca="1" si="21"/>
        <v>0</v>
      </c>
    </row>
    <row r="67" spans="1:62" x14ac:dyDescent="0.2">
      <c r="S67" s="590"/>
      <c r="T67" s="590"/>
      <c r="U67" s="590"/>
      <c r="V67" s="590"/>
      <c r="W67" s="590"/>
      <c r="X67" s="590"/>
      <c r="Y67" s="590"/>
      <c r="Z67" s="590"/>
      <c r="AA67" s="590"/>
      <c r="AB67" s="590"/>
      <c r="AC67" s="590"/>
      <c r="AD67" s="590"/>
      <c r="AE67" s="590"/>
      <c r="AF67" s="590"/>
      <c r="AG67" s="590"/>
      <c r="AH67" s="590"/>
      <c r="AI67" s="590"/>
      <c r="AJ67" s="590"/>
      <c r="AK67" s="590"/>
      <c r="AL67" s="590"/>
      <c r="AM67" s="590"/>
      <c r="AN67" s="590"/>
      <c r="AO67" s="590"/>
      <c r="AP67" s="590"/>
      <c r="AQ67" s="590"/>
      <c r="AR67" s="590"/>
      <c r="AS67" s="590"/>
      <c r="AT67" s="590"/>
      <c r="AU67" s="590"/>
      <c r="AV67" s="590"/>
      <c r="AW67" s="590"/>
      <c r="AX67" s="590"/>
      <c r="AY67" s="590"/>
      <c r="AZ67" s="590"/>
      <c r="BA67" s="590"/>
      <c r="BB67" s="590"/>
      <c r="BC67" s="590"/>
      <c r="BD67" s="590"/>
      <c r="BE67" s="590"/>
      <c r="BF67" s="590"/>
      <c r="BG67" s="590"/>
      <c r="BH67" s="590"/>
      <c r="BI67" s="590"/>
      <c r="BJ67" s="590"/>
    </row>
    <row r="68" spans="1:62" x14ac:dyDescent="0.2">
      <c r="U68" s="114"/>
    </row>
    <row r="69" spans="1:62" s="140" customFormat="1" ht="15.75" x14ac:dyDescent="0.25">
      <c r="A69" s="136"/>
      <c r="B69" s="136" t="s">
        <v>104</v>
      </c>
      <c r="C69" s="136"/>
      <c r="D69" s="136"/>
      <c r="E69" s="136"/>
      <c r="F69" s="136"/>
      <c r="G69" s="136"/>
      <c r="H69" s="136"/>
      <c r="I69" s="136"/>
      <c r="J69" s="136"/>
      <c r="K69" s="598"/>
      <c r="L69" s="136"/>
      <c r="M69" s="136"/>
      <c r="N69" s="136"/>
      <c r="O69" s="137"/>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row>
    <row r="72" spans="1:62" x14ac:dyDescent="0.2">
      <c r="C72" s="69" t="s">
        <v>105</v>
      </c>
    </row>
    <row r="73" spans="1:62" x14ac:dyDescent="0.2">
      <c r="C73" t="s">
        <v>106</v>
      </c>
      <c r="K73" s="160" t="s">
        <v>62</v>
      </c>
      <c r="N73" s="78">
        <f t="shared" ref="N73:N79" si="22">SUM(Q73:BJ73)</f>
        <v>31617619.88418154</v>
      </c>
      <c r="P73" s="75"/>
      <c r="Q73" s="78"/>
      <c r="R73" s="78"/>
      <c r="S73" s="78">
        <f>+CF!S25</f>
        <v>99995.383361491404</v>
      </c>
      <c r="T73" s="78">
        <f>+CF!T25</f>
        <v>110892.63499175895</v>
      </c>
      <c r="U73" s="78">
        <f>+CF!U25</f>
        <v>122977.44237811655</v>
      </c>
      <c r="V73" s="78">
        <f>+CF!V25</f>
        <v>136379.22243426612</v>
      </c>
      <c r="W73" s="78">
        <f>+CF!W25</f>
        <v>147989.64874127222</v>
      </c>
      <c r="X73" s="78">
        <f>+CF!X25</f>
        <v>160588.51006516948</v>
      </c>
      <c r="Y73" s="78">
        <f>+CF!Y25</f>
        <v>174259.95523536199</v>
      </c>
      <c r="Z73" s="78">
        <f>+CF!Z25</f>
        <v>189095.29695684407</v>
      </c>
      <c r="AA73" s="78">
        <f>+CF!AA25</f>
        <v>205193.6216952556</v>
      </c>
      <c r="AB73" s="78">
        <f>+CF!AB25</f>
        <v>218151.68779285997</v>
      </c>
      <c r="AC73" s="78">
        <f>+CF!AC25</f>
        <v>231928.06137781523</v>
      </c>
      <c r="AD73" s="78">
        <f>+CF!AD25</f>
        <v>246574.41892242918</v>
      </c>
      <c r="AE73" s="78">
        <f>+CF!AE25</f>
        <v>262145.70029062143</v>
      </c>
      <c r="AF73" s="78">
        <f>+CF!AF25</f>
        <v>278700.31482251739</v>
      </c>
      <c r="AG73" s="78">
        <f>+CF!AG25</f>
        <v>305795.33461873961</v>
      </c>
      <c r="AH73" s="78">
        <f>+CF!AH25</f>
        <v>335524.51038362371</v>
      </c>
      <c r="AI73" s="78">
        <f>+CF!AI25</f>
        <v>368143.9326356274</v>
      </c>
      <c r="AJ73" s="78">
        <f>+CF!AJ25</f>
        <v>403934.58880684001</v>
      </c>
      <c r="AK73" s="78">
        <f>+CF!AK25</f>
        <v>443204.78370084305</v>
      </c>
      <c r="AL73" s="78">
        <f>+CF!AL25</f>
        <v>486909.90690950124</v>
      </c>
      <c r="AM73" s="78">
        <f>+CF!AM25</f>
        <v>534924.8612953726</v>
      </c>
      <c r="AN73" s="78">
        <f>+CF!AN25</f>
        <v>587674.64611283329</v>
      </c>
      <c r="AO73" s="78">
        <f>+CF!AO25</f>
        <v>645626.17046348774</v>
      </c>
      <c r="AP73" s="78">
        <f>+CF!AP25</f>
        <v>709292.3860923493</v>
      </c>
      <c r="AQ73" s="78">
        <f>+CF!AQ25</f>
        <v>750382.9050056797</v>
      </c>
      <c r="AR73" s="78">
        <f>+CF!AR25</f>
        <v>793853.86783420376</v>
      </c>
      <c r="AS73" s="78">
        <f>+CF!AS25</f>
        <v>839843.17775810137</v>
      </c>
      <c r="AT73" s="78">
        <f>+CF!AT25</f>
        <v>888496.72692422429</v>
      </c>
      <c r="AU73" s="78">
        <f>+CF!AU25</f>
        <v>939968.8592605762</v>
      </c>
      <c r="AV73" s="78">
        <f>+CF!AV25</f>
        <v>993784.81824656378</v>
      </c>
      <c r="AW73" s="78">
        <f>+CF!AW25</f>
        <v>1050681.8978601643</v>
      </c>
      <c r="AX73" s="78">
        <f>+CF!AX25</f>
        <v>1110836.5012446234</v>
      </c>
      <c r="AY73" s="78">
        <f>+CF!AY25</f>
        <v>1174435.131137687</v>
      </c>
      <c r="AZ73" s="78">
        <f>+CF!AZ25</f>
        <v>1241674.9681028472</v>
      </c>
      <c r="BA73" s="78">
        <f>+CF!BA25</f>
        <v>1299492.443952414</v>
      </c>
      <c r="BB73" s="78">
        <f>+CF!BB25</f>
        <v>1360002.1384578201</v>
      </c>
      <c r="BC73" s="78">
        <f>+CF!BC25</f>
        <v>1423329.4123544544</v>
      </c>
      <c r="BD73" s="78">
        <f>+CF!BD25</f>
        <v>1489605.4636873708</v>
      </c>
      <c r="BE73" s="78">
        <f>+CF!BE25</f>
        <v>1558967.5996203499</v>
      </c>
      <c r="BF73" s="78">
        <f>+CF!BF25</f>
        <v>1616727.695374218</v>
      </c>
      <c r="BG73" s="78">
        <f>+CF!BG25</f>
        <v>1676627.8155021067</v>
      </c>
      <c r="BH73" s="78">
        <f>+CF!BH25</f>
        <v>1738747.248382292</v>
      </c>
      <c r="BI73" s="78">
        <f>+CF!BI25</f>
        <v>1803168.2200450725</v>
      </c>
      <c r="BJ73" s="78">
        <f>+CF!BJ25</f>
        <v>461089.97334577679</v>
      </c>
    </row>
    <row r="74" spans="1:62" x14ac:dyDescent="0.2">
      <c r="C74" t="s">
        <v>72</v>
      </c>
      <c r="K74" s="160" t="s">
        <v>62</v>
      </c>
      <c r="N74" s="78">
        <f t="shared" si="22"/>
        <v>246032.33600601187</v>
      </c>
      <c r="P74" s="75"/>
      <c r="Q74" s="78"/>
      <c r="R74" s="78"/>
      <c r="S74" s="78">
        <f>+CF!S43</f>
        <v>0</v>
      </c>
      <c r="T74" s="78">
        <f>+CF!T43</f>
        <v>2933.937622086924</v>
      </c>
      <c r="U74" s="78">
        <f>+CF!U43</f>
        <v>940.6351316665299</v>
      </c>
      <c r="V74" s="78">
        <f>+CF!V43</f>
        <v>1180.3461841882392</v>
      </c>
      <c r="W74" s="78">
        <f>+CF!W43</f>
        <v>1392.855798373562</v>
      </c>
      <c r="X74" s="78">
        <f>+CF!X43</f>
        <v>1567.8927138781878</v>
      </c>
      <c r="Y74" s="78">
        <f>+CF!Y43</f>
        <v>1733.2721968863589</v>
      </c>
      <c r="Z74" s="78">
        <f>+CF!Z43</f>
        <v>1902.9812601184744</v>
      </c>
      <c r="AA74" s="78">
        <f>+CF!AA43</f>
        <v>2074.7351020773285</v>
      </c>
      <c r="AB74" s="78">
        <f>+CF!AB43</f>
        <v>2212.8585877595424</v>
      </c>
      <c r="AC74" s="78">
        <f>+CF!AC43</f>
        <v>2330.3773691569895</v>
      </c>
      <c r="AD74" s="78">
        <f>+CF!AD43</f>
        <v>2418.2959333556219</v>
      </c>
      <c r="AE74" s="78">
        <f>+CF!AE43</f>
        <v>2579.0949092429973</v>
      </c>
      <c r="AF74" s="78">
        <f>+CF!AF43</f>
        <v>2696.1751882153148</v>
      </c>
      <c r="AG74" s="78">
        <f>+CF!AG43</f>
        <v>2839.6666328661431</v>
      </c>
      <c r="AH74" s="78">
        <f>+CF!AH43</f>
        <v>3105.9161260773412</v>
      </c>
      <c r="AI74" s="78">
        <f>+CF!AI43</f>
        <v>3411.5832240242535</v>
      </c>
      <c r="AJ74" s="78">
        <f>+CF!AJ43</f>
        <v>3768.0917971796848</v>
      </c>
      <c r="AK74" s="78">
        <f>+CF!AK43</f>
        <v>4073.6348544397351</v>
      </c>
      <c r="AL74" s="78">
        <f>+CF!AL43</f>
        <v>4320.6180431709508</v>
      </c>
      <c r="AM74" s="78">
        <f>+CF!AM43</f>
        <v>4797.2675879554872</v>
      </c>
      <c r="AN74" s="78">
        <f>+CF!AN43</f>
        <v>5638.7025356995109</v>
      </c>
      <c r="AO74" s="78">
        <f>+CF!AO43</f>
        <v>5664.2656594535383</v>
      </c>
      <c r="AP74" s="78">
        <f>+CF!AP43</f>
        <v>5923.2709353723476</v>
      </c>
      <c r="AQ74" s="78">
        <f>+CF!AQ43</f>
        <v>5964.8664794603264</v>
      </c>
      <c r="AR74" s="78">
        <f>+CF!AR43</f>
        <v>6134.1481172792337</v>
      </c>
      <c r="AS74" s="78">
        <f>+CF!AS43</f>
        <v>6339.194453137532</v>
      </c>
      <c r="AT74" s="78">
        <f>+CF!AT43</f>
        <v>6577.3231478792877</v>
      </c>
      <c r="AU74" s="78">
        <f>+CF!AU43</f>
        <v>9006.5046993014894</v>
      </c>
      <c r="AV74" s="78">
        <f>+CF!AV43</f>
        <v>9125.9065121812091</v>
      </c>
      <c r="AW74" s="78">
        <f>+CF!AW43</f>
        <v>9465.0985390987535</v>
      </c>
      <c r="AX74" s="78">
        <f>+CF!AX43</f>
        <v>9787.7998764432105</v>
      </c>
      <c r="AY74" s="78">
        <f>+CF!AY43</f>
        <v>10381.737567421795</v>
      </c>
      <c r="AZ74" s="78">
        <f>+CF!AZ43</f>
        <v>10650.770306827853</v>
      </c>
      <c r="BA74" s="78">
        <f>+CF!BA43</f>
        <v>10806.024617332281</v>
      </c>
      <c r="BB74" s="78">
        <f>+CF!BB43</f>
        <v>10971.409959314491</v>
      </c>
      <c r="BC74" s="78">
        <f>+CF!BC43</f>
        <v>11072.161126111594</v>
      </c>
      <c r="BD74" s="78">
        <f>+CF!BD43</f>
        <v>11355.312685980001</v>
      </c>
      <c r="BE74" s="78">
        <f>+CF!BE43</f>
        <v>9642.6086918270485</v>
      </c>
      <c r="BF74" s="78">
        <f>+CF!BF43</f>
        <v>9736.9246790448087</v>
      </c>
      <c r="BG74" s="78">
        <f>+CF!BG43</f>
        <v>9624.1770197395927</v>
      </c>
      <c r="BH74" s="78">
        <f>+CF!BH43</f>
        <v>9434.8959840826774</v>
      </c>
      <c r="BI74" s="78">
        <f>+CF!BI43</f>
        <v>8508.7060004751474</v>
      </c>
      <c r="BJ74" s="78">
        <f>+CF!BJ43</f>
        <v>1940.2901498285173</v>
      </c>
    </row>
    <row r="75" spans="1:62" x14ac:dyDescent="0.2">
      <c r="C75" t="s">
        <v>498</v>
      </c>
      <c r="K75" s="160" t="s">
        <v>62</v>
      </c>
      <c r="N75" s="78">
        <f t="shared" ref="N75" si="23">SUM(Q75:BJ75)</f>
        <v>680</v>
      </c>
      <c r="P75" s="75"/>
      <c r="Q75" s="78"/>
      <c r="R75" s="78"/>
      <c r="S75" s="78">
        <f>+CF!S30</f>
        <v>680</v>
      </c>
      <c r="T75" s="78">
        <f>+CF!T30</f>
        <v>0</v>
      </c>
      <c r="U75" s="78">
        <f>+CF!U30</f>
        <v>0</v>
      </c>
      <c r="V75" s="78">
        <f>+CF!V30</f>
        <v>0</v>
      </c>
      <c r="W75" s="78">
        <f>+CF!W30</f>
        <v>0</v>
      </c>
      <c r="X75" s="78">
        <f>+CF!X30</f>
        <v>0</v>
      </c>
      <c r="Y75" s="78">
        <f>+CF!Y30</f>
        <v>0</v>
      </c>
      <c r="Z75" s="78">
        <f>+CF!Z30</f>
        <v>0</v>
      </c>
      <c r="AA75" s="78">
        <f>+CF!AA30</f>
        <v>0</v>
      </c>
      <c r="AB75" s="78">
        <f>+CF!AB30</f>
        <v>0</v>
      </c>
      <c r="AC75" s="78">
        <f>+CF!AC30</f>
        <v>0</v>
      </c>
      <c r="AD75" s="78">
        <f>+CF!AD30</f>
        <v>0</v>
      </c>
      <c r="AE75" s="78">
        <f>+CF!AE30</f>
        <v>0</v>
      </c>
      <c r="AF75" s="78">
        <f>+CF!AF30</f>
        <v>0</v>
      </c>
      <c r="AG75" s="78">
        <f>+CF!AG30</f>
        <v>0</v>
      </c>
      <c r="AH75" s="78">
        <f>+CF!AH30</f>
        <v>0</v>
      </c>
      <c r="AI75" s="78">
        <f>+CF!AI30</f>
        <v>0</v>
      </c>
      <c r="AJ75" s="78">
        <f>+CF!AJ30</f>
        <v>0</v>
      </c>
      <c r="AK75" s="78">
        <f>+CF!AK30</f>
        <v>0</v>
      </c>
      <c r="AL75" s="78">
        <f>+CF!AL30</f>
        <v>0</v>
      </c>
      <c r="AM75" s="78">
        <f>+CF!AM30</f>
        <v>0</v>
      </c>
      <c r="AN75" s="78">
        <f>+CF!AN30</f>
        <v>0</v>
      </c>
      <c r="AO75" s="78">
        <f>+CF!AO30</f>
        <v>0</v>
      </c>
      <c r="AP75" s="78">
        <f>+CF!AP30</f>
        <v>0</v>
      </c>
      <c r="AQ75" s="78">
        <f>+CF!AQ30</f>
        <v>0</v>
      </c>
      <c r="AR75" s="78">
        <f>+CF!AR30</f>
        <v>0</v>
      </c>
      <c r="AS75" s="78">
        <f>+CF!AS30</f>
        <v>0</v>
      </c>
      <c r="AT75" s="78">
        <f>+CF!AT30</f>
        <v>0</v>
      </c>
      <c r="AU75" s="78">
        <f>+CF!AU30</f>
        <v>0</v>
      </c>
      <c r="AV75" s="78">
        <f>+CF!AV30</f>
        <v>0</v>
      </c>
      <c r="AW75" s="78">
        <f>+CF!AW30</f>
        <v>0</v>
      </c>
      <c r="AX75" s="78">
        <f>+CF!AX30</f>
        <v>0</v>
      </c>
      <c r="AY75" s="78">
        <f>+CF!AY30</f>
        <v>0</v>
      </c>
      <c r="AZ75" s="78">
        <f>+CF!AZ30</f>
        <v>0</v>
      </c>
      <c r="BA75" s="78">
        <f>+CF!BA30</f>
        <v>0</v>
      </c>
      <c r="BB75" s="78">
        <f>+CF!BB30</f>
        <v>0</v>
      </c>
      <c r="BC75" s="78">
        <f>+CF!BC30</f>
        <v>0</v>
      </c>
      <c r="BD75" s="78">
        <f>+CF!BD30</f>
        <v>0</v>
      </c>
      <c r="BE75" s="78">
        <f>+CF!BE30</f>
        <v>0</v>
      </c>
      <c r="BF75" s="78">
        <f>+CF!BF30</f>
        <v>0</v>
      </c>
      <c r="BG75" s="78">
        <f>+CF!BG30</f>
        <v>0</v>
      </c>
      <c r="BH75" s="78">
        <f>+CF!BH30</f>
        <v>0</v>
      </c>
      <c r="BI75" s="78">
        <f>+CF!BI30</f>
        <v>0</v>
      </c>
      <c r="BJ75" s="78">
        <f>+CF!BJ30</f>
        <v>0</v>
      </c>
    </row>
    <row r="76" spans="1:62" x14ac:dyDescent="0.2">
      <c r="C76" t="s">
        <v>107</v>
      </c>
      <c r="K76" s="160" t="s">
        <v>62</v>
      </c>
      <c r="N76" s="78">
        <f t="shared" si="22"/>
        <v>1766191.0294188838</v>
      </c>
      <c r="P76" s="75"/>
      <c r="Q76" s="78"/>
      <c r="R76" s="78"/>
      <c r="S76" s="78">
        <f>+CF!S37 - +Fin!S37</f>
        <v>0</v>
      </c>
      <c r="T76" s="78">
        <f>+CF!T37 - +Fin!T37</f>
        <v>400000</v>
      </c>
      <c r="U76" s="78">
        <f>+CF!U37 - +Fin!U37</f>
        <v>3321.3370258702384</v>
      </c>
      <c r="V76" s="78">
        <f>+CF!V37 - +Fin!V37</f>
        <v>4855.5300603970763</v>
      </c>
      <c r="W76" s="78">
        <f>+CF!W37 - +Fin!W37</f>
        <v>5234.7233595289154</v>
      </c>
      <c r="X76" s="78">
        <f>+CF!X37 - +Fin!X37</f>
        <v>5643.5298123881421</v>
      </c>
      <c r="Y76" s="78">
        <f>+CF!Y37 - +Fin!Y37</f>
        <v>8374.1046980874198</v>
      </c>
      <c r="Z76" s="78">
        <f>+CF!Z37 - +Fin!Z37</f>
        <v>19621.907719577626</v>
      </c>
      <c r="AA76" s="78">
        <f>+CF!AA37 - +Fin!AA37</f>
        <v>20288.656840787982</v>
      </c>
      <c r="AB76" s="78">
        <f>+CF!AB37 - +Fin!AB37</f>
        <v>16508.127427618201</v>
      </c>
      <c r="AC76" s="78">
        <f>+CF!AC37 - +Fin!AC37</f>
        <v>12674.945589399376</v>
      </c>
      <c r="AD76" s="78">
        <f>+CF!AD37 - +Fin!AD37</f>
        <v>69036.485568968012</v>
      </c>
      <c r="AE76" s="78">
        <f>+CF!AE37 - +Fin!AE37</f>
        <v>7237.1216948748361</v>
      </c>
      <c r="AF76" s="78">
        <f>+CF!AF37 - +Fin!AF37</f>
        <v>21999.501092860253</v>
      </c>
      <c r="AG76" s="78">
        <f>+CF!AG37 - +Fin!AG37</f>
        <v>30571.252388052017</v>
      </c>
      <c r="AH76" s="78">
        <f>+CF!AH37 - +Fin!AH37</f>
        <v>41319.387906036922</v>
      </c>
      <c r="AI76" s="78">
        <f>+CF!AI37 - +Fin!AI37</f>
        <v>64086.303096119562</v>
      </c>
      <c r="AJ76" s="78">
        <f>+CF!AJ37 - +Fin!AJ37</f>
        <v>89078.807756174501</v>
      </c>
      <c r="AK76" s="78">
        <f>+CF!AK37 - +Fin!AK37</f>
        <v>106569.06698689944</v>
      </c>
      <c r="AL76" s="78">
        <f>+CF!AL37 - +Fin!AL37</f>
        <v>127643.71991012018</v>
      </c>
      <c r="AM76" s="78">
        <f>+CF!AM37 - +Fin!AM37</f>
        <v>191998.67816823407</v>
      </c>
      <c r="AN76" s="78">
        <f>+CF!AN37 - +Fin!AN37</f>
        <v>317645.24497716688</v>
      </c>
      <c r="AO76" s="78">
        <f>+CF!AO37 - +Fin!AO37</f>
        <v>14813.35989367567</v>
      </c>
      <c r="AP76" s="78">
        <f>+CF!AP37 - +Fin!AP37</f>
        <v>16163.392726188255</v>
      </c>
      <c r="AQ76" s="78">
        <f>+CF!AQ37 - +Fin!AQ37</f>
        <v>14764.028626131159</v>
      </c>
      <c r="AR76" s="78">
        <f>+CF!AR37 - +Fin!AR37</f>
        <v>13485.816063854612</v>
      </c>
      <c r="AS76" s="78">
        <f>+CF!AS37 - +Fin!AS37</f>
        <v>12318.266207248376</v>
      </c>
      <c r="AT76" s="78">
        <f>+CF!AT37 - +Fin!AT37</f>
        <v>11251.798306766013</v>
      </c>
      <c r="AU76" s="78">
        <f>+CF!AU37 - +Fin!AU37</f>
        <v>10277.661077144619</v>
      </c>
      <c r="AV76" s="78">
        <f>+CF!AV37 - +Fin!AV37</f>
        <v>8166.9757688525569</v>
      </c>
      <c r="AW76" s="78">
        <f>+CF!AW37 - +Fin!AW37</f>
        <v>0</v>
      </c>
      <c r="AX76" s="78">
        <f>+CF!AX37 - +Fin!AX37</f>
        <v>101241.29866986125</v>
      </c>
      <c r="AY76" s="78">
        <f>+CF!AY37 - +Fin!AY37</f>
        <v>0</v>
      </c>
      <c r="AZ76" s="78">
        <f>+CF!AZ37 - +Fin!AZ37</f>
        <v>0</v>
      </c>
      <c r="BA76" s="78">
        <f>+CF!BA37 - +Fin!BA37</f>
        <v>0</v>
      </c>
      <c r="BB76" s="78">
        <f>+CF!BB37 - +Fin!BB37</f>
        <v>0</v>
      </c>
      <c r="BC76" s="78">
        <f>+CF!BC37 - +Fin!BC37</f>
        <v>0</v>
      </c>
      <c r="BD76" s="78">
        <f>+CF!BD37 - +Fin!BD37</f>
        <v>0</v>
      </c>
      <c r="BE76" s="78">
        <f>+CF!BE37 - +Fin!BE37</f>
        <v>0</v>
      </c>
      <c r="BF76" s="78">
        <f>+CF!BF37 - +Fin!BF37</f>
        <v>0</v>
      </c>
      <c r="BG76" s="78">
        <f>+CF!BG37 - +Fin!BG37</f>
        <v>0</v>
      </c>
      <c r="BH76" s="78">
        <f>+CF!BH37 - +Fin!BH37</f>
        <v>0</v>
      </c>
      <c r="BI76" s="78">
        <f>+CF!BI37 - +Fin!BI37</f>
        <v>0</v>
      </c>
      <c r="BJ76" s="78">
        <f>+CF!BJ37 - +Fin!BJ37</f>
        <v>0</v>
      </c>
    </row>
    <row r="77" spans="1:62" x14ac:dyDescent="0.2">
      <c r="C77" t="s">
        <v>108</v>
      </c>
      <c r="K77" s="160" t="s">
        <v>62</v>
      </c>
      <c r="N77" s="78">
        <f t="shared" si="22"/>
        <v>0</v>
      </c>
      <c r="P77" s="75"/>
      <c r="Q77" s="78"/>
      <c r="R77" s="78"/>
      <c r="S77" s="78">
        <f>+Fin!S37</f>
        <v>0</v>
      </c>
      <c r="T77" s="78">
        <f>+Fin!T37</f>
        <v>0</v>
      </c>
      <c r="U77" s="78">
        <f>+Fin!U37</f>
        <v>0</v>
      </c>
      <c r="V77" s="78">
        <f>+Fin!V37</f>
        <v>0</v>
      </c>
      <c r="W77" s="78">
        <f>+Fin!W37</f>
        <v>0</v>
      </c>
      <c r="X77" s="78">
        <f>+Fin!X37</f>
        <v>0</v>
      </c>
      <c r="Y77" s="78">
        <f>+Fin!Y37</f>
        <v>0</v>
      </c>
      <c r="Z77" s="78">
        <f>+Fin!Z37</f>
        <v>0</v>
      </c>
      <c r="AA77" s="78">
        <f>+Fin!AA37</f>
        <v>0</v>
      </c>
      <c r="AB77" s="78">
        <f>+Fin!AB37</f>
        <v>0</v>
      </c>
      <c r="AC77" s="78">
        <f>+Fin!AC37</f>
        <v>0</v>
      </c>
      <c r="AD77" s="78">
        <f>+Fin!AD37</f>
        <v>0</v>
      </c>
      <c r="AE77" s="78">
        <f>+Fin!AE37</f>
        <v>0</v>
      </c>
      <c r="AF77" s="78">
        <f>+Fin!AF37</f>
        <v>0</v>
      </c>
      <c r="AG77" s="78">
        <f>+Fin!AG37</f>
        <v>0</v>
      </c>
      <c r="AH77" s="78">
        <f>+Fin!AH37</f>
        <v>0</v>
      </c>
      <c r="AI77" s="78">
        <f>+Fin!AI37</f>
        <v>0</v>
      </c>
      <c r="AJ77" s="78">
        <f>+Fin!AJ37</f>
        <v>0</v>
      </c>
      <c r="AK77" s="78">
        <f>+Fin!AK37</f>
        <v>0</v>
      </c>
      <c r="AL77" s="78">
        <f>+Fin!AL37</f>
        <v>0</v>
      </c>
      <c r="AM77" s="78">
        <f>+Fin!AM37</f>
        <v>0</v>
      </c>
      <c r="AN77" s="78">
        <f>+Fin!AN37</f>
        <v>0</v>
      </c>
      <c r="AO77" s="78">
        <f>+Fin!AO37</f>
        <v>0</v>
      </c>
      <c r="AP77" s="78">
        <f>+Fin!AP37</f>
        <v>0</v>
      </c>
      <c r="AQ77" s="78">
        <f>+Fin!AQ37</f>
        <v>0</v>
      </c>
      <c r="AR77" s="78">
        <f>+Fin!AR37</f>
        <v>0</v>
      </c>
      <c r="AS77" s="78">
        <f>+Fin!AS37</f>
        <v>0</v>
      </c>
      <c r="AT77" s="78">
        <f>+Fin!AT37</f>
        <v>0</v>
      </c>
      <c r="AU77" s="78">
        <f>+Fin!AU37</f>
        <v>0</v>
      </c>
      <c r="AV77" s="78">
        <f>+Fin!AV37</f>
        <v>0</v>
      </c>
      <c r="AW77" s="78">
        <f>+Fin!AW37</f>
        <v>0</v>
      </c>
      <c r="AX77" s="78">
        <f>+Fin!AX37</f>
        <v>0</v>
      </c>
      <c r="AY77" s="78">
        <f>+Fin!AY37</f>
        <v>0</v>
      </c>
      <c r="AZ77" s="78">
        <f>+Fin!AZ37</f>
        <v>0</v>
      </c>
      <c r="BA77" s="78">
        <f>+Fin!BA37</f>
        <v>0</v>
      </c>
      <c r="BB77" s="78">
        <f>+Fin!BB37</f>
        <v>0</v>
      </c>
      <c r="BC77" s="78">
        <f>+Fin!BC37</f>
        <v>0</v>
      </c>
      <c r="BD77" s="78">
        <f>+Fin!BD37</f>
        <v>0</v>
      </c>
      <c r="BE77" s="78">
        <f>+Fin!BE37</f>
        <v>0</v>
      </c>
      <c r="BF77" s="78">
        <f>+Fin!BF37</f>
        <v>0</v>
      </c>
      <c r="BG77" s="78">
        <f>+Fin!BG37</f>
        <v>0</v>
      </c>
      <c r="BH77" s="78">
        <f>+Fin!BH37</f>
        <v>0</v>
      </c>
      <c r="BI77" s="78">
        <f>+Fin!BI37</f>
        <v>0</v>
      </c>
      <c r="BJ77" s="78">
        <f>+Fin!BJ37</f>
        <v>0</v>
      </c>
    </row>
    <row r="78" spans="1:62" x14ac:dyDescent="0.2">
      <c r="C78" t="s">
        <v>109</v>
      </c>
      <c r="K78" s="160" t="s">
        <v>62</v>
      </c>
      <c r="N78" s="78">
        <f t="shared" si="22"/>
        <v>506568.94874179538</v>
      </c>
      <c r="P78" s="75"/>
      <c r="Q78" s="78"/>
      <c r="R78" s="78"/>
      <c r="S78" s="78">
        <f>-(Fin!S252+Fin!S277+Fin!S307)</f>
        <v>0</v>
      </c>
      <c r="T78" s="78">
        <f>-(Fin!T252+Fin!T277+Fin!T307)</f>
        <v>227791.51092629493</v>
      </c>
      <c r="U78" s="78">
        <f>-(Fin!U252+Fin!U277+Fin!U307)</f>
        <v>0</v>
      </c>
      <c r="V78" s="78">
        <f>-(Fin!V252+Fin!V277+Fin!V307)</f>
        <v>0</v>
      </c>
      <c r="W78" s="78">
        <f>-(Fin!W252+Fin!W277+Fin!W307)</f>
        <v>0</v>
      </c>
      <c r="X78" s="78">
        <f>-(Fin!X252+Fin!X277+Fin!X307)</f>
        <v>0</v>
      </c>
      <c r="Y78" s="78">
        <f>-(Fin!Y252+Fin!Y277+Fin!Y307)</f>
        <v>0</v>
      </c>
      <c r="Z78" s="78">
        <f>-(Fin!Z252+Fin!Z277+Fin!Z307)</f>
        <v>0</v>
      </c>
      <c r="AA78" s="78">
        <f>-(Fin!AA252+Fin!AA277+Fin!AA307)</f>
        <v>0</v>
      </c>
      <c r="AB78" s="78">
        <f>-(Fin!AB252+Fin!AB277+Fin!AB307)</f>
        <v>0</v>
      </c>
      <c r="AC78" s="78">
        <f>-(Fin!AC252+Fin!AC277+Fin!AC307)</f>
        <v>0</v>
      </c>
      <c r="AD78" s="78">
        <f>-(Fin!AD252+Fin!AD277+Fin!AD307)</f>
        <v>0</v>
      </c>
      <c r="AE78" s="78">
        <f>-(Fin!AE252+Fin!AE277+Fin!AE307)</f>
        <v>0</v>
      </c>
      <c r="AF78" s="78">
        <f>-(Fin!AF252+Fin!AF277+Fin!AF307)</f>
        <v>0</v>
      </c>
      <c r="AG78" s="78">
        <f>-(Fin!AG252+Fin!AG277+Fin!AG307)</f>
        <v>0</v>
      </c>
      <c r="AH78" s="78">
        <f>-(Fin!AH252+Fin!AH277+Fin!AH307)</f>
        <v>0</v>
      </c>
      <c r="AI78" s="78">
        <f>-(Fin!AI252+Fin!AI277+Fin!AI307)</f>
        <v>0</v>
      </c>
      <c r="AJ78" s="78">
        <f>-(Fin!AJ252+Fin!AJ277+Fin!AJ307)</f>
        <v>0</v>
      </c>
      <c r="AK78" s="78">
        <f>-(Fin!AK252+Fin!AK277+Fin!AK307)</f>
        <v>0</v>
      </c>
      <c r="AL78" s="78">
        <f>-(Fin!AL252+Fin!AL277+Fin!AL307)</f>
        <v>0</v>
      </c>
      <c r="AM78" s="78">
        <f>-(Fin!AM252+Fin!AM277+Fin!AM307)</f>
        <v>0</v>
      </c>
      <c r="AN78" s="78">
        <f>-(Fin!AN252+Fin!AN277+Fin!AN307)</f>
        <v>13951.148182811303</v>
      </c>
      <c r="AO78" s="78">
        <f>-(Fin!AO252+Fin!AO277+Fin!AO307)</f>
        <v>1038.6214282925066</v>
      </c>
      <c r="AP78" s="78">
        <f>-(Fin!AP252+Fin!AP277+Fin!AP307)</f>
        <v>3449.5920875071097</v>
      </c>
      <c r="AQ78" s="78">
        <f>-(Fin!AQ252+Fin!AQ277+Fin!AQ307)</f>
        <v>2802.2028777644227</v>
      </c>
      <c r="AR78" s="78">
        <f>-(Fin!AR252+Fin!AR277+Fin!AR307)</f>
        <v>1697.1840901436044</v>
      </c>
      <c r="AS78" s="78">
        <f>-(Fin!AS252+Fin!AS277+Fin!AS307)</f>
        <v>102.42854510110919</v>
      </c>
      <c r="AT78" s="78">
        <f>-(Fin!AT252+Fin!AT277+Fin!AT307)</f>
        <v>0</v>
      </c>
      <c r="AU78" s="78">
        <f>-(Fin!AU252+Fin!AU277+Fin!AU307)</f>
        <v>0</v>
      </c>
      <c r="AV78" s="78">
        <f>-(Fin!AV252+Fin!AV277+Fin!AV307)</f>
        <v>0</v>
      </c>
      <c r="AW78" s="78">
        <f>-(Fin!AW252+Fin!AW277+Fin!AW307)</f>
        <v>357.0440438396181</v>
      </c>
      <c r="AX78" s="78">
        <f>-(Fin!AX252+Fin!AX277+Fin!AX307)</f>
        <v>0</v>
      </c>
      <c r="AY78" s="78">
        <f>-(Fin!AY252+Fin!AY277+Fin!AY307)</f>
        <v>265.70663117070944</v>
      </c>
      <c r="AZ78" s="78">
        <f>-(Fin!AZ252+Fin!AZ277+Fin!AZ307)</f>
        <v>3637.8015403263707</v>
      </c>
      <c r="BA78" s="78">
        <f>-(Fin!BA252+Fin!BA277+Fin!BA307)</f>
        <v>2926.2893429047181</v>
      </c>
      <c r="BB78" s="78">
        <f>-(Fin!BB252+Fin!BB277+Fin!BB307)</f>
        <v>912.5298011075356</v>
      </c>
      <c r="BC78" s="78">
        <f>-(Fin!BC252+Fin!BC277+Fin!BC307)</f>
        <v>263.47669073019642</v>
      </c>
      <c r="BD78" s="78">
        <f>-(Fin!BD252+Fin!BD277+Fin!BD307)</f>
        <v>247373.41255380132</v>
      </c>
      <c r="BE78" s="78">
        <f>-(Fin!BE252+Fin!BE277+Fin!BE307)</f>
        <v>0</v>
      </c>
      <c r="BF78" s="78">
        <f>-(Fin!BF252+Fin!BF277+Fin!BF307)</f>
        <v>0</v>
      </c>
      <c r="BG78" s="78">
        <f>-(Fin!BG252+Fin!BG277+Fin!BG307)</f>
        <v>0</v>
      </c>
      <c r="BH78" s="78">
        <f>-(Fin!BH252+Fin!BH277+Fin!BH307)</f>
        <v>0</v>
      </c>
      <c r="BI78" s="78">
        <f>-(Fin!BI252+Fin!BI277+Fin!BI307)</f>
        <v>0</v>
      </c>
      <c r="BJ78" s="78">
        <f>-(Fin!BJ252+Fin!BJ277+Fin!BJ307)</f>
        <v>0</v>
      </c>
    </row>
    <row r="79" spans="1:62" x14ac:dyDescent="0.2">
      <c r="C79" t="s">
        <v>43</v>
      </c>
      <c r="K79" s="160" t="s">
        <v>62</v>
      </c>
      <c r="N79" s="78">
        <f t="shared" si="22"/>
        <v>0</v>
      </c>
      <c r="P79" s="75"/>
      <c r="Q79" s="78"/>
      <c r="R79" s="78"/>
      <c r="S79" s="78">
        <f>-CF!S54+CF!S23</f>
        <v>0</v>
      </c>
      <c r="T79" s="78">
        <f>-CF!T54+CF!T23</f>
        <v>0</v>
      </c>
      <c r="U79" s="78">
        <f>-CF!U54+CF!U23</f>
        <v>0</v>
      </c>
      <c r="V79" s="78">
        <f>-CF!V54+CF!V23</f>
        <v>0</v>
      </c>
      <c r="W79" s="78">
        <f>-CF!W54+CF!W23</f>
        <v>0</v>
      </c>
      <c r="X79" s="78">
        <f>-CF!X54+CF!X23</f>
        <v>0</v>
      </c>
      <c r="Y79" s="78">
        <f>-CF!Y54+CF!Y23</f>
        <v>0</v>
      </c>
      <c r="Z79" s="78">
        <f>-CF!Z54+CF!Z23</f>
        <v>0</v>
      </c>
      <c r="AA79" s="78">
        <f>-CF!AA54+CF!AA23</f>
        <v>0</v>
      </c>
      <c r="AB79" s="78">
        <f>-CF!AB54+CF!AB23</f>
        <v>0</v>
      </c>
      <c r="AC79" s="78">
        <f>-CF!AC54+CF!AC23</f>
        <v>0</v>
      </c>
      <c r="AD79" s="78">
        <f>-CF!AD54+CF!AD23</f>
        <v>0</v>
      </c>
      <c r="AE79" s="78">
        <f>-CF!AE54+CF!AE23</f>
        <v>0</v>
      </c>
      <c r="AF79" s="78">
        <f>-CF!AF54+CF!AF23</f>
        <v>0</v>
      </c>
      <c r="AG79" s="78">
        <f>-CF!AG54+CF!AG23</f>
        <v>0</v>
      </c>
      <c r="AH79" s="78">
        <f>-CF!AH54+CF!AH23</f>
        <v>0</v>
      </c>
      <c r="AI79" s="78">
        <f>-CF!AI54+CF!AI23</f>
        <v>0</v>
      </c>
      <c r="AJ79" s="78">
        <f>-CF!AJ54+CF!AJ23</f>
        <v>0</v>
      </c>
      <c r="AK79" s="78">
        <f>-CF!AK54+CF!AK23</f>
        <v>0</v>
      </c>
      <c r="AL79" s="78">
        <f>-CF!AL54+CF!AL23</f>
        <v>0</v>
      </c>
      <c r="AM79" s="78">
        <f>-CF!AM54+CF!AM23</f>
        <v>0</v>
      </c>
      <c r="AN79" s="78">
        <f>-CF!AN54+CF!AN23</f>
        <v>0</v>
      </c>
      <c r="AO79" s="78">
        <f>-CF!AO54+CF!AO23</f>
        <v>0</v>
      </c>
      <c r="AP79" s="78">
        <f>-CF!AP54+CF!AP23</f>
        <v>0</v>
      </c>
      <c r="AQ79" s="78">
        <f>-CF!AQ54+CF!AQ23</f>
        <v>0</v>
      </c>
      <c r="AR79" s="78">
        <f>-CF!AR54+CF!AR23</f>
        <v>0</v>
      </c>
      <c r="AS79" s="78">
        <f>-CF!AS54+CF!AS23</f>
        <v>0</v>
      </c>
      <c r="AT79" s="78">
        <f>-CF!AT54+CF!AT23</f>
        <v>0</v>
      </c>
      <c r="AU79" s="78">
        <f>-CF!AU54+CF!AU23</f>
        <v>0</v>
      </c>
      <c r="AV79" s="78">
        <f>-CF!AV54+CF!AV23</f>
        <v>0</v>
      </c>
      <c r="AW79" s="78">
        <f>-CF!AW54+CF!AW23</f>
        <v>0</v>
      </c>
      <c r="AX79" s="78">
        <f>-CF!AX54+CF!AX23</f>
        <v>0</v>
      </c>
      <c r="AY79" s="78">
        <f>-CF!AY54+CF!AY23</f>
        <v>0</v>
      </c>
      <c r="AZ79" s="78">
        <f>-CF!AZ54+CF!AZ23</f>
        <v>0</v>
      </c>
      <c r="BA79" s="78">
        <f>-CF!BA54+CF!BA23</f>
        <v>0</v>
      </c>
      <c r="BB79" s="78">
        <f>-CF!BB54+CF!BB23</f>
        <v>0</v>
      </c>
      <c r="BC79" s="78">
        <f>-CF!BC54+CF!BC23</f>
        <v>0</v>
      </c>
      <c r="BD79" s="78">
        <f>-CF!BD54+CF!BD23</f>
        <v>0</v>
      </c>
      <c r="BE79" s="78">
        <f>-CF!BE54+CF!BE23</f>
        <v>0</v>
      </c>
      <c r="BF79" s="78">
        <f>-CF!BF54+CF!BF23</f>
        <v>0</v>
      </c>
      <c r="BG79" s="78">
        <f>-CF!BG54+CF!BG23</f>
        <v>0</v>
      </c>
      <c r="BH79" s="78">
        <f>-CF!BH54+CF!BH23</f>
        <v>0</v>
      </c>
      <c r="BI79" s="78">
        <f>-CF!BI54+CF!BI23</f>
        <v>0</v>
      </c>
      <c r="BJ79" s="78">
        <f>-CF!BJ54+CF!BJ23</f>
        <v>0</v>
      </c>
    </row>
    <row r="81" spans="3:62" x14ac:dyDescent="0.2">
      <c r="C81" s="45" t="s">
        <v>110</v>
      </c>
      <c r="D81" s="45"/>
      <c r="E81" s="45"/>
      <c r="F81" s="45"/>
      <c r="G81" s="45"/>
      <c r="H81" s="45"/>
      <c r="I81" s="45"/>
      <c r="J81" s="45"/>
      <c r="K81" s="618" t="s">
        <v>62</v>
      </c>
      <c r="L81" s="46"/>
      <c r="M81" s="46"/>
      <c r="N81" s="724">
        <f>SUM(Q81:BJ81)</f>
        <v>34137092.198348224</v>
      </c>
      <c r="O81" s="45"/>
      <c r="P81" s="45"/>
      <c r="Q81" s="173"/>
      <c r="R81" s="46"/>
      <c r="S81" s="724">
        <f t="shared" ref="S81:BJ81" si="24">SUM(S73:S80)</f>
        <v>100675.3833614914</v>
      </c>
      <c r="T81" s="724">
        <f t="shared" si="24"/>
        <v>741618.08354014077</v>
      </c>
      <c r="U81" s="724">
        <f t="shared" si="24"/>
        <v>127239.41453565331</v>
      </c>
      <c r="V81" s="724">
        <f t="shared" si="24"/>
        <v>142415.09867885144</v>
      </c>
      <c r="W81" s="724">
        <f t="shared" si="24"/>
        <v>154617.2278991747</v>
      </c>
      <c r="X81" s="724">
        <f t="shared" si="24"/>
        <v>167799.93259143582</v>
      </c>
      <c r="Y81" s="724">
        <f t="shared" si="24"/>
        <v>184367.33213033577</v>
      </c>
      <c r="Z81" s="724">
        <f t="shared" si="24"/>
        <v>210620.18593654019</v>
      </c>
      <c r="AA81" s="724">
        <f t="shared" si="24"/>
        <v>227557.0136381209</v>
      </c>
      <c r="AB81" s="724">
        <f t="shared" si="24"/>
        <v>236872.67380823771</v>
      </c>
      <c r="AC81" s="724">
        <f t="shared" si="24"/>
        <v>246933.38433637159</v>
      </c>
      <c r="AD81" s="724">
        <f t="shared" si="24"/>
        <v>318029.20042475284</v>
      </c>
      <c r="AE81" s="724">
        <f t="shared" si="24"/>
        <v>271961.91689473926</v>
      </c>
      <c r="AF81" s="724">
        <f t="shared" si="24"/>
        <v>303395.99110359297</v>
      </c>
      <c r="AG81" s="724">
        <f t="shared" si="24"/>
        <v>339206.25363965775</v>
      </c>
      <c r="AH81" s="724">
        <f t="shared" si="24"/>
        <v>379949.81441573799</v>
      </c>
      <c r="AI81" s="724">
        <f t="shared" si="24"/>
        <v>435641.81895577122</v>
      </c>
      <c r="AJ81" s="724">
        <f t="shared" si="24"/>
        <v>496781.48836019414</v>
      </c>
      <c r="AK81" s="724">
        <f t="shared" si="24"/>
        <v>553847.48554218223</v>
      </c>
      <c r="AL81" s="724">
        <f t="shared" si="24"/>
        <v>618874.24486279231</v>
      </c>
      <c r="AM81" s="724">
        <f t="shared" si="24"/>
        <v>731720.80705156212</v>
      </c>
      <c r="AN81" s="724">
        <f t="shared" si="24"/>
        <v>924909.74180851097</v>
      </c>
      <c r="AO81" s="724">
        <f t="shared" si="24"/>
        <v>667142.41744490946</v>
      </c>
      <c r="AP81" s="724">
        <f t="shared" si="24"/>
        <v>734828.64184141706</v>
      </c>
      <c r="AQ81" s="724">
        <f t="shared" si="24"/>
        <v>773914.00298903568</v>
      </c>
      <c r="AR81" s="724">
        <f t="shared" si="24"/>
        <v>815171.01610548131</v>
      </c>
      <c r="AS81" s="724">
        <f t="shared" si="24"/>
        <v>858603.06696358835</v>
      </c>
      <c r="AT81" s="724">
        <f t="shared" si="24"/>
        <v>906325.84837886959</v>
      </c>
      <c r="AU81" s="724">
        <f t="shared" si="24"/>
        <v>959253.02503702231</v>
      </c>
      <c r="AV81" s="724">
        <f t="shared" si="24"/>
        <v>1011077.7005275975</v>
      </c>
      <c r="AW81" s="724">
        <f t="shared" si="24"/>
        <v>1060504.0404431028</v>
      </c>
      <c r="AX81" s="724">
        <f t="shared" si="24"/>
        <v>1221865.5997909277</v>
      </c>
      <c r="AY81" s="724">
        <f t="shared" si="24"/>
        <v>1185082.5753362796</v>
      </c>
      <c r="AZ81" s="724">
        <f t="shared" si="24"/>
        <v>1255963.5399500015</v>
      </c>
      <c r="BA81" s="724">
        <f t="shared" si="24"/>
        <v>1313224.7579126509</v>
      </c>
      <c r="BB81" s="724">
        <f t="shared" si="24"/>
        <v>1371886.0782182419</v>
      </c>
      <c r="BC81" s="724">
        <f t="shared" si="24"/>
        <v>1434665.0501712961</v>
      </c>
      <c r="BD81" s="724">
        <f t="shared" si="24"/>
        <v>1748334.1889271522</v>
      </c>
      <c r="BE81" s="724">
        <f t="shared" si="24"/>
        <v>1568610.2083121771</v>
      </c>
      <c r="BF81" s="724">
        <f t="shared" si="24"/>
        <v>1626464.6200532629</v>
      </c>
      <c r="BG81" s="724">
        <f t="shared" si="24"/>
        <v>1686251.9925218462</v>
      </c>
      <c r="BH81" s="724">
        <f t="shared" si="24"/>
        <v>1748182.1443663747</v>
      </c>
      <c r="BI81" s="724">
        <f t="shared" si="24"/>
        <v>1811676.9260455477</v>
      </c>
      <c r="BJ81" s="724">
        <f t="shared" si="24"/>
        <v>463030.26349560532</v>
      </c>
    </row>
    <row r="84" spans="3:62" x14ac:dyDescent="0.2">
      <c r="C84" s="69" t="s">
        <v>111</v>
      </c>
    </row>
    <row r="85" spans="3:62" x14ac:dyDescent="0.2">
      <c r="C85" t="s">
        <v>273</v>
      </c>
      <c r="K85" s="160" t="s">
        <v>62</v>
      </c>
      <c r="N85" s="78">
        <f t="shared" ref="N85:N95" si="25">SUM(Q85:BJ85)</f>
        <v>446961.57783952728</v>
      </c>
      <c r="P85" s="75"/>
      <c r="Q85" s="78"/>
      <c r="R85" s="78"/>
      <c r="S85" s="78">
        <f>-CF!S26</f>
        <v>0</v>
      </c>
      <c r="T85" s="78">
        <f>-CF!T26</f>
        <v>0</v>
      </c>
      <c r="U85" s="78">
        <f>-CF!U26</f>
        <v>0</v>
      </c>
      <c r="V85" s="78">
        <f>-CF!V26</f>
        <v>0</v>
      </c>
      <c r="W85" s="78">
        <f>-CF!W26</f>
        <v>0</v>
      </c>
      <c r="X85" s="78">
        <f>-CF!X26</f>
        <v>0</v>
      </c>
      <c r="Y85" s="78">
        <f>-CF!Y26</f>
        <v>0</v>
      </c>
      <c r="Z85" s="78">
        <f>-CF!Z26</f>
        <v>0</v>
      </c>
      <c r="AA85" s="78">
        <f>-CF!AA26</f>
        <v>0</v>
      </c>
      <c r="AB85" s="78">
        <f>-CF!AB26</f>
        <v>0</v>
      </c>
      <c r="AC85" s="78">
        <f>-CF!AC26</f>
        <v>0</v>
      </c>
      <c r="AD85" s="78">
        <f>-CF!AD26</f>
        <v>0</v>
      </c>
      <c r="AE85" s="78">
        <f>-CF!AE26</f>
        <v>0</v>
      </c>
      <c r="AF85" s="78">
        <f>-CF!AF26</f>
        <v>0</v>
      </c>
      <c r="AG85" s="78">
        <f>-CF!AG26</f>
        <v>0</v>
      </c>
      <c r="AH85" s="78">
        <f>-CF!AH26</f>
        <v>0</v>
      </c>
      <c r="AI85" s="78">
        <f>-CF!AI26</f>
        <v>0</v>
      </c>
      <c r="AJ85" s="78">
        <f>-CF!AJ26</f>
        <v>0</v>
      </c>
      <c r="AK85" s="78">
        <f>-CF!AK26</f>
        <v>0</v>
      </c>
      <c r="AL85" s="78">
        <f>-CF!AL26</f>
        <v>0</v>
      </c>
      <c r="AM85" s="78">
        <f>-CF!AM26</f>
        <v>0</v>
      </c>
      <c r="AN85" s="78">
        <f>-CF!AN26</f>
        <v>0</v>
      </c>
      <c r="AO85" s="78">
        <f>-CF!AO26</f>
        <v>0</v>
      </c>
      <c r="AP85" s="78">
        <f>-CF!AP26</f>
        <v>0</v>
      </c>
      <c r="AQ85" s="78">
        <f>-CF!AQ26</f>
        <v>0</v>
      </c>
      <c r="AR85" s="78">
        <f>-CF!AR26</f>
        <v>0</v>
      </c>
      <c r="AS85" s="78">
        <f>-CF!AS26</f>
        <v>0</v>
      </c>
      <c r="AT85" s="78">
        <f>-CF!AT26</f>
        <v>0</v>
      </c>
      <c r="AU85" s="78">
        <f>-CF!AU26</f>
        <v>0</v>
      </c>
      <c r="AV85" s="78">
        <f>-CF!AV26</f>
        <v>0</v>
      </c>
      <c r="AW85" s="78">
        <f>-CF!AW26</f>
        <v>0</v>
      </c>
      <c r="AX85" s="78">
        <f>-CF!AX26</f>
        <v>0</v>
      </c>
      <c r="AY85" s="78">
        <f>-CF!AY26</f>
        <v>0</v>
      </c>
      <c r="AZ85" s="78">
        <f>-CF!AZ26</f>
        <v>0</v>
      </c>
      <c r="BA85" s="78">
        <f>-CF!BA26</f>
        <v>0</v>
      </c>
      <c r="BB85" s="78">
        <f>-CF!BB26</f>
        <v>2451.0748028550297</v>
      </c>
      <c r="BC85" s="78">
        <f>-CF!BC26</f>
        <v>28388.597133371513</v>
      </c>
      <c r="BD85" s="78">
        <f>-CF!BD26</f>
        <v>31360.53338051727</v>
      </c>
      <c r="BE85" s="78">
        <f>-CF!BE26</f>
        <v>34431.761185107287</v>
      </c>
      <c r="BF85" s="78">
        <f>-CF!BF26</f>
        <v>36081.762194184121</v>
      </c>
      <c r="BG85" s="78">
        <f>-CF!BG26</f>
        <v>37636.280590502545</v>
      </c>
      <c r="BH85" s="78">
        <f>-CF!BH26</f>
        <v>39585.404210636392</v>
      </c>
      <c r="BI85" s="78">
        <f>-CF!BI26</f>
        <v>179389.91767413123</v>
      </c>
      <c r="BJ85" s="78">
        <f>-CF!BJ26</f>
        <v>57636.246668221895</v>
      </c>
    </row>
    <row r="86" spans="3:62" x14ac:dyDescent="0.2">
      <c r="C86" t="s">
        <v>271</v>
      </c>
      <c r="K86" s="160" t="s">
        <v>62</v>
      </c>
      <c r="N86" s="78">
        <f t="shared" si="25"/>
        <v>167120.29139333681</v>
      </c>
      <c r="P86" s="75"/>
      <c r="Q86" s="78"/>
      <c r="R86" s="78"/>
      <c r="S86" s="78">
        <f>-CF!S32</f>
        <v>361.09300000000002</v>
      </c>
      <c r="T86" s="78">
        <f>-CF!T32</f>
        <v>597.58950622269083</v>
      </c>
      <c r="U86" s="78">
        <f>-CF!U32</f>
        <v>650.56990692636111</v>
      </c>
      <c r="V86" s="78">
        <f>-CF!V32</f>
        <v>722.18773524688527</v>
      </c>
      <c r="W86" s="78">
        <f>-CF!W32</f>
        <v>784.25814883314024</v>
      </c>
      <c r="X86" s="78">
        <f>-CF!X32</f>
        <v>851.32111459000021</v>
      </c>
      <c r="Y86" s="78">
        <f>-CF!Y32</f>
        <v>923.96444401930376</v>
      </c>
      <c r="Z86" s="78">
        <f>-CF!Z32</f>
        <v>1002.7409606390532</v>
      </c>
      <c r="AA86" s="78">
        <f>-CF!AA32</f>
        <v>1088.1588731859977</v>
      </c>
      <c r="AB86" s="78">
        <f>-CF!AB32</f>
        <v>1156.9138684982522</v>
      </c>
      <c r="AC86" s="78">
        <f>-CF!AC32</f>
        <v>1229.8568034216039</v>
      </c>
      <c r="AD86" s="78">
        <f>-CF!AD32</f>
        <v>1307.2117529928701</v>
      </c>
      <c r="AE86" s="78">
        <f>-CF!AE32</f>
        <v>1389.8051747992881</v>
      </c>
      <c r="AF86" s="78">
        <f>-CF!AF32</f>
        <v>1477.3315725563468</v>
      </c>
      <c r="AG86" s="78">
        <f>-CF!AG32</f>
        <v>1620.3337565709298</v>
      </c>
      <c r="AH86" s="78">
        <f>-CF!AH32</f>
        <v>1777.8097391759304</v>
      </c>
      <c r="AI86" s="78">
        <f>-CF!AI32</f>
        <v>1950.6664582631711</v>
      </c>
      <c r="AJ86" s="78">
        <f>-CF!AJ32</f>
        <v>2140.4390731711032</v>
      </c>
      <c r="AK86" s="78">
        <f>-CF!AK32</f>
        <v>2348.2116974152345</v>
      </c>
      <c r="AL86" s="78">
        <f>-CF!AL32</f>
        <v>2578.9602560015287</v>
      </c>
      <c r="AM86" s="78">
        <f>-CF!AM32</f>
        <v>2833.5411766374718</v>
      </c>
      <c r="AN86" s="78">
        <f>-CF!AN32</f>
        <v>3114.8950804047963</v>
      </c>
      <c r="AO86" s="78">
        <f>-CF!AO32</f>
        <v>3419.2747896454416</v>
      </c>
      <c r="AP86" s="78">
        <f>-CF!AP32</f>
        <v>3754.882199395538</v>
      </c>
      <c r="AQ86" s="78">
        <f>-CF!AQ32</f>
        <v>3970.8258002969851</v>
      </c>
      <c r="AR86" s="78">
        <f>-CF!AR32</f>
        <v>4199.9370837452852</v>
      </c>
      <c r="AS86" s="78">
        <f>-CF!AS32</f>
        <v>4442.4574541090042</v>
      </c>
      <c r="AT86" s="78">
        <f>-CF!AT32</f>
        <v>4699.1387628785442</v>
      </c>
      <c r="AU86" s="78">
        <f>-CF!AU32</f>
        <v>4982.1206607893573</v>
      </c>
      <c r="AV86" s="78">
        <f>-CF!AV32</f>
        <v>5265.2813049834103</v>
      </c>
      <c r="AW86" s="78">
        <f>-CF!AW32</f>
        <v>5565.7717310961307</v>
      </c>
      <c r="AX86" s="78">
        <f>-CF!AX32</f>
        <v>5883.2775808855986</v>
      </c>
      <c r="AY86" s="78">
        <f>-CF!AY32</f>
        <v>6220.2885607018206</v>
      </c>
      <c r="AZ86" s="78">
        <f>-CF!AZ32</f>
        <v>6574.7101266507943</v>
      </c>
      <c r="BA86" s="78">
        <f>-CF!BA32</f>
        <v>6879.0669599911671</v>
      </c>
      <c r="BB86" s="78">
        <f>-CF!BB32</f>
        <v>7197.6111291899551</v>
      </c>
      <c r="BC86" s="78">
        <f>-CF!BC32</f>
        <v>7530.6082607729713</v>
      </c>
      <c r="BD86" s="78">
        <f>-CF!BD32</f>
        <v>7880.0440759600906</v>
      </c>
      <c r="BE86" s="78">
        <f>-CF!BE32</f>
        <v>8235.2035936389293</v>
      </c>
      <c r="BF86" s="78">
        <f>-CF!BF32</f>
        <v>8538.9392552796307</v>
      </c>
      <c r="BG86" s="78">
        <f>-CF!BG32</f>
        <v>8852.8229607396916</v>
      </c>
      <c r="BH86" s="78">
        <f>-CF!BH32</f>
        <v>9177.9562579234662</v>
      </c>
      <c r="BI86" s="78">
        <f>-CF!BI32</f>
        <v>9511.3038617391248</v>
      </c>
      <c r="BJ86" s="78">
        <f>-CF!BJ32</f>
        <v>2430.9088833519277</v>
      </c>
    </row>
    <row r="87" spans="3:62" x14ac:dyDescent="0.2">
      <c r="C87" t="s">
        <v>78</v>
      </c>
      <c r="K87" s="160" t="s">
        <v>62</v>
      </c>
      <c r="N87" s="78">
        <f t="shared" si="25"/>
        <v>2366387.7601875118</v>
      </c>
      <c r="P87" s="75"/>
      <c r="Q87" s="78"/>
      <c r="R87" s="78"/>
      <c r="S87" s="78">
        <f>-CF!S27</f>
        <v>17116.801882543594</v>
      </c>
      <c r="T87" s="78">
        <f>-CF!T27</f>
        <v>18251.715924132259</v>
      </c>
      <c r="U87" s="78">
        <f>-CF!U27</f>
        <v>19461.879413055398</v>
      </c>
      <c r="V87" s="78">
        <f>-CF!V27</f>
        <v>20752.281695745118</v>
      </c>
      <c r="W87" s="78">
        <f>-CF!W27</f>
        <v>21619.771470281008</v>
      </c>
      <c r="X87" s="78">
        <f>-CF!X27</f>
        <v>22523.524173393016</v>
      </c>
      <c r="Y87" s="78">
        <f>-CF!Y27</f>
        <v>23465.055673080424</v>
      </c>
      <c r="Z87" s="78">
        <f>-CF!Z27</f>
        <v>24445.945203868072</v>
      </c>
      <c r="AA87" s="78">
        <f>-CF!AA27</f>
        <v>25467.838015662743</v>
      </c>
      <c r="AB87" s="78">
        <f>-CF!AB27</f>
        <v>26490.989749443772</v>
      </c>
      <c r="AC87" s="78">
        <f>-CF!AC27</f>
        <v>27555.245854537963</v>
      </c>
      <c r="AD87" s="78">
        <f>-CF!AD27</f>
        <v>28662.257668948518</v>
      </c>
      <c r="AE87" s="78">
        <f>-CF!AE27</f>
        <v>29813.742871973129</v>
      </c>
      <c r="AF87" s="78">
        <f>-CF!AF27</f>
        <v>31011.48814941684</v>
      </c>
      <c r="AG87" s="78">
        <f>-CF!AG27</f>
        <v>32710.13366247325</v>
      </c>
      <c r="AH87" s="78">
        <f>-CF!AH27</f>
        <v>34501.822004210582</v>
      </c>
      <c r="AI87" s="78">
        <f>-CF!AI27</f>
        <v>36391.649569316498</v>
      </c>
      <c r="AJ87" s="78">
        <f>-CF!AJ27</f>
        <v>38384.991906059637</v>
      </c>
      <c r="AK87" s="78">
        <f>-CF!AK27</f>
        <v>40487.519006848277</v>
      </c>
      <c r="AL87" s="78">
        <f>-CF!AL27</f>
        <v>42936.801184184449</v>
      </c>
      <c r="AM87" s="78">
        <f>-CF!AM27</f>
        <v>45534.252064651133</v>
      </c>
      <c r="AN87" s="78">
        <f>-CF!AN27</f>
        <v>48288.835076305142</v>
      </c>
      <c r="AO87" s="78">
        <f>-CF!AO27</f>
        <v>51210.055887506605</v>
      </c>
      <c r="AP87" s="78">
        <f>-CF!AP27</f>
        <v>54307.995209608394</v>
      </c>
      <c r="AQ87" s="78">
        <f>-CF!AQ27</f>
        <v>56570.629298947191</v>
      </c>
      <c r="AR87" s="78">
        <f>-CF!AR27</f>
        <v>58927.531515888171</v>
      </c>
      <c r="AS87" s="78">
        <f>-CF!AS27</f>
        <v>61382.629353579039</v>
      </c>
      <c r="AT87" s="78">
        <f>-CF!AT27</f>
        <v>63940.013936320618</v>
      </c>
      <c r="AU87" s="78">
        <f>-CF!AU27</f>
        <v>66603.946836931951</v>
      </c>
      <c r="AV87" s="78">
        <f>-CF!AV27</f>
        <v>69494.383668132767</v>
      </c>
      <c r="AW87" s="78">
        <f>-CF!AW27</f>
        <v>72510.257886634616</v>
      </c>
      <c r="AX87" s="78">
        <f>-CF!AX27</f>
        <v>75657.0131464773</v>
      </c>
      <c r="AY87" s="78">
        <f>-CF!AY27</f>
        <v>78940.329342026875</v>
      </c>
      <c r="AZ87" s="78">
        <f>-CF!AZ27</f>
        <v>82366.132860187121</v>
      </c>
      <c r="BA87" s="78">
        <f>-CF!BA27</f>
        <v>85447.987193585664</v>
      </c>
      <c r="BB87" s="78">
        <f>-CF!BB27</f>
        <v>88645.153801610621</v>
      </c>
      <c r="BC87" s="78">
        <f>-CF!BC27</f>
        <v>91961.947268678021</v>
      </c>
      <c r="BD87" s="78">
        <f>-CF!BD27</f>
        <v>95402.843615952515</v>
      </c>
      <c r="BE87" s="78">
        <f>-CF!BE27</f>
        <v>98972.486341749158</v>
      </c>
      <c r="BF87" s="78">
        <f>-CF!BF27</f>
        <v>102223.65601555163</v>
      </c>
      <c r="BG87" s="78">
        <f>-CF!BG27</f>
        <v>105581.62410008973</v>
      </c>
      <c r="BH87" s="78">
        <f>-CF!BH27</f>
        <v>109049.89884060444</v>
      </c>
      <c r="BI87" s="78">
        <f>-CF!BI27</f>
        <v>112632.10372548105</v>
      </c>
      <c r="BJ87" s="78">
        <f>-CF!BJ27</f>
        <v>28684.598121837771</v>
      </c>
    </row>
    <row r="88" spans="3:62" x14ac:dyDescent="0.2">
      <c r="C88" t="s">
        <v>112</v>
      </c>
      <c r="K88" s="160" t="s">
        <v>62</v>
      </c>
      <c r="N88" s="78">
        <f t="shared" si="25"/>
        <v>555720.30688708287</v>
      </c>
      <c r="P88" s="75"/>
      <c r="Q88" s="78"/>
      <c r="R88" s="78"/>
      <c r="S88" s="78">
        <f>-CF!S28</f>
        <v>2401.0519999999956</v>
      </c>
      <c r="T88" s="78">
        <f>-CF!T28</f>
        <v>2271.9001843671922</v>
      </c>
      <c r="U88" s="78">
        <f>-CF!U28</f>
        <v>3321.3370258702384</v>
      </c>
      <c r="V88" s="78">
        <f>-CF!V28</f>
        <v>4855.5300603970763</v>
      </c>
      <c r="W88" s="78">
        <f>-CF!W28</f>
        <v>5234.7233595289154</v>
      </c>
      <c r="X88" s="78">
        <f>-CF!X28</f>
        <v>5643.5298123881421</v>
      </c>
      <c r="Y88" s="78">
        <f>-CF!Y28</f>
        <v>6084.2620623566136</v>
      </c>
      <c r="Z88" s="78">
        <f>-CF!Z28</f>
        <v>6559.4133590245247</v>
      </c>
      <c r="AA88" s="78">
        <f>-CF!AA28</f>
        <v>7071.6716626575071</v>
      </c>
      <c r="AB88" s="78">
        <f>-CF!AB28</f>
        <v>7112.6761485473016</v>
      </c>
      <c r="AC88" s="78">
        <f>-CF!AC28</f>
        <v>7153.9183954564542</v>
      </c>
      <c r="AD88" s="78">
        <f>-CF!AD28</f>
        <v>7195.3997820219884</v>
      </c>
      <c r="AE88" s="78">
        <f>-CF!AE28</f>
        <v>7237.1216948748361</v>
      </c>
      <c r="AF88" s="78">
        <f>-CF!AF28</f>
        <v>7279.0855286861879</v>
      </c>
      <c r="AG88" s="78">
        <f>-CF!AG28</f>
        <v>7825.0840659259275</v>
      </c>
      <c r="AH88" s="78">
        <f>-CF!AH28</f>
        <v>8412.0375282717268</v>
      </c>
      <c r="AI88" s="78">
        <f>-CF!AI28</f>
        <v>9043.0179127639458</v>
      </c>
      <c r="AJ88" s="78">
        <f>-CF!AJ28</f>
        <v>9721.3276445487663</v>
      </c>
      <c r="AK88" s="78">
        <f>-CF!AK28</f>
        <v>10450.516861110962</v>
      </c>
      <c r="AL88" s="78">
        <f>-CF!AL28</f>
        <v>11402.936904942444</v>
      </c>
      <c r="AM88" s="78">
        <f>-CF!AM28</f>
        <v>12442.156860390503</v>
      </c>
      <c r="AN88" s="78">
        <f>-CF!AN28</f>
        <v>13576.087338645486</v>
      </c>
      <c r="AO88" s="78">
        <f>-CF!AO28</f>
        <v>14813.35989367567</v>
      </c>
      <c r="AP88" s="78">
        <f>-CF!AP28</f>
        <v>16163.392726188255</v>
      </c>
      <c r="AQ88" s="78">
        <f>-CF!AQ28</f>
        <v>14764.028626131159</v>
      </c>
      <c r="AR88" s="78">
        <f>-CF!AR28</f>
        <v>13485.816063854612</v>
      </c>
      <c r="AS88" s="78">
        <f>-CF!AS28</f>
        <v>12318.266207248376</v>
      </c>
      <c r="AT88" s="78">
        <f>-CF!AT28</f>
        <v>11251.798306766013</v>
      </c>
      <c r="AU88" s="78">
        <f>-CF!AU28</f>
        <v>10277.661077144619</v>
      </c>
      <c r="AV88" s="78">
        <f>-CF!AV28</f>
        <v>11712.773240383072</v>
      </c>
      <c r="AW88" s="78">
        <f>-CF!AW28</f>
        <v>13348.276028065735</v>
      </c>
      <c r="AX88" s="78">
        <f>-CF!AX28</f>
        <v>15212.150808753046</v>
      </c>
      <c r="AY88" s="78">
        <f>-CF!AY28</f>
        <v>17336.286104789135</v>
      </c>
      <c r="AZ88" s="78">
        <f>-CF!AZ28</f>
        <v>19757.023164283295</v>
      </c>
      <c r="BA88" s="78">
        <f>-CF!BA28</f>
        <v>18360.971768753996</v>
      </c>
      <c r="BB88" s="78">
        <f>-CF!BB28</f>
        <v>17063.566787856769</v>
      </c>
      <c r="BC88" s="78">
        <f>-CF!BC28</f>
        <v>15857.837765381382</v>
      </c>
      <c r="BD88" s="78">
        <f>-CF!BD28</f>
        <v>14737.306784658558</v>
      </c>
      <c r="BE88" s="78">
        <f>-CF!BE28</f>
        <v>13695.953665213941</v>
      </c>
      <c r="BF88" s="78">
        <f>-CF!BF28</f>
        <v>17217.14575767015</v>
      </c>
      <c r="BG88" s="78">
        <f>-CF!BG28</f>
        <v>21643.626671558894</v>
      </c>
      <c r="BH88" s="78">
        <f>-CF!BH28</f>
        <v>27208.143677887198</v>
      </c>
      <c r="BI88" s="78">
        <f>-CF!BI28</f>
        <v>34203.282732155618</v>
      </c>
      <c r="BJ88" s="78">
        <f>-CF!BJ28</f>
        <v>42996.852835886602</v>
      </c>
    </row>
    <row r="89" spans="3:62" x14ac:dyDescent="0.2">
      <c r="C89" t="s">
        <v>113</v>
      </c>
      <c r="K89" s="160" t="s">
        <v>62</v>
      </c>
      <c r="N89" s="78">
        <f t="shared" si="25"/>
        <v>3014655.7934812265</v>
      </c>
      <c r="P89" s="75"/>
      <c r="Q89" s="78"/>
      <c r="R89" s="78"/>
      <c r="S89" s="78">
        <f>-CF!S40</f>
        <v>0</v>
      </c>
      <c r="T89" s="78">
        <f>-CF!T40</f>
        <v>400000</v>
      </c>
      <c r="U89" s="78">
        <f>-CF!U40</f>
        <v>0</v>
      </c>
      <c r="V89" s="78">
        <f>-CF!V40</f>
        <v>0</v>
      </c>
      <c r="W89" s="78">
        <f>-CF!W40</f>
        <v>0</v>
      </c>
      <c r="X89" s="78">
        <f>-CF!X40</f>
        <v>0</v>
      </c>
      <c r="Y89" s="78">
        <f>-CF!Y40</f>
        <v>2289.8426357308053</v>
      </c>
      <c r="Z89" s="78">
        <f>-CF!Z40</f>
        <v>13062.494360553101</v>
      </c>
      <c r="AA89" s="78">
        <f>-CF!AA40</f>
        <v>13216.985178130475</v>
      </c>
      <c r="AB89" s="78">
        <f>-CF!AB40</f>
        <v>9395.4512790708977</v>
      </c>
      <c r="AC89" s="78">
        <f>-CF!AC40</f>
        <v>5521.0271939429222</v>
      </c>
      <c r="AD89" s="78">
        <f>-CF!AD40</f>
        <v>61841.085786946023</v>
      </c>
      <c r="AE89" s="78">
        <f>-CF!AE40</f>
        <v>0</v>
      </c>
      <c r="AF89" s="78">
        <f>-CF!AF40</f>
        <v>14720.415564174065</v>
      </c>
      <c r="AG89" s="78">
        <f>-CF!AG40</f>
        <v>22746.16832212609</v>
      </c>
      <c r="AH89" s="78">
        <f>-CF!AH40</f>
        <v>32907.350377765193</v>
      </c>
      <c r="AI89" s="78">
        <f>-CF!AI40</f>
        <v>55043.28518335562</v>
      </c>
      <c r="AJ89" s="78">
        <f>-CF!AJ40</f>
        <v>79357.480111625744</v>
      </c>
      <c r="AK89" s="78">
        <f>-CF!AK40</f>
        <v>96118.55012578849</v>
      </c>
      <c r="AL89" s="78">
        <f>-CF!AL40</f>
        <v>116240.78300517774</v>
      </c>
      <c r="AM89" s="78">
        <f>-CF!AM40</f>
        <v>179556.52130784356</v>
      </c>
      <c r="AN89" s="78">
        <f>-CF!AN40</f>
        <v>304069.1576385214</v>
      </c>
      <c r="AO89" s="78">
        <f>-CF!AO40</f>
        <v>0</v>
      </c>
      <c r="AP89" s="78">
        <f>-CF!AP40</f>
        <v>0</v>
      </c>
      <c r="AQ89" s="78">
        <f>-CF!AQ40</f>
        <v>0</v>
      </c>
      <c r="AR89" s="78">
        <f>-CF!AR40</f>
        <v>0</v>
      </c>
      <c r="AS89" s="78">
        <f>-CF!AS40</f>
        <v>0</v>
      </c>
      <c r="AT89" s="78">
        <f>-CF!AT40</f>
        <v>0</v>
      </c>
      <c r="AU89" s="78">
        <f>-CF!AU40</f>
        <v>110492.42121866169</v>
      </c>
      <c r="AV89" s="78">
        <f>-CF!AV40</f>
        <v>116293.2733326414</v>
      </c>
      <c r="AW89" s="78">
        <f>-CF!AW40</f>
        <v>122398.67018260507</v>
      </c>
      <c r="AX89" s="78">
        <f>-CF!AX40</f>
        <v>230065.89903705308</v>
      </c>
      <c r="AY89" s="78">
        <f>-CF!AY40</f>
        <v>150378.78197027749</v>
      </c>
      <c r="AZ89" s="78">
        <f>-CF!AZ40</f>
        <v>158273.66802371704</v>
      </c>
      <c r="BA89" s="78">
        <f>-CF!BA40</f>
        <v>166583.03559496219</v>
      </c>
      <c r="BB89" s="78">
        <f>-CF!BB40</f>
        <v>175328.6449636977</v>
      </c>
      <c r="BC89" s="78">
        <f>-CF!BC40</f>
        <v>184533.39882429174</v>
      </c>
      <c r="BD89" s="78">
        <f>-CF!BD40</f>
        <v>194221.40226256705</v>
      </c>
      <c r="BE89" s="78">
        <f>-CF!BE40</f>
        <v>0</v>
      </c>
      <c r="BF89" s="78">
        <f>-CF!BF40</f>
        <v>0</v>
      </c>
      <c r="BG89" s="78">
        <f>-CF!BG40</f>
        <v>0</v>
      </c>
      <c r="BH89" s="78">
        <f>-CF!BH40</f>
        <v>0</v>
      </c>
      <c r="BI89" s="78">
        <f>-CF!BI40</f>
        <v>0</v>
      </c>
      <c r="BJ89" s="78">
        <f>-CF!BJ40</f>
        <v>0</v>
      </c>
    </row>
    <row r="90" spans="3:62" x14ac:dyDescent="0.2">
      <c r="C90" t="s">
        <v>114</v>
      </c>
      <c r="K90" s="160" t="s">
        <v>62</v>
      </c>
      <c r="N90" s="78">
        <f t="shared" si="25"/>
        <v>2286541.3314968022</v>
      </c>
      <c r="P90" s="75"/>
      <c r="Q90" s="78"/>
      <c r="R90" s="78"/>
      <c r="S90" s="78">
        <f>-CF!S39</f>
        <v>27873.78125</v>
      </c>
      <c r="T90" s="78">
        <f>-CF!T39</f>
        <v>47204.699072771196</v>
      </c>
      <c r="U90" s="78">
        <f>-CF!U39</f>
        <v>59744.926426556849</v>
      </c>
      <c r="V90" s="78">
        <f>-CF!V39</f>
        <v>59883.679959100744</v>
      </c>
      <c r="W90" s="78">
        <f>-CF!W39</f>
        <v>60147.181813770221</v>
      </c>
      <c r="X90" s="78">
        <f>-CF!X39</f>
        <v>60431.261882631894</v>
      </c>
      <c r="Y90" s="78">
        <f>-CF!Y39</f>
        <v>60816.478728071699</v>
      </c>
      <c r="Z90" s="78">
        <f>-CF!Z39</f>
        <v>61186.119257828126</v>
      </c>
      <c r="AA90" s="78">
        <f>-CF!AA39</f>
        <v>61648.152060959597</v>
      </c>
      <c r="AB90" s="78">
        <f>-CF!AB39</f>
        <v>62101.975686303442</v>
      </c>
      <c r="AC90" s="78">
        <f>-CF!AC39</f>
        <v>62597.919643982772</v>
      </c>
      <c r="AD90" s="78">
        <f>-CF!AD39</f>
        <v>62922.616337585016</v>
      </c>
      <c r="AE90" s="78">
        <f>-CF!AE39</f>
        <v>63306.774884572922</v>
      </c>
      <c r="AF90" s="78">
        <f>-CF!AF39</f>
        <v>63805.277781861769</v>
      </c>
      <c r="AG90" s="78">
        <f>-CF!AG39</f>
        <v>64458.723155451495</v>
      </c>
      <c r="AH90" s="78">
        <f>-CF!AH39</f>
        <v>65064.424776121858</v>
      </c>
      <c r="AI90" s="78">
        <f>-CF!AI39</f>
        <v>65954.307073595061</v>
      </c>
      <c r="AJ90" s="78">
        <f>-CF!AJ39</f>
        <v>67072.81843950841</v>
      </c>
      <c r="AK90" s="78">
        <f>-CF!AK39</f>
        <v>68480.162117684114</v>
      </c>
      <c r="AL90" s="78">
        <f>-CF!AL39</f>
        <v>69860.279078238847</v>
      </c>
      <c r="AM90" s="78">
        <f>-CF!AM39</f>
        <v>71899.220805780744</v>
      </c>
      <c r="AN90" s="78">
        <f>-CF!AN39</f>
        <v>74281.982807908702</v>
      </c>
      <c r="AO90" s="78">
        <f>-CF!AO39</f>
        <v>75247.537943107614</v>
      </c>
      <c r="AP90" s="78">
        <f>-CF!AP39</f>
        <v>75848.411660478436</v>
      </c>
      <c r="AQ90" s="78">
        <f>-CF!AQ39</f>
        <v>76690.153839572173</v>
      </c>
      <c r="AR90" s="78">
        <f>-CF!AR39</f>
        <v>77459.021232605737</v>
      </c>
      <c r="AS90" s="78">
        <f>-CF!AS39</f>
        <v>78375.463668142591</v>
      </c>
      <c r="AT90" s="78">
        <f>-CF!AT39</f>
        <v>78802.822302612563</v>
      </c>
      <c r="AU90" s="78">
        <f>-CF!AU39</f>
        <v>77918.428145632293</v>
      </c>
      <c r="AV90" s="78">
        <f>-CF!AV39</f>
        <v>72478.798839589537</v>
      </c>
      <c r="AW90" s="78">
        <f>-CF!AW39</f>
        <v>66715.682786605292</v>
      </c>
      <c r="AX90" s="78">
        <f>-CF!AX39</f>
        <v>59932.708558178914</v>
      </c>
      <c r="AY90" s="78">
        <f>-CF!AY39</f>
        <v>52788.654653238365</v>
      </c>
      <c r="AZ90" s="78">
        <f>-CF!AZ39</f>
        <v>44679.057853223916</v>
      </c>
      <c r="BA90" s="78">
        <f>-CF!BA39</f>
        <v>36242.731076609285</v>
      </c>
      <c r="BB90" s="78">
        <f>-CF!BB39</f>
        <v>27160.250681012705</v>
      </c>
      <c r="BC90" s="78">
        <f>-CF!BC39</f>
        <v>17705.162672456412</v>
      </c>
      <c r="BD90" s="78">
        <f>-CF!BD39</f>
        <v>7753.6825434509183</v>
      </c>
      <c r="BE90" s="78">
        <f>-CF!BE39</f>
        <v>0</v>
      </c>
      <c r="BF90" s="78">
        <f>-CF!BF39</f>
        <v>0</v>
      </c>
      <c r="BG90" s="78">
        <f>-CF!BG39</f>
        <v>0</v>
      </c>
      <c r="BH90" s="78">
        <f>-CF!BH39</f>
        <v>0</v>
      </c>
      <c r="BI90" s="78">
        <f>-CF!BI39</f>
        <v>0</v>
      </c>
      <c r="BJ90" s="78">
        <f>-CF!BJ39</f>
        <v>0</v>
      </c>
    </row>
    <row r="91" spans="3:62" x14ac:dyDescent="0.2">
      <c r="C91" t="s">
        <v>68</v>
      </c>
      <c r="K91" s="160" t="s">
        <v>62</v>
      </c>
      <c r="N91" s="78">
        <f t="shared" si="25"/>
        <v>41714.296273598251</v>
      </c>
      <c r="P91" s="75"/>
      <c r="Q91" s="78"/>
      <c r="R91" s="78"/>
      <c r="S91" s="78">
        <f>-CF!S38</f>
        <v>0</v>
      </c>
      <c r="T91" s="78">
        <f>-CF!T38</f>
        <v>4127.168904518021</v>
      </c>
      <c r="U91" s="78">
        <f>-CF!U38</f>
        <v>4312.6113068250797</v>
      </c>
      <c r="V91" s="78">
        <f>-CF!V38</f>
        <v>690.62458930895025</v>
      </c>
      <c r="W91" s="78">
        <f>-CF!W38</f>
        <v>670.3760303620669</v>
      </c>
      <c r="X91" s="78">
        <f>-CF!X38</f>
        <v>648.37767724224011</v>
      </c>
      <c r="Y91" s="78">
        <f>-CF!Y38</f>
        <v>647.3874308431333</v>
      </c>
      <c r="Z91" s="78">
        <f>-CF!Z38</f>
        <v>729.18336675298258</v>
      </c>
      <c r="AA91" s="78">
        <f>-CF!AA38</f>
        <v>702.59226652727841</v>
      </c>
      <c r="AB91" s="78">
        <f>-CF!AB38</f>
        <v>633.8591103193686</v>
      </c>
      <c r="AC91" s="78">
        <f>-CF!AC38</f>
        <v>564.47903347406316</v>
      </c>
      <c r="AD91" s="78">
        <f>-CF!AD38</f>
        <v>1096.9264358438415</v>
      </c>
      <c r="AE91" s="78">
        <f>-CF!AE38</f>
        <v>4644.4828122026092</v>
      </c>
      <c r="AF91" s="78">
        <f>-CF!AF38</f>
        <v>893.95160278707374</v>
      </c>
      <c r="AG91" s="78">
        <f>-CF!AG38</f>
        <v>943.10828668651152</v>
      </c>
      <c r="AH91" s="78">
        <f>-CF!AH38</f>
        <v>1011.0867622217945</v>
      </c>
      <c r="AI91" s="78">
        <f>-CF!AI38</f>
        <v>1196.0857109827239</v>
      </c>
      <c r="AJ91" s="78">
        <f>-CF!AJ38</f>
        <v>1399.9309548842241</v>
      </c>
      <c r="AK91" s="78">
        <f>-CF!AK38</f>
        <v>1525.0835878858845</v>
      </c>
      <c r="AL91" s="78">
        <f>-CF!AL38</f>
        <v>1680.4444403280509</v>
      </c>
      <c r="AM91" s="78">
        <f>-CF!AM38</f>
        <v>2263.2676538979686</v>
      </c>
      <c r="AN91" s="78">
        <f>-CF!AN38</f>
        <v>3453.1727902986563</v>
      </c>
      <c r="AO91" s="78">
        <f>-CF!AO38</f>
        <v>3639.5562601556812</v>
      </c>
      <c r="AP91" s="78">
        <f>-CF!AP38</f>
        <v>513.17546139057026</v>
      </c>
      <c r="AQ91" s="78">
        <f>-CF!AQ38</f>
        <v>437.85256747595884</v>
      </c>
      <c r="AR91" s="78">
        <f>-CF!AR38</f>
        <v>369.29863323855659</v>
      </c>
      <c r="AS91" s="78">
        <f>-CF!AS38</f>
        <v>306.93332757294644</v>
      </c>
      <c r="AT91" s="78">
        <f>-CF!AT38</f>
        <v>250.22669328218672</v>
      </c>
      <c r="AU91" s="78">
        <f>-CF!AU38</f>
        <v>198.69478891433511</v>
      </c>
      <c r="AV91" s="78">
        <f>-CF!AV38</f>
        <v>151.89570798127258</v>
      </c>
      <c r="AW91" s="78">
        <f>-CF!AW38</f>
        <v>115.28619144946826</v>
      </c>
      <c r="AX91" s="78">
        <f>-CF!AX38</f>
        <v>1130.3507605514185</v>
      </c>
      <c r="AY91" s="78">
        <f>-CF!AY38</f>
        <v>120.65034265142054</v>
      </c>
      <c r="AZ91" s="78">
        <f>-CF!AZ38</f>
        <v>123.4253005324032</v>
      </c>
      <c r="BA91" s="78">
        <f>-CF!BA38</f>
        <v>126.26408244464847</v>
      </c>
      <c r="BB91" s="78">
        <f>-CF!BB38</f>
        <v>129.16815634087538</v>
      </c>
      <c r="BC91" s="78">
        <f>-CF!BC38</f>
        <v>132.13902393671552</v>
      </c>
      <c r="BD91" s="78">
        <f>-CF!BD38</f>
        <v>135.17822148725995</v>
      </c>
      <c r="BE91" s="78">
        <f>-CF!BE38</f>
        <v>0</v>
      </c>
      <c r="BF91" s="78">
        <f>-CF!BF38</f>
        <v>0</v>
      </c>
      <c r="BG91" s="78">
        <f>-CF!BG38</f>
        <v>0</v>
      </c>
      <c r="BH91" s="78">
        <f>-CF!BH38</f>
        <v>0</v>
      </c>
      <c r="BI91" s="78">
        <f>-CF!BI38</f>
        <v>0</v>
      </c>
      <c r="BJ91" s="78">
        <f>-CF!BJ38</f>
        <v>0</v>
      </c>
    </row>
    <row r="92" spans="3:62" x14ac:dyDescent="0.2">
      <c r="C92" t="s">
        <v>115</v>
      </c>
      <c r="K92" s="160" t="s">
        <v>62</v>
      </c>
      <c r="N92" s="78">
        <f t="shared" si="25"/>
        <v>354187.60526179546</v>
      </c>
      <c r="P92" s="75"/>
      <c r="Q92" s="78"/>
      <c r="R92" s="78"/>
      <c r="S92" s="78">
        <f>+Fin!S250+Fin!S251+Fin!S275+Fin!S276+Fin!S306</f>
        <v>52922.655228947813</v>
      </c>
      <c r="T92" s="78">
        <f>+Fin!T250+Fin!T251+Fin!T275+Fin!T276+Fin!T306</f>
        <v>61930.505619590818</v>
      </c>
      <c r="U92" s="78">
        <f>+Fin!U250+Fin!U251+Fin!U275+Fin!U276+Fin!U306</f>
        <v>5316.013420755</v>
      </c>
      <c r="V92" s="78">
        <f>+Fin!V250+Fin!V251+Fin!V275+Fin!V276+Fin!V306</f>
        <v>2896.1227653505193</v>
      </c>
      <c r="W92" s="78">
        <f>+Fin!W250+Fin!W251+Fin!W275+Fin!W276+Fin!W306</f>
        <v>1449.5686788766579</v>
      </c>
      <c r="X92" s="78">
        <f>+Fin!X250+Fin!X251+Fin!X275+Fin!X276+Fin!X306</f>
        <v>1475.6945403986101</v>
      </c>
      <c r="Y92" s="78">
        <f>+Fin!Y250+Fin!Y251+Fin!Y275+Fin!Y276+Fin!Y306</f>
        <v>1412.8038203383694</v>
      </c>
      <c r="Z92" s="78">
        <f>+Fin!Z250+Fin!Z251+Fin!Z275+Fin!Z276+Fin!Z306</f>
        <v>1614.1891822423604</v>
      </c>
      <c r="AA92" s="78">
        <f>+Fin!AA250+Fin!AA251+Fin!AA275+Fin!AA276+Fin!AA306</f>
        <v>1143.2366428240639</v>
      </c>
      <c r="AB92" s="78">
        <f>+Fin!AB250+Fin!AB251+Fin!AB275+Fin!AB276+Fin!AB306</f>
        <v>1088.5542083892178</v>
      </c>
      <c r="AC92" s="78">
        <f>+Fin!AC250+Fin!AC251+Fin!AC275+Fin!AC276+Fin!AC306</f>
        <v>925.06341325223548</v>
      </c>
      <c r="AD92" s="78">
        <f>+Fin!AD250+Fin!AD251+Fin!AD275+Fin!AD276+Fin!AD306</f>
        <v>1119.2682884278292</v>
      </c>
      <c r="AE92" s="78">
        <f>+Fin!AE250+Fin!AE251+Fin!AE275+Fin!AE276+Fin!AE306</f>
        <v>1676.4507889072047</v>
      </c>
      <c r="AF92" s="78">
        <f>+Fin!AF250+Fin!AF251+Fin!AF275+Fin!AF276+Fin!AF306</f>
        <v>3016.8943673896611</v>
      </c>
      <c r="AG92" s="78">
        <f>+Fin!AG250+Fin!AG251+Fin!AG275+Fin!AG276+Fin!AG306</f>
        <v>3493.2297698956427</v>
      </c>
      <c r="AH92" s="78">
        <f>+Fin!AH250+Fin!AH251+Fin!AH275+Fin!AH276+Fin!AH306</f>
        <v>4500.8103080734472</v>
      </c>
      <c r="AI92" s="78">
        <f>+Fin!AI250+Fin!AI251+Fin!AI275+Fin!AI276+Fin!AI306</f>
        <v>5907.8717954153544</v>
      </c>
      <c r="AJ92" s="78">
        <f>+Fin!AJ250+Fin!AJ251+Fin!AJ275+Fin!AJ276+Fin!AJ306</f>
        <v>7537.0061395490957</v>
      </c>
      <c r="AK92" s="78">
        <f>+Fin!AK250+Fin!AK251+Fin!AK275+Fin!AK276+Fin!AK306</f>
        <v>8668.7931324125893</v>
      </c>
      <c r="AL92" s="78">
        <f>+Fin!AL250+Fin!AL251+Fin!AL275+Fin!AL276+Fin!AL306</f>
        <v>10318.571638790316</v>
      </c>
      <c r="AM92" s="78">
        <f>+Fin!AM250+Fin!AM251+Fin!AM275+Fin!AM276+Fin!AM306</f>
        <v>26283.001142484616</v>
      </c>
      <c r="AN92" s="78">
        <f>+Fin!AN250+Fin!AN251+Fin!AN275+Fin!AN276+Fin!AN306</f>
        <v>795.77642134398047</v>
      </c>
      <c r="AO92" s="78">
        <f>+Fin!AO250+Fin!AO251+Fin!AO275+Fin!AO276+Fin!AO306</f>
        <v>600.8737173708214</v>
      </c>
      <c r="AP92" s="78">
        <f>+Fin!AP250+Fin!AP251+Fin!AP275+Fin!AP276+Fin!AP306</f>
        <v>841.74217909373692</v>
      </c>
      <c r="AQ92" s="78">
        <f>+Fin!AQ250+Fin!AQ251+Fin!AQ275+Fin!AQ276+Fin!AQ306</f>
        <v>768.86739303356444</v>
      </c>
      <c r="AR92" s="78">
        <f>+Fin!AR250+Fin!AR251+Fin!AR275+Fin!AR276+Fin!AR306</f>
        <v>916.44243553685374</v>
      </c>
      <c r="AS92" s="78">
        <f>+Fin!AS250+Fin!AS251+Fin!AS275+Fin!AS276+Fin!AS306</f>
        <v>427.35863446997246</v>
      </c>
      <c r="AT92" s="78">
        <f>+Fin!AT250+Fin!AT251+Fin!AT275+Fin!AT276+Fin!AT306</f>
        <v>111629.43381684135</v>
      </c>
      <c r="AU92" s="78">
        <f>+Fin!AU250+Fin!AU251+Fin!AU275+Fin!AU276+Fin!AU306</f>
        <v>5082.8954956902598</v>
      </c>
      <c r="AV92" s="78">
        <f>+Fin!AV250+Fin!AV251+Fin!AV275+Fin!AV276+Fin!AV306</f>
        <v>5100.0392051068557</v>
      </c>
      <c r="AW92" s="78">
        <f>+Fin!AW250+Fin!AW251+Fin!AW275+Fin!AW276+Fin!AW306</f>
        <v>4011.9591608319606</v>
      </c>
      <c r="AX92" s="78">
        <f>+Fin!AX250+Fin!AX251+Fin!AX275+Fin!AX276+Fin!AX306</f>
        <v>16840.829659773561</v>
      </c>
      <c r="AY92" s="78">
        <f>+Fin!AY250+Fin!AY251+Fin!AY275+Fin!AY276+Fin!AY306</f>
        <v>0</v>
      </c>
      <c r="AZ92" s="78">
        <f>+Fin!AZ250+Fin!AZ251+Fin!AZ275+Fin!AZ276+Fin!AZ306</f>
        <v>0</v>
      </c>
      <c r="BA92" s="78">
        <f>+Fin!BA250+Fin!BA251+Fin!BA275+Fin!BA276+Fin!BA306</f>
        <v>0</v>
      </c>
      <c r="BB92" s="78">
        <f>+Fin!BB250+Fin!BB251+Fin!BB275+Fin!BB276+Fin!BB306</f>
        <v>0</v>
      </c>
      <c r="BC92" s="78">
        <f>+Fin!BC250+Fin!BC251+Fin!BC275+Fin!BC276+Fin!BC306</f>
        <v>2475.0822503910676</v>
      </c>
      <c r="BD92" s="78">
        <f>+Fin!BD250+Fin!BD251+Fin!BD275+Fin!BD276+Fin!BD306</f>
        <v>0</v>
      </c>
      <c r="BE92" s="78">
        <f>+Fin!BE250+Fin!BE251+Fin!BE275+Fin!BE276+Fin!BE306</f>
        <v>0</v>
      </c>
      <c r="BF92" s="78">
        <f>+Fin!BF250+Fin!BF251+Fin!BF275+Fin!BF276+Fin!BF306</f>
        <v>0</v>
      </c>
      <c r="BG92" s="78">
        <f>+Fin!BG250+Fin!BG251+Fin!BG275+Fin!BG276+Fin!BG306</f>
        <v>0</v>
      </c>
      <c r="BH92" s="78">
        <f>+Fin!BH250+Fin!BH251+Fin!BH275+Fin!BH276+Fin!BH306</f>
        <v>0</v>
      </c>
      <c r="BI92" s="78">
        <f>+Fin!BI250+Fin!BI251+Fin!BI275+Fin!BI276+Fin!BI306</f>
        <v>0</v>
      </c>
      <c r="BJ92" s="78">
        <f>+Fin!BJ250+Fin!BJ251+Fin!BJ275+Fin!BJ276+Fin!BJ306</f>
        <v>0</v>
      </c>
    </row>
    <row r="93" spans="3:62" x14ac:dyDescent="0.2">
      <c r="C93" s="95" t="s">
        <v>311</v>
      </c>
      <c r="K93" s="160" t="s">
        <v>62</v>
      </c>
      <c r="N93" s="78">
        <f t="shared" si="25"/>
        <v>-2883.7478702290005</v>
      </c>
      <c r="P93" s="75"/>
      <c r="Q93" s="78"/>
      <c r="R93" s="78"/>
      <c r="S93" s="78">
        <f>-CF!S33</f>
        <v>0</v>
      </c>
      <c r="T93" s="78">
        <f>-CF!T33</f>
        <v>0</v>
      </c>
      <c r="U93" s="78">
        <f>-CF!U33</f>
        <v>0</v>
      </c>
      <c r="V93" s="78">
        <f>-CF!V33</f>
        <v>0</v>
      </c>
      <c r="W93" s="78">
        <f>-CF!W33</f>
        <v>0</v>
      </c>
      <c r="X93" s="78">
        <f>-CF!X33</f>
        <v>0</v>
      </c>
      <c r="Y93" s="78">
        <f>-CF!Y33</f>
        <v>0</v>
      </c>
      <c r="Z93" s="78">
        <f>-CF!Z33</f>
        <v>0</v>
      </c>
      <c r="AA93" s="78">
        <f>-CF!AA33</f>
        <v>0</v>
      </c>
      <c r="AB93" s="78">
        <f>-CF!AB33</f>
        <v>0</v>
      </c>
      <c r="AC93" s="78">
        <f>-CF!AC33</f>
        <v>0</v>
      </c>
      <c r="AD93" s="78">
        <f>-CF!AD33</f>
        <v>0</v>
      </c>
      <c r="AE93" s="78">
        <f>-CF!AE33</f>
        <v>0</v>
      </c>
      <c r="AF93" s="78">
        <f>-CF!AF33</f>
        <v>0</v>
      </c>
      <c r="AG93" s="78">
        <f>-CF!AG33</f>
        <v>0</v>
      </c>
      <c r="AH93" s="78">
        <f>-CF!AH33</f>
        <v>0</v>
      </c>
      <c r="AI93" s="78">
        <f>-CF!AI33</f>
        <v>0</v>
      </c>
      <c r="AJ93" s="78">
        <f>-CF!AJ33</f>
        <v>0</v>
      </c>
      <c r="AK93" s="78">
        <f>-CF!AK33</f>
        <v>0</v>
      </c>
      <c r="AL93" s="78">
        <f>-CF!AL33</f>
        <v>0</v>
      </c>
      <c r="AM93" s="78">
        <f>-CF!AM33</f>
        <v>0</v>
      </c>
      <c r="AN93" s="78">
        <f>-CF!AN33</f>
        <v>0</v>
      </c>
      <c r="AO93" s="78">
        <f>-CF!AO33</f>
        <v>0</v>
      </c>
      <c r="AP93" s="78">
        <f>-CF!AP33</f>
        <v>0</v>
      </c>
      <c r="AQ93" s="78">
        <f>-CF!AQ33</f>
        <v>0</v>
      </c>
      <c r="AR93" s="78">
        <f>-CF!AR33</f>
        <v>0</v>
      </c>
      <c r="AS93" s="78">
        <f>-CF!AS33</f>
        <v>0</v>
      </c>
      <c r="AT93" s="78">
        <f>-CF!AT33</f>
        <v>0</v>
      </c>
      <c r="AU93" s="78">
        <f>-CF!AU33</f>
        <v>0</v>
      </c>
      <c r="AV93" s="78">
        <f>-CF!AV33</f>
        <v>0</v>
      </c>
      <c r="AW93" s="78">
        <f>-CF!AW33</f>
        <v>0</v>
      </c>
      <c r="AX93" s="78">
        <f>-CF!AX33</f>
        <v>0</v>
      </c>
      <c r="AY93" s="78">
        <f>-CF!AY33</f>
        <v>0</v>
      </c>
      <c r="AZ93" s="78">
        <f>-CF!AZ33</f>
        <v>0</v>
      </c>
      <c r="BA93" s="78">
        <f>-CF!BA33</f>
        <v>0</v>
      </c>
      <c r="BB93" s="78">
        <f>-CF!BB33</f>
        <v>0</v>
      </c>
      <c r="BC93" s="78">
        <f>-CF!BC33</f>
        <v>0</v>
      </c>
      <c r="BD93" s="78">
        <f>-CF!BD33</f>
        <v>0</v>
      </c>
      <c r="BE93" s="78">
        <f>-CF!BE33</f>
        <v>0</v>
      </c>
      <c r="BF93" s="78">
        <f>-CF!BF33</f>
        <v>0</v>
      </c>
      <c r="BG93" s="78">
        <f>-CF!BG33</f>
        <v>0</v>
      </c>
      <c r="BH93" s="78">
        <f>-CF!BH33</f>
        <v>0</v>
      </c>
      <c r="BI93" s="78">
        <f>-CF!BI33</f>
        <v>0</v>
      </c>
      <c r="BJ93" s="78">
        <f>-CF!BJ33</f>
        <v>-2883.7478702290005</v>
      </c>
    </row>
    <row r="94" spans="3:62" x14ac:dyDescent="0.2">
      <c r="C94" t="s">
        <v>345</v>
      </c>
      <c r="K94" s="160" t="s">
        <v>62</v>
      </c>
      <c r="N94" s="78">
        <f t="shared" si="25"/>
        <v>24809313.160395604</v>
      </c>
      <c r="P94" s="75"/>
      <c r="Q94" s="78"/>
      <c r="R94" s="78"/>
      <c r="S94" s="78">
        <f>+MAX(CF!S51,0)</f>
        <v>0</v>
      </c>
      <c r="T94" s="78">
        <f>+MAX(CF!T51,0)</f>
        <v>207234.50432853866</v>
      </c>
      <c r="U94" s="78">
        <f>+MAX(CF!U51,0)</f>
        <v>34432.077035664392</v>
      </c>
      <c r="V94" s="78">
        <f>+MAX(CF!V51,0)</f>
        <v>52614.671873702144</v>
      </c>
      <c r="W94" s="78">
        <f>+MAX(CF!W51,0)</f>
        <v>64711.348397522699</v>
      </c>
      <c r="X94" s="78">
        <f>+MAX(CF!X51,0)</f>
        <v>76226.223390791885</v>
      </c>
      <c r="Y94" s="78">
        <f>+MAX(CF!Y51,0)</f>
        <v>88727.537335895409</v>
      </c>
      <c r="Z94" s="78">
        <f>+MAX(CF!Z51,0)</f>
        <v>102020.10024563194</v>
      </c>
      <c r="AA94" s="78">
        <f>+MAX(CF!AA51,0)</f>
        <v>117218.37893817326</v>
      </c>
      <c r="AB94" s="78">
        <f>+MAX(CF!AB51,0)</f>
        <v>128892.25375766546</v>
      </c>
      <c r="AC94" s="78">
        <f>+MAX(CF!AC51,0)</f>
        <v>141385.87399830358</v>
      </c>
      <c r="AD94" s="78">
        <f>+MAX(CF!AD51,0)</f>
        <v>153884.43437198672</v>
      </c>
      <c r="AE94" s="78">
        <f>+MAX(CF!AE51,0)</f>
        <v>163893.53866740924</v>
      </c>
      <c r="AF94" s="78">
        <f>+MAX(CF!AF51,0)</f>
        <v>181191.54653672103</v>
      </c>
      <c r="AG94" s="78">
        <f>+MAX(CF!AG51,0)</f>
        <v>205409.47262052793</v>
      </c>
      <c r="AH94" s="78">
        <f>+MAX(CF!AH51,0)</f>
        <v>231774.47291989741</v>
      </c>
      <c r="AI94" s="78">
        <f>+MAX(CF!AI51,0)</f>
        <v>260154.93525207887</v>
      </c>
      <c r="AJ94" s="78">
        <f>+MAX(CF!AJ51,0)</f>
        <v>291167.49409084721</v>
      </c>
      <c r="AK94" s="78">
        <f>+MAX(CF!AK51,0)</f>
        <v>325768.64901303669</v>
      </c>
      <c r="AL94" s="78">
        <f>+MAX(CF!AL51,0)</f>
        <v>363855.46835512907</v>
      </c>
      <c r="AM94" s="78">
        <f>+MAX(CF!AM51,0)</f>
        <v>390908.84603987617</v>
      </c>
      <c r="AN94" s="78">
        <f>+MAX(CF!AN51,0)</f>
        <v>477329.83465508278</v>
      </c>
      <c r="AO94" s="78">
        <f>+MAX(CF!AO51,0)</f>
        <v>518211.75895344769</v>
      </c>
      <c r="AP94" s="78">
        <f>+MAX(CF!AP51,0)</f>
        <v>583399.04240526201</v>
      </c>
      <c r="AQ94" s="78">
        <f>+MAX(CF!AQ51,0)</f>
        <v>620711.64546357875</v>
      </c>
      <c r="AR94" s="78">
        <f>+MAX(CF!AR51,0)</f>
        <v>659812.96914061205</v>
      </c>
      <c r="AS94" s="78">
        <f>+MAX(CF!AS51,0)</f>
        <v>701349.95831846655</v>
      </c>
      <c r="AT94" s="78">
        <f>+MAX(CF!AT51,0)</f>
        <v>635752.4145601684</v>
      </c>
      <c r="AU94" s="78">
        <f>+MAX(CF!AU51,0)</f>
        <v>683696.85681325768</v>
      </c>
      <c r="AV94" s="78">
        <f>+MAX(CF!AV51,0)</f>
        <v>730581.25522877916</v>
      </c>
      <c r="AW94" s="78">
        <f>+MAX(CF!AW51,0)</f>
        <v>775838.13647581427</v>
      </c>
      <c r="AX94" s="78">
        <f>+MAX(CF!AX51,0)</f>
        <v>817143.37023925502</v>
      </c>
      <c r="AY94" s="78">
        <f>+MAX(CF!AY51,0)</f>
        <v>879297.58436259429</v>
      </c>
      <c r="AZ94" s="78">
        <f>+MAX(CF!AZ51,0)</f>
        <v>944189.52262140682</v>
      </c>
      <c r="BA94" s="78">
        <f>+MAX(CF!BA51,0)</f>
        <v>999584.70123630413</v>
      </c>
      <c r="BB94" s="78">
        <f>+MAX(CF!BB51,0)</f>
        <v>1053910.6078956781</v>
      </c>
      <c r="BC94" s="78">
        <f>+MAX(CF!BC51,0)</f>
        <v>1086080.2769720163</v>
      </c>
      <c r="BD94" s="78">
        <f>+MAX(CF!BD51,0)</f>
        <v>1396843.1980425587</v>
      </c>
      <c r="BE94" s="78">
        <f>+MAX(CF!BE51,0)</f>
        <v>1270005.7518513093</v>
      </c>
      <c r="BF94" s="78">
        <f>+MAX(CF!BF51,0)</f>
        <v>1479620.2625882474</v>
      </c>
      <c r="BG94" s="78">
        <f>+MAX(CF!BG51,0)</f>
        <v>1534181.2648705142</v>
      </c>
      <c r="BH94" s="78">
        <f>+MAX(CF!BH51,0)</f>
        <v>1590368.8850572105</v>
      </c>
      <c r="BI94" s="78">
        <f>+MAX(CF!BI51,0)</f>
        <v>1510143.6007841963</v>
      </c>
      <c r="BJ94" s="78">
        <f>+MAX(CF!BJ51,0)</f>
        <v>279788.43469044275</v>
      </c>
    </row>
    <row r="95" spans="3:62" x14ac:dyDescent="0.2">
      <c r="C95" s="95" t="s">
        <v>315</v>
      </c>
      <c r="K95" s="160" t="s">
        <v>62</v>
      </c>
      <c r="N95" s="78">
        <f t="shared" si="25"/>
        <v>97373.823001979967</v>
      </c>
      <c r="P95" s="75"/>
      <c r="Q95" s="78"/>
      <c r="R95" s="78"/>
      <c r="S95" s="78">
        <f>-CF!S29-CF!S31</f>
        <v>0</v>
      </c>
      <c r="T95" s="78">
        <f>-CF!T29-CF!T31</f>
        <v>0</v>
      </c>
      <c r="U95" s="78">
        <f>-CF!U29-CF!U31</f>
        <v>0</v>
      </c>
      <c r="V95" s="78">
        <f>-CF!V29-CF!V31</f>
        <v>0</v>
      </c>
      <c r="W95" s="78">
        <f>-CF!W29-CF!W31</f>
        <v>0</v>
      </c>
      <c r="X95" s="78">
        <f>-CF!X29-CF!X31</f>
        <v>0</v>
      </c>
      <c r="Y95" s="78">
        <f>-CF!Y29-CF!Y31</f>
        <v>0</v>
      </c>
      <c r="Z95" s="78">
        <f>-CF!Z29-CF!Z31</f>
        <v>0</v>
      </c>
      <c r="AA95" s="78">
        <f>-CF!AA29-CF!AA31</f>
        <v>0</v>
      </c>
      <c r="AB95" s="78">
        <f>-CF!AB29-CF!AB31</f>
        <v>0</v>
      </c>
      <c r="AC95" s="78">
        <f>-CF!AC29-CF!AC31</f>
        <v>0</v>
      </c>
      <c r="AD95" s="78">
        <f>-CF!AD29-CF!AD31</f>
        <v>0</v>
      </c>
      <c r="AE95" s="78">
        <f>-CF!AE29-CF!AE31</f>
        <v>0</v>
      </c>
      <c r="AF95" s="78">
        <f>-CF!AF29-CF!AF31</f>
        <v>0</v>
      </c>
      <c r="AG95" s="78">
        <f>-CF!AG29-CF!AG31</f>
        <v>0</v>
      </c>
      <c r="AH95" s="78">
        <f>-CF!AH29-CF!AH31</f>
        <v>0</v>
      </c>
      <c r="AI95" s="78">
        <f>-CF!AI29-CF!AI31</f>
        <v>0</v>
      </c>
      <c r="AJ95" s="78">
        <f>-CF!AJ29-CF!AJ31</f>
        <v>0</v>
      </c>
      <c r="AK95" s="78">
        <f>-CF!AK29-CF!AK31</f>
        <v>0</v>
      </c>
      <c r="AL95" s="78">
        <f>-CF!AL29-CF!AL31</f>
        <v>0</v>
      </c>
      <c r="AM95" s="78">
        <f>-CF!AM29-CF!AM31</f>
        <v>0</v>
      </c>
      <c r="AN95" s="78">
        <f>-CF!AN29-CF!AN31</f>
        <v>0</v>
      </c>
      <c r="AO95" s="78">
        <f>-CF!AO29-CF!AO31</f>
        <v>0</v>
      </c>
      <c r="AP95" s="78">
        <f>-CF!AP29-CF!AP31</f>
        <v>0</v>
      </c>
      <c r="AQ95" s="78">
        <f>-CF!AQ29-CF!AQ31</f>
        <v>0</v>
      </c>
      <c r="AR95" s="78">
        <f>-CF!AR29-CF!AR31</f>
        <v>0</v>
      </c>
      <c r="AS95" s="78">
        <f>-CF!AS29-CF!AS31</f>
        <v>0</v>
      </c>
      <c r="AT95" s="78">
        <f>-CF!AT29-CF!AT31</f>
        <v>0</v>
      </c>
      <c r="AU95" s="78">
        <f>-CF!AU29-CF!AU31</f>
        <v>0</v>
      </c>
      <c r="AV95" s="78">
        <f>-CF!AV29-CF!AV31</f>
        <v>0</v>
      </c>
      <c r="AW95" s="78">
        <f>-CF!AW29-CF!AW31</f>
        <v>0</v>
      </c>
      <c r="AX95" s="78">
        <f>-CF!AX29-CF!AX31</f>
        <v>0</v>
      </c>
      <c r="AY95" s="78">
        <f>-CF!AY29-CF!AY31</f>
        <v>0</v>
      </c>
      <c r="AZ95" s="78">
        <f>-CF!AZ29-CF!AZ31</f>
        <v>0</v>
      </c>
      <c r="BA95" s="78">
        <f>-CF!BA29-CF!BA31</f>
        <v>0</v>
      </c>
      <c r="BB95" s="78">
        <f>-CF!BB29-CF!BB31</f>
        <v>0</v>
      </c>
      <c r="BC95" s="78">
        <f>-CF!BC29-CF!BC31</f>
        <v>0</v>
      </c>
      <c r="BD95" s="78">
        <f>-CF!BD29-CF!BD31</f>
        <v>0</v>
      </c>
      <c r="BE95" s="78">
        <f>-CF!BE29-CF!BE31</f>
        <v>143269.05167515849</v>
      </c>
      <c r="BF95" s="78">
        <f>-CF!BF29-CF!BF31</f>
        <v>-17217.14575767015</v>
      </c>
      <c r="BG95" s="78">
        <f>-CF!BG29-CF!BG31</f>
        <v>-21643.626671558894</v>
      </c>
      <c r="BH95" s="78">
        <f>-CF!BH29-CF!BH31</f>
        <v>-27208.143677887198</v>
      </c>
      <c r="BI95" s="78">
        <f>-CF!BI29-CF!BI31</f>
        <v>-34203.282732155618</v>
      </c>
      <c r="BJ95" s="78">
        <f>-CF!BJ29-CF!BJ31</f>
        <v>54376.97016609335</v>
      </c>
    </row>
    <row r="97" spans="3:62" x14ac:dyDescent="0.2">
      <c r="C97" s="45" t="s">
        <v>116</v>
      </c>
      <c r="D97" s="45"/>
      <c r="E97" s="45"/>
      <c r="F97" s="45"/>
      <c r="G97" s="45"/>
      <c r="H97" s="45"/>
      <c r="I97" s="45"/>
      <c r="J97" s="45"/>
      <c r="K97" s="618" t="s">
        <v>62</v>
      </c>
      <c r="L97" s="46"/>
      <c r="M97" s="46"/>
      <c r="N97" s="724">
        <f>SUM(Q97:BJ97)</f>
        <v>34137092.198348224</v>
      </c>
      <c r="O97" s="45"/>
      <c r="P97" s="45"/>
      <c r="Q97" s="173"/>
      <c r="R97" s="46"/>
      <c r="S97" s="724">
        <f t="shared" ref="S97:BJ97" si="26">SUM(S85:S95)</f>
        <v>100675.3833614914</v>
      </c>
      <c r="T97" s="724">
        <f t="shared" si="26"/>
        <v>741618.08354014088</v>
      </c>
      <c r="U97" s="724">
        <f t="shared" si="26"/>
        <v>127239.41453565333</v>
      </c>
      <c r="V97" s="724">
        <f t="shared" si="26"/>
        <v>142415.09867885144</v>
      </c>
      <c r="W97" s="724">
        <f t="shared" si="26"/>
        <v>154617.22789917473</v>
      </c>
      <c r="X97" s="724">
        <f t="shared" si="26"/>
        <v>167799.93259143579</v>
      </c>
      <c r="Y97" s="724">
        <f t="shared" si="26"/>
        <v>184367.33213033577</v>
      </c>
      <c r="Z97" s="724">
        <f t="shared" si="26"/>
        <v>210620.18593654019</v>
      </c>
      <c r="AA97" s="724">
        <f t="shared" si="26"/>
        <v>227557.01363812093</v>
      </c>
      <c r="AB97" s="724">
        <f t="shared" si="26"/>
        <v>236872.67380823771</v>
      </c>
      <c r="AC97" s="724">
        <f t="shared" si="26"/>
        <v>246933.38433637162</v>
      </c>
      <c r="AD97" s="724">
        <f t="shared" si="26"/>
        <v>318029.20042475278</v>
      </c>
      <c r="AE97" s="724">
        <f t="shared" si="26"/>
        <v>271961.91689473926</v>
      </c>
      <c r="AF97" s="724">
        <f t="shared" si="26"/>
        <v>303395.99110359297</v>
      </c>
      <c r="AG97" s="724">
        <f t="shared" si="26"/>
        <v>339206.25363965775</v>
      </c>
      <c r="AH97" s="724">
        <f t="shared" si="26"/>
        <v>379949.81441573793</v>
      </c>
      <c r="AI97" s="724">
        <f t="shared" si="26"/>
        <v>435641.81895577128</v>
      </c>
      <c r="AJ97" s="724">
        <f t="shared" si="26"/>
        <v>496781.48836019414</v>
      </c>
      <c r="AK97" s="724">
        <f t="shared" si="26"/>
        <v>553847.48554218223</v>
      </c>
      <c r="AL97" s="724">
        <f t="shared" si="26"/>
        <v>618874.24486279243</v>
      </c>
      <c r="AM97" s="724">
        <f t="shared" si="26"/>
        <v>731720.80705156224</v>
      </c>
      <c r="AN97" s="724">
        <f t="shared" si="26"/>
        <v>924909.74180851097</v>
      </c>
      <c r="AO97" s="724">
        <f t="shared" si="26"/>
        <v>667142.41744490957</v>
      </c>
      <c r="AP97" s="724">
        <f t="shared" si="26"/>
        <v>734828.64184141695</v>
      </c>
      <c r="AQ97" s="724">
        <f t="shared" si="26"/>
        <v>773914.0029890358</v>
      </c>
      <c r="AR97" s="724">
        <f t="shared" si="26"/>
        <v>815171.01610548131</v>
      </c>
      <c r="AS97" s="724">
        <f t="shared" si="26"/>
        <v>858603.06696358847</v>
      </c>
      <c r="AT97" s="724">
        <f t="shared" si="26"/>
        <v>906325.8483788697</v>
      </c>
      <c r="AU97" s="724">
        <f t="shared" si="26"/>
        <v>959253.02503702219</v>
      </c>
      <c r="AV97" s="724">
        <f t="shared" si="26"/>
        <v>1011077.7005275975</v>
      </c>
      <c r="AW97" s="724">
        <f t="shared" si="26"/>
        <v>1060504.0404431024</v>
      </c>
      <c r="AX97" s="724">
        <f t="shared" si="26"/>
        <v>1221865.599790928</v>
      </c>
      <c r="AY97" s="724">
        <f t="shared" si="26"/>
        <v>1185082.5753362793</v>
      </c>
      <c r="AZ97" s="724">
        <f t="shared" si="26"/>
        <v>1255963.5399500015</v>
      </c>
      <c r="BA97" s="724">
        <f t="shared" si="26"/>
        <v>1313224.7579126512</v>
      </c>
      <c r="BB97" s="724">
        <f t="shared" si="26"/>
        <v>1371886.0782182417</v>
      </c>
      <c r="BC97" s="724">
        <f t="shared" si="26"/>
        <v>1434665.0501712961</v>
      </c>
      <c r="BD97" s="724">
        <f t="shared" si="26"/>
        <v>1748334.1889271524</v>
      </c>
      <c r="BE97" s="724">
        <f t="shared" si="26"/>
        <v>1568610.2083121771</v>
      </c>
      <c r="BF97" s="724">
        <f t="shared" si="26"/>
        <v>1626464.6200532629</v>
      </c>
      <c r="BG97" s="724">
        <f t="shared" si="26"/>
        <v>1686251.992521846</v>
      </c>
      <c r="BH97" s="724">
        <f t="shared" si="26"/>
        <v>1748182.1443663747</v>
      </c>
      <c r="BI97" s="724">
        <f t="shared" si="26"/>
        <v>1811676.9260455477</v>
      </c>
      <c r="BJ97" s="724">
        <f t="shared" si="26"/>
        <v>463030.26349560532</v>
      </c>
    </row>
    <row r="99" spans="3:62" ht="13.5" thickBot="1" x14ac:dyDescent="0.25"/>
    <row r="100" spans="3:62" ht="13.5" thickBot="1" x14ac:dyDescent="0.25">
      <c r="C100" t="s">
        <v>117</v>
      </c>
      <c r="N100" s="723">
        <f>IF(ROUND(SUM(Q100:BJ100),1)&lt;&gt;0,1,0)</f>
        <v>0</v>
      </c>
      <c r="Q100" s="78">
        <f t="shared" ref="Q100:BJ100" si="27">ROUND(+Q97-Q81,0)</f>
        <v>0</v>
      </c>
      <c r="R100" s="78">
        <f t="shared" si="27"/>
        <v>0</v>
      </c>
      <c r="S100" s="78">
        <f t="shared" si="27"/>
        <v>0</v>
      </c>
      <c r="T100" s="78">
        <f t="shared" si="27"/>
        <v>0</v>
      </c>
      <c r="U100" s="78">
        <f t="shared" si="27"/>
        <v>0</v>
      </c>
      <c r="V100" s="78">
        <f t="shared" si="27"/>
        <v>0</v>
      </c>
      <c r="W100" s="78">
        <f t="shared" si="27"/>
        <v>0</v>
      </c>
      <c r="X100" s="78">
        <f t="shared" si="27"/>
        <v>0</v>
      </c>
      <c r="Y100" s="78">
        <f t="shared" si="27"/>
        <v>0</v>
      </c>
      <c r="Z100" s="78">
        <f t="shared" si="27"/>
        <v>0</v>
      </c>
      <c r="AA100" s="78">
        <f t="shared" si="27"/>
        <v>0</v>
      </c>
      <c r="AB100" s="78">
        <f t="shared" si="27"/>
        <v>0</v>
      </c>
      <c r="AC100" s="78">
        <f t="shared" si="27"/>
        <v>0</v>
      </c>
      <c r="AD100" s="78">
        <f t="shared" si="27"/>
        <v>0</v>
      </c>
      <c r="AE100" s="78">
        <f t="shared" si="27"/>
        <v>0</v>
      </c>
      <c r="AF100" s="78">
        <f t="shared" si="27"/>
        <v>0</v>
      </c>
      <c r="AG100" s="78">
        <f t="shared" si="27"/>
        <v>0</v>
      </c>
      <c r="AH100" s="78">
        <f t="shared" si="27"/>
        <v>0</v>
      </c>
      <c r="AI100" s="78">
        <f t="shared" si="27"/>
        <v>0</v>
      </c>
      <c r="AJ100" s="78">
        <f t="shared" si="27"/>
        <v>0</v>
      </c>
      <c r="AK100" s="78">
        <f t="shared" si="27"/>
        <v>0</v>
      </c>
      <c r="AL100" s="78">
        <f t="shared" si="27"/>
        <v>0</v>
      </c>
      <c r="AM100" s="78">
        <f t="shared" si="27"/>
        <v>0</v>
      </c>
      <c r="AN100" s="78">
        <f t="shared" si="27"/>
        <v>0</v>
      </c>
      <c r="AO100" s="78">
        <f t="shared" si="27"/>
        <v>0</v>
      </c>
      <c r="AP100" s="78">
        <f t="shared" si="27"/>
        <v>0</v>
      </c>
      <c r="AQ100" s="78">
        <f t="shared" si="27"/>
        <v>0</v>
      </c>
      <c r="AR100" s="78">
        <f t="shared" si="27"/>
        <v>0</v>
      </c>
      <c r="AS100" s="78">
        <f t="shared" si="27"/>
        <v>0</v>
      </c>
      <c r="AT100" s="78">
        <f t="shared" si="27"/>
        <v>0</v>
      </c>
      <c r="AU100" s="78">
        <f t="shared" si="27"/>
        <v>0</v>
      </c>
      <c r="AV100" s="78">
        <f t="shared" si="27"/>
        <v>0</v>
      </c>
      <c r="AW100" s="78">
        <f t="shared" si="27"/>
        <v>0</v>
      </c>
      <c r="AX100" s="78">
        <f t="shared" si="27"/>
        <v>0</v>
      </c>
      <c r="AY100" s="78">
        <f t="shared" si="27"/>
        <v>0</v>
      </c>
      <c r="AZ100" s="78">
        <f t="shared" si="27"/>
        <v>0</v>
      </c>
      <c r="BA100" s="78">
        <f t="shared" si="27"/>
        <v>0</v>
      </c>
      <c r="BB100" s="78">
        <f t="shared" si="27"/>
        <v>0</v>
      </c>
      <c r="BC100" s="78">
        <f t="shared" si="27"/>
        <v>0</v>
      </c>
      <c r="BD100" s="78">
        <f t="shared" si="27"/>
        <v>0</v>
      </c>
      <c r="BE100" s="78">
        <f t="shared" si="27"/>
        <v>0</v>
      </c>
      <c r="BF100" s="78">
        <f t="shared" si="27"/>
        <v>0</v>
      </c>
      <c r="BG100" s="78">
        <f t="shared" si="27"/>
        <v>0</v>
      </c>
      <c r="BH100" s="78">
        <f t="shared" si="27"/>
        <v>0</v>
      </c>
      <c r="BI100" s="78">
        <f t="shared" si="27"/>
        <v>0</v>
      </c>
      <c r="BJ100" s="78">
        <f t="shared" si="27"/>
        <v>0</v>
      </c>
    </row>
    <row r="101" spans="3:62" x14ac:dyDescent="0.2">
      <c r="Q101" s="125"/>
    </row>
  </sheetData>
  <sheetProtection algorithmName="SHA-512" hashValue="Xi4qooWZqmo91aZxPeAgdk1IR3kE4cBlsBq2qj/PfdxXdfeQuEwborh3L2Tj/l3Z+MYSpNdXcCRK7quDSYUkFQ==" saltValue="rOcwlrZxu87H4WZ9iLptEQ==" spinCount="100000" sheet="1" objects="1" scenarios="1"/>
  <customSheetViews>
    <customSheetView guid="{A171ABFC-BD20-4BE9-8F97-F532286F0C2D}" scale="70" showGridLines="0">
      <pane xSplit="15" ySplit="11" topLeftCell="P66" activePane="bottomRight" state="frozen"/>
      <selection pane="bottomRight" activeCell="X45" sqref="X45:X72"/>
      <pageMargins left="0.7" right="0.7" top="0.75" bottom="0.75" header="0.3" footer="0.3"/>
    </customSheetView>
    <customSheetView guid="{5F88CBE0-3291-4A41-996B-A8A1DC273A84}" scale="70" showGridLines="0">
      <pane xSplit="15" ySplit="11" topLeftCell="R57" activePane="bottomRight" state="frozen"/>
      <selection pane="bottomRight" activeCell="R69" sqref="R69"/>
      <pageMargins left="0.7" right="0.7" top="0.75" bottom="0.75" header="0.3" footer="0.3"/>
    </customSheetView>
  </customSheetViews>
  <conditionalFormatting sqref="N100 N66">
    <cfRule type="cellIs" dxfId="7" priority="3" stopIfTrue="1" operator="equal">
      <formula>0</formula>
    </cfRule>
    <cfRule type="cellIs" dxfId="6" priority="4" stopIfTrue="1" operator="equal">
      <formula>1</formula>
    </cfRule>
  </conditionalFormatting>
  <conditionalFormatting sqref="F4">
    <cfRule type="cellIs" dxfId="5" priority="1" stopIfTrue="1" operator="equal">
      <formula>0</formula>
    </cfRule>
    <cfRule type="cellIs" dxfId="4" priority="2" stopIfTrue="1" operator="equal">
      <formula>1</formula>
    </cfRule>
  </conditionalFormatting>
  <pageMargins left="0.70866141732283472" right="0.70866141732283472" top="0.55118110236220474" bottom="0.15748031496062992" header="0.31496062992125984" footer="0.31496062992125984"/>
  <pageSetup paperSize="9" scale="35" orientation="landscape" r:id="rId1"/>
  <colBreaks count="1" manualBreakCount="1">
    <brk id="34" max="10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V65704"/>
  <sheetViews>
    <sheetView showGridLines="0" view="pageBreakPreview" zoomScale="70" zoomScaleNormal="70" zoomScaleSheetLayoutView="70" workbookViewId="0">
      <pane xSplit="15" ySplit="10" topLeftCell="P11" activePane="bottomRight" state="frozen"/>
      <selection pane="topRight" activeCell="P1" sqref="P1"/>
      <selection pane="bottomLeft" activeCell="A11" sqref="A11"/>
      <selection pane="bottomRight"/>
    </sheetView>
  </sheetViews>
  <sheetFormatPr baseColWidth="10" defaultColWidth="0" defaultRowHeight="12.75" zeroHeight="1" outlineLevelCol="1" x14ac:dyDescent="0.2"/>
  <cols>
    <col min="1" max="2" width="2.7109375" style="1" customWidth="1"/>
    <col min="3" max="3" width="2.7109375" style="15" customWidth="1"/>
    <col min="4" max="4" width="11.5703125" style="1" bestFit="1" customWidth="1"/>
    <col min="5" max="7" width="11.5703125" style="1" customWidth="1"/>
    <col min="8" max="8" width="8.5703125" style="1" customWidth="1"/>
    <col min="9" max="10" width="9.140625" style="1" customWidth="1"/>
    <col min="11" max="11" width="23.140625" style="1" bestFit="1" customWidth="1"/>
    <col min="12" max="12" width="14.42578125" style="1" bestFit="1" customWidth="1"/>
    <col min="13" max="13" width="13" style="1" bestFit="1" customWidth="1"/>
    <col min="14" max="14" width="14.42578125" style="1" customWidth="1"/>
    <col min="15" max="15" width="4" style="1" customWidth="1"/>
    <col min="16" max="16" width="0.85546875" style="1" customWidth="1"/>
    <col min="17" max="23" width="13.7109375" style="1" hidden="1" customWidth="1" outlineLevel="1"/>
    <col min="24" max="24" width="15.42578125" style="1" hidden="1" customWidth="1" outlineLevel="1"/>
    <col min="25" max="25" width="13.7109375" style="1" customWidth="1" collapsed="1"/>
    <col min="26" max="69" width="13.7109375" style="1" customWidth="1"/>
    <col min="70" max="79" width="13.7109375" style="186" customWidth="1"/>
    <col min="80" max="80" width="12.85546875" style="186" customWidth="1"/>
    <col min="81" max="81" width="12.7109375" style="186" customWidth="1"/>
    <col min="82" max="195" width="13.7109375" hidden="1" customWidth="1"/>
    <col min="196" max="16384" width="13.7109375" style="5" hidden="1"/>
  </cols>
  <sheetData>
    <row r="1" spans="1:256" x14ac:dyDescent="0.2">
      <c r="C1" s="1"/>
    </row>
    <row r="2" spans="1:256" s="21" customFormat="1" ht="13.5" customHeight="1" x14ac:dyDescent="0.2">
      <c r="A2" s="6"/>
      <c r="B2" s="6"/>
      <c r="C2" s="6" t="s">
        <v>2</v>
      </c>
      <c r="D2" s="6"/>
      <c r="E2" s="6"/>
      <c r="F2" s="655" t="str">
        <f>+Inputs!$G$2</f>
        <v>NTE Express</v>
      </c>
      <c r="G2" s="6"/>
      <c r="H2" s="6"/>
      <c r="I2" s="6"/>
      <c r="J2" s="6"/>
      <c r="K2" s="6"/>
      <c r="L2" s="6"/>
      <c r="M2" s="6"/>
      <c r="N2" s="88"/>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186"/>
      <c r="BS2" s="186"/>
      <c r="BT2" s="186"/>
      <c r="BU2" s="186"/>
      <c r="BV2" s="186"/>
      <c r="BW2" s="186"/>
      <c r="BX2" s="186"/>
      <c r="BY2" s="186"/>
      <c r="BZ2" s="186"/>
      <c r="CA2" s="186"/>
      <c r="CB2" s="186"/>
      <c r="CC2" s="186"/>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row>
    <row r="3" spans="1:256" s="21" customFormat="1" ht="13.5" thickBot="1" x14ac:dyDescent="0.25">
      <c r="A3" s="6"/>
      <c r="B3" s="6"/>
      <c r="C3" s="6" t="s">
        <v>3</v>
      </c>
      <c r="D3" s="6"/>
      <c r="E3" s="6"/>
      <c r="F3" s="6" t="s">
        <v>436</v>
      </c>
      <c r="G3" s="6"/>
      <c r="H3" s="6"/>
      <c r="I3" s="6"/>
      <c r="J3" s="6"/>
      <c r="K3" s="6"/>
      <c r="L3" s="6"/>
      <c r="M3" s="6"/>
      <c r="N3" s="89"/>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186"/>
      <c r="BS3" s="186"/>
      <c r="BT3" s="186"/>
      <c r="BU3" s="186"/>
      <c r="BV3" s="186"/>
      <c r="BW3" s="186"/>
      <c r="BX3" s="186"/>
      <c r="BY3" s="186"/>
      <c r="BZ3" s="186"/>
      <c r="CA3" s="186"/>
      <c r="CB3" s="186"/>
      <c r="CC3" s="186"/>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row>
    <row r="4" spans="1:256" s="21" customFormat="1" ht="13.5" thickBot="1" x14ac:dyDescent="0.25">
      <c r="A4" s="6"/>
      <c r="B4" s="6"/>
      <c r="C4" s="6" t="s">
        <v>4</v>
      </c>
      <c r="D4" s="6"/>
      <c r="E4" s="6"/>
      <c r="F4" s="74">
        <f ca="1">+Inputs!G4</f>
        <v>0</v>
      </c>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186"/>
      <c r="BS4" s="186"/>
      <c r="BT4" s="186"/>
      <c r="BU4" s="186"/>
      <c r="BV4" s="186"/>
      <c r="BW4" s="186"/>
      <c r="BX4" s="186"/>
      <c r="BY4" s="186"/>
      <c r="BZ4" s="186"/>
      <c r="CA4" s="186"/>
      <c r="CB4" s="186"/>
      <c r="CC4" s="186"/>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row>
    <row r="5" spans="1:256" s="21" customForma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186"/>
      <c r="BS5" s="186"/>
      <c r="BT5" s="186"/>
      <c r="BU5" s="186"/>
      <c r="BV5" s="186"/>
      <c r="BW5" s="186"/>
      <c r="BX5" s="186"/>
      <c r="BY5" s="186"/>
      <c r="BZ5" s="186"/>
      <c r="CA5" s="186"/>
      <c r="CB5" s="186"/>
      <c r="CC5" s="186"/>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row>
    <row r="6" spans="1:256" s="21" customFormat="1" x14ac:dyDescent="0.2">
      <c r="A6" s="6"/>
      <c r="B6" s="6"/>
      <c r="C6" s="6"/>
      <c r="D6" s="6"/>
      <c r="E6" s="6"/>
      <c r="F6" s="6"/>
      <c r="G6" s="6"/>
      <c r="H6" s="6"/>
      <c r="I6" s="6"/>
      <c r="J6" s="6"/>
      <c r="K6" s="6"/>
      <c r="L6" s="6"/>
      <c r="M6" s="6"/>
      <c r="N6" s="6"/>
      <c r="O6" s="6"/>
      <c r="P6" s="6"/>
      <c r="Q6" s="655">
        <v>1</v>
      </c>
      <c r="R6" s="655">
        <v>2</v>
      </c>
      <c r="S6" s="655">
        <v>3</v>
      </c>
      <c r="T6" s="655">
        <v>4</v>
      </c>
      <c r="U6" s="655">
        <v>5</v>
      </c>
      <c r="V6" s="655">
        <v>6</v>
      </c>
      <c r="W6" s="655">
        <v>7</v>
      </c>
      <c r="X6" s="655">
        <f t="shared" ref="X6:AW6" si="0">+W6+1</f>
        <v>8</v>
      </c>
      <c r="Y6" s="655">
        <f t="shared" si="0"/>
        <v>9</v>
      </c>
      <c r="Z6" s="655">
        <f t="shared" si="0"/>
        <v>10</v>
      </c>
      <c r="AA6" s="655">
        <f t="shared" si="0"/>
        <v>11</v>
      </c>
      <c r="AB6" s="655">
        <f t="shared" si="0"/>
        <v>12</v>
      </c>
      <c r="AC6" s="655">
        <f t="shared" si="0"/>
        <v>13</v>
      </c>
      <c r="AD6" s="655">
        <f t="shared" si="0"/>
        <v>14</v>
      </c>
      <c r="AE6" s="655">
        <f t="shared" si="0"/>
        <v>15</v>
      </c>
      <c r="AF6" s="655">
        <f t="shared" si="0"/>
        <v>16</v>
      </c>
      <c r="AG6" s="655">
        <f t="shared" si="0"/>
        <v>17</v>
      </c>
      <c r="AH6" s="655">
        <f t="shared" si="0"/>
        <v>18</v>
      </c>
      <c r="AI6" s="655">
        <f t="shared" si="0"/>
        <v>19</v>
      </c>
      <c r="AJ6" s="655">
        <f t="shared" si="0"/>
        <v>20</v>
      </c>
      <c r="AK6" s="655">
        <f t="shared" si="0"/>
        <v>21</v>
      </c>
      <c r="AL6" s="655">
        <f t="shared" si="0"/>
        <v>22</v>
      </c>
      <c r="AM6" s="655">
        <f t="shared" si="0"/>
        <v>23</v>
      </c>
      <c r="AN6" s="655">
        <f t="shared" si="0"/>
        <v>24</v>
      </c>
      <c r="AO6" s="655">
        <f t="shared" si="0"/>
        <v>25</v>
      </c>
      <c r="AP6" s="655">
        <f t="shared" si="0"/>
        <v>26</v>
      </c>
      <c r="AQ6" s="655">
        <f t="shared" si="0"/>
        <v>27</v>
      </c>
      <c r="AR6" s="655">
        <f t="shared" si="0"/>
        <v>28</v>
      </c>
      <c r="AS6" s="655">
        <f t="shared" si="0"/>
        <v>29</v>
      </c>
      <c r="AT6" s="655">
        <f t="shared" si="0"/>
        <v>30</v>
      </c>
      <c r="AU6" s="655">
        <f t="shared" si="0"/>
        <v>31</v>
      </c>
      <c r="AV6" s="655">
        <f t="shared" si="0"/>
        <v>32</v>
      </c>
      <c r="AW6" s="655">
        <f t="shared" si="0"/>
        <v>33</v>
      </c>
      <c r="AX6" s="655">
        <f t="shared" ref="AX6:BQ6" si="1">+AW6+1</f>
        <v>34</v>
      </c>
      <c r="AY6" s="655">
        <f t="shared" si="1"/>
        <v>35</v>
      </c>
      <c r="AZ6" s="655">
        <f t="shared" si="1"/>
        <v>36</v>
      </c>
      <c r="BA6" s="655">
        <f t="shared" si="1"/>
        <v>37</v>
      </c>
      <c r="BB6" s="655">
        <f t="shared" si="1"/>
        <v>38</v>
      </c>
      <c r="BC6" s="655">
        <f t="shared" si="1"/>
        <v>39</v>
      </c>
      <c r="BD6" s="655">
        <f t="shared" si="1"/>
        <v>40</v>
      </c>
      <c r="BE6" s="655">
        <f t="shared" si="1"/>
        <v>41</v>
      </c>
      <c r="BF6" s="655">
        <f t="shared" si="1"/>
        <v>42</v>
      </c>
      <c r="BG6" s="655">
        <f t="shared" si="1"/>
        <v>43</v>
      </c>
      <c r="BH6" s="655">
        <f t="shared" si="1"/>
        <v>44</v>
      </c>
      <c r="BI6" s="655">
        <f t="shared" si="1"/>
        <v>45</v>
      </c>
      <c r="BJ6" s="655">
        <f t="shared" si="1"/>
        <v>46</v>
      </c>
      <c r="BK6" s="655">
        <f t="shared" si="1"/>
        <v>47</v>
      </c>
      <c r="BL6" s="655">
        <f t="shared" si="1"/>
        <v>48</v>
      </c>
      <c r="BM6" s="655">
        <f t="shared" si="1"/>
        <v>49</v>
      </c>
      <c r="BN6" s="655">
        <f t="shared" si="1"/>
        <v>50</v>
      </c>
      <c r="BO6" s="655">
        <f t="shared" si="1"/>
        <v>51</v>
      </c>
      <c r="BP6" s="655">
        <f t="shared" si="1"/>
        <v>52</v>
      </c>
      <c r="BQ6" s="655">
        <f t="shared" si="1"/>
        <v>53</v>
      </c>
      <c r="BR6" s="186"/>
      <c r="BS6" s="186"/>
      <c r="BT6" s="186"/>
      <c r="BU6" s="186"/>
      <c r="BV6" s="186"/>
      <c r="BW6" s="186"/>
      <c r="BX6" s="186"/>
      <c r="BY6" s="186"/>
      <c r="BZ6" s="186"/>
      <c r="CA6" s="186"/>
      <c r="CB6" s="186"/>
      <c r="CC6" s="18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row>
    <row r="7" spans="1:256" s="21" customFormat="1" x14ac:dyDescent="0.2">
      <c r="A7" s="6"/>
      <c r="B7" s="6"/>
      <c r="C7" s="6" t="s">
        <v>19</v>
      </c>
      <c r="D7" s="6"/>
      <c r="E7" s="6"/>
      <c r="F7" s="6"/>
      <c r="G7" s="6"/>
      <c r="H7" s="6"/>
      <c r="I7" s="6"/>
      <c r="J7" s="6"/>
      <c r="K7" s="6"/>
      <c r="L7" s="6"/>
      <c r="M7" s="6"/>
      <c r="N7" s="6"/>
      <c r="O7" s="6"/>
      <c r="P7" s="6"/>
      <c r="Q7" s="655">
        <v>2009</v>
      </c>
      <c r="R7" s="655">
        <v>2010</v>
      </c>
      <c r="S7" s="655">
        <v>2011</v>
      </c>
      <c r="T7" s="655">
        <v>2012</v>
      </c>
      <c r="U7" s="655">
        <v>2013</v>
      </c>
      <c r="V7" s="655">
        <v>2014</v>
      </c>
      <c r="W7" s="655">
        <v>2015</v>
      </c>
      <c r="X7" s="655">
        <f t="shared" ref="X7:AV7" si="2">+YEAR(X9)</f>
        <v>2016</v>
      </c>
      <c r="Y7" s="655">
        <f t="shared" si="2"/>
        <v>2017</v>
      </c>
      <c r="Z7" s="655">
        <f t="shared" si="2"/>
        <v>2018</v>
      </c>
      <c r="AA7" s="655">
        <f t="shared" si="2"/>
        <v>2019</v>
      </c>
      <c r="AB7" s="655">
        <f t="shared" si="2"/>
        <v>2020</v>
      </c>
      <c r="AC7" s="655">
        <f t="shared" si="2"/>
        <v>2021</v>
      </c>
      <c r="AD7" s="655">
        <f t="shared" si="2"/>
        <v>2022</v>
      </c>
      <c r="AE7" s="655">
        <f t="shared" si="2"/>
        <v>2023</v>
      </c>
      <c r="AF7" s="655">
        <f t="shared" si="2"/>
        <v>2024</v>
      </c>
      <c r="AG7" s="655">
        <f t="shared" si="2"/>
        <v>2025</v>
      </c>
      <c r="AH7" s="655">
        <f t="shared" si="2"/>
        <v>2026</v>
      </c>
      <c r="AI7" s="655">
        <f t="shared" si="2"/>
        <v>2027</v>
      </c>
      <c r="AJ7" s="655">
        <f t="shared" si="2"/>
        <v>2028</v>
      </c>
      <c r="AK7" s="655">
        <f t="shared" si="2"/>
        <v>2029</v>
      </c>
      <c r="AL7" s="655">
        <f t="shared" si="2"/>
        <v>2030</v>
      </c>
      <c r="AM7" s="655">
        <f t="shared" si="2"/>
        <v>2031</v>
      </c>
      <c r="AN7" s="655">
        <f t="shared" si="2"/>
        <v>2032</v>
      </c>
      <c r="AO7" s="655">
        <f t="shared" si="2"/>
        <v>2033</v>
      </c>
      <c r="AP7" s="655">
        <f t="shared" si="2"/>
        <v>2034</v>
      </c>
      <c r="AQ7" s="655">
        <f t="shared" si="2"/>
        <v>2035</v>
      </c>
      <c r="AR7" s="655">
        <f t="shared" si="2"/>
        <v>2036</v>
      </c>
      <c r="AS7" s="655">
        <f t="shared" si="2"/>
        <v>2037</v>
      </c>
      <c r="AT7" s="655">
        <f t="shared" si="2"/>
        <v>2038</v>
      </c>
      <c r="AU7" s="655">
        <f t="shared" si="2"/>
        <v>2039</v>
      </c>
      <c r="AV7" s="655">
        <f t="shared" si="2"/>
        <v>2040</v>
      </c>
      <c r="AW7" s="655">
        <f t="shared" ref="AW7:BQ7" si="3">+YEAR(AW9)</f>
        <v>2041</v>
      </c>
      <c r="AX7" s="655">
        <f t="shared" si="3"/>
        <v>2042</v>
      </c>
      <c r="AY7" s="655">
        <f t="shared" si="3"/>
        <v>2043</v>
      </c>
      <c r="AZ7" s="655">
        <f t="shared" si="3"/>
        <v>2044</v>
      </c>
      <c r="BA7" s="655">
        <f t="shared" si="3"/>
        <v>2045</v>
      </c>
      <c r="BB7" s="655">
        <f t="shared" si="3"/>
        <v>2046</v>
      </c>
      <c r="BC7" s="655">
        <f t="shared" si="3"/>
        <v>2047</v>
      </c>
      <c r="BD7" s="655">
        <f t="shared" si="3"/>
        <v>2048</v>
      </c>
      <c r="BE7" s="655">
        <f t="shared" si="3"/>
        <v>2049</v>
      </c>
      <c r="BF7" s="655">
        <f t="shared" si="3"/>
        <v>2050</v>
      </c>
      <c r="BG7" s="655">
        <f t="shared" si="3"/>
        <v>2051</v>
      </c>
      <c r="BH7" s="655">
        <f t="shared" si="3"/>
        <v>2052</v>
      </c>
      <c r="BI7" s="655">
        <f t="shared" si="3"/>
        <v>2053</v>
      </c>
      <c r="BJ7" s="655">
        <f t="shared" si="3"/>
        <v>2054</v>
      </c>
      <c r="BK7" s="655">
        <f t="shared" si="3"/>
        <v>2055</v>
      </c>
      <c r="BL7" s="655">
        <f t="shared" si="3"/>
        <v>2056</v>
      </c>
      <c r="BM7" s="655">
        <f t="shared" si="3"/>
        <v>2057</v>
      </c>
      <c r="BN7" s="655">
        <f t="shared" si="3"/>
        <v>2058</v>
      </c>
      <c r="BO7" s="655">
        <f t="shared" si="3"/>
        <v>2059</v>
      </c>
      <c r="BP7" s="655">
        <f t="shared" si="3"/>
        <v>2060</v>
      </c>
      <c r="BQ7" s="655">
        <f t="shared" si="3"/>
        <v>2061</v>
      </c>
      <c r="BR7" s="186"/>
      <c r="BS7" s="186"/>
      <c r="BT7" s="186"/>
      <c r="BU7" s="186"/>
      <c r="BV7" s="186"/>
      <c r="BW7" s="186"/>
      <c r="BX7" s="186"/>
      <c r="BY7" s="186"/>
      <c r="BZ7" s="186"/>
      <c r="CA7" s="186"/>
      <c r="CB7" s="186"/>
      <c r="CC7" s="186"/>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row>
    <row r="8" spans="1:256" s="21" customFormat="1" x14ac:dyDescent="0.2">
      <c r="A8" s="6"/>
      <c r="B8" s="6"/>
      <c r="C8" s="6" t="s">
        <v>45</v>
      </c>
      <c r="D8" s="6"/>
      <c r="E8" s="6"/>
      <c r="F8" s="6"/>
      <c r="G8" s="6"/>
      <c r="H8" s="6"/>
      <c r="I8" s="6"/>
      <c r="J8" s="6"/>
      <c r="K8" s="6"/>
      <c r="L8" s="6"/>
      <c r="M8" s="6"/>
      <c r="N8" s="6"/>
      <c r="O8" s="6"/>
      <c r="P8" s="6"/>
      <c r="Q8" s="84">
        <v>39814</v>
      </c>
      <c r="R8" s="84">
        <v>40179</v>
      </c>
      <c r="S8" s="84">
        <v>40544</v>
      </c>
      <c r="T8" s="84">
        <v>40909</v>
      </c>
      <c r="U8" s="84">
        <v>41275</v>
      </c>
      <c r="V8" s="84">
        <v>41640</v>
      </c>
      <c r="W8" s="84">
        <v>42005</v>
      </c>
      <c r="X8" s="84">
        <f>+CF!Q8</f>
        <v>42370</v>
      </c>
      <c r="Y8" s="84">
        <f>+CF!R8</f>
        <v>42736</v>
      </c>
      <c r="Z8" s="84">
        <f>+CF!S8</f>
        <v>43101</v>
      </c>
      <c r="AA8" s="84">
        <f>+CF!T8</f>
        <v>43466</v>
      </c>
      <c r="AB8" s="84">
        <f>+CF!U8</f>
        <v>43831</v>
      </c>
      <c r="AC8" s="84">
        <f>+CF!V8</f>
        <v>44197</v>
      </c>
      <c r="AD8" s="84">
        <f>+CF!W8</f>
        <v>44562</v>
      </c>
      <c r="AE8" s="84">
        <f>+CF!X8</f>
        <v>44927</v>
      </c>
      <c r="AF8" s="84">
        <f>+CF!Y8</f>
        <v>45292</v>
      </c>
      <c r="AG8" s="84">
        <f>+CF!Z8</f>
        <v>45658</v>
      </c>
      <c r="AH8" s="84">
        <f>+CF!AA8</f>
        <v>46023</v>
      </c>
      <c r="AI8" s="84">
        <f>+CF!AB8</f>
        <v>46388</v>
      </c>
      <c r="AJ8" s="84">
        <f>+CF!AC8</f>
        <v>46753</v>
      </c>
      <c r="AK8" s="84">
        <f>+CF!AD8</f>
        <v>47119</v>
      </c>
      <c r="AL8" s="84">
        <f>+CF!AE8</f>
        <v>47484</v>
      </c>
      <c r="AM8" s="84">
        <f>+CF!AF8</f>
        <v>47849</v>
      </c>
      <c r="AN8" s="84">
        <f>+CF!AG8</f>
        <v>48214</v>
      </c>
      <c r="AO8" s="84">
        <f>+CF!AH8</f>
        <v>48580</v>
      </c>
      <c r="AP8" s="84">
        <f>+CF!AI8</f>
        <v>48945</v>
      </c>
      <c r="AQ8" s="84">
        <f>+CF!AJ8</f>
        <v>49310</v>
      </c>
      <c r="AR8" s="84">
        <f>+CF!AK8</f>
        <v>49675</v>
      </c>
      <c r="AS8" s="84">
        <f>+CF!AL8</f>
        <v>50041</v>
      </c>
      <c r="AT8" s="84">
        <f>+CF!AM8</f>
        <v>50406</v>
      </c>
      <c r="AU8" s="84">
        <f>+CF!AN8</f>
        <v>50771</v>
      </c>
      <c r="AV8" s="84">
        <f>+CF!AO8</f>
        <v>51136</v>
      </c>
      <c r="AW8" s="84">
        <f>+CF!AP8</f>
        <v>51502</v>
      </c>
      <c r="AX8" s="84">
        <f>+CF!AQ8</f>
        <v>51867</v>
      </c>
      <c r="AY8" s="84">
        <f>+CF!AR8</f>
        <v>52232</v>
      </c>
      <c r="AZ8" s="84">
        <f>+CF!AS8</f>
        <v>52597</v>
      </c>
      <c r="BA8" s="84">
        <f>+CF!AT8</f>
        <v>52963</v>
      </c>
      <c r="BB8" s="84">
        <f>+CF!AU8</f>
        <v>53328</v>
      </c>
      <c r="BC8" s="84">
        <f>+CF!AV8</f>
        <v>53693</v>
      </c>
      <c r="BD8" s="84">
        <f>+CF!AW8</f>
        <v>54058</v>
      </c>
      <c r="BE8" s="84">
        <f>+CF!AX8</f>
        <v>54424</v>
      </c>
      <c r="BF8" s="84">
        <f>+CF!AY8</f>
        <v>54789</v>
      </c>
      <c r="BG8" s="84">
        <f>+CF!AZ8</f>
        <v>55154</v>
      </c>
      <c r="BH8" s="84">
        <f>+CF!BA8</f>
        <v>55519</v>
      </c>
      <c r="BI8" s="84">
        <f>+CF!BB8</f>
        <v>55885</v>
      </c>
      <c r="BJ8" s="84">
        <f>+CF!BC8</f>
        <v>56250</v>
      </c>
      <c r="BK8" s="84">
        <f>+CF!BD8</f>
        <v>56615</v>
      </c>
      <c r="BL8" s="84">
        <f>+CF!BE8</f>
        <v>56980</v>
      </c>
      <c r="BM8" s="84">
        <f>+CF!BF8</f>
        <v>57346</v>
      </c>
      <c r="BN8" s="84">
        <f>+CF!BG8</f>
        <v>57711</v>
      </c>
      <c r="BO8" s="84">
        <f>+CF!BH8</f>
        <v>58076</v>
      </c>
      <c r="BP8" s="84">
        <f>+CF!BI8</f>
        <v>58441</v>
      </c>
      <c r="BQ8" s="84">
        <f>+CF!BJ8</f>
        <v>58807</v>
      </c>
      <c r="BR8" s="84"/>
      <c r="BS8" s="84"/>
      <c r="BT8" s="84"/>
      <c r="BU8" s="84"/>
      <c r="BV8" s="84"/>
      <c r="BW8" s="84"/>
      <c r="BX8" s="84"/>
      <c r="BY8" s="84"/>
      <c r="BZ8" s="84"/>
      <c r="CA8" s="84"/>
      <c r="CB8" s="84"/>
      <c r="CC8" s="84"/>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pans="1:256" s="21" customFormat="1" x14ac:dyDescent="0.2">
      <c r="A9" s="6"/>
      <c r="B9" s="6"/>
      <c r="C9" s="6" t="s">
        <v>46</v>
      </c>
      <c r="D9" s="6"/>
      <c r="E9" s="6"/>
      <c r="F9" s="6"/>
      <c r="G9" s="6"/>
      <c r="H9" s="6"/>
      <c r="I9" s="6"/>
      <c r="J9" s="6"/>
      <c r="K9" s="6"/>
      <c r="L9" s="6"/>
      <c r="M9" s="6"/>
      <c r="N9" s="6"/>
      <c r="O9" s="6"/>
      <c r="P9" s="84">
        <v>40177</v>
      </c>
      <c r="Q9" s="84">
        <v>40178</v>
      </c>
      <c r="R9" s="84">
        <v>40543</v>
      </c>
      <c r="S9" s="84">
        <v>40908</v>
      </c>
      <c r="T9" s="84">
        <v>41274</v>
      </c>
      <c r="U9" s="84">
        <v>41639</v>
      </c>
      <c r="V9" s="84">
        <v>42004</v>
      </c>
      <c r="W9" s="84">
        <v>42369</v>
      </c>
      <c r="X9" s="84">
        <f>+CF!Q9</f>
        <v>42735</v>
      </c>
      <c r="Y9" s="84">
        <f>+CF!R9</f>
        <v>43100</v>
      </c>
      <c r="Z9" s="84">
        <f>+CF!S9</f>
        <v>43465</v>
      </c>
      <c r="AA9" s="84">
        <f>+CF!T9</f>
        <v>43830</v>
      </c>
      <c r="AB9" s="84">
        <f>+CF!U9</f>
        <v>44196</v>
      </c>
      <c r="AC9" s="84">
        <f>+CF!V9</f>
        <v>44561</v>
      </c>
      <c r="AD9" s="84">
        <f>+CF!W9</f>
        <v>44926</v>
      </c>
      <c r="AE9" s="84">
        <f>+CF!X9</f>
        <v>45291</v>
      </c>
      <c r="AF9" s="84">
        <f>+CF!Y9</f>
        <v>45657</v>
      </c>
      <c r="AG9" s="84">
        <f>+CF!Z9</f>
        <v>46022</v>
      </c>
      <c r="AH9" s="84">
        <f>+CF!AA9</f>
        <v>46387</v>
      </c>
      <c r="AI9" s="84">
        <f>+CF!AB9</f>
        <v>46752</v>
      </c>
      <c r="AJ9" s="84">
        <f>+CF!AC9</f>
        <v>47118</v>
      </c>
      <c r="AK9" s="84">
        <f>+CF!AD9</f>
        <v>47483</v>
      </c>
      <c r="AL9" s="84">
        <f>+CF!AE9</f>
        <v>47848</v>
      </c>
      <c r="AM9" s="84">
        <f>+CF!AF9</f>
        <v>48213</v>
      </c>
      <c r="AN9" s="84">
        <f>+CF!AG9</f>
        <v>48579</v>
      </c>
      <c r="AO9" s="84">
        <f>+CF!AH9</f>
        <v>48944</v>
      </c>
      <c r="AP9" s="84">
        <f>+CF!AI9</f>
        <v>49309</v>
      </c>
      <c r="AQ9" s="84">
        <f>+CF!AJ9</f>
        <v>49674</v>
      </c>
      <c r="AR9" s="84">
        <f>+CF!AK9</f>
        <v>50040</v>
      </c>
      <c r="AS9" s="84">
        <f>+CF!AL9</f>
        <v>50405</v>
      </c>
      <c r="AT9" s="84">
        <f>+CF!AM9</f>
        <v>50770</v>
      </c>
      <c r="AU9" s="84">
        <f>+CF!AN9</f>
        <v>51135</v>
      </c>
      <c r="AV9" s="84">
        <f>+CF!AO9</f>
        <v>51501</v>
      </c>
      <c r="AW9" s="84">
        <f>+CF!AP9</f>
        <v>51866</v>
      </c>
      <c r="AX9" s="84">
        <f>+CF!AQ9</f>
        <v>52231</v>
      </c>
      <c r="AY9" s="84">
        <f>+CF!AR9</f>
        <v>52596</v>
      </c>
      <c r="AZ9" s="84">
        <f>+CF!AS9</f>
        <v>52962</v>
      </c>
      <c r="BA9" s="84">
        <f>+CF!AT9</f>
        <v>53327</v>
      </c>
      <c r="BB9" s="84">
        <f>+CF!AU9</f>
        <v>53692</v>
      </c>
      <c r="BC9" s="84">
        <f>+CF!AV9</f>
        <v>54057</v>
      </c>
      <c r="BD9" s="84">
        <f>+CF!AW9</f>
        <v>54423</v>
      </c>
      <c r="BE9" s="84">
        <f>+CF!AX9</f>
        <v>54788</v>
      </c>
      <c r="BF9" s="84">
        <f>+CF!AY9</f>
        <v>55153</v>
      </c>
      <c r="BG9" s="84">
        <f>+CF!AZ9</f>
        <v>55518</v>
      </c>
      <c r="BH9" s="84">
        <f>+CF!BA9</f>
        <v>55884</v>
      </c>
      <c r="BI9" s="84">
        <f>+CF!BB9</f>
        <v>56249</v>
      </c>
      <c r="BJ9" s="84">
        <f>+CF!BC9</f>
        <v>56614</v>
      </c>
      <c r="BK9" s="84">
        <f>+CF!BD9</f>
        <v>56979</v>
      </c>
      <c r="BL9" s="84">
        <f>+CF!BE9</f>
        <v>57345</v>
      </c>
      <c r="BM9" s="84">
        <f>+CF!BF9</f>
        <v>57710</v>
      </c>
      <c r="BN9" s="84">
        <f>+CF!BG9</f>
        <v>58075</v>
      </c>
      <c r="BO9" s="84">
        <f>+CF!BH9</f>
        <v>58440</v>
      </c>
      <c r="BP9" s="84">
        <f>+CF!BI9</f>
        <v>58806</v>
      </c>
      <c r="BQ9" s="84">
        <f>+CF!BJ9</f>
        <v>59171</v>
      </c>
      <c r="BR9" s="84"/>
      <c r="BS9" s="84"/>
      <c r="BT9" s="84"/>
      <c r="BU9" s="84"/>
      <c r="BV9" s="84"/>
      <c r="BW9" s="84"/>
      <c r="BX9" s="84"/>
      <c r="BY9" s="84"/>
      <c r="BZ9" s="84"/>
      <c r="CA9" s="84"/>
      <c r="CB9" s="84"/>
      <c r="CC9" s="84"/>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pans="1:256" s="21" customFormat="1" x14ac:dyDescent="0.2">
      <c r="A10" s="6"/>
      <c r="B10" s="6"/>
      <c r="C10" s="6"/>
      <c r="D10" s="6"/>
      <c r="E10" s="6"/>
      <c r="F10" s="6"/>
      <c r="G10" s="6"/>
      <c r="H10" s="6"/>
      <c r="I10" s="6"/>
      <c r="J10" s="6"/>
      <c r="K10" s="88" t="s">
        <v>47</v>
      </c>
      <c r="L10" s="73" t="s">
        <v>48</v>
      </c>
      <c r="M10" s="73"/>
      <c r="N10" s="73" t="s">
        <v>49</v>
      </c>
      <c r="O10" s="6"/>
      <c r="P10" s="6"/>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84"/>
      <c r="BS10" s="84"/>
      <c r="BT10" s="84"/>
      <c r="BU10" s="84"/>
      <c r="BV10" s="84"/>
      <c r="BW10" s="84"/>
      <c r="BX10" s="84"/>
      <c r="BY10" s="84"/>
      <c r="BZ10" s="84"/>
      <c r="CA10" s="84"/>
      <c r="CB10" s="84"/>
      <c r="CC10" s="84"/>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row>
    <row r="11" spans="1:256" s="21" customFormat="1" x14ac:dyDescent="0.2">
      <c r="A11" s="6"/>
      <c r="B11" s="6"/>
      <c r="C11" s="6"/>
      <c r="D11" s="6"/>
      <c r="E11" s="6"/>
      <c r="F11" s="6"/>
      <c r="G11" s="6"/>
      <c r="H11" s="6"/>
      <c r="I11" s="6"/>
      <c r="J11" s="6"/>
      <c r="K11" s="88"/>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186"/>
      <c r="BS11" s="186"/>
      <c r="BT11" s="186"/>
      <c r="BU11" s="186"/>
      <c r="BV11" s="186"/>
      <c r="BW11" s="186"/>
      <c r="BX11" s="186"/>
      <c r="BY11" s="186"/>
      <c r="BZ11" s="186"/>
      <c r="CA11" s="186"/>
      <c r="CB11" s="186"/>
      <c r="CC11" s="186"/>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row>
    <row r="12" spans="1:256" s="17" customFormat="1" ht="14.25" customHeight="1" x14ac:dyDescent="0.25">
      <c r="A12" s="136"/>
      <c r="B12" s="136" t="s">
        <v>332</v>
      </c>
      <c r="C12" s="136"/>
      <c r="D12" s="136"/>
      <c r="E12" s="136"/>
      <c r="F12" s="136"/>
      <c r="G12" s="136"/>
      <c r="H12" s="136"/>
      <c r="I12" s="136"/>
      <c r="J12" s="136"/>
      <c r="K12" s="598"/>
      <c r="L12" s="136"/>
      <c r="M12" s="136"/>
      <c r="N12" s="136"/>
      <c r="O12" s="137"/>
      <c r="P12" s="63"/>
      <c r="Q12" s="63"/>
      <c r="R12" s="63"/>
      <c r="S12" s="63"/>
      <c r="T12" s="64"/>
      <c r="U12" s="64"/>
      <c r="V12" s="64"/>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4"/>
      <c r="BR12" s="65"/>
      <c r="BS12" s="65"/>
      <c r="BT12" s="65"/>
      <c r="BU12" s="65"/>
      <c r="BV12" s="65"/>
      <c r="BW12" s="65"/>
      <c r="BX12" s="65"/>
      <c r="BY12" s="65"/>
      <c r="BZ12" s="65"/>
      <c r="CA12" s="65"/>
      <c r="CB12" s="65"/>
      <c r="CC12" s="65"/>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spans="1:256" s="21" customFormat="1" ht="14.25" customHeight="1" x14ac:dyDescent="0.2">
      <c r="A13" s="121"/>
      <c r="B13" s="121"/>
      <c r="C13" s="121"/>
      <c r="D13" s="121"/>
      <c r="E13" s="121"/>
      <c r="F13" s="121"/>
      <c r="G13" s="121"/>
      <c r="H13" s="121"/>
      <c r="I13" s="121"/>
      <c r="J13" s="121"/>
      <c r="K13" s="88"/>
      <c r="L13" s="121"/>
      <c r="M13" s="121"/>
      <c r="N13" s="121"/>
      <c r="O13" s="121"/>
      <c r="P13" s="121"/>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81"/>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row>
    <row r="14" spans="1:256" s="21" customFormat="1" x14ac:dyDescent="0.2">
      <c r="A14" s="121"/>
      <c r="B14" s="121"/>
      <c r="C14" s="87" t="s">
        <v>258</v>
      </c>
      <c r="D14" s="121"/>
      <c r="E14" s="121"/>
      <c r="F14" s="121"/>
      <c r="G14" s="121"/>
      <c r="H14" s="121"/>
      <c r="I14" s="121"/>
      <c r="J14" s="121"/>
      <c r="K14" s="88"/>
      <c r="L14" s="121"/>
      <c r="M14" s="8"/>
      <c r="N14" s="8" t="s">
        <v>262</v>
      </c>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86"/>
      <c r="BS14" s="186"/>
      <c r="BT14" s="186"/>
      <c r="BU14" s="186"/>
      <c r="BV14" s="186"/>
      <c r="BW14" s="186"/>
      <c r="BX14" s="186"/>
      <c r="BY14" s="186"/>
      <c r="BZ14" s="186"/>
      <c r="CA14" s="186"/>
      <c r="CB14" s="186"/>
      <c r="CC14" s="186"/>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row>
    <row r="15" spans="1:256" s="21" customFormat="1" x14ac:dyDescent="0.2">
      <c r="A15" s="121"/>
      <c r="B15" s="121"/>
      <c r="C15" s="52" t="s">
        <v>259</v>
      </c>
      <c r="D15" s="94"/>
      <c r="E15" s="94"/>
      <c r="F15" s="94"/>
      <c r="G15" s="94"/>
      <c r="H15" s="94"/>
      <c r="I15" s="94"/>
      <c r="J15" s="94"/>
      <c r="K15" s="617" t="s">
        <v>62</v>
      </c>
      <c r="L15" s="94"/>
      <c r="M15" s="116"/>
      <c r="N15" s="116">
        <f>SUM(Q15:CC15)</f>
        <v>24809313.160395604</v>
      </c>
      <c r="O15" s="94"/>
      <c r="P15" s="94"/>
      <c r="Q15" s="162"/>
      <c r="R15" s="162"/>
      <c r="S15" s="162"/>
      <c r="T15" s="162"/>
      <c r="U15" s="162"/>
      <c r="V15" s="162"/>
      <c r="W15" s="162"/>
      <c r="X15" s="162"/>
      <c r="Y15" s="116">
        <f>CF!R51</f>
        <v>0</v>
      </c>
      <c r="Z15" s="116">
        <f>CF!S51</f>
        <v>0</v>
      </c>
      <c r="AA15" s="116">
        <f>CF!T51</f>
        <v>207234.50432853866</v>
      </c>
      <c r="AB15" s="116">
        <f>CF!U51</f>
        <v>34432.077035664392</v>
      </c>
      <c r="AC15" s="116">
        <f>CF!V51</f>
        <v>52614.671873702144</v>
      </c>
      <c r="AD15" s="116">
        <f>CF!W51</f>
        <v>64711.348397522699</v>
      </c>
      <c r="AE15" s="116">
        <f>CF!X51</f>
        <v>76226.223390791885</v>
      </c>
      <c r="AF15" s="116">
        <f>CF!Y51</f>
        <v>88727.537335895409</v>
      </c>
      <c r="AG15" s="116">
        <f>CF!Z51</f>
        <v>102020.10024563194</v>
      </c>
      <c r="AH15" s="116">
        <f>CF!AA51</f>
        <v>117218.37893817326</v>
      </c>
      <c r="AI15" s="116">
        <f>CF!AB51</f>
        <v>128892.25375766546</v>
      </c>
      <c r="AJ15" s="116">
        <f>CF!AC51</f>
        <v>141385.87399830358</v>
      </c>
      <c r="AK15" s="116">
        <f>CF!AD51</f>
        <v>153884.43437198672</v>
      </c>
      <c r="AL15" s="116">
        <f>CF!AE51</f>
        <v>163893.53866740924</v>
      </c>
      <c r="AM15" s="116">
        <f>CF!AF51</f>
        <v>181191.54653672103</v>
      </c>
      <c r="AN15" s="116">
        <f>CF!AG51</f>
        <v>205409.47262052793</v>
      </c>
      <c r="AO15" s="116">
        <f>CF!AH51</f>
        <v>231774.47291989741</v>
      </c>
      <c r="AP15" s="116">
        <f>CF!AI51</f>
        <v>260154.93525207887</v>
      </c>
      <c r="AQ15" s="116">
        <f>CF!AJ51</f>
        <v>291167.49409084721</v>
      </c>
      <c r="AR15" s="116">
        <f>CF!AK51</f>
        <v>325768.64901303669</v>
      </c>
      <c r="AS15" s="116">
        <f>CF!AL51</f>
        <v>363855.46835512907</v>
      </c>
      <c r="AT15" s="116">
        <f>CF!AM51</f>
        <v>390908.84603987617</v>
      </c>
      <c r="AU15" s="116">
        <f>CF!AN51</f>
        <v>477329.83465508278</v>
      </c>
      <c r="AV15" s="116">
        <f>CF!AO51</f>
        <v>518211.75895344769</v>
      </c>
      <c r="AW15" s="116">
        <f>CF!AP51</f>
        <v>583399.04240526201</v>
      </c>
      <c r="AX15" s="116">
        <f>CF!AQ51</f>
        <v>620711.64546357875</v>
      </c>
      <c r="AY15" s="116">
        <f>CF!AR51</f>
        <v>659812.96914061205</v>
      </c>
      <c r="AZ15" s="116">
        <f>CF!AS51</f>
        <v>701349.95831846655</v>
      </c>
      <c r="BA15" s="116">
        <f>CF!AT51</f>
        <v>635752.4145601684</v>
      </c>
      <c r="BB15" s="116">
        <f>CF!AU51</f>
        <v>683696.85681325768</v>
      </c>
      <c r="BC15" s="116">
        <f>CF!AV51</f>
        <v>730581.25522877916</v>
      </c>
      <c r="BD15" s="116">
        <f>CF!AW51</f>
        <v>775838.13647581427</v>
      </c>
      <c r="BE15" s="116">
        <f>CF!AX51</f>
        <v>817143.37023925502</v>
      </c>
      <c r="BF15" s="116">
        <f>CF!AY51</f>
        <v>879297.58436259429</v>
      </c>
      <c r="BG15" s="116">
        <f>CF!AZ51</f>
        <v>944189.52262140682</v>
      </c>
      <c r="BH15" s="116">
        <f>CF!BA51</f>
        <v>999584.70123630413</v>
      </c>
      <c r="BI15" s="116">
        <f>CF!BB51</f>
        <v>1053910.6078956781</v>
      </c>
      <c r="BJ15" s="116">
        <f>CF!BC51</f>
        <v>1086080.2769720163</v>
      </c>
      <c r="BK15" s="116">
        <f>CF!BD51</f>
        <v>1396843.1980425587</v>
      </c>
      <c r="BL15" s="116">
        <f>CF!BE51</f>
        <v>1270005.7518513093</v>
      </c>
      <c r="BM15" s="116">
        <f>CF!BF51</f>
        <v>1479620.2625882474</v>
      </c>
      <c r="BN15" s="116">
        <f>CF!BG51</f>
        <v>1534181.2648705142</v>
      </c>
      <c r="BO15" s="116">
        <f>CF!BH51</f>
        <v>1590368.8850572105</v>
      </c>
      <c r="BP15" s="116">
        <f>CF!BI51</f>
        <v>1510143.6007841963</v>
      </c>
      <c r="BQ15" s="116">
        <f>CF!BJ51</f>
        <v>279788.43469044275</v>
      </c>
      <c r="BR15" s="78"/>
      <c r="BS15" s="78"/>
      <c r="BT15" s="78"/>
      <c r="BU15" s="78"/>
      <c r="BV15" s="78"/>
      <c r="BW15" s="78"/>
      <c r="BX15" s="78"/>
      <c r="BY15" s="78"/>
      <c r="BZ15" s="78"/>
      <c r="CA15" s="78"/>
      <c r="CB15" s="78"/>
      <c r="CC15" s="186"/>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row>
    <row r="16" spans="1:256" s="21" customFormat="1" x14ac:dyDescent="0.2">
      <c r="A16" s="121"/>
      <c r="B16" s="121"/>
      <c r="C16" s="77"/>
      <c r="D16" s="121"/>
      <c r="E16" s="121"/>
      <c r="F16" s="121"/>
      <c r="G16" s="121"/>
      <c r="H16" s="121"/>
      <c r="I16" s="121"/>
      <c r="J16" s="121"/>
      <c r="K16" s="88"/>
      <c r="L16" s="121"/>
      <c r="M16" s="78"/>
      <c r="N16" s="78"/>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86"/>
      <c r="BS16" s="186"/>
      <c r="BT16" s="186"/>
      <c r="BU16" s="186"/>
      <c r="BV16" s="186"/>
      <c r="BW16" s="186"/>
      <c r="BX16" s="186"/>
      <c r="BY16" s="186"/>
      <c r="BZ16" s="186"/>
      <c r="CA16" s="186"/>
      <c r="CB16" s="186"/>
      <c r="CC16" s="18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row>
    <row r="17" spans="1:256" s="21" customFormat="1" x14ac:dyDescent="0.2">
      <c r="A17"/>
      <c r="B17"/>
      <c r="C17" s="45" t="s">
        <v>263</v>
      </c>
      <c r="D17" s="45"/>
      <c r="E17" s="45"/>
      <c r="F17" s="45"/>
      <c r="G17" s="45"/>
      <c r="H17" s="45"/>
      <c r="I17" s="45"/>
      <c r="J17" s="45"/>
      <c r="K17" s="618" t="s">
        <v>62</v>
      </c>
      <c r="L17" s="46"/>
      <c r="M17" s="59"/>
      <c r="N17" s="724">
        <f>SUM(Q17:BQ17)</f>
        <v>24405376.794935599</v>
      </c>
      <c r="O17" s="45"/>
      <c r="P17" s="762">
        <v>-1.0000000000000001E-9</v>
      </c>
      <c r="Q17" s="761">
        <v>10412.576699998999</v>
      </c>
      <c r="R17" s="761">
        <v>-83351.718130000008</v>
      </c>
      <c r="S17" s="761">
        <v>-64184.159339999998</v>
      </c>
      <c r="T17" s="761">
        <v>-88052.296850000028</v>
      </c>
      <c r="U17" s="761">
        <v>-97290.549450000006</v>
      </c>
      <c r="V17" s="761">
        <v>-74392.788</v>
      </c>
      <c r="W17" s="761">
        <v>-7077.4303899999995</v>
      </c>
      <c r="X17" s="761">
        <v>-2.0000000000000001E-9</v>
      </c>
      <c r="Y17" s="724">
        <f t="shared" ref="Y17:BQ17" si="4">SUM(Y15:Y15)</f>
        <v>0</v>
      </c>
      <c r="Z17" s="724">
        <f t="shared" si="4"/>
        <v>0</v>
      </c>
      <c r="AA17" s="724">
        <f t="shared" si="4"/>
        <v>207234.50432853866</v>
      </c>
      <c r="AB17" s="724">
        <f t="shared" si="4"/>
        <v>34432.077035664392</v>
      </c>
      <c r="AC17" s="724">
        <f t="shared" si="4"/>
        <v>52614.671873702144</v>
      </c>
      <c r="AD17" s="724">
        <f t="shared" si="4"/>
        <v>64711.348397522699</v>
      </c>
      <c r="AE17" s="724">
        <f t="shared" si="4"/>
        <v>76226.223390791885</v>
      </c>
      <c r="AF17" s="724">
        <f t="shared" si="4"/>
        <v>88727.537335895409</v>
      </c>
      <c r="AG17" s="724">
        <f t="shared" si="4"/>
        <v>102020.10024563194</v>
      </c>
      <c r="AH17" s="724">
        <f t="shared" si="4"/>
        <v>117218.37893817326</v>
      </c>
      <c r="AI17" s="724">
        <f t="shared" si="4"/>
        <v>128892.25375766546</v>
      </c>
      <c r="AJ17" s="724">
        <f t="shared" si="4"/>
        <v>141385.87399830358</v>
      </c>
      <c r="AK17" s="724">
        <f t="shared" si="4"/>
        <v>153884.43437198672</v>
      </c>
      <c r="AL17" s="724">
        <f t="shared" si="4"/>
        <v>163893.53866740924</v>
      </c>
      <c r="AM17" s="724">
        <f t="shared" si="4"/>
        <v>181191.54653672103</v>
      </c>
      <c r="AN17" s="724">
        <f t="shared" si="4"/>
        <v>205409.47262052793</v>
      </c>
      <c r="AO17" s="724">
        <f t="shared" si="4"/>
        <v>231774.47291989741</v>
      </c>
      <c r="AP17" s="724">
        <f t="shared" si="4"/>
        <v>260154.93525207887</v>
      </c>
      <c r="AQ17" s="724">
        <f t="shared" si="4"/>
        <v>291167.49409084721</v>
      </c>
      <c r="AR17" s="724">
        <f t="shared" si="4"/>
        <v>325768.64901303669</v>
      </c>
      <c r="AS17" s="724">
        <f t="shared" si="4"/>
        <v>363855.46835512907</v>
      </c>
      <c r="AT17" s="724">
        <f t="shared" si="4"/>
        <v>390908.84603987617</v>
      </c>
      <c r="AU17" s="724">
        <f t="shared" si="4"/>
        <v>477329.83465508278</v>
      </c>
      <c r="AV17" s="724">
        <f t="shared" si="4"/>
        <v>518211.75895344769</v>
      </c>
      <c r="AW17" s="724">
        <f t="shared" si="4"/>
        <v>583399.04240526201</v>
      </c>
      <c r="AX17" s="724">
        <f t="shared" si="4"/>
        <v>620711.64546357875</v>
      </c>
      <c r="AY17" s="724">
        <f t="shared" si="4"/>
        <v>659812.96914061205</v>
      </c>
      <c r="AZ17" s="724">
        <f t="shared" si="4"/>
        <v>701349.95831846655</v>
      </c>
      <c r="BA17" s="724">
        <f t="shared" si="4"/>
        <v>635752.4145601684</v>
      </c>
      <c r="BB17" s="724">
        <f t="shared" si="4"/>
        <v>683696.85681325768</v>
      </c>
      <c r="BC17" s="724">
        <f t="shared" si="4"/>
        <v>730581.25522877916</v>
      </c>
      <c r="BD17" s="724">
        <f t="shared" si="4"/>
        <v>775838.13647581427</v>
      </c>
      <c r="BE17" s="724">
        <f t="shared" si="4"/>
        <v>817143.37023925502</v>
      </c>
      <c r="BF17" s="724">
        <f t="shared" si="4"/>
        <v>879297.58436259429</v>
      </c>
      <c r="BG17" s="724">
        <f t="shared" si="4"/>
        <v>944189.52262140682</v>
      </c>
      <c r="BH17" s="724">
        <f t="shared" si="4"/>
        <v>999584.70123630413</v>
      </c>
      <c r="BI17" s="724">
        <f t="shared" si="4"/>
        <v>1053910.6078956781</v>
      </c>
      <c r="BJ17" s="724">
        <f t="shared" si="4"/>
        <v>1086080.2769720163</v>
      </c>
      <c r="BK17" s="724">
        <f t="shared" si="4"/>
        <v>1396843.1980425587</v>
      </c>
      <c r="BL17" s="724">
        <f t="shared" si="4"/>
        <v>1270005.7518513093</v>
      </c>
      <c r="BM17" s="724">
        <f t="shared" si="4"/>
        <v>1479620.2625882474</v>
      </c>
      <c r="BN17" s="724">
        <f t="shared" si="4"/>
        <v>1534181.2648705142</v>
      </c>
      <c r="BO17" s="724">
        <f t="shared" si="4"/>
        <v>1590368.8850572105</v>
      </c>
      <c r="BP17" s="724">
        <f t="shared" si="4"/>
        <v>1510143.6007841963</v>
      </c>
      <c r="BQ17" s="724">
        <f t="shared" si="4"/>
        <v>279788.43469044275</v>
      </c>
      <c r="BR17" s="58"/>
      <c r="BS17" s="58"/>
      <c r="BT17" s="58"/>
      <c r="BU17" s="58"/>
      <c r="BV17" s="58"/>
      <c r="BW17" s="58"/>
      <c r="BX17" s="58"/>
      <c r="BY17" s="58"/>
      <c r="BZ17" s="58"/>
      <c r="CA17" s="58"/>
      <c r="CB17" s="58"/>
      <c r="CC17" s="58"/>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s="21" customFormat="1" ht="12" customHeight="1" x14ac:dyDescent="0.2">
      <c r="A18"/>
      <c r="B18"/>
      <c r="C18"/>
      <c r="D18"/>
      <c r="E18"/>
      <c r="F18"/>
      <c r="G18"/>
      <c r="H18"/>
      <c r="I18"/>
      <c r="J18"/>
      <c r="K18" s="160"/>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s="92"/>
      <c r="BS18" s="92"/>
      <c r="BT18" s="92"/>
      <c r="BU18" s="92"/>
      <c r="BV18" s="92"/>
      <c r="BW18" s="92"/>
      <c r="BX18" s="92"/>
      <c r="BY18" s="92"/>
      <c r="BZ18" s="92"/>
      <c r="CA18" s="92"/>
      <c r="CB18" s="92"/>
      <c r="CC18" s="54"/>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s="21" customFormat="1" ht="15.75" x14ac:dyDescent="0.25">
      <c r="A19"/>
      <c r="B19"/>
      <c r="C19"/>
      <c r="D19"/>
      <c r="E19"/>
      <c r="F19"/>
      <c r="G19"/>
      <c r="H19"/>
      <c r="I19"/>
      <c r="J19" s="86" t="s">
        <v>260</v>
      </c>
      <c r="K19" s="619"/>
      <c r="L19"/>
      <c r="M19"/>
      <c r="N19" s="760">
        <f>XIRR(P17:BQ17,$P$9:$BQ$9)</f>
        <v>0.15777547955513002</v>
      </c>
      <c r="O19"/>
      <c r="P19"/>
      <c r="Q19" s="71"/>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s="92"/>
      <c r="BS19" s="92"/>
      <c r="BT19" s="92"/>
      <c r="BU19" s="92"/>
      <c r="BV19" s="92"/>
      <c r="BW19" s="92"/>
      <c r="BX19" s="92"/>
      <c r="BY19" s="92"/>
      <c r="BZ19" s="92"/>
      <c r="CA19" s="92"/>
      <c r="CB19" s="92"/>
      <c r="CC19" s="54"/>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row>
    <row r="20" spans="1:256" s="21" customFormat="1" ht="15.75" x14ac:dyDescent="0.25">
      <c r="A20" s="75"/>
      <c r="B20" s="75"/>
      <c r="C20" s="75"/>
      <c r="D20" s="75"/>
      <c r="E20" s="75"/>
      <c r="F20" s="75"/>
      <c r="G20" s="75"/>
      <c r="H20" s="75"/>
      <c r="I20" s="75"/>
      <c r="J20" s="75"/>
      <c r="K20" s="599"/>
      <c r="L20" s="75"/>
      <c r="M20" s="75"/>
      <c r="N20" s="134"/>
      <c r="O20" s="75"/>
      <c r="P20" s="135"/>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54"/>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c r="IR20" s="92"/>
      <c r="IS20" s="92"/>
      <c r="IT20" s="92"/>
      <c r="IU20" s="92"/>
      <c r="IV20" s="92"/>
    </row>
    <row r="21" spans="1:256" s="21" customFormat="1" x14ac:dyDescent="0.2">
      <c r="A21"/>
      <c r="B21"/>
      <c r="C21" s="42" t="s">
        <v>264</v>
      </c>
      <c r="D21" s="40"/>
      <c r="E21" s="40"/>
      <c r="F21" s="40"/>
      <c r="G21" s="40"/>
      <c r="H21" s="40"/>
      <c r="I21" s="40"/>
      <c r="J21" s="40"/>
      <c r="K21" s="620"/>
      <c r="L21" s="40"/>
      <c r="M21" s="90"/>
      <c r="N21" s="90" t="s">
        <v>262</v>
      </c>
      <c r="O21" s="40"/>
      <c r="P21" s="40"/>
      <c r="Q21" s="40"/>
      <c r="R21" s="40"/>
      <c r="S21" s="40"/>
      <c r="T21" s="40"/>
      <c r="U21" s="40"/>
      <c r="V21" s="40"/>
      <c r="W21" s="40"/>
      <c r="X21" s="40"/>
      <c r="Y21" s="40"/>
      <c r="Z21" s="40"/>
      <c r="AA21" s="40"/>
      <c r="AB21" s="49"/>
      <c r="AC21" s="49"/>
      <c r="AD21" s="49"/>
      <c r="AE21" s="49"/>
      <c r="AF21" s="49"/>
      <c r="AG21" s="49"/>
      <c r="AH21" s="49"/>
      <c r="AI21" s="49"/>
      <c r="AJ21" s="49"/>
      <c r="AK21" s="49"/>
      <c r="AL21" s="49"/>
      <c r="AM21" s="49"/>
      <c r="AN21" s="198"/>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54"/>
      <c r="BS21" s="54"/>
      <c r="BT21" s="54"/>
      <c r="BU21" s="54"/>
      <c r="BV21" s="54"/>
      <c r="BW21" s="54"/>
      <c r="BX21" s="54"/>
      <c r="BY21" s="54"/>
      <c r="BZ21" s="54"/>
      <c r="CA21" s="54"/>
      <c r="CB21" s="54"/>
      <c r="CC21" s="54"/>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72"/>
    </row>
    <row r="22" spans="1:256" s="21" customFormat="1" x14ac:dyDescent="0.2">
      <c r="A22" s="121"/>
      <c r="B22" s="121"/>
      <c r="C22" s="95" t="s">
        <v>1</v>
      </c>
      <c r="D22"/>
      <c r="E22"/>
      <c r="F22"/>
      <c r="G22"/>
      <c r="H22"/>
      <c r="I22"/>
      <c r="J22"/>
      <c r="K22" s="160" t="s">
        <v>62</v>
      </c>
      <c r="L22"/>
      <c r="M22" s="78"/>
      <c r="N22" s="78">
        <f t="shared" ref="N22" si="5">SUM(Q22:CC22)</f>
        <v>24809313.160395604</v>
      </c>
      <c r="O22" s="78"/>
      <c r="P22" s="78"/>
      <c r="Q22" s="142"/>
      <c r="R22" s="142"/>
      <c r="S22" s="142"/>
      <c r="T22" s="142"/>
      <c r="U22" s="142"/>
      <c r="V22" s="142"/>
      <c r="W22" s="142"/>
      <c r="X22" s="142"/>
      <c r="Y22" s="78">
        <f t="shared" ref="Y22:BQ22" si="6">Y15</f>
        <v>0</v>
      </c>
      <c r="Z22" s="78">
        <f t="shared" si="6"/>
        <v>0</v>
      </c>
      <c r="AA22" s="78">
        <f t="shared" si="6"/>
        <v>207234.50432853866</v>
      </c>
      <c r="AB22" s="78">
        <f t="shared" si="6"/>
        <v>34432.077035664392</v>
      </c>
      <c r="AC22" s="78">
        <f t="shared" si="6"/>
        <v>52614.671873702144</v>
      </c>
      <c r="AD22" s="78">
        <f t="shared" si="6"/>
        <v>64711.348397522699</v>
      </c>
      <c r="AE22" s="78">
        <f t="shared" si="6"/>
        <v>76226.223390791885</v>
      </c>
      <c r="AF22" s="78">
        <f t="shared" si="6"/>
        <v>88727.537335895409</v>
      </c>
      <c r="AG22" s="78">
        <f t="shared" si="6"/>
        <v>102020.10024563194</v>
      </c>
      <c r="AH22" s="78">
        <f t="shared" si="6"/>
        <v>117218.37893817326</v>
      </c>
      <c r="AI22" s="78">
        <f t="shared" si="6"/>
        <v>128892.25375766546</v>
      </c>
      <c r="AJ22" s="78">
        <f t="shared" si="6"/>
        <v>141385.87399830358</v>
      </c>
      <c r="AK22" s="78">
        <f t="shared" si="6"/>
        <v>153884.43437198672</v>
      </c>
      <c r="AL22" s="78">
        <f t="shared" si="6"/>
        <v>163893.53866740924</v>
      </c>
      <c r="AM22" s="78">
        <f t="shared" si="6"/>
        <v>181191.54653672103</v>
      </c>
      <c r="AN22" s="78">
        <f t="shared" si="6"/>
        <v>205409.47262052793</v>
      </c>
      <c r="AO22" s="78">
        <f t="shared" si="6"/>
        <v>231774.47291989741</v>
      </c>
      <c r="AP22" s="78">
        <f t="shared" si="6"/>
        <v>260154.93525207887</v>
      </c>
      <c r="AQ22" s="78">
        <f t="shared" si="6"/>
        <v>291167.49409084721</v>
      </c>
      <c r="AR22" s="78">
        <f t="shared" si="6"/>
        <v>325768.64901303669</v>
      </c>
      <c r="AS22" s="78">
        <f t="shared" si="6"/>
        <v>363855.46835512907</v>
      </c>
      <c r="AT22" s="78">
        <f t="shared" si="6"/>
        <v>390908.84603987617</v>
      </c>
      <c r="AU22" s="78">
        <f t="shared" si="6"/>
        <v>477329.83465508278</v>
      </c>
      <c r="AV22" s="78">
        <f t="shared" si="6"/>
        <v>518211.75895344769</v>
      </c>
      <c r="AW22" s="78">
        <f t="shared" si="6"/>
        <v>583399.04240526201</v>
      </c>
      <c r="AX22" s="78">
        <f t="shared" si="6"/>
        <v>620711.64546357875</v>
      </c>
      <c r="AY22" s="78">
        <f t="shared" si="6"/>
        <v>659812.96914061205</v>
      </c>
      <c r="AZ22" s="78">
        <f t="shared" si="6"/>
        <v>701349.95831846655</v>
      </c>
      <c r="BA22" s="78">
        <f t="shared" si="6"/>
        <v>635752.4145601684</v>
      </c>
      <c r="BB22" s="78">
        <f t="shared" si="6"/>
        <v>683696.85681325768</v>
      </c>
      <c r="BC22" s="78">
        <f t="shared" si="6"/>
        <v>730581.25522877916</v>
      </c>
      <c r="BD22" s="78">
        <f t="shared" si="6"/>
        <v>775838.13647581427</v>
      </c>
      <c r="BE22" s="78">
        <f t="shared" si="6"/>
        <v>817143.37023925502</v>
      </c>
      <c r="BF22" s="78">
        <f t="shared" si="6"/>
        <v>879297.58436259429</v>
      </c>
      <c r="BG22" s="78">
        <f t="shared" si="6"/>
        <v>944189.52262140682</v>
      </c>
      <c r="BH22" s="78">
        <f t="shared" si="6"/>
        <v>999584.70123630413</v>
      </c>
      <c r="BI22" s="78">
        <f t="shared" si="6"/>
        <v>1053910.6078956781</v>
      </c>
      <c r="BJ22" s="78">
        <f t="shared" si="6"/>
        <v>1086080.2769720163</v>
      </c>
      <c r="BK22" s="78">
        <f t="shared" si="6"/>
        <v>1396843.1980425587</v>
      </c>
      <c r="BL22" s="78">
        <f t="shared" si="6"/>
        <v>1270005.7518513093</v>
      </c>
      <c r="BM22" s="78">
        <f t="shared" si="6"/>
        <v>1479620.2625882474</v>
      </c>
      <c r="BN22" s="78">
        <f t="shared" si="6"/>
        <v>1534181.2648705142</v>
      </c>
      <c r="BO22" s="78">
        <f t="shared" si="6"/>
        <v>1590368.8850572105</v>
      </c>
      <c r="BP22" s="78">
        <f t="shared" si="6"/>
        <v>1510143.6007841963</v>
      </c>
      <c r="BQ22" s="78">
        <f t="shared" si="6"/>
        <v>279788.43469044275</v>
      </c>
      <c r="BR22" s="78"/>
      <c r="BS22" s="78"/>
      <c r="BT22" s="78"/>
      <c r="BU22" s="78"/>
      <c r="BV22" s="78"/>
      <c r="BW22" s="78"/>
      <c r="BX22" s="78"/>
      <c r="BY22" s="78"/>
      <c r="BZ22" s="78"/>
      <c r="CA22" s="78"/>
      <c r="CB22" s="78"/>
      <c r="CC22" s="78"/>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pans="1:256" s="21" customFormat="1" x14ac:dyDescent="0.2">
      <c r="A23" s="121"/>
      <c r="B23" s="121"/>
      <c r="C23" t="s">
        <v>265</v>
      </c>
      <c r="D23"/>
      <c r="E23"/>
      <c r="F23"/>
      <c r="G23"/>
      <c r="H23"/>
      <c r="I23"/>
      <c r="J23"/>
      <c r="K23" s="160" t="s">
        <v>62</v>
      </c>
      <c r="L23" s="78"/>
      <c r="M23" s="78"/>
      <c r="N23" s="78">
        <f t="shared" ref="N23" ca="1" si="7">SUM(Q23:CC23)</f>
        <v>-5033660.566438972</v>
      </c>
      <c r="O23"/>
      <c r="P23"/>
      <c r="Q23" s="142"/>
      <c r="R23" s="142"/>
      <c r="S23" s="142"/>
      <c r="T23" s="142"/>
      <c r="U23" s="142"/>
      <c r="V23" s="142"/>
      <c r="W23" s="142"/>
      <c r="X23" s="142"/>
      <c r="Y23" s="78">
        <f>Tax!R13</f>
        <v>0</v>
      </c>
      <c r="Z23" s="78">
        <f ca="1">Tax!S13</f>
        <v>0</v>
      </c>
      <c r="AA23" s="78">
        <f ca="1">Tax!T13</f>
        <v>0</v>
      </c>
      <c r="AB23" s="78">
        <f ca="1">Tax!U13</f>
        <v>0</v>
      </c>
      <c r="AC23" s="78">
        <f ca="1">Tax!V13</f>
        <v>0</v>
      </c>
      <c r="AD23" s="78">
        <f ca="1">Tax!W13</f>
        <v>-929.3738079812872</v>
      </c>
      <c r="AE23" s="78">
        <f ca="1">Tax!X13</f>
        <v>-1260.9782924544436</v>
      </c>
      <c r="AF23" s="78">
        <f ca="1">Tax!Y13</f>
        <v>-1622.0407220497921</v>
      </c>
      <c r="AG23" s="78">
        <f ca="1">Tax!Z13</f>
        <v>-2015.1204332253692</v>
      </c>
      <c r="AH23" s="78">
        <f ca="1">Tax!AA13</f>
        <v>-2442.9997950553357</v>
      </c>
      <c r="AI23" s="78">
        <f ca="1">Tax!AB13</f>
        <v>-2778.0044040307534</v>
      </c>
      <c r="AJ23" s="78">
        <f ca="1">Tax!AC13</f>
        <v>-3135.6552904007704</v>
      </c>
      <c r="AK23" s="78">
        <f ca="1">Tax!AD13</f>
        <v>-3517.4161392962587</v>
      </c>
      <c r="AL23" s="78">
        <f ca="1">Tax!AE13</f>
        <v>-3924.8269163783161</v>
      </c>
      <c r="AM23" s="78">
        <f ca="1">Tax!AF13</f>
        <v>-4359.5608378431998</v>
      </c>
      <c r="AN23" s="78">
        <f ca="1">Tax!AG13</f>
        <v>-6290.0356695301507</v>
      </c>
      <c r="AO23" s="78">
        <f ca="1">Tax!AH13</f>
        <v>-32170.743504270693</v>
      </c>
      <c r="AP23" s="78">
        <f ca="1">Tax!AI13</f>
        <v>-47566.912272813344</v>
      </c>
      <c r="AQ23" s="78">
        <f ca="1">Tax!AJ13</f>
        <v>-52440.863878350596</v>
      </c>
      <c r="AR23" s="78">
        <f ca="1">Tax!AK13</f>
        <v>-57811.24856012618</v>
      </c>
      <c r="AS23" s="78">
        <f ca="1">Tax!AL13</f>
        <v>-63787.106282971334</v>
      </c>
      <c r="AT23" s="78">
        <f ca="1">Tax!AM13</f>
        <v>-70365.60741018728</v>
      </c>
      <c r="AU23" s="78">
        <f ca="1">Tax!AN13</f>
        <v>-77606.916506716632</v>
      </c>
      <c r="AV23" s="78">
        <f ca="1">Tax!AO13</f>
        <v>-85642.918171278521</v>
      </c>
      <c r="AW23" s="78">
        <f ca="1">Tax!AP13</f>
        <v>-119995.84084922296</v>
      </c>
      <c r="AX23" s="78">
        <f ca="1">Tax!AQ13</f>
        <v>-127824.85142555331</v>
      </c>
      <c r="AY23" s="78">
        <f ca="1">Tax!AR13</f>
        <v>-136192.05516737021</v>
      </c>
      <c r="AZ23" s="78">
        <f ca="1">Tax!AS13</f>
        <v>-145058.36739359697</v>
      </c>
      <c r="BA23" s="78">
        <f ca="1">Tax!AT13</f>
        <v>-154585.10885717039</v>
      </c>
      <c r="BB23" s="78">
        <f ca="1">Tax!AU13</f>
        <v>-165425.87166622997</v>
      </c>
      <c r="BC23" s="78">
        <f ca="1">Tax!AV13</f>
        <v>-177196.01186774566</v>
      </c>
      <c r="BD23" s="78">
        <f ca="1">Tax!AW13</f>
        <v>-189682.70705804136</v>
      </c>
      <c r="BE23" s="78">
        <f ca="1">Tax!AX13</f>
        <v>-202797.59990605837</v>
      </c>
      <c r="BF23" s="78">
        <f ca="1">Tax!AY13</f>
        <v>-217143.69093913306</v>
      </c>
      <c r="BG23" s="78">
        <f ca="1">Tax!AZ13</f>
        <v>-232122.52947783371</v>
      </c>
      <c r="BH23" s="78">
        <f ca="1">Tax!BA13</f>
        <v>-245226.43985707659</v>
      </c>
      <c r="BI23" s="78">
        <f ca="1">Tax!BB13</f>
        <v>-258524.48019267526</v>
      </c>
      <c r="BJ23" s="78">
        <f ca="1">Tax!BC13</f>
        <v>-267551.27460148802</v>
      </c>
      <c r="BK23" s="78">
        <f ca="1">Tax!BD13</f>
        <v>-282165.8589325865</v>
      </c>
      <c r="BL23" s="78">
        <f ca="1">Tax!BE13</f>
        <v>-296560.79883380956</v>
      </c>
      <c r="BM23" s="78">
        <f ca="1">Tax!BF13</f>
        <v>-307651.73911394196</v>
      </c>
      <c r="BN23" s="78">
        <f ca="1">Tax!BG13</f>
        <v>-319075.20595337643</v>
      </c>
      <c r="BO23" s="78">
        <f ca="1">Tax!BH13</f>
        <v>-330760.39684407483</v>
      </c>
      <c r="BP23" s="78">
        <f ca="1">Tax!BI13</f>
        <v>-313704.62886215287</v>
      </c>
      <c r="BQ23" s="78">
        <f ca="1">Tax!BJ13</f>
        <v>-24746.779744873613</v>
      </c>
      <c r="BR23" s="78"/>
      <c r="BS23" s="78"/>
      <c r="BT23" s="78"/>
      <c r="BU23" s="78"/>
      <c r="BV23" s="78"/>
      <c r="BW23" s="78"/>
      <c r="BX23" s="78"/>
      <c r="BY23" s="78"/>
      <c r="BZ23" s="78"/>
      <c r="CA23" s="78"/>
      <c r="CB23" s="78"/>
      <c r="CC23" s="54"/>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1" customFormat="1" x14ac:dyDescent="0.2">
      <c r="A24" s="121"/>
      <c r="B24" s="121"/>
      <c r="C24"/>
      <c r="D24"/>
      <c r="E24"/>
      <c r="F24"/>
      <c r="G24"/>
      <c r="H24"/>
      <c r="I24"/>
      <c r="J24"/>
      <c r="K24" s="160"/>
      <c r="L24"/>
      <c r="M24" s="78"/>
      <c r="N24" s="78"/>
      <c r="O24"/>
      <c r="P24"/>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50"/>
      <c r="BS24" s="50"/>
      <c r="BT24" s="50"/>
      <c r="BU24" s="50"/>
      <c r="BV24" s="50"/>
      <c r="BW24" s="50"/>
      <c r="BX24" s="50"/>
      <c r="BY24" s="50"/>
      <c r="BZ24" s="50"/>
      <c r="CA24" s="50"/>
      <c r="CB24" s="50"/>
      <c r="CC24" s="5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1" customFormat="1" x14ac:dyDescent="0.2">
      <c r="A25" s="121"/>
      <c r="B25" s="121"/>
      <c r="C25" s="45" t="s">
        <v>266</v>
      </c>
      <c r="D25" s="45"/>
      <c r="E25" s="45"/>
      <c r="F25" s="45"/>
      <c r="G25" s="45"/>
      <c r="H25" s="45"/>
      <c r="I25" s="45"/>
      <c r="J25" s="45"/>
      <c r="K25" s="618" t="s">
        <v>62</v>
      </c>
      <c r="L25" s="46"/>
      <c r="M25" s="59"/>
      <c r="N25" s="724">
        <f ca="1">SUM(Q25:BQ25)</f>
        <v>19365018.696375497</v>
      </c>
      <c r="O25" s="45"/>
      <c r="P25" s="762">
        <v>-9.9999999999999998E-13</v>
      </c>
      <c r="Q25" s="761">
        <v>3716.7552899990001</v>
      </c>
      <c r="R25" s="761">
        <v>-83351.718130000008</v>
      </c>
      <c r="S25" s="761">
        <v>-64185.81263098288</v>
      </c>
      <c r="T25" s="761">
        <v>-88052.354270151787</v>
      </c>
      <c r="U25" s="761">
        <v>-97290.549450000006</v>
      </c>
      <c r="V25" s="761">
        <v>-74392.788</v>
      </c>
      <c r="W25" s="761">
        <v>-7077.4303899999995</v>
      </c>
      <c r="X25" s="761">
        <v>-2.0000000000000001E-9</v>
      </c>
      <c r="Y25" s="724">
        <f t="shared" ref="Y25:BQ25" si="8">SUM(Y22:Y23)</f>
        <v>0</v>
      </c>
      <c r="Z25" s="724">
        <f t="shared" ca="1" si="8"/>
        <v>0</v>
      </c>
      <c r="AA25" s="724">
        <f t="shared" ca="1" si="8"/>
        <v>207234.50432853866</v>
      </c>
      <c r="AB25" s="724">
        <f t="shared" ca="1" si="8"/>
        <v>34432.077035664392</v>
      </c>
      <c r="AC25" s="724">
        <f t="shared" ca="1" si="8"/>
        <v>52614.671873702144</v>
      </c>
      <c r="AD25" s="724">
        <f t="shared" ca="1" si="8"/>
        <v>63781.974589541409</v>
      </c>
      <c r="AE25" s="724">
        <f t="shared" ca="1" si="8"/>
        <v>74965.245098337444</v>
      </c>
      <c r="AF25" s="724">
        <f t="shared" ca="1" si="8"/>
        <v>87105.496613845622</v>
      </c>
      <c r="AG25" s="724">
        <f t="shared" ca="1" si="8"/>
        <v>100004.97981240657</v>
      </c>
      <c r="AH25" s="724">
        <f t="shared" ca="1" si="8"/>
        <v>114775.37914311793</v>
      </c>
      <c r="AI25" s="724">
        <f t="shared" ca="1" si="8"/>
        <v>126114.2493536347</v>
      </c>
      <c r="AJ25" s="724">
        <f t="shared" ca="1" si="8"/>
        <v>138250.21870790279</v>
      </c>
      <c r="AK25" s="724">
        <f t="shared" ca="1" si="8"/>
        <v>150367.01823269046</v>
      </c>
      <c r="AL25" s="724">
        <f t="shared" ca="1" si="8"/>
        <v>159968.71175103093</v>
      </c>
      <c r="AM25" s="724">
        <f t="shared" ca="1" si="8"/>
        <v>176831.98569887783</v>
      </c>
      <c r="AN25" s="724">
        <f t="shared" ca="1" si="8"/>
        <v>199119.43695099777</v>
      </c>
      <c r="AO25" s="724">
        <f t="shared" ca="1" si="8"/>
        <v>199603.72941562673</v>
      </c>
      <c r="AP25" s="724">
        <f t="shared" ca="1" si="8"/>
        <v>212588.02297926552</v>
      </c>
      <c r="AQ25" s="724">
        <f t="shared" ca="1" si="8"/>
        <v>238726.63021249662</v>
      </c>
      <c r="AR25" s="724">
        <f t="shared" ca="1" si="8"/>
        <v>267957.40045291052</v>
      </c>
      <c r="AS25" s="724">
        <f t="shared" ca="1" si="8"/>
        <v>300068.36207215773</v>
      </c>
      <c r="AT25" s="724">
        <f t="shared" ca="1" si="8"/>
        <v>320543.23862968886</v>
      </c>
      <c r="AU25" s="724">
        <f t="shared" ca="1" si="8"/>
        <v>399722.91814836615</v>
      </c>
      <c r="AV25" s="724">
        <f t="shared" ca="1" si="8"/>
        <v>432568.84078216914</v>
      </c>
      <c r="AW25" s="724">
        <f t="shared" ca="1" si="8"/>
        <v>463403.20155603904</v>
      </c>
      <c r="AX25" s="724">
        <f t="shared" ca="1" si="8"/>
        <v>492886.79403802543</v>
      </c>
      <c r="AY25" s="724">
        <f t="shared" ca="1" si="8"/>
        <v>523620.91397324181</v>
      </c>
      <c r="AZ25" s="724">
        <f t="shared" ca="1" si="8"/>
        <v>556291.59092486952</v>
      </c>
      <c r="BA25" s="724">
        <f t="shared" ca="1" si="8"/>
        <v>481167.30570299801</v>
      </c>
      <c r="BB25" s="724">
        <f t="shared" ca="1" si="8"/>
        <v>518270.98514702771</v>
      </c>
      <c r="BC25" s="724">
        <f t="shared" ca="1" si="8"/>
        <v>553385.2433610335</v>
      </c>
      <c r="BD25" s="724">
        <f t="shared" ca="1" si="8"/>
        <v>586155.42941777292</v>
      </c>
      <c r="BE25" s="724">
        <f t="shared" ca="1" si="8"/>
        <v>614345.77033319662</v>
      </c>
      <c r="BF25" s="724">
        <f t="shared" ca="1" si="8"/>
        <v>662153.89342346124</v>
      </c>
      <c r="BG25" s="724">
        <f t="shared" ca="1" si="8"/>
        <v>712066.99314357317</v>
      </c>
      <c r="BH25" s="724">
        <f t="shared" ca="1" si="8"/>
        <v>754358.26137922751</v>
      </c>
      <c r="BI25" s="724">
        <f t="shared" ca="1" si="8"/>
        <v>795386.12770300289</v>
      </c>
      <c r="BJ25" s="724">
        <f t="shared" ca="1" si="8"/>
        <v>818529.00237052829</v>
      </c>
      <c r="BK25" s="724">
        <f t="shared" ca="1" si="8"/>
        <v>1114677.3391099721</v>
      </c>
      <c r="BL25" s="724">
        <f t="shared" ca="1" si="8"/>
        <v>973444.95301749976</v>
      </c>
      <c r="BM25" s="724">
        <f t="shared" ca="1" si="8"/>
        <v>1171968.5234743054</v>
      </c>
      <c r="BN25" s="724">
        <f t="shared" ca="1" si="8"/>
        <v>1215106.0589171378</v>
      </c>
      <c r="BO25" s="724">
        <f t="shared" ca="1" si="8"/>
        <v>1259608.4882131356</v>
      </c>
      <c r="BP25" s="724">
        <f t="shared" ca="1" si="8"/>
        <v>1196438.9719220435</v>
      </c>
      <c r="BQ25" s="724">
        <f t="shared" ca="1" si="8"/>
        <v>255041.65494556914</v>
      </c>
      <c r="BR25" s="58"/>
      <c r="BS25" s="58"/>
      <c r="BT25" s="58"/>
      <c r="BU25" s="58"/>
      <c r="BV25" s="58"/>
      <c r="BW25" s="58"/>
      <c r="BX25" s="58"/>
      <c r="BY25" s="58"/>
      <c r="BZ25" s="58"/>
      <c r="CA25" s="58"/>
      <c r="CB25" s="58"/>
      <c r="CC25" s="58"/>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s="21" customFormat="1" x14ac:dyDescent="0.2">
      <c r="A26" s="121"/>
      <c r="B26" s="121"/>
      <c r="C26"/>
      <c r="D26"/>
      <c r="E26"/>
      <c r="F26"/>
      <c r="G26"/>
      <c r="H26"/>
      <c r="I26"/>
      <c r="J26"/>
      <c r="K26"/>
      <c r="L26"/>
      <c r="M26"/>
      <c r="N26"/>
      <c r="O26"/>
      <c r="P26"/>
      <c r="Q26"/>
      <c r="R26"/>
      <c r="S26"/>
      <c r="T26"/>
      <c r="U26"/>
      <c r="V26"/>
      <c r="W26"/>
      <c r="X26"/>
      <c r="Y26"/>
      <c r="Z26"/>
      <c r="AA26"/>
      <c r="AB26"/>
      <c r="AC26"/>
      <c r="AD26"/>
      <c r="AE26"/>
      <c r="AF26"/>
      <c r="AG26"/>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92"/>
      <c r="BS26" s="92"/>
      <c r="BT26" s="92"/>
      <c r="BU26" s="92"/>
      <c r="BV26" s="92"/>
      <c r="BW26" s="92"/>
      <c r="BX26" s="92"/>
      <c r="BY26" s="92"/>
      <c r="BZ26" s="92"/>
      <c r="CA26" s="92"/>
      <c r="CB26" s="92"/>
      <c r="CC26" s="54"/>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1" customFormat="1" ht="15.75" x14ac:dyDescent="0.25">
      <c r="A27" s="121"/>
      <c r="B27" s="121"/>
      <c r="C27"/>
      <c r="D27"/>
      <c r="E27"/>
      <c r="F27"/>
      <c r="G27"/>
      <c r="H27"/>
      <c r="I27"/>
      <c r="J27" s="86" t="s">
        <v>261</v>
      </c>
      <c r="K27" s="86"/>
      <c r="L27"/>
      <c r="M27"/>
      <c r="N27" s="760">
        <f ca="1">XIRR(P25:BQ25,$P$9:$BQ$9)</f>
        <v>0.15067918896675114</v>
      </c>
      <c r="O27"/>
      <c r="P27"/>
      <c r="Q27" s="71"/>
      <c r="R27" s="148"/>
      <c r="S27"/>
      <c r="T27"/>
      <c r="U27"/>
      <c r="V27"/>
      <c r="W27" s="71"/>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s="92"/>
      <c r="BS27" s="92"/>
      <c r="BT27" s="92"/>
      <c r="BU27" s="92"/>
      <c r="BV27" s="92"/>
      <c r="BW27" s="92"/>
      <c r="BX27" s="92"/>
      <c r="BY27" s="92"/>
      <c r="BZ27" s="92"/>
      <c r="CA27" s="92"/>
      <c r="CB27" s="92"/>
      <c r="CC27" s="92"/>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13" customFormat="1" x14ac:dyDescent="0.2">
      <c r="A28" s="121"/>
      <c r="B28" s="121"/>
      <c r="C28"/>
      <c r="D28"/>
      <c r="E28"/>
      <c r="F28"/>
      <c r="G28"/>
      <c r="H28"/>
      <c r="I28"/>
      <c r="J28"/>
      <c r="K28"/>
      <c r="L28"/>
      <c r="M28" s="164"/>
      <c r="N28" s="165"/>
      <c r="O28"/>
      <c r="P28"/>
      <c r="Q28"/>
      <c r="R28"/>
      <c r="S28"/>
      <c r="T28"/>
      <c r="U28"/>
      <c r="V28"/>
      <c r="W28"/>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92"/>
      <c r="BS28" s="92"/>
      <c r="BT28" s="92"/>
      <c r="BU28" s="92"/>
      <c r="BV28" s="92"/>
      <c r="BW28" s="92"/>
      <c r="BX28" s="92"/>
      <c r="BY28" s="92"/>
      <c r="BZ28" s="92"/>
      <c r="CA28" s="92"/>
      <c r="CB28" s="92"/>
      <c r="CC28" s="92"/>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7" customFormat="1" ht="16.5" customHeight="1" x14ac:dyDescent="0.25">
      <c r="A29" s="136"/>
      <c r="B29" s="136"/>
      <c r="C29" s="136" t="s">
        <v>386</v>
      </c>
      <c r="D29" s="136"/>
      <c r="E29" s="136"/>
      <c r="F29" s="136"/>
      <c r="G29" s="136"/>
      <c r="H29" s="136"/>
      <c r="I29" s="136"/>
      <c r="J29" s="136"/>
      <c r="K29" s="136"/>
      <c r="L29" s="136"/>
      <c r="M29" s="136"/>
      <c r="N29" s="136"/>
      <c r="O29" s="137"/>
      <c r="P29" s="63"/>
      <c r="Q29" s="63"/>
      <c r="R29" s="63"/>
      <c r="S29" s="63"/>
      <c r="T29" s="64"/>
      <c r="U29" s="64"/>
      <c r="V29" s="64"/>
      <c r="W29" s="63"/>
      <c r="X29" s="199"/>
      <c r="Y29" s="199"/>
      <c r="Z29" s="199"/>
      <c r="AA29" s="199"/>
      <c r="AB29" s="200"/>
      <c r="AC29" s="199"/>
      <c r="AD29" s="199"/>
      <c r="AE29" s="199"/>
      <c r="AF29" s="199"/>
      <c r="AG29" s="199"/>
      <c r="AH29" s="199"/>
      <c r="AI29" s="199"/>
      <c r="AJ29" s="199"/>
      <c r="AK29" s="199"/>
      <c r="AL29" s="199"/>
      <c r="AM29" s="199"/>
      <c r="AN29" s="161"/>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65"/>
      <c r="BS29" s="65"/>
      <c r="BT29" s="65"/>
      <c r="BU29" s="65"/>
      <c r="BV29" s="65"/>
      <c r="BW29" s="65"/>
      <c r="BX29" s="65"/>
      <c r="BY29" s="65"/>
      <c r="BZ29" s="65"/>
      <c r="CA29" s="65"/>
      <c r="CB29" s="65"/>
      <c r="CC29" s="65"/>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row>
    <row r="30" spans="1:256" s="13" customFormat="1" x14ac:dyDescent="0.2">
      <c r="A30" s="1"/>
      <c r="B30" s="1"/>
      <c r="C30"/>
      <c r="D30"/>
      <c r="E30"/>
      <c r="F30" s="72"/>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s="92"/>
      <c r="BS30" s="92"/>
      <c r="BT30" s="92"/>
      <c r="BU30" s="92"/>
      <c r="BV30" s="92"/>
      <c r="BW30" s="92"/>
      <c r="BX30" s="92"/>
      <c r="BY30" s="92"/>
      <c r="BZ30" s="92"/>
      <c r="CA30" s="92"/>
      <c r="CB30" s="92"/>
      <c r="CC30" s="54"/>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14" customFormat="1" ht="16.5" x14ac:dyDescent="0.25">
      <c r="A31" s="172"/>
      <c r="B31" s="172"/>
      <c r="C31"/>
      <c r="D31" s="174" t="s">
        <v>395</v>
      </c>
      <c r="E31"/>
      <c r="F31" s="72"/>
      <c r="G31"/>
      <c r="H31"/>
      <c r="I31"/>
      <c r="J31"/>
      <c r="K31" s="759">
        <f>+Inputs!L159</f>
        <v>2</v>
      </c>
      <c r="L31"/>
      <c r="M31"/>
      <c r="N31"/>
      <c r="O31"/>
      <c r="P31"/>
      <c r="Q31"/>
      <c r="R31"/>
      <c r="S31" s="71"/>
      <c r="T31"/>
      <c r="U31" s="196"/>
      <c r="V31"/>
      <c r="W31"/>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92"/>
      <c r="BS31" s="92"/>
      <c r="BT31" s="92"/>
      <c r="BU31" s="92"/>
      <c r="BV31" s="92"/>
      <c r="BW31" s="92"/>
      <c r="BX31" s="92"/>
      <c r="BY31" s="92"/>
      <c r="BZ31" s="92"/>
      <c r="CA31" s="92"/>
      <c r="CB31" s="92"/>
      <c r="CC31" s="54"/>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14" customFormat="1" x14ac:dyDescent="0.2">
      <c r="A32" s="172"/>
      <c r="B32" s="172"/>
      <c r="C32"/>
      <c r="D32"/>
      <c r="E32"/>
      <c r="F32" s="72"/>
      <c r="G32"/>
      <c r="H32"/>
      <c r="I32"/>
      <c r="J32"/>
      <c r="K32"/>
      <c r="L32"/>
      <c r="M32"/>
      <c r="N32"/>
      <c r="O32"/>
      <c r="P32"/>
      <c r="Q32"/>
      <c r="R32"/>
      <c r="S32" s="71"/>
      <c r="T32"/>
      <c r="U32" s="196"/>
      <c r="V32"/>
      <c r="W32"/>
      <c r="X32"/>
      <c r="Y32"/>
      <c r="Z32"/>
      <c r="AA32"/>
      <c r="AB32"/>
      <c r="AC32"/>
      <c r="AD32"/>
      <c r="AE32"/>
      <c r="AF32"/>
      <c r="AG32"/>
      <c r="AH32"/>
      <c r="AI32"/>
      <c r="AJ32"/>
      <c r="AK32"/>
      <c r="AL32"/>
      <c r="AM32"/>
      <c r="AN32" s="161"/>
      <c r="AO32"/>
      <c r="AP32"/>
      <c r="AQ32"/>
      <c r="AR32"/>
      <c r="AS32"/>
      <c r="AT32"/>
      <c r="AU32"/>
      <c r="AV32"/>
      <c r="AW32"/>
      <c r="AX32"/>
      <c r="AY32"/>
      <c r="AZ32"/>
      <c r="BA32"/>
      <c r="BB32"/>
      <c r="BC32"/>
      <c r="BD32"/>
      <c r="BE32"/>
      <c r="BF32"/>
      <c r="BG32"/>
      <c r="BH32"/>
      <c r="BI32"/>
      <c r="BJ32"/>
      <c r="BK32"/>
      <c r="BL32"/>
      <c r="BM32"/>
      <c r="BN32"/>
      <c r="BO32"/>
      <c r="BP32"/>
      <c r="BQ32"/>
      <c r="BR32" s="92"/>
      <c r="BS32" s="92"/>
      <c r="BT32" s="92"/>
      <c r="BU32" s="92"/>
      <c r="BV32" s="92"/>
      <c r="BW32" s="92"/>
      <c r="BX32" s="92"/>
      <c r="BY32" s="92"/>
      <c r="BZ32" s="92"/>
      <c r="CA32" s="92"/>
      <c r="CB32" s="92"/>
      <c r="CC32" s="54"/>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14" customFormat="1" ht="16.5" x14ac:dyDescent="0.25">
      <c r="A33" s="172"/>
      <c r="B33" s="172"/>
      <c r="C33"/>
      <c r="D33" s="178" t="s">
        <v>407</v>
      </c>
      <c r="E33"/>
      <c r="F33" s="72"/>
      <c r="G33"/>
      <c r="H33"/>
      <c r="I33"/>
      <c r="J33"/>
      <c r="K33" s="160" t="s">
        <v>62</v>
      </c>
      <c r="L33"/>
      <c r="M33" s="758">
        <f ca="1">+CHOOSE(K31,Y64,M79)</f>
        <v>993694.55517374445</v>
      </c>
      <c r="N33"/>
      <c r="O33"/>
      <c r="P33"/>
      <c r="Q33"/>
      <c r="R33"/>
      <c r="S33" s="196"/>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s="92"/>
      <c r="BS33" s="92"/>
      <c r="BT33" s="92"/>
      <c r="BU33" s="92"/>
      <c r="BV33" s="92"/>
      <c r="BW33" s="92"/>
      <c r="BX33" s="92"/>
      <c r="BY33" s="92"/>
      <c r="BZ33" s="92"/>
      <c r="CA33" s="92"/>
      <c r="CB33" s="92"/>
      <c r="CC33" s="54"/>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14" customFormat="1" ht="16.5" x14ac:dyDescent="0.25">
      <c r="A34" s="172"/>
      <c r="B34" s="172"/>
      <c r="C34"/>
      <c r="D34" s="178" t="s">
        <v>407</v>
      </c>
      <c r="E34"/>
      <c r="F34" s="72"/>
      <c r="G34"/>
      <c r="H34"/>
      <c r="I34"/>
      <c r="J34"/>
      <c r="K34" s="160" t="s">
        <v>491</v>
      </c>
      <c r="L34"/>
      <c r="M34" s="758">
        <f ca="1">+CHOOSE(K31,Y65,M80)</f>
        <v>826563.42969035474</v>
      </c>
      <c r="N34"/>
      <c r="O34"/>
      <c r="P34"/>
      <c r="Q34"/>
      <c r="R34"/>
      <c r="S34" s="196"/>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s="92"/>
      <c r="BS34" s="92"/>
      <c r="BT34" s="92"/>
      <c r="BU34" s="92"/>
      <c r="BV34" s="92"/>
      <c r="BW34" s="92"/>
      <c r="BX34" s="92"/>
      <c r="BY34" s="92"/>
      <c r="BZ34" s="92"/>
      <c r="CA34" s="92"/>
      <c r="CB34" s="92"/>
      <c r="CC34" s="5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14" customFormat="1" x14ac:dyDescent="0.2">
      <c r="A35" s="172"/>
      <c r="B35" s="172"/>
      <c r="C35"/>
      <c r="D35"/>
      <c r="E35"/>
      <c r="F35" s="72"/>
      <c r="G35"/>
      <c r="H35"/>
      <c r="I35"/>
      <c r="J35"/>
      <c r="K35"/>
      <c r="L35"/>
      <c r="M35"/>
      <c r="N35"/>
      <c r="O35"/>
      <c r="P35"/>
      <c r="Q35"/>
      <c r="R35"/>
      <c r="S35"/>
      <c r="T35"/>
      <c r="U35"/>
      <c r="V35"/>
      <c r="W35"/>
      <c r="X35" s="71"/>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s="92"/>
      <c r="BS35" s="92"/>
      <c r="BT35" s="92"/>
      <c r="BU35" s="92"/>
      <c r="BV35" s="92"/>
      <c r="BW35" s="92"/>
      <c r="BX35" s="92"/>
      <c r="BY35" s="92"/>
      <c r="BZ35" s="92"/>
      <c r="CA35" s="92"/>
      <c r="CB35" s="92"/>
      <c r="CC35" s="54"/>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14" customFormat="1" ht="16.5" x14ac:dyDescent="0.25">
      <c r="A36" s="172"/>
      <c r="B36" s="172"/>
      <c r="C36"/>
      <c r="D36" s="178" t="s">
        <v>408</v>
      </c>
      <c r="E36"/>
      <c r="F36" s="72"/>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s="92"/>
      <c r="BS36" s="92"/>
      <c r="BT36" s="92"/>
      <c r="BU36" s="92"/>
      <c r="BV36" s="92"/>
      <c r="BW36" s="92"/>
      <c r="BX36" s="92"/>
      <c r="BY36" s="92"/>
      <c r="BZ36" s="92"/>
      <c r="CA36" s="92"/>
      <c r="CB36" s="92"/>
      <c r="CC36" s="54"/>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14" customFormat="1" ht="16.5" x14ac:dyDescent="0.25">
      <c r="A37" s="172"/>
      <c r="B37" s="172"/>
      <c r="C37"/>
      <c r="D37" s="174"/>
      <c r="E37"/>
      <c r="F37" s="72"/>
      <c r="G37"/>
      <c r="H37"/>
      <c r="I37"/>
      <c r="J37"/>
      <c r="K37"/>
      <c r="L37"/>
      <c r="M37" s="71"/>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s="92"/>
      <c r="BS37" s="92"/>
      <c r="BT37" s="92"/>
      <c r="BU37" s="92"/>
      <c r="BV37" s="92"/>
      <c r="BW37" s="92"/>
      <c r="BX37" s="92"/>
      <c r="BY37" s="92"/>
      <c r="BZ37" s="92"/>
      <c r="CA37" s="92"/>
      <c r="CB37" s="92"/>
      <c r="CC37" s="54"/>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14" customFormat="1" x14ac:dyDescent="0.2">
      <c r="A38" s="172"/>
      <c r="B38" s="172"/>
      <c r="C38"/>
      <c r="D38" s="179" t="s">
        <v>396</v>
      </c>
      <c r="E38" s="112"/>
      <c r="F38" s="112"/>
      <c r="G38" s="112"/>
      <c r="H38" s="112"/>
      <c r="I38" s="112"/>
      <c r="J38" s="112"/>
      <c r="K38" s="757">
        <f>+Inputs!L163</f>
        <v>3.0028533333333329E-2</v>
      </c>
      <c r="L38"/>
      <c r="M38" s="71"/>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s="92"/>
      <c r="BS38" s="92"/>
      <c r="BT38" s="92"/>
      <c r="BU38" s="92"/>
      <c r="BV38" s="92"/>
      <c r="BW38" s="92"/>
      <c r="BX38" s="92"/>
      <c r="BY38" s="92"/>
      <c r="BZ38" s="92"/>
      <c r="CA38" s="92"/>
      <c r="CB38" s="92"/>
      <c r="CC38" s="54"/>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14" customFormat="1" x14ac:dyDescent="0.2">
      <c r="A39" s="172"/>
      <c r="B39" s="172"/>
      <c r="C39"/>
      <c r="D39" s="180" t="s">
        <v>410</v>
      </c>
      <c r="E39" s="72"/>
      <c r="F39" s="72"/>
      <c r="G39" s="72"/>
      <c r="H39" s="72"/>
      <c r="I39" s="72"/>
      <c r="J39" s="72"/>
      <c r="K39" s="755">
        <f>+Inputs!L164</f>
        <v>0.85</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s="92"/>
      <c r="BS39" s="92"/>
      <c r="BT39" s="92"/>
      <c r="BU39" s="92"/>
      <c r="BV39" s="92"/>
      <c r="BW39" s="92"/>
      <c r="BX39" s="92"/>
      <c r="BY39" s="92"/>
      <c r="BZ39" s="92"/>
      <c r="CA39" s="92"/>
      <c r="CB39" s="92"/>
      <c r="CC39" s="54"/>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14" customFormat="1" x14ac:dyDescent="0.2">
      <c r="A40" s="172"/>
      <c r="B40" s="172"/>
      <c r="C40"/>
      <c r="D40" s="180" t="s">
        <v>391</v>
      </c>
      <c r="E40" s="72"/>
      <c r="F40" s="72"/>
      <c r="G40" s="72"/>
      <c r="H40" s="72"/>
      <c r="I40" s="72"/>
      <c r="J40" s="72"/>
      <c r="K40" s="756">
        <f>+Inputs!L165</f>
        <v>0.06</v>
      </c>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s="92"/>
      <c r="BS40" s="92"/>
      <c r="BT40" s="92"/>
      <c r="BU40" s="92"/>
      <c r="BV40" s="92"/>
      <c r="BW40" s="92"/>
      <c r="BX40" s="92"/>
      <c r="BY40" s="92"/>
      <c r="BZ40" s="92"/>
      <c r="CA40" s="92"/>
      <c r="CB40" s="92"/>
      <c r="CC40" s="54"/>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14" customFormat="1" x14ac:dyDescent="0.2">
      <c r="A41" s="172"/>
      <c r="B41" s="172"/>
      <c r="C41"/>
      <c r="D41" s="181" t="s">
        <v>389</v>
      </c>
      <c r="E41" s="182"/>
      <c r="F41" s="182"/>
      <c r="G41" s="182"/>
      <c r="H41" s="182"/>
      <c r="I41" s="182"/>
      <c r="J41" s="182"/>
      <c r="K41" s="754">
        <f>+(K39*K40)+K38</f>
        <v>8.1028533333333319E-2</v>
      </c>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s="92"/>
      <c r="BS41" s="92"/>
      <c r="BT41" s="92"/>
      <c r="BU41" s="92"/>
      <c r="BV41" s="92"/>
      <c r="BW41" s="92"/>
      <c r="BX41" s="92"/>
      <c r="BY41" s="92"/>
      <c r="BZ41" s="92"/>
      <c r="CA41" s="92"/>
      <c r="CB41" s="92"/>
      <c r="CC41" s="54"/>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14" customFormat="1" x14ac:dyDescent="0.2">
      <c r="A42" s="172"/>
      <c r="B42" s="172"/>
      <c r="C42"/>
      <c r="D42"/>
      <c r="E42"/>
      <c r="F42" s="7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s="92"/>
      <c r="BS42" s="92"/>
      <c r="BT42" s="92"/>
      <c r="BU42" s="92"/>
      <c r="BV42" s="92"/>
      <c r="BW42" s="92"/>
      <c r="BX42" s="92"/>
      <c r="BY42" s="92"/>
      <c r="BZ42" s="92"/>
      <c r="CA42" s="92"/>
      <c r="CB42" s="92"/>
      <c r="CC42" s="54"/>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14" customFormat="1" x14ac:dyDescent="0.2">
      <c r="A43" s="172"/>
      <c r="B43" s="172"/>
      <c r="C43"/>
      <c r="D43" s="181" t="s">
        <v>401</v>
      </c>
      <c r="E43" s="182"/>
      <c r="F43" s="182"/>
      <c r="G43" s="182"/>
      <c r="H43" s="182"/>
      <c r="I43" s="182"/>
      <c r="J43" s="182"/>
      <c r="K43" s="754">
        <f>+AVERAGE(Y43:BP43)</f>
        <v>4.5059168068157691E-2</v>
      </c>
      <c r="L43"/>
      <c r="M43"/>
      <c r="N43"/>
      <c r="O43"/>
      <c r="P43"/>
      <c r="Q43"/>
      <c r="R43"/>
      <c r="S43"/>
      <c r="T43"/>
      <c r="U43"/>
      <c r="V43"/>
      <c r="W43"/>
      <c r="X43"/>
      <c r="Y43" s="71"/>
      <c r="Z43" s="705">
        <f>-(SUM(Acc!S24:S27)/(Fin!S20+Fin!S28+Fin!S36+Fin!S49))</f>
        <v>5.3742320094336181E-2</v>
      </c>
      <c r="AA43" s="705">
        <f>-(SUM(Acc!T24:T27)/(Fin!T20+Fin!T28+Fin!T36+Fin!T49))</f>
        <v>5.6515383988109513E-2</v>
      </c>
      <c r="AB43" s="705">
        <f>-(SUM(Acc!U24:U27)/(Fin!U20+Fin!U28+Fin!U36+Fin!U49))</f>
        <v>5.130904738147915E-2</v>
      </c>
      <c r="AC43" s="705">
        <f>-(SUM(Acc!V24:V27)/(Fin!V20+Fin!V28+Fin!V36+Fin!V49))</f>
        <v>4.8390299665214957E-2</v>
      </c>
      <c r="AD43" s="705">
        <f>-(SUM(Acc!W24:W27)/(Fin!W20+Fin!W28+Fin!W36+Fin!W49))</f>
        <v>4.8396898794880058E-2</v>
      </c>
      <c r="AE43" s="705">
        <f>-(SUM(Acc!X24:X27)/(Fin!X20+Fin!X28+Fin!X36+Fin!X49))</f>
        <v>4.8403822879843149E-2</v>
      </c>
      <c r="AF43" s="705">
        <f>-(SUM(Acc!Y24:Y27)/(Fin!Y20+Fin!Y28+Fin!Y36+Fin!Y49))</f>
        <v>4.8491441372427418E-2</v>
      </c>
      <c r="AG43" s="705">
        <f>-(SUM(Acc!Z24:Z27)/(Fin!Z20+Fin!Z28+Fin!Z36+Fin!Z49))</f>
        <v>4.8614243915917253E-2</v>
      </c>
      <c r="AH43" s="705">
        <f>-(SUM(Acc!AA24:AA27)/(Fin!AA20+Fin!AA28+Fin!AA36+Fin!AA49))</f>
        <v>4.8705295392142946E-2</v>
      </c>
      <c r="AI43" s="705">
        <f>-(SUM(Acc!AB24:AB27)/(Fin!AB20+Fin!AB28+Fin!AB36+Fin!AB49))</f>
        <v>4.873688449947771E-2</v>
      </c>
      <c r="AJ43" s="705">
        <f>-(SUM(Acc!AC24:AC27)/(Fin!AC20+Fin!AC28+Fin!AC36+Fin!AC49))</f>
        <v>4.8798625399612633E-2</v>
      </c>
      <c r="AK43" s="705">
        <f>-(SUM(Acc!AD24:AD27)/(Fin!AD20+Fin!AD28+Fin!AD36+Fin!AD49))</f>
        <v>4.9188976532376118E-2</v>
      </c>
      <c r="AL43" s="705">
        <f>-(SUM(Acc!AE24:AE27)/(Fin!AE20+Fin!AE28+Fin!AE36+Fin!AE49))</f>
        <v>5.1922825509805107E-2</v>
      </c>
      <c r="AM43" s="705">
        <f>-(SUM(Acc!AF24:AF27)/(Fin!AF20+Fin!AF28+Fin!AF36+Fin!AF49))</f>
        <v>4.9166000956832198E-2</v>
      </c>
      <c r="AN43" s="705">
        <f>-(SUM(Acc!AG24:AG27)/(Fin!AG20+Fin!AG28+Fin!AG36+Fin!AG49))</f>
        <v>4.9426517153868768E-2</v>
      </c>
      <c r="AO43" s="705">
        <f>-(SUM(Acc!AH24:AH27)/(Fin!AH20+Fin!AH28+Fin!AH36+Fin!AH49))</f>
        <v>4.9642073233367535E-2</v>
      </c>
      <c r="AP43" s="705">
        <f>-(SUM(Acc!AI24:AI27)/(Fin!AI20+Fin!AI28+Fin!AI36+Fin!AI49))</f>
        <v>5.013278956550974E-2</v>
      </c>
      <c r="AQ43" s="705">
        <f>-(SUM(Acc!AJ24:AJ27)/(Fin!AJ20+Fin!AJ28+Fin!AJ36+Fin!AJ49))</f>
        <v>5.0777215993268773E-2</v>
      </c>
      <c r="AR43" s="705">
        <f>-(SUM(Acc!AK24:AK27)/(Fin!AK20+Fin!AK28+Fin!AK36+Fin!AK49))</f>
        <v>5.15420981614352E-2</v>
      </c>
      <c r="AS43" s="705">
        <f>-(SUM(Acc!AL24:AL27)/(Fin!AL20+Fin!AL28+Fin!AL36+Fin!AL49))</f>
        <v>5.2270425358678915E-2</v>
      </c>
      <c r="AT43" s="705">
        <f>-(SUM(Acc!AM24:AM27)/(Fin!AM20+Fin!AM28+Fin!AM36+Fin!AM49))</f>
        <v>5.3738271913575407E-2</v>
      </c>
      <c r="AU43" s="705">
        <f>-(SUM(Acc!AN24:AN27)/(Fin!AN20+Fin!AN28+Fin!AN36+Fin!AN49))</f>
        <v>5.5823747827467671E-2</v>
      </c>
      <c r="AV43" s="705">
        <f>-(SUM(Acc!AO24:AO27)/(Fin!AO20+Fin!AO28+Fin!AO36+Fin!AO49))</f>
        <v>5.610400832459523E-2</v>
      </c>
      <c r="AW43" s="705">
        <f>-(SUM(Acc!AP24:AP27)/(Fin!AP20+Fin!AP28+Fin!AP36+Fin!AP49))</f>
        <v>5.3741705525323612E-2</v>
      </c>
      <c r="AX43" s="705">
        <f>-(SUM(Acc!AQ24:AQ27)/(Fin!AQ20+Fin!AQ28+Fin!AQ36+Fin!AQ49))</f>
        <v>5.3670568085938834E-2</v>
      </c>
      <c r="AY43" s="705">
        <f>-(SUM(Acc!AR24:AR27)/(Fin!AR20+Fin!AR28+Fin!AR36+Fin!AR49))</f>
        <v>5.3607144330389683E-2</v>
      </c>
      <c r="AZ43" s="705">
        <f>-(SUM(Acc!AS24:AS27)/(Fin!AS20+Fin!AS28+Fin!AS36+Fin!AS49))</f>
        <v>5.3696641266700991E-2</v>
      </c>
      <c r="BA43" s="705">
        <f>-(SUM(Acc!AT24:AT27)/(Fin!AT20+Fin!AT28+Fin!AT36+Fin!AT49))</f>
        <v>5.3499841503743421E-2</v>
      </c>
      <c r="BB43" s="705">
        <f>-(SUM(Acc!AU24:AU27)/(Fin!AU20+Fin!AU28+Fin!AU36+Fin!AU49))</f>
        <v>5.246692271902887E-2</v>
      </c>
      <c r="BC43" s="705">
        <f>-(SUM(Acc!AV24:AV27)/(Fin!AV20+Fin!AV28+Fin!AV36+Fin!AV49))</f>
        <v>5.2302399428289965E-2</v>
      </c>
      <c r="BD43" s="705">
        <f>-(SUM(Acc!AW24:AW27)/(Fin!AW20+Fin!AW28+Fin!AW36+Fin!AW49))</f>
        <v>5.2189587241869534E-2</v>
      </c>
      <c r="BE43" s="705">
        <f>-(SUM(Acc!AX24:AX27)/(Fin!AX20+Fin!AX28+Fin!AX36+Fin!AX49))</f>
        <v>5.2724949569011428E-2</v>
      </c>
      <c r="BF43" s="705">
        <f>-(SUM(Acc!AY24:AY27)/(Fin!AY20+Fin!AY28+Fin!AY36+Fin!AY49))</f>
        <v>5.140224605760927E-2</v>
      </c>
      <c r="BG43" s="705">
        <f>-(SUM(Acc!AZ24:AZ27)/(Fin!AZ20+Fin!AZ28+Fin!AZ36+Fin!AZ49))</f>
        <v>5.0973303666485642E-2</v>
      </c>
      <c r="BH43" s="705">
        <f>-(SUM(Acc!BA24:BA27)/(Fin!BA20+Fin!BA28+Fin!BA36+Fin!BA49))</f>
        <v>5.0465778672003067E-2</v>
      </c>
      <c r="BI43" s="705">
        <f>-(SUM(Acc!BB24:BB27)/(Fin!BB20+Fin!BB28+Fin!BB36+Fin!BB49))</f>
        <v>4.9251460284311717E-2</v>
      </c>
      <c r="BJ43" s="705">
        <f>-(SUM(Acc!BC24:BC27)/(Fin!BC20+Fin!BC28+Fin!BC36+Fin!BC49))</f>
        <v>4.7094589019618861E-2</v>
      </c>
      <c r="BK43" s="705">
        <f>-(SUM(Acc!BD24:BD27)/(Fin!BD20+Fin!BD28+Fin!BD36+Fin!BD49))</f>
        <v>4.0617875646234113E-2</v>
      </c>
      <c r="BL43" s="705">
        <f>-(SUM(Acc!BE24:BE27)/(Fin!BE20+Fin!BE28+Fin!BE36+Fin!BE49))</f>
        <v>0</v>
      </c>
      <c r="BM43" s="705">
        <f>-(SUM(Acc!BF24:BF27)/(Fin!BF20+Fin!BF28+Fin!BF36+Fin!BF49))</f>
        <v>0</v>
      </c>
      <c r="BN43" s="705">
        <f>-(SUM(Acc!BG24:BG27)/(Fin!BG20+Fin!BG28+Fin!BG36+Fin!BG49))</f>
        <v>0</v>
      </c>
      <c r="BO43" s="705">
        <f>-(SUM(Acc!BH24:BH27)/(Fin!BH20+Fin!BH28+Fin!BH36+Fin!BH49))</f>
        <v>0</v>
      </c>
      <c r="BP43" s="705">
        <f>-(SUM(Acc!BI24:BI27)/(Fin!BI20+Fin!BI28+Fin!BI36+Fin!BI49))</f>
        <v>0</v>
      </c>
      <c r="BQ43" s="705">
        <f>-(SUM(Acc!BJ24:BJ27)/(Fin!BJ20+Fin!BJ28+Fin!BJ36+Fin!BJ49))</f>
        <v>0</v>
      </c>
      <c r="BR43" s="204"/>
      <c r="BS43" s="204"/>
      <c r="BT43" s="204"/>
      <c r="BU43" s="204"/>
      <c r="BV43" s="204"/>
      <c r="BW43" s="204"/>
      <c r="BX43" s="204"/>
      <c r="BY43" s="204"/>
      <c r="BZ43" s="204"/>
      <c r="CA43" s="204"/>
      <c r="CB43" s="204"/>
      <c r="CC43" s="54"/>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14" customFormat="1" x14ac:dyDescent="0.2">
      <c r="A44" s="172"/>
      <c r="B44" s="172"/>
      <c r="C44"/>
      <c r="D44"/>
      <c r="E44"/>
      <c r="F44" s="72"/>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s="92"/>
      <c r="BS44" s="92"/>
      <c r="BT44" s="92"/>
      <c r="BU44" s="92"/>
      <c r="BV44" s="92"/>
      <c r="BW44" s="92"/>
      <c r="BX44" s="92"/>
      <c r="BY44" s="92"/>
      <c r="BZ44" s="92"/>
      <c r="CA44" s="92"/>
      <c r="CB44" s="92"/>
      <c r="CC44" s="5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14" customFormat="1" x14ac:dyDescent="0.2">
      <c r="A45" s="172"/>
      <c r="B45" s="172"/>
      <c r="C45"/>
      <c r="D45"/>
      <c r="E45"/>
      <c r="F45" s="72"/>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s="92"/>
      <c r="BS45" s="92"/>
      <c r="BT45" s="92"/>
      <c r="BU45" s="92"/>
      <c r="BV45" s="92"/>
      <c r="BW45" s="92"/>
      <c r="BX45" s="92"/>
      <c r="BY45" s="92"/>
      <c r="BZ45" s="92"/>
      <c r="CA45" s="92"/>
      <c r="CB45" s="92"/>
      <c r="CC45" s="54"/>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s="14" customFormat="1" x14ac:dyDescent="0.2">
      <c r="A46" s="172"/>
      <c r="B46" s="172"/>
      <c r="C46"/>
      <c r="D46" t="s">
        <v>397</v>
      </c>
      <c r="E46"/>
      <c r="F46" s="72"/>
      <c r="G46"/>
      <c r="H46"/>
      <c r="I46"/>
      <c r="J46"/>
      <c r="K46"/>
      <c r="L46"/>
      <c r="M46"/>
      <c r="N46"/>
      <c r="O46"/>
      <c r="P46"/>
      <c r="Q46"/>
      <c r="R46"/>
      <c r="S46"/>
      <c r="T46"/>
      <c r="U46"/>
      <c r="V46"/>
      <c r="W46"/>
      <c r="X46" s="159"/>
      <c r="Y46" s="748">
        <f>+CF!R35</f>
        <v>0</v>
      </c>
      <c r="Z46" s="748">
        <f>+CF!S35</f>
        <v>80796.436478947813</v>
      </c>
      <c r="AA46" s="748">
        <f>+CF!T35</f>
        <v>89771.429377036824</v>
      </c>
      <c r="AB46" s="748">
        <f>+CF!U35</f>
        <v>99543.656032264553</v>
      </c>
      <c r="AC46" s="748">
        <f>+CF!V35</f>
        <v>110049.22294287704</v>
      </c>
      <c r="AD46" s="748">
        <f>+CF!W35</f>
        <v>120350.89576262917</v>
      </c>
      <c r="AE46" s="748">
        <f>+CF!X35</f>
        <v>131570.13496479829</v>
      </c>
      <c r="AF46" s="748">
        <f>+CF!Y35</f>
        <v>143786.67305590565</v>
      </c>
      <c r="AG46" s="748">
        <f>+CF!Z35</f>
        <v>157087.19743331242</v>
      </c>
      <c r="AH46" s="748">
        <f>+CF!AA35</f>
        <v>171565.95314374936</v>
      </c>
      <c r="AI46" s="748">
        <f>+CF!AB35</f>
        <v>183391.10802637064</v>
      </c>
      <c r="AJ46" s="748">
        <f>+CF!AC35</f>
        <v>195989.04032439922</v>
      </c>
      <c r="AK46" s="748">
        <f>+CF!AD35</f>
        <v>209409.54971846577</v>
      </c>
      <c r="AL46" s="748">
        <f>+CF!AE35</f>
        <v>223705.03054897417</v>
      </c>
      <c r="AM46" s="748">
        <f>+CF!AF35</f>
        <v>238932.40957185804</v>
      </c>
      <c r="AN46" s="748">
        <f>+CF!AG35</f>
        <v>263639.78313376952</v>
      </c>
      <c r="AO46" s="748">
        <f>+CF!AH35</f>
        <v>290832.84111196542</v>
      </c>
      <c r="AP46" s="748">
        <f>+CF!AI35</f>
        <v>320758.59869528381</v>
      </c>
      <c r="AQ46" s="748">
        <f>+CF!AJ35</f>
        <v>353687.83018306049</v>
      </c>
      <c r="AR46" s="748">
        <f>+CF!AK35</f>
        <v>389918.53613546857</v>
      </c>
      <c r="AS46" s="748">
        <f>+CF!AL35</f>
        <v>429991.20856437285</v>
      </c>
      <c r="AT46" s="748">
        <f>+CF!AM35</f>
        <v>474114.91119369352</v>
      </c>
      <c r="AU46" s="748">
        <f>+CF!AN35</f>
        <v>522694.82861747779</v>
      </c>
      <c r="AV46" s="748">
        <f>+CF!AO35</f>
        <v>576183.47989266005</v>
      </c>
      <c r="AW46" s="748">
        <f>+CF!AP35</f>
        <v>635066.1159571571</v>
      </c>
      <c r="AX46" s="748">
        <f>+CF!AQ35</f>
        <v>675077.42128030444</v>
      </c>
      <c r="AY46" s="748">
        <f>+CF!AR35</f>
        <v>717240.58317071572</v>
      </c>
      <c r="AZ46" s="748">
        <f>+CF!AS35</f>
        <v>761699.82474316505</v>
      </c>
      <c r="BA46" s="748">
        <f>+CF!AT35</f>
        <v>808605.77591825917</v>
      </c>
      <c r="BB46" s="748">
        <f>+CF!AU35</f>
        <v>858105.13068571023</v>
      </c>
      <c r="BC46" s="748">
        <f>+CF!AV35</f>
        <v>907312.38003306463</v>
      </c>
      <c r="BD46" s="748">
        <f>+CF!AW35</f>
        <v>959257.59221436782</v>
      </c>
      <c r="BE46" s="748">
        <f>+CF!AX35</f>
        <v>1014084.0597085075</v>
      </c>
      <c r="BF46" s="748">
        <f>+CF!AY35</f>
        <v>1071938.227130169</v>
      </c>
      <c r="BG46" s="748">
        <f>+CF!AZ35</f>
        <v>1132977.101951726</v>
      </c>
      <c r="BH46" s="748">
        <f>+CF!BA35</f>
        <v>1188804.4180300832</v>
      </c>
      <c r="BI46" s="748">
        <f>+CF!BB35</f>
        <v>1244644.7319363076</v>
      </c>
      <c r="BJ46" s="748">
        <f>+CF!BC35</f>
        <v>1279590.4219262504</v>
      </c>
      <c r="BK46" s="748">
        <f>+CF!BD35</f>
        <v>1340224.7358302826</v>
      </c>
      <c r="BL46" s="748">
        <f>+CF!BE35</f>
        <v>1260363.1431594822</v>
      </c>
      <c r="BM46" s="748">
        <f>+CF!BF35</f>
        <v>1469883.3379092026</v>
      </c>
      <c r="BN46" s="748">
        <f>+CF!BG35</f>
        <v>1524557.0878507746</v>
      </c>
      <c r="BO46" s="748">
        <f>+CF!BH35</f>
        <v>1580933.9890731277</v>
      </c>
      <c r="BP46" s="748">
        <f>+CF!BI35</f>
        <v>1501634.8947837211</v>
      </c>
      <c r="BQ46" s="748">
        <f>+CF!BJ35</f>
        <v>277848.14454061422</v>
      </c>
      <c r="BR46" s="205"/>
      <c r="BS46" s="205"/>
      <c r="BT46" s="205"/>
      <c r="BU46" s="205"/>
      <c r="BV46" s="205"/>
      <c r="BW46" s="205"/>
      <c r="BX46" s="205"/>
      <c r="BY46" s="205"/>
      <c r="BZ46" s="205"/>
      <c r="CA46" s="205"/>
      <c r="CB46" s="205"/>
      <c r="CC46" s="54"/>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14" customFormat="1" x14ac:dyDescent="0.2">
      <c r="A47" s="172"/>
      <c r="B47" s="172"/>
      <c r="C47"/>
      <c r="D47" t="s">
        <v>398</v>
      </c>
      <c r="E47"/>
      <c r="F47" s="72"/>
      <c r="G47"/>
      <c r="H47"/>
      <c r="I47"/>
      <c r="J47"/>
      <c r="K47" s="753">
        <f>+Inputs!L77</f>
        <v>0.21</v>
      </c>
      <c r="L47"/>
      <c r="M47"/>
      <c r="N47"/>
      <c r="O47"/>
      <c r="P47"/>
      <c r="Q47"/>
      <c r="R47"/>
      <c r="S47"/>
      <c r="T47"/>
      <c r="U47"/>
      <c r="V47"/>
      <c r="W47"/>
      <c r="X47" s="159"/>
      <c r="Y47" s="748">
        <f>-(Acc!R22*'Valuation &amp; IRR'!$K$47)</f>
        <v>0</v>
      </c>
      <c r="Z47" s="748">
        <f ca="1">-(Acc!S22*'Valuation &amp; IRR'!$K$47)</f>
        <v>2235.5456225617927</v>
      </c>
      <c r="AA47" s="748">
        <f ca="1">-(Acc!T22*'Valuation &amp; IRR'!$K$47)</f>
        <v>259.21372324599042</v>
      </c>
      <c r="AB47" s="748">
        <f ca="1">-(Acc!U22*'Valuation &amp; IRR'!$K$47)</f>
        <v>-1981.5290084863309</v>
      </c>
      <c r="AC47" s="748">
        <f ca="1">-(Acc!V22*'Valuation &amp; IRR'!$K$47)</f>
        <v>-4463.3798786034076</v>
      </c>
      <c r="AD47" s="748">
        <f ca="1">-(Acc!W22*'Valuation &amp; IRR'!$K$47)</f>
        <v>-6638.3843427234797</v>
      </c>
      <c r="AE47" s="748">
        <f ca="1">-(Acc!X22*'Valuation &amp; IRR'!$K$47)</f>
        <v>-9006.9878032460292</v>
      </c>
      <c r="AF47" s="748">
        <f ca="1">-(Acc!Y22*'Valuation &amp; IRR'!$K$47)</f>
        <v>-11586.005157498515</v>
      </c>
      <c r="AG47" s="748">
        <f ca="1">-(Acc!Z22*'Valuation &amp; IRR'!$K$47)</f>
        <v>-14393.71738018121</v>
      </c>
      <c r="AH47" s="748">
        <f ca="1">-(Acc!AA22*'Valuation &amp; IRR'!$K$47)</f>
        <v>-17449.998536109546</v>
      </c>
      <c r="AI47" s="748">
        <f ca="1">-(Acc!AB22*'Valuation &amp; IRR'!$K$47)</f>
        <v>-19842.888600219667</v>
      </c>
      <c r="AJ47" s="748">
        <f ca="1">-(Acc!AC22*'Valuation &amp; IRR'!$K$47)</f>
        <v>-22397.53778857693</v>
      </c>
      <c r="AK47" s="748">
        <f ca="1">-(Acc!AD22*'Valuation &amp; IRR'!$K$47)</f>
        <v>-25124.400994973279</v>
      </c>
      <c r="AL47" s="748">
        <f ca="1">-(Acc!AE22*'Valuation &amp; IRR'!$K$47)</f>
        <v>-28034.47797413083</v>
      </c>
      <c r="AM47" s="748">
        <f ca="1">-(Acc!AF22*'Valuation &amp; IRR'!$K$47)</f>
        <v>-31139.720270308579</v>
      </c>
      <c r="AN47" s="748">
        <f ca="1">-(Acc!AG22*'Valuation &amp; IRR'!$K$47)</f>
        <v>-44928.826210929648</v>
      </c>
      <c r="AO47" s="748">
        <f ca="1">-(Acc!AH22*'Valuation &amp; IRR'!$K$47)</f>
        <v>-61629.490642460354</v>
      </c>
      <c r="AP47" s="748">
        <f ca="1">-(Acc!AI22*'Valuation &amp; IRR'!$K$47)</f>
        <v>-67952.731818304776</v>
      </c>
      <c r="AQ47" s="748">
        <f ca="1">-(Acc!AJ22*'Valuation &amp; IRR'!$K$47)</f>
        <v>-74915.519826215139</v>
      </c>
      <c r="AR47" s="748">
        <f ca="1">-(Acc!AK22*'Valuation &amp; IRR'!$K$47)</f>
        <v>-82587.497943037408</v>
      </c>
      <c r="AS47" s="748">
        <f ca="1">-(Acc!AL22*'Valuation &amp; IRR'!$K$47)</f>
        <v>-91124.437547101916</v>
      </c>
      <c r="AT47" s="748">
        <f ca="1">-(Acc!AM22*'Valuation &amp; IRR'!$K$47)</f>
        <v>-100522.29630026757</v>
      </c>
      <c r="AU47" s="748">
        <f ca="1">-(Acc!AN22*'Valuation &amp; IRR'!$K$47)</f>
        <v>-110867.02358102376</v>
      </c>
      <c r="AV47" s="748">
        <f ca="1">-(Acc!AO22*'Valuation &amp; IRR'!$K$47)</f>
        <v>-122254.58203150032</v>
      </c>
      <c r="AW47" s="748">
        <f ca="1">-(Acc!AP22*'Valuation &amp; IRR'!$K$47)</f>
        <v>-134787.88724838727</v>
      </c>
      <c r="AX47" s="748">
        <f ca="1">-(Acc!AQ22*'Valuation &amp; IRR'!$K$47)</f>
        <v>-142769.11081034676</v>
      </c>
      <c r="AY47" s="748">
        <f ca="1">-(Acc!AR22*'Valuation &amp; IRR'!$K$47)</f>
        <v>-151247.83123456888</v>
      </c>
      <c r="AZ47" s="748">
        <f ca="1">-(Acc!AS22*'Valuation &amp; IRR'!$K$47)</f>
        <v>-160250.43992753836</v>
      </c>
      <c r="BA47" s="748">
        <f ca="1">-(Acc!AT22*'Valuation &amp; IRR'!$K$47)</f>
        <v>-169805.01128525365</v>
      </c>
      <c r="BB47" s="748">
        <f ca="1">-(Acc!AU22*'Valuation &amp; IRR'!$K$47)</f>
        <v>-179939.10149563145</v>
      </c>
      <c r="BC47" s="748">
        <f ca="1">-(Acc!AV22*'Valuation &amp; IRR'!$K$47)</f>
        <v>-190532.01735517746</v>
      </c>
      <c r="BD47" s="748">
        <f ca="1">-(Acc!AW22*'Valuation &amp; IRR'!$K$47)</f>
        <v>-201729.53985022212</v>
      </c>
      <c r="BE47" s="748">
        <f ca="1">-(Acc!AX22*'Valuation &amp; IRR'!$K$47)</f>
        <v>-213565.40438893868</v>
      </c>
      <c r="BF47" s="748">
        <f ca="1">-(Acc!AY22*'Valuation &amp; IRR'!$K$47)</f>
        <v>-226074.48009911133</v>
      </c>
      <c r="BG47" s="748">
        <f ca="1">-(Acc!AZ22*'Valuation &amp; IRR'!$K$47)</f>
        <v>-239294.3891756887</v>
      </c>
      <c r="BH47" s="748">
        <f ca="1">-(Acc!BA22*'Valuation &amp; IRR'!$K$47)</f>
        <v>-250594.66367083814</v>
      </c>
      <c r="BI47" s="748">
        <f ca="1">-(Acc!BB22*'Valuation &amp; IRR'!$K$47)</f>
        <v>-261951.26205706349</v>
      </c>
      <c r="BJ47" s="748">
        <f ca="1">-(Acc!BC22*'Valuation &amp; IRR'!$K$47)</f>
        <v>-268971.95412124711</v>
      </c>
      <c r="BK47" s="748">
        <f ca="1">-(Acc!BD22*'Valuation &amp; IRR'!$K$47)</f>
        <v>-281437.90402916772</v>
      </c>
      <c r="BL47" s="748">
        <f ca="1">-(Acc!BE22*'Valuation &amp; IRR'!$K$47)</f>
        <v>-294535.85100852587</v>
      </c>
      <c r="BM47" s="748">
        <f ca="1">-(Acc!BF22*'Valuation &amp; IRR'!$K$47)</f>
        <v>-305606.98493134254</v>
      </c>
      <c r="BN47" s="748">
        <f ca="1">-(Acc!BG22*'Valuation &amp; IRR'!$K$47)</f>
        <v>-317054.12877923116</v>
      </c>
      <c r="BO47" s="748">
        <f ca="1">-(Acc!BH22*'Valuation &amp; IRR'!$K$47)</f>
        <v>-328779.06868741749</v>
      </c>
      <c r="BP47" s="748">
        <f ca="1">-(Acc!BI22*'Valuation &amp; IRR'!$K$47)</f>
        <v>-311917.80060205306</v>
      </c>
      <c r="BQ47" s="748">
        <f ca="1">-(Acc!BJ22*'Valuation &amp; IRR'!$K$47)</f>
        <v>-24339.318813409624</v>
      </c>
      <c r="BR47" s="205"/>
      <c r="BS47" s="205"/>
      <c r="BT47" s="205"/>
      <c r="BU47" s="205"/>
      <c r="BV47" s="205"/>
      <c r="BW47" s="205"/>
      <c r="BX47" s="205"/>
      <c r="BY47" s="205"/>
      <c r="BZ47" s="205"/>
      <c r="CA47" s="205"/>
      <c r="CB47" s="205"/>
      <c r="CC47" s="54"/>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14" customFormat="1" x14ac:dyDescent="0.2">
      <c r="A48" s="172"/>
      <c r="B48" s="172"/>
      <c r="C48"/>
      <c r="D48" s="112" t="s">
        <v>399</v>
      </c>
      <c r="E48" s="112"/>
      <c r="F48" s="112"/>
      <c r="G48" s="112"/>
      <c r="H48" s="112"/>
      <c r="I48" s="112"/>
      <c r="J48" s="112"/>
      <c r="K48" s="112"/>
      <c r="L48" s="112"/>
      <c r="M48" s="112"/>
      <c r="N48" s="112"/>
      <c r="O48" s="112"/>
      <c r="P48" s="112"/>
      <c r="Q48" s="112"/>
      <c r="R48" s="112"/>
      <c r="S48" s="112"/>
      <c r="T48" s="112"/>
      <c r="U48" s="112"/>
      <c r="V48" s="112"/>
      <c r="W48" s="112"/>
      <c r="X48" s="175"/>
      <c r="Y48" s="749">
        <f t="shared" ref="Y48" si="9">+SUM(Y46:Y47)</f>
        <v>0</v>
      </c>
      <c r="Z48" s="749">
        <f t="shared" ref="Z48:BC48" ca="1" si="10">+SUM(Z46:Z47)</f>
        <v>83031.982101509609</v>
      </c>
      <c r="AA48" s="749">
        <f t="shared" ca="1" si="10"/>
        <v>90030.643100282818</v>
      </c>
      <c r="AB48" s="749">
        <f t="shared" ca="1" si="10"/>
        <v>97562.127023778216</v>
      </c>
      <c r="AC48" s="749">
        <f t="shared" ca="1" si="10"/>
        <v>105585.84306427363</v>
      </c>
      <c r="AD48" s="749">
        <f t="shared" ca="1" si="10"/>
        <v>113712.51141990568</v>
      </c>
      <c r="AE48" s="749">
        <f t="shared" ca="1" si="10"/>
        <v>122563.14716155226</v>
      </c>
      <c r="AF48" s="749">
        <f t="shared" ca="1" si="10"/>
        <v>132200.66789840712</v>
      </c>
      <c r="AG48" s="749">
        <f t="shared" ca="1" si="10"/>
        <v>142693.48005313121</v>
      </c>
      <c r="AH48" s="749">
        <f t="shared" ca="1" si="10"/>
        <v>154115.95460763981</v>
      </c>
      <c r="AI48" s="749">
        <f t="shared" ca="1" si="10"/>
        <v>163548.21942615096</v>
      </c>
      <c r="AJ48" s="749">
        <f t="shared" ca="1" si="10"/>
        <v>173591.50253582228</v>
      </c>
      <c r="AK48" s="749">
        <f t="shared" ca="1" si="10"/>
        <v>184285.14872349249</v>
      </c>
      <c r="AL48" s="749">
        <f t="shared" ca="1" si="10"/>
        <v>195670.55257484334</v>
      </c>
      <c r="AM48" s="749">
        <f t="shared" ca="1" si="10"/>
        <v>207792.68930154946</v>
      </c>
      <c r="AN48" s="749">
        <f t="shared" ca="1" si="10"/>
        <v>218710.95692283986</v>
      </c>
      <c r="AO48" s="749">
        <f t="shared" ca="1" si="10"/>
        <v>229203.35046950507</v>
      </c>
      <c r="AP48" s="749">
        <f t="shared" ca="1" si="10"/>
        <v>252805.86687697904</v>
      </c>
      <c r="AQ48" s="749">
        <f t="shared" ca="1" si="10"/>
        <v>278772.31035684538</v>
      </c>
      <c r="AR48" s="749">
        <f t="shared" ca="1" si="10"/>
        <v>307331.03819243115</v>
      </c>
      <c r="AS48" s="749">
        <f t="shared" ca="1" si="10"/>
        <v>338866.77101727092</v>
      </c>
      <c r="AT48" s="749">
        <f t="shared" ca="1" si="10"/>
        <v>373592.61489342595</v>
      </c>
      <c r="AU48" s="749">
        <f t="shared" ca="1" si="10"/>
        <v>411827.805036454</v>
      </c>
      <c r="AV48" s="749">
        <f t="shared" ca="1" si="10"/>
        <v>453928.89786115976</v>
      </c>
      <c r="AW48" s="749">
        <f t="shared" ca="1" si="10"/>
        <v>500278.22870876984</v>
      </c>
      <c r="AX48" s="749">
        <f t="shared" ca="1" si="10"/>
        <v>532308.31046995765</v>
      </c>
      <c r="AY48" s="749">
        <f t="shared" ca="1" si="10"/>
        <v>565992.75193614687</v>
      </c>
      <c r="AZ48" s="749">
        <f t="shared" ca="1" si="10"/>
        <v>601449.38481562666</v>
      </c>
      <c r="BA48" s="749">
        <f t="shared" ca="1" si="10"/>
        <v>638800.76463300548</v>
      </c>
      <c r="BB48" s="749">
        <f t="shared" ca="1" si="10"/>
        <v>678166.02919007884</v>
      </c>
      <c r="BC48" s="749">
        <f t="shared" ca="1" si="10"/>
        <v>716780.3626778872</v>
      </c>
      <c r="BD48" s="749">
        <f t="shared" ref="BD48:BQ48" ca="1" si="11">+SUM(BD46:BD47)</f>
        <v>757528.05236414564</v>
      </c>
      <c r="BE48" s="749">
        <f t="shared" ca="1" si="11"/>
        <v>800518.65531956882</v>
      </c>
      <c r="BF48" s="749">
        <f t="shared" ca="1" si="11"/>
        <v>845863.74703105772</v>
      </c>
      <c r="BG48" s="749">
        <f t="shared" ca="1" si="11"/>
        <v>893682.71277603728</v>
      </c>
      <c r="BH48" s="749">
        <f t="shared" ca="1" si="11"/>
        <v>938209.75435924507</v>
      </c>
      <c r="BI48" s="749">
        <f t="shared" ca="1" si="11"/>
        <v>982693.4698792441</v>
      </c>
      <c r="BJ48" s="749">
        <f t="shared" ca="1" si="11"/>
        <v>1010618.4678050033</v>
      </c>
      <c r="BK48" s="749">
        <f t="shared" ca="1" si="11"/>
        <v>1058786.8318011148</v>
      </c>
      <c r="BL48" s="749">
        <f t="shared" ca="1" si="11"/>
        <v>965827.29215095635</v>
      </c>
      <c r="BM48" s="749">
        <f t="shared" ca="1" si="11"/>
        <v>1164276.35297786</v>
      </c>
      <c r="BN48" s="749">
        <f t="shared" ca="1" si="11"/>
        <v>1207502.9590715435</v>
      </c>
      <c r="BO48" s="749">
        <f t="shared" ca="1" si="11"/>
        <v>1252154.9203857102</v>
      </c>
      <c r="BP48" s="749">
        <f t="shared" ca="1" si="11"/>
        <v>1189717.094181668</v>
      </c>
      <c r="BQ48" s="749">
        <f t="shared" ca="1" si="11"/>
        <v>253508.82572720459</v>
      </c>
      <c r="BR48" s="205"/>
      <c r="BS48" s="205"/>
      <c r="BT48" s="205"/>
      <c r="BU48" s="205"/>
      <c r="BV48" s="205"/>
      <c r="BW48" s="205"/>
      <c r="BX48" s="205"/>
      <c r="BY48" s="205"/>
      <c r="BZ48" s="205"/>
      <c r="CA48" s="205"/>
      <c r="CB48" s="205"/>
      <c r="CC48" s="54"/>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s="14" customFormat="1" x14ac:dyDescent="0.2">
      <c r="A49" s="172"/>
      <c r="B49" s="172"/>
      <c r="C49"/>
      <c r="D49"/>
      <c r="E49"/>
      <c r="F49" s="72"/>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s="92"/>
      <c r="BS49" s="92"/>
      <c r="BT49" s="92"/>
      <c r="BU49" s="92"/>
      <c r="BV49" s="92"/>
      <c r="BW49" s="92"/>
      <c r="BX49" s="92"/>
      <c r="BY49" s="92"/>
      <c r="BZ49" s="92"/>
      <c r="CA49" s="92"/>
      <c r="CB49" s="92"/>
      <c r="CC49" s="54"/>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14" customFormat="1" x14ac:dyDescent="0.2">
      <c r="A50" s="172"/>
      <c r="B50" s="172"/>
      <c r="C50"/>
      <c r="D50" t="s">
        <v>411</v>
      </c>
      <c r="E50"/>
      <c r="F50" s="72"/>
      <c r="G50"/>
      <c r="H50"/>
      <c r="I50"/>
      <c r="J50"/>
      <c r="K50" s="752">
        <f>+K41</f>
        <v>8.1028533333333319E-2</v>
      </c>
      <c r="L50"/>
      <c r="M50"/>
      <c r="N50"/>
      <c r="O50"/>
      <c r="P50"/>
      <c r="Q50"/>
      <c r="R50"/>
      <c r="S50"/>
      <c r="T50"/>
      <c r="U50"/>
      <c r="V50"/>
      <c r="W50"/>
      <c r="X50" s="161"/>
      <c r="Y50" s="751">
        <f ca="1">+NPV($K$50,Z48:CC48)</f>
        <v>2939121.3968921285</v>
      </c>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s="92"/>
      <c r="BS50" s="92"/>
      <c r="BT50" s="92"/>
      <c r="BU50" s="92"/>
      <c r="BV50" s="92"/>
      <c r="BW50" s="92"/>
      <c r="BX50" s="92"/>
      <c r="BY50" s="92"/>
      <c r="BZ50" s="92"/>
      <c r="CA50" s="92"/>
      <c r="CB50" s="92"/>
      <c r="CC50" s="54"/>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14" customFormat="1" x14ac:dyDescent="0.2">
      <c r="A51" s="172"/>
      <c r="B51" s="172"/>
      <c r="C51"/>
      <c r="D51"/>
      <c r="E51"/>
      <c r="F51" s="72"/>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s="92"/>
      <c r="BS51" s="92"/>
      <c r="BT51" s="92"/>
      <c r="BU51" s="92"/>
      <c r="BV51" s="92"/>
      <c r="BW51" s="92"/>
      <c r="BX51" s="92"/>
      <c r="BY51" s="92"/>
      <c r="BZ51" s="92"/>
      <c r="CA51" s="92"/>
      <c r="CB51" s="92"/>
      <c r="CC51" s="54"/>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14" customFormat="1" x14ac:dyDescent="0.2">
      <c r="A52" s="172"/>
      <c r="B52" s="172"/>
      <c r="C52"/>
      <c r="D52" t="s">
        <v>400</v>
      </c>
      <c r="E52"/>
      <c r="F52" s="72"/>
      <c r="G52"/>
      <c r="H52"/>
      <c r="I52"/>
      <c r="J52"/>
      <c r="K52"/>
      <c r="L52"/>
      <c r="M52"/>
      <c r="N52"/>
      <c r="O52"/>
      <c r="P52"/>
      <c r="Q52"/>
      <c r="R52"/>
      <c r="S52"/>
      <c r="T52"/>
      <c r="U52"/>
      <c r="V52"/>
      <c r="W52"/>
      <c r="X52" s="159"/>
      <c r="Y52" s="748">
        <f>-(SUM(Acc!R25:R28)*'Valuation &amp; IRR'!$K$47)</f>
        <v>0</v>
      </c>
      <c r="Z52" s="748">
        <f>-(SUM(Acc!S25:S28)*'Valuation &amp; IRR'!$K$47)</f>
        <v>13475.060569709225</v>
      </c>
      <c r="AA52" s="748">
        <f>-(SUM(Acc!T25:T28)*'Valuation &amp; IRR'!$K$47)</f>
        <v>13984.972567185097</v>
      </c>
      <c r="AB52" s="748">
        <f>-(SUM(Acc!U25:U28)*'Valuation &amp; IRR'!$K$47)</f>
        <v>8761.7425372630514</v>
      </c>
      <c r="AC52" s="748">
        <f>-(SUM(Acc!V25:V28)*'Valuation &amp; IRR'!$K$47)</f>
        <v>7950.7860055551064</v>
      </c>
      <c r="AD52" s="748">
        <f>-(SUM(Acc!W25:W28)*'Valuation &amp; IRR'!$K$47)</f>
        <v>7901.9067891973427</v>
      </c>
      <c r="AE52" s="748">
        <f>-(SUM(Acc!X25:X28)*'Valuation &amp; IRR'!$K$47)</f>
        <v>7860.5293827862079</v>
      </c>
      <c r="AF52" s="748">
        <f>-(SUM(Acc!Y25:Y28)*'Valuation &amp; IRR'!$K$47)</f>
        <v>7822.8748413233834</v>
      </c>
      <c r="AG52" s="748">
        <f>-(SUM(Acc!Z25:Z28)*'Valuation &amp; IRR'!$K$47)</f>
        <v>7769.8961470158501</v>
      </c>
      <c r="AH52" s="748">
        <f>-(SUM(Acc!AA25:AA28)*'Valuation &amp; IRR'!$K$47)</f>
        <v>7604.0712093316688</v>
      </c>
      <c r="AI52" s="748">
        <f>-(SUM(Acc!AB25:AB28)*'Valuation &amp; IRR'!$K$47)</f>
        <v>7439.7099411951631</v>
      </c>
      <c r="AJ52" s="748">
        <f>-(SUM(Acc!AC25:AC28)*'Valuation &amp; IRR'!$K$47)</f>
        <v>7315.8765616002456</v>
      </c>
      <c r="AK52" s="748">
        <f>-(SUM(Acc!AD25:AD28)*'Valuation &amp; IRR'!$K$47)</f>
        <v>7361.4640937400609</v>
      </c>
      <c r="AL52" s="748">
        <f>-(SUM(Acc!AE25:AE28)*'Valuation &amp; IRR'!$K$47)</f>
        <v>8059.3227202212129</v>
      </c>
      <c r="AM52" s="748">
        <f>-(SUM(Acc!AF25:AF28)*'Valuation &amp; IRR'!$K$47)</f>
        <v>7229.6585345928688</v>
      </c>
      <c r="AN52" s="748">
        <f>-(SUM(Acc!AG25:AG28)*'Valuation &amp; IRR'!$K$47)</f>
        <v>7060.5994946526289</v>
      </c>
      <c r="AO52" s="748">
        <f>-(SUM(Acc!AH25:AH28)*'Valuation &amp; IRR'!$K$47)</f>
        <v>6790.9997087180482</v>
      </c>
      <c r="AP52" s="748">
        <f>-(SUM(Acc!AI25:AI28)*'Valuation &amp; IRR'!$K$47)</f>
        <v>6427.0385409564124</v>
      </c>
      <c r="AQ52" s="748">
        <f>-(SUM(Acc!AJ25:AJ28)*'Valuation &amp; IRR'!$K$47)</f>
        <v>5843.659586570282</v>
      </c>
      <c r="AR52" s="748">
        <f>-(SUM(Acc!AK25:AK28)*'Valuation &amp; IRR'!$K$47)</f>
        <v>5032.6293866846645</v>
      </c>
      <c r="AS52" s="748">
        <f>-(SUM(Acc!AL25:AL28)*'Valuation &amp; IRR'!$K$47)</f>
        <v>4077.1563889585836</v>
      </c>
      <c r="AT52" s="748">
        <f>-(SUM(Acc!AM25:AM28)*'Valuation &amp; IRR'!$K$47)</f>
        <v>2920.9712236222545</v>
      </c>
      <c r="AU52" s="748">
        <f>-(SUM(Acc!AN25:AN28)*'Valuation &amp; IRR'!$K$47)</f>
        <v>1269.3791463074238</v>
      </c>
      <c r="AV52" s="748">
        <f>-(SUM(Acc!AO25:AO28)*'Valuation &amp; IRR'!$K$47)</f>
        <v>-425.18897385254996</v>
      </c>
      <c r="AW52" s="748">
        <f>-(SUM(Acc!AP25:AP28)*'Valuation &amp; IRR'!$K$47)</f>
        <v>-1136.1200495361732</v>
      </c>
      <c r="AX52" s="748">
        <f>-(SUM(Acc!AQ25:AQ28)*'Valuation &amp; IRR'!$K$47)</f>
        <v>-1160.6729215167172</v>
      </c>
      <c r="AY52" s="748">
        <f>-(SUM(Acc!AR25:AR28)*'Valuation &amp; IRR'!$K$47)</f>
        <v>-1210.6183916485422</v>
      </c>
      <c r="AZ52" s="748">
        <f>-(SUM(Acc!AS25:AS28)*'Valuation &amp; IRR'!$K$47)</f>
        <v>-1266.7748363685628</v>
      </c>
      <c r="BA52" s="748">
        <f>-(SUM(Acc!AT25:AT28)*'Valuation &amp; IRR'!$K$47)</f>
        <v>-1328.6902554653911</v>
      </c>
      <c r="BB52" s="748">
        <f>-(SUM(Acc!AU25:AU28)*'Valuation &amp; IRR'!$K$47)</f>
        <v>-1849.6400811813021</v>
      </c>
      <c r="BC52" s="748">
        <f>-(SUM(Acc!AV25:AV28)*'Valuation &amp; IRR'!$K$47)</f>
        <v>-1884.5422688819867</v>
      </c>
      <c r="BD52" s="748">
        <f>-(SUM(Acc!AW25:AW28)*'Valuation &amp; IRR'!$K$47)</f>
        <v>-1963.4605930063499</v>
      </c>
      <c r="BE52" s="748">
        <f>-(SUM(Acc!AX25:AX28)*'Valuation &amp; IRR'!$K$47)</f>
        <v>-1818.0643143372763</v>
      </c>
      <c r="BF52" s="748">
        <f>-(SUM(Acc!AY25:AY28)*'Valuation &amp; IRR'!$K$47)</f>
        <v>-2154.8283172017782</v>
      </c>
      <c r="BG52" s="748">
        <f>-(SUM(Acc!AZ25:AZ28)*'Valuation &amp; IRR'!$K$47)</f>
        <v>-2210.7424513220444</v>
      </c>
      <c r="BH52" s="748">
        <f>-(SUM(Acc!BA25:BA28)*'Valuation &amp; IRR'!$K$47)</f>
        <v>-2242.7497123264029</v>
      </c>
      <c r="BI52" s="748">
        <f>-(SUM(Acc!BB25:BB28)*'Valuation &amp; IRR'!$K$47)</f>
        <v>-2276.8707786244595</v>
      </c>
      <c r="BJ52" s="748">
        <f>-(SUM(Acc!BC25:BC28)*'Valuation &amp; IRR'!$K$47)</f>
        <v>-2297.4046414567242</v>
      </c>
      <c r="BK52" s="748">
        <f>-(SUM(Acc!BD25:BD28)*'Valuation &amp; IRR'!$K$47)</f>
        <v>-2356.2282375434756</v>
      </c>
      <c r="BL52" s="748">
        <f>-(SUM(Acc!BE25:BE28)*'Valuation &amp; IRR'!$K$47)</f>
        <v>-2024.94782528368</v>
      </c>
      <c r="BM52" s="748">
        <f>-(SUM(Acc!BF25:BF28)*'Valuation &amp; IRR'!$K$47)</f>
        <v>-2044.7541825994097</v>
      </c>
      <c r="BN52" s="748">
        <f>-(SUM(Acc!BG25:BG28)*'Valuation &amp; IRR'!$K$47)</f>
        <v>-2021.0771741453143</v>
      </c>
      <c r="BO52" s="748">
        <f>-(SUM(Acc!BH25:BH28)*'Valuation &amp; IRR'!$K$47)</f>
        <v>-1981.3281566573621</v>
      </c>
      <c r="BP52" s="748">
        <f>-(SUM(Acc!BI25:BI28)*'Valuation &amp; IRR'!$K$47)</f>
        <v>-1786.8282600997809</v>
      </c>
      <c r="BQ52" s="748">
        <f>-(SUM(Acc!BJ25:BJ28)*'Valuation &amp; IRR'!$K$47)</f>
        <v>-407.46093146398863</v>
      </c>
      <c r="BR52" s="205"/>
      <c r="BS52" s="205"/>
      <c r="BT52" s="205"/>
      <c r="BU52" s="205"/>
      <c r="BV52" s="205"/>
      <c r="BW52" s="205"/>
      <c r="BX52" s="205"/>
      <c r="BY52" s="205"/>
      <c r="BZ52" s="205"/>
      <c r="CA52" s="205"/>
      <c r="CB52" s="205"/>
      <c r="CC52" s="54"/>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14" customFormat="1" x14ac:dyDescent="0.2">
      <c r="A53" s="172"/>
      <c r="B53" s="172"/>
      <c r="C53"/>
      <c r="D53"/>
      <c r="E53"/>
      <c r="F53" s="72"/>
      <c r="G53"/>
      <c r="H53"/>
      <c r="I53"/>
      <c r="J53"/>
      <c r="K53"/>
      <c r="L53"/>
      <c r="M53"/>
      <c r="N53"/>
      <c r="O53"/>
      <c r="P53"/>
      <c r="Q53"/>
      <c r="R53"/>
      <c r="S53"/>
      <c r="T53"/>
      <c r="U53"/>
      <c r="V53"/>
      <c r="W53"/>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748">
        <v>6</v>
      </c>
      <c r="AZ53" s="159"/>
      <c r="BA53" s="159"/>
      <c r="BB53" s="159"/>
      <c r="BC53" s="159"/>
      <c r="BD53" s="159"/>
      <c r="BE53" s="159"/>
      <c r="BF53" s="159"/>
      <c r="BG53" s="159"/>
      <c r="BH53" s="159"/>
      <c r="BI53" s="159"/>
      <c r="BJ53" s="159"/>
      <c r="BK53" s="159"/>
      <c r="BL53" s="159"/>
      <c r="BM53" s="159"/>
      <c r="BN53" s="159"/>
      <c r="BO53" s="159"/>
      <c r="BP53" s="159"/>
      <c r="BQ53" s="159"/>
      <c r="BR53" s="205"/>
      <c r="BS53" s="205"/>
      <c r="BT53" s="205"/>
      <c r="BU53" s="205"/>
      <c r="BV53" s="205"/>
      <c r="BW53" s="205"/>
      <c r="BX53" s="205"/>
      <c r="BY53" s="205"/>
      <c r="BZ53" s="205"/>
      <c r="CA53" s="205"/>
      <c r="CB53" s="205"/>
      <c r="CC53" s="54"/>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s="14" customFormat="1" x14ac:dyDescent="0.2">
      <c r="A54" s="172"/>
      <c r="B54" s="172"/>
      <c r="C54"/>
      <c r="D54" t="s">
        <v>402</v>
      </c>
      <c r="E54"/>
      <c r="F54" s="72"/>
      <c r="G54"/>
      <c r="H54"/>
      <c r="I54"/>
      <c r="J54"/>
      <c r="K54"/>
      <c r="L54"/>
      <c r="M54"/>
      <c r="N54"/>
      <c r="O54"/>
      <c r="P54"/>
      <c r="Q54"/>
      <c r="R54"/>
      <c r="S54"/>
      <c r="T54"/>
      <c r="U54"/>
      <c r="V54"/>
      <c r="W54"/>
      <c r="X54" s="161"/>
      <c r="Y54" s="751">
        <f>+NPV($K$43,Z52:CC52)</f>
        <v>100428.38818952392</v>
      </c>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s="92"/>
      <c r="BS54" s="92"/>
      <c r="BT54" s="92"/>
      <c r="BU54" s="92"/>
      <c r="BV54" s="92"/>
      <c r="BW54" s="92"/>
      <c r="BX54" s="92"/>
      <c r="BY54" s="92"/>
      <c r="BZ54" s="92"/>
      <c r="CA54" s="92"/>
      <c r="CB54" s="92"/>
      <c r="CC54" s="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14" customFormat="1" x14ac:dyDescent="0.2">
      <c r="A55" s="172"/>
      <c r="B55" s="172"/>
      <c r="C55"/>
      <c r="D55"/>
      <c r="E55"/>
      <c r="F55" s="72"/>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s="92"/>
      <c r="BS55" s="92"/>
      <c r="BT55" s="92"/>
      <c r="BU55" s="92"/>
      <c r="BV55" s="92"/>
      <c r="BW55" s="92"/>
      <c r="BX55" s="92"/>
      <c r="BY55" s="92"/>
      <c r="BZ55" s="92"/>
      <c r="CA55" s="92"/>
      <c r="CB55" s="92"/>
      <c r="CC55" s="54"/>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14" customFormat="1" x14ac:dyDescent="0.2">
      <c r="A56" s="172"/>
      <c r="B56" s="172"/>
      <c r="C56"/>
      <c r="D56" s="69" t="s">
        <v>403</v>
      </c>
      <c r="E56"/>
      <c r="F56" s="72"/>
      <c r="G56"/>
      <c r="H56"/>
      <c r="I56"/>
      <c r="J56"/>
      <c r="K56"/>
      <c r="L56"/>
      <c r="M56"/>
      <c r="N56"/>
      <c r="O56"/>
      <c r="P56"/>
      <c r="Q56"/>
      <c r="R56"/>
      <c r="S56"/>
      <c r="T56"/>
      <c r="U56"/>
      <c r="V56"/>
      <c r="W56"/>
      <c r="X56" s="177"/>
      <c r="Y56" s="750">
        <f ca="1">+Y50+Y54</f>
        <v>3039549.7850816525</v>
      </c>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s="92"/>
      <c r="BS56" s="92"/>
      <c r="BT56" s="92"/>
      <c r="BU56" s="92"/>
      <c r="BV56" s="92"/>
      <c r="BW56" s="92"/>
      <c r="BX56" s="92"/>
      <c r="BY56" s="92"/>
      <c r="BZ56" s="92"/>
      <c r="CA56" s="92"/>
      <c r="CB56" s="92"/>
      <c r="CC56" s="54"/>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14" customFormat="1" x14ac:dyDescent="0.2">
      <c r="A57" s="172"/>
      <c r="B57" s="172"/>
      <c r="C57"/>
      <c r="D57"/>
      <c r="E57"/>
      <c r="F57" s="72"/>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s="92"/>
      <c r="BS57" s="92"/>
      <c r="BT57" s="92"/>
      <c r="BU57" s="92"/>
      <c r="BV57" s="92"/>
      <c r="BW57" s="92"/>
      <c r="BX57" s="92"/>
      <c r="BY57" s="92"/>
      <c r="BZ57" s="92"/>
      <c r="CA57" s="92"/>
      <c r="CB57" s="92"/>
      <c r="CC57" s="54"/>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14" customFormat="1" x14ac:dyDescent="0.2">
      <c r="A58" s="172"/>
      <c r="B58" s="172"/>
      <c r="C58"/>
      <c r="D58" t="s">
        <v>364</v>
      </c>
      <c r="E58"/>
      <c r="F58" s="72"/>
      <c r="G58"/>
      <c r="H58"/>
      <c r="I58"/>
      <c r="J58"/>
      <c r="K58"/>
      <c r="L58"/>
      <c r="M58"/>
      <c r="N58"/>
      <c r="O58"/>
      <c r="P58"/>
      <c r="Q58"/>
      <c r="R58"/>
      <c r="S58"/>
      <c r="T58"/>
      <c r="U58"/>
      <c r="V58"/>
      <c r="W58"/>
      <c r="X58" s="159"/>
      <c r="Y58" s="748">
        <f>+(Fin!S20+Fin!S28+Fin!S36+Fin!S49)</f>
        <v>1193974.4131109053</v>
      </c>
      <c r="Z58" s="748">
        <f>+(Fin!T20+Fin!T28+Fin!T36+Fin!T49)</f>
        <v>1230267.586954759</v>
      </c>
      <c r="AA58" s="748">
        <f>+(Fin!U20+Fin!U28+Fin!U36+Fin!U49)</f>
        <v>1248464.7640623427</v>
      </c>
      <c r="AB58" s="748">
        <f>+(Fin!V20+Fin!V28+Fin!V36+Fin!V49)</f>
        <v>1251786.101088213</v>
      </c>
      <c r="AC58" s="748">
        <f>+(Fin!W20+Fin!W28+Fin!W36+Fin!W49)</f>
        <v>1256641.6311486103</v>
      </c>
      <c r="AD58" s="748">
        <f>+(Fin!X20+Fin!X28+Fin!X36+Fin!X49)</f>
        <v>1261876.3545081392</v>
      </c>
      <c r="AE58" s="748">
        <f>+(Fin!Y20+Fin!Y28+Fin!Y36+Fin!Y49)</f>
        <v>1267519.8843205273</v>
      </c>
      <c r="AF58" s="748">
        <f>+(Fin!Z20+Fin!Z28+Fin!Z36+Fin!Z49)</f>
        <v>1273604.1463828839</v>
      </c>
      <c r="AG58" s="748">
        <f>+(Fin!AA20+Fin!AA28+Fin!AA36+Fin!AA49)</f>
        <v>1280163.5597419085</v>
      </c>
      <c r="AH58" s="748">
        <f>+(Fin!AB20+Fin!AB28+Fin!AB36+Fin!AB49)</f>
        <v>1287235.2314045662</v>
      </c>
      <c r="AI58" s="748">
        <f>+(Fin!AC20+Fin!AC28+Fin!AC36+Fin!AC49)</f>
        <v>1294347.9075531135</v>
      </c>
      <c r="AJ58" s="748">
        <f>+(Fin!AD20+Fin!AD28+Fin!AD36+Fin!AD49)</f>
        <v>1301501.8259485697</v>
      </c>
      <c r="AK58" s="748">
        <f>+(Fin!AE20+Fin!AE28+Fin!AE36+Fin!AE49)</f>
        <v>1308697.2257305915</v>
      </c>
      <c r="AL58" s="748">
        <f>+(Fin!AF20+Fin!AF28+Fin!AF36+Fin!AF49)</f>
        <v>1315934.3474254664</v>
      </c>
      <c r="AM58" s="748">
        <f>+(Fin!AG20+Fin!AG28+Fin!AG36+Fin!AG49)</f>
        <v>1323213.4329541526</v>
      </c>
      <c r="AN58" s="748">
        <f>+(Fin!AH20+Fin!AH28+Fin!AH36+Fin!AH49)</f>
        <v>1331038.5170200784</v>
      </c>
      <c r="AO58" s="748">
        <f>+(Fin!AI20+Fin!AI28+Fin!AI36+Fin!AI49)</f>
        <v>1339450.5545483504</v>
      </c>
      <c r="AP58" s="748">
        <f>+(Fin!AJ20+Fin!AJ28+Fin!AJ36+Fin!AJ49)</f>
        <v>1348493.5724611143</v>
      </c>
      <c r="AQ58" s="748">
        <f>+(Fin!AK20+Fin!AK28+Fin!AK36+Fin!AK49)</f>
        <v>1358214.9001056631</v>
      </c>
      <c r="AR58" s="748">
        <f>+(Fin!AL20+Fin!AL28+Fin!AL36+Fin!AL49)</f>
        <v>1368665.416966774</v>
      </c>
      <c r="AS58" s="748">
        <f>+(Fin!AM20+Fin!AM28+Fin!AM36+Fin!AM49)</f>
        <v>1380068.3538717167</v>
      </c>
      <c r="AT58" s="748">
        <f>+(Fin!AN20+Fin!AN28+Fin!AN36+Fin!AN49)</f>
        <v>1392510.5107321071</v>
      </c>
      <c r="AU58" s="748">
        <f>+(Fin!AO20+Fin!AO28+Fin!AO36+Fin!AO49)</f>
        <v>1406086.5980707526</v>
      </c>
      <c r="AV58" s="748">
        <f>+(Fin!AP20+Fin!AP28+Fin!AP36+Fin!AP49)</f>
        <v>1420899.9579644282</v>
      </c>
      <c r="AW58" s="748">
        <f>+(Fin!AQ20+Fin!AQ28+Fin!AQ36+Fin!AQ49)</f>
        <v>1437063.3506906165</v>
      </c>
      <c r="AX58" s="748">
        <f>+(Fin!AR20+Fin!AR28+Fin!AR36+Fin!AR49)</f>
        <v>1451827.3793167477</v>
      </c>
      <c r="AY58" s="748">
        <f>+(Fin!AS20+Fin!AS28+Fin!AS36+Fin!AS49)</f>
        <v>1465313.1953806023</v>
      </c>
      <c r="AZ58" s="748">
        <f>+(Fin!AT20+Fin!AT28+Fin!AT36+Fin!AT49)</f>
        <v>1477631.4615878507</v>
      </c>
      <c r="BA58" s="748">
        <f>+(Fin!AU20+Fin!AU28+Fin!AU36+Fin!AU49)</f>
        <v>1488883.2598946167</v>
      </c>
      <c r="BB58" s="748">
        <f>+(Fin!AV20+Fin!AV28+Fin!AV36+Fin!AV49)</f>
        <v>1388668.4997530996</v>
      </c>
      <c r="BC58" s="748">
        <f>+(Fin!AW20+Fin!AW28+Fin!AW36+Fin!AW49)</f>
        <v>1280542.2021893107</v>
      </c>
      <c r="BD58" s="748">
        <f>+(Fin!AX20+Fin!AX28+Fin!AX36+Fin!AX49)</f>
        <v>1158143.5320067056</v>
      </c>
      <c r="BE58" s="748">
        <f>+(Fin!AY20+Fin!AY28+Fin!AY36+Fin!AY49)</f>
        <v>1029318.9316395138</v>
      </c>
      <c r="BF58" s="748">
        <f>+(Fin!AZ20+Fin!AZ28+Fin!AZ36+Fin!AZ49)</f>
        <v>878940.14966923627</v>
      </c>
      <c r="BG58" s="748">
        <f>+(Fin!BA20+Fin!BA28+Fin!BA36+Fin!BA49)</f>
        <v>720666.48164551926</v>
      </c>
      <c r="BH58" s="748">
        <f>+(Fin!BB20+Fin!BB28+Fin!BB36+Fin!BB49)</f>
        <v>554083.44605055696</v>
      </c>
      <c r="BI58" s="748">
        <f>+(Fin!BC20+Fin!BC28+Fin!BC36+Fin!BC49)</f>
        <v>378754.8010868592</v>
      </c>
      <c r="BJ58" s="748">
        <f>+(Fin!BD20+Fin!BD28+Fin!BD36+Fin!BD49)</f>
        <v>194221.40226256748</v>
      </c>
      <c r="BK58" s="748">
        <f>+(Fin!BE20+Fin!BE28+Fin!BE36+Fin!BE49)</f>
        <v>4.3655745685100555E-10</v>
      </c>
      <c r="BL58" s="748">
        <f>+(Fin!BF20+Fin!BF28+Fin!BF36+Fin!BF49)</f>
        <v>4.3655745685100555E-10</v>
      </c>
      <c r="BM58" s="748">
        <f>+(Fin!BG20+Fin!BG28+Fin!BG36+Fin!BG49)</f>
        <v>4.3655745685100555E-10</v>
      </c>
      <c r="BN58" s="748">
        <f>+(Fin!BH20+Fin!BH28+Fin!BH36+Fin!BH49)</f>
        <v>4.3655745685100555E-10</v>
      </c>
      <c r="BO58" s="748">
        <f>+(Fin!BI20+Fin!BI28+Fin!BI36+Fin!BI49)</f>
        <v>4.3655745685100555E-10</v>
      </c>
      <c r="BP58" s="748">
        <f>+(Fin!BJ20+Fin!BJ28+Fin!BJ36+Fin!BJ49)</f>
        <v>4.3655745685100555E-10</v>
      </c>
      <c r="BQ58" s="748">
        <f>+(Fin!BK20+Fin!BK28+Fin!BK36+Fin!BK49)</f>
        <v>0</v>
      </c>
      <c r="BR58" s="205"/>
      <c r="BS58" s="205"/>
      <c r="BT58" s="205"/>
      <c r="BU58" s="205"/>
      <c r="BV58" s="205"/>
      <c r="BW58" s="205"/>
      <c r="BX58" s="205"/>
      <c r="BY58" s="205"/>
      <c r="BZ58" s="205"/>
      <c r="CA58" s="205"/>
      <c r="CB58" s="205"/>
      <c r="CC58" s="54"/>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14" customFormat="1" x14ac:dyDescent="0.2">
      <c r="A59" s="172"/>
      <c r="B59" s="172"/>
      <c r="C59"/>
      <c r="D59" t="s">
        <v>90</v>
      </c>
      <c r="E59"/>
      <c r="F59" s="72"/>
      <c r="G59"/>
      <c r="H59"/>
      <c r="I59"/>
      <c r="J59"/>
      <c r="K59"/>
      <c r="L59"/>
      <c r="M59"/>
      <c r="N59"/>
      <c r="O59"/>
      <c r="P59"/>
      <c r="Q59"/>
      <c r="R59"/>
      <c r="S59"/>
      <c r="T59"/>
      <c r="U59"/>
      <c r="V59"/>
      <c r="W59"/>
      <c r="X59" s="159"/>
      <c r="Y59" s="748">
        <f>+Acc!R37</f>
        <v>155265.09135022902</v>
      </c>
      <c r="Z59" s="748">
        <f>+Acc!S37</f>
        <v>208187.74657917686</v>
      </c>
      <c r="AA59" s="748">
        <f>+Acc!T37</f>
        <v>42326.74127247274</v>
      </c>
      <c r="AB59" s="748">
        <f>+Acc!U37</f>
        <v>47642.75469322774</v>
      </c>
      <c r="AC59" s="748">
        <f>+Acc!V37</f>
        <v>50538.877458578259</v>
      </c>
      <c r="AD59" s="748">
        <f>+Acc!W37</f>
        <v>51988.446137454914</v>
      </c>
      <c r="AE59" s="748">
        <f>+Acc!X37</f>
        <v>53464.140677853524</v>
      </c>
      <c r="AF59" s="748">
        <f>+Acc!Y37</f>
        <v>54876.944498191893</v>
      </c>
      <c r="AG59" s="748">
        <f>+Acc!Z37</f>
        <v>56491.13368043425</v>
      </c>
      <c r="AH59" s="748">
        <f>+Acc!AA37</f>
        <v>57634.370323258314</v>
      </c>
      <c r="AI59" s="748">
        <f>+Acc!AB37</f>
        <v>58722.924531647535</v>
      </c>
      <c r="AJ59" s="748">
        <f>+Acc!AC37</f>
        <v>59647.987944899774</v>
      </c>
      <c r="AK59" s="748">
        <f>+Acc!AD37</f>
        <v>60767.2562333276</v>
      </c>
      <c r="AL59" s="748">
        <f>+Acc!AE37</f>
        <v>62443.707022234805</v>
      </c>
      <c r="AM59" s="748">
        <f>+Acc!AF37</f>
        <v>65460.601389624462</v>
      </c>
      <c r="AN59" s="748">
        <f>+Acc!AG37</f>
        <v>68953.831159520094</v>
      </c>
      <c r="AO59" s="748">
        <f>+Acc!AH37</f>
        <v>73454.641467593552</v>
      </c>
      <c r="AP59" s="748">
        <f>+Acc!AI37</f>
        <v>79362.513263008907</v>
      </c>
      <c r="AQ59" s="748">
        <f>+Acc!AJ37</f>
        <v>86899.519402557999</v>
      </c>
      <c r="AR59" s="748">
        <f>+Acc!AK37</f>
        <v>95568.312534970595</v>
      </c>
      <c r="AS59" s="748">
        <f>+Acc!AL37</f>
        <v>105886.8841737609</v>
      </c>
      <c r="AT59" s="748">
        <f>+Acc!AM37</f>
        <v>132169.88531624552</v>
      </c>
      <c r="AU59" s="748">
        <f>+Acc!AN37</f>
        <v>119014.5135547782</v>
      </c>
      <c r="AV59" s="748">
        <f>+Acc!AO37</f>
        <v>118576.76584385651</v>
      </c>
      <c r="AW59" s="748">
        <f>+Acc!AP37</f>
        <v>115968.91593544315</v>
      </c>
      <c r="AX59" s="748">
        <f>+Acc!AQ37</f>
        <v>113935.58045071228</v>
      </c>
      <c r="AY59" s="748">
        <f>+Acc!AR37</f>
        <v>113154.83879610553</v>
      </c>
      <c r="AZ59" s="748">
        <f>+Acc!AS37</f>
        <v>113479.76888547439</v>
      </c>
      <c r="BA59" s="748">
        <f>+Acc!AT37</f>
        <v>225109.20270231576</v>
      </c>
      <c r="BB59" s="748">
        <f>+Acc!AU37</f>
        <v>230192.09819800602</v>
      </c>
      <c r="BC59" s="748">
        <f>+Acc!AV37</f>
        <v>235292.13740311289</v>
      </c>
      <c r="BD59" s="748">
        <f>+Acc!AW37</f>
        <v>238947.05252010521</v>
      </c>
      <c r="BE59" s="748">
        <f>+Acc!AX37</f>
        <v>255787.88217987877</v>
      </c>
      <c r="BF59" s="748">
        <f>+Acc!AY37</f>
        <v>255522.17554870807</v>
      </c>
      <c r="BG59" s="748">
        <f>+Acc!AZ37</f>
        <v>251884.37400838171</v>
      </c>
      <c r="BH59" s="748">
        <f>+Acc!BA37</f>
        <v>248958.08466547698</v>
      </c>
      <c r="BI59" s="748">
        <f>+Acc!BB37</f>
        <v>248045.55486436945</v>
      </c>
      <c r="BJ59" s="748">
        <f>+Acc!BC37</f>
        <v>250257.16042403033</v>
      </c>
      <c r="BK59" s="748">
        <f>+Acc!BD37</f>
        <v>2883.7478702290005</v>
      </c>
      <c r="BL59" s="748">
        <f>+Acc!BE37</f>
        <v>146152.7995453875</v>
      </c>
      <c r="BM59" s="748">
        <f>+Acc!BF37</f>
        <v>128935.65378771734</v>
      </c>
      <c r="BN59" s="748">
        <f>+Acc!BG37</f>
        <v>107292.02711615844</v>
      </c>
      <c r="BO59" s="748">
        <f>+Acc!BH37</f>
        <v>80083.883438271238</v>
      </c>
      <c r="BP59" s="748">
        <f>+Acc!BI37</f>
        <v>45880.600706115627</v>
      </c>
      <c r="BQ59" s="748">
        <f>+Acc!BJ37</f>
        <v>2.1827872842550278E-11</v>
      </c>
      <c r="BR59" s="205"/>
      <c r="BS59" s="205"/>
      <c r="BT59" s="205"/>
      <c r="BU59" s="205"/>
      <c r="BV59" s="205"/>
      <c r="BW59" s="205"/>
      <c r="BX59" s="205"/>
      <c r="BY59" s="205"/>
      <c r="BZ59" s="205"/>
      <c r="CA59" s="205"/>
      <c r="CB59" s="205"/>
      <c r="CC59" s="54"/>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14" customFormat="1" x14ac:dyDescent="0.2">
      <c r="A60" s="172"/>
      <c r="B60" s="172"/>
      <c r="C60"/>
      <c r="D60" s="112" t="s">
        <v>404</v>
      </c>
      <c r="E60" s="112"/>
      <c r="F60" s="112"/>
      <c r="G60" s="112"/>
      <c r="H60" s="112"/>
      <c r="I60" s="112"/>
      <c r="J60" s="112"/>
      <c r="K60" s="112"/>
      <c r="L60" s="112"/>
      <c r="M60" s="112"/>
      <c r="N60" s="112"/>
      <c r="O60" s="112"/>
      <c r="P60" s="112"/>
      <c r="Q60" s="112"/>
      <c r="R60" s="112"/>
      <c r="S60" s="112"/>
      <c r="T60" s="112"/>
      <c r="U60" s="112"/>
      <c r="V60" s="112"/>
      <c r="W60" s="112"/>
      <c r="X60" s="175"/>
      <c r="Y60" s="749">
        <f>+Y58-Y59</f>
        <v>1038709.3217606763</v>
      </c>
      <c r="Z60" s="749">
        <f t="shared" ref="Z60:BQ60" si="12">+Z58-Z59</f>
        <v>1022079.8403755821</v>
      </c>
      <c r="AA60" s="749">
        <f t="shared" si="12"/>
        <v>1206138.0227898699</v>
      </c>
      <c r="AB60" s="749">
        <f t="shared" si="12"/>
        <v>1204143.3463949852</v>
      </c>
      <c r="AC60" s="749">
        <f t="shared" si="12"/>
        <v>1206102.7536900321</v>
      </c>
      <c r="AD60" s="749">
        <f t="shared" si="12"/>
        <v>1209887.9083706844</v>
      </c>
      <c r="AE60" s="749">
        <f t="shared" si="12"/>
        <v>1214055.7436426738</v>
      </c>
      <c r="AF60" s="749">
        <f t="shared" si="12"/>
        <v>1218727.2018846921</v>
      </c>
      <c r="AG60" s="749">
        <f t="shared" si="12"/>
        <v>1223672.4260614743</v>
      </c>
      <c r="AH60" s="749">
        <f t="shared" si="12"/>
        <v>1229600.861081308</v>
      </c>
      <c r="AI60" s="749">
        <f t="shared" si="12"/>
        <v>1235624.9830214661</v>
      </c>
      <c r="AJ60" s="749">
        <f t="shared" si="12"/>
        <v>1241853.8380036699</v>
      </c>
      <c r="AK60" s="749">
        <f t="shared" si="12"/>
        <v>1247929.9694972639</v>
      </c>
      <c r="AL60" s="749">
        <f t="shared" si="12"/>
        <v>1253490.6404032316</v>
      </c>
      <c r="AM60" s="749">
        <f t="shared" si="12"/>
        <v>1257752.8315645282</v>
      </c>
      <c r="AN60" s="749">
        <f t="shared" si="12"/>
        <v>1262084.6858605582</v>
      </c>
      <c r="AO60" s="749">
        <f t="shared" si="12"/>
        <v>1265995.9130807568</v>
      </c>
      <c r="AP60" s="749">
        <f t="shared" si="12"/>
        <v>1269131.0591981052</v>
      </c>
      <c r="AQ60" s="749">
        <f t="shared" si="12"/>
        <v>1271315.3807031051</v>
      </c>
      <c r="AR60" s="749">
        <f t="shared" si="12"/>
        <v>1273097.1044318033</v>
      </c>
      <c r="AS60" s="749">
        <f t="shared" si="12"/>
        <v>1274181.4696979558</v>
      </c>
      <c r="AT60" s="749">
        <f t="shared" si="12"/>
        <v>1260340.6254158616</v>
      </c>
      <c r="AU60" s="749">
        <f t="shared" si="12"/>
        <v>1287072.0845159744</v>
      </c>
      <c r="AV60" s="749">
        <f t="shared" si="12"/>
        <v>1302323.1921205716</v>
      </c>
      <c r="AW60" s="749">
        <f t="shared" si="12"/>
        <v>1321094.4347551733</v>
      </c>
      <c r="AX60" s="749">
        <f t="shared" si="12"/>
        <v>1337891.7988660354</v>
      </c>
      <c r="AY60" s="749">
        <f t="shared" si="12"/>
        <v>1352158.3565844968</v>
      </c>
      <c r="AZ60" s="749">
        <f t="shared" si="12"/>
        <v>1364151.6927023763</v>
      </c>
      <c r="BA60" s="749">
        <f t="shared" si="12"/>
        <v>1263774.0571923009</v>
      </c>
      <c r="BB60" s="749">
        <f t="shared" si="12"/>
        <v>1158476.4015550937</v>
      </c>
      <c r="BC60" s="749">
        <f t="shared" si="12"/>
        <v>1045250.0647861979</v>
      </c>
      <c r="BD60" s="749">
        <f t="shared" si="12"/>
        <v>919196.4794866005</v>
      </c>
      <c r="BE60" s="749">
        <f t="shared" si="12"/>
        <v>773531.04945963505</v>
      </c>
      <c r="BF60" s="749">
        <f t="shared" si="12"/>
        <v>623417.9741205282</v>
      </c>
      <c r="BG60" s="749">
        <f t="shared" si="12"/>
        <v>468782.10763713752</v>
      </c>
      <c r="BH60" s="749">
        <f t="shared" si="12"/>
        <v>305125.36138507997</v>
      </c>
      <c r="BI60" s="749">
        <f t="shared" si="12"/>
        <v>130709.24622248975</v>
      </c>
      <c r="BJ60" s="749">
        <f t="shared" si="12"/>
        <v>-56035.758161462843</v>
      </c>
      <c r="BK60" s="749">
        <f t="shared" si="12"/>
        <v>-2883.7478702285639</v>
      </c>
      <c r="BL60" s="749">
        <f t="shared" si="12"/>
        <v>-146152.79954538707</v>
      </c>
      <c r="BM60" s="749">
        <f t="shared" si="12"/>
        <v>-128935.6537877169</v>
      </c>
      <c r="BN60" s="749">
        <f t="shared" si="12"/>
        <v>-107292.027116158</v>
      </c>
      <c r="BO60" s="749">
        <f t="shared" si="12"/>
        <v>-80083.883438270801</v>
      </c>
      <c r="BP60" s="749">
        <f t="shared" si="12"/>
        <v>-45880.60070611519</v>
      </c>
      <c r="BQ60" s="749">
        <f t="shared" si="12"/>
        <v>-2.1827872842550278E-11</v>
      </c>
      <c r="BR60" s="205"/>
      <c r="BS60" s="205"/>
      <c r="BT60" s="205"/>
      <c r="BU60" s="205"/>
      <c r="BV60" s="205"/>
      <c r="BW60" s="205"/>
      <c r="BX60" s="205"/>
      <c r="BY60" s="205"/>
      <c r="BZ60" s="205"/>
      <c r="CA60" s="205"/>
      <c r="CB60" s="205"/>
      <c r="CC60" s="54"/>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14" customFormat="1" x14ac:dyDescent="0.2">
      <c r="A61" s="172"/>
      <c r="B61" s="172"/>
      <c r="C61"/>
      <c r="D61"/>
      <c r="E61"/>
      <c r="F61" s="72"/>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s="92"/>
      <c r="BS61" s="92"/>
      <c r="BT61" s="92"/>
      <c r="BU61" s="92"/>
      <c r="BV61" s="92"/>
      <c r="BW61" s="92"/>
      <c r="BX61" s="92"/>
      <c r="BY61" s="92"/>
      <c r="BZ61" s="92"/>
      <c r="CA61" s="92"/>
      <c r="CB61" s="92"/>
      <c r="CC61" s="54"/>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14" customFormat="1" x14ac:dyDescent="0.2">
      <c r="A62" s="172"/>
      <c r="B62" s="172"/>
      <c r="C62"/>
      <c r="D62" s="69" t="s">
        <v>405</v>
      </c>
      <c r="E62"/>
      <c r="F62" s="72"/>
      <c r="G62"/>
      <c r="H62"/>
      <c r="I62"/>
      <c r="J62"/>
      <c r="K62"/>
      <c r="M62" s="746">
        <f ca="1">+Y62</f>
        <v>2000840.4633209761</v>
      </c>
      <c r="N62"/>
      <c r="O62"/>
      <c r="P62"/>
      <c r="Q62"/>
      <c r="R62"/>
      <c r="S62"/>
      <c r="T62"/>
      <c r="U62"/>
      <c r="V62"/>
      <c r="W62"/>
      <c r="X62" s="176"/>
      <c r="Y62" s="747">
        <f ca="1">+Y56-Y60</f>
        <v>2000840.4633209761</v>
      </c>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s="92"/>
      <c r="BS62" s="92"/>
      <c r="BT62" s="92"/>
      <c r="BU62" s="92"/>
      <c r="BV62" s="92"/>
      <c r="BW62" s="92"/>
      <c r="BX62" s="92"/>
      <c r="BY62" s="92"/>
      <c r="BZ62" s="92"/>
      <c r="CA62" s="92"/>
      <c r="CB62" s="92"/>
      <c r="CC62" s="54"/>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14" customFormat="1" x14ac:dyDescent="0.2">
      <c r="A63" s="172"/>
      <c r="B63" s="172"/>
      <c r="C63"/>
      <c r="D63"/>
      <c r="E63"/>
      <c r="F63" s="72"/>
      <c r="G63"/>
      <c r="H63"/>
      <c r="I63"/>
      <c r="J63"/>
      <c r="K63" s="160"/>
      <c r="L63" s="604"/>
      <c r="M63"/>
      <c r="N63"/>
      <c r="O63"/>
      <c r="P63"/>
      <c r="Q63"/>
      <c r="R63"/>
      <c r="S63"/>
      <c r="T63"/>
      <c r="U63"/>
      <c r="V63"/>
      <c r="W63"/>
      <c r="X63"/>
      <c r="Y63" s="105"/>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s="92"/>
      <c r="BS63" s="92"/>
      <c r="BT63" s="92"/>
      <c r="BU63" s="92"/>
      <c r="BV63" s="92"/>
      <c r="BW63" s="92"/>
      <c r="BX63" s="92"/>
      <c r="BY63" s="92"/>
      <c r="BZ63" s="92"/>
      <c r="CA63" s="92"/>
      <c r="CB63" s="92"/>
      <c r="CC63" s="54"/>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14" customFormat="1" x14ac:dyDescent="0.2">
      <c r="A64" s="172"/>
      <c r="B64" s="172"/>
      <c r="C64"/>
      <c r="D64" s="69" t="s">
        <v>406</v>
      </c>
      <c r="E64"/>
      <c r="F64" s="72"/>
      <c r="G64"/>
      <c r="H64"/>
      <c r="I64"/>
      <c r="J64"/>
      <c r="K64" s="160" t="s">
        <v>62</v>
      </c>
      <c r="M64" s="746">
        <f ca="1">+Y64</f>
        <v>1259862.5450711078</v>
      </c>
      <c r="N64"/>
      <c r="O64"/>
      <c r="P64"/>
      <c r="Q64"/>
      <c r="R64"/>
      <c r="S64"/>
      <c r="T64"/>
      <c r="U64"/>
      <c r="V64"/>
      <c r="W64"/>
      <c r="X64" s="176"/>
      <c r="Y64" s="747">
        <f ca="1">+Y62*E74</f>
        <v>1259862.5450711078</v>
      </c>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s="92"/>
      <c r="BS64" s="92"/>
      <c r="BT64" s="92"/>
      <c r="BU64" s="92"/>
      <c r="BV64" s="92"/>
      <c r="BW64" s="92"/>
      <c r="BX64" s="92"/>
      <c r="BY64" s="92"/>
      <c r="BZ64" s="92"/>
      <c r="CA64" s="92"/>
      <c r="CB64" s="92"/>
      <c r="CC64" s="5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14" customFormat="1" x14ac:dyDescent="0.2">
      <c r="A65" s="172"/>
      <c r="B65" s="172"/>
      <c r="C65"/>
      <c r="D65" s="69" t="s">
        <v>406</v>
      </c>
      <c r="E65"/>
      <c r="F65" s="72"/>
      <c r="G65"/>
      <c r="H65"/>
      <c r="I65"/>
      <c r="J65"/>
      <c r="K65" s="160" t="s">
        <v>491</v>
      </c>
      <c r="M65" s="746">
        <f ca="1">+Y65</f>
        <v>1047964.1865505805</v>
      </c>
      <c r="N65"/>
      <c r="O65"/>
      <c r="P65"/>
      <c r="Q65"/>
      <c r="R65"/>
      <c r="S65"/>
      <c r="T65"/>
      <c r="U65"/>
      <c r="V65"/>
      <c r="W65"/>
      <c r="X65" s="176"/>
      <c r="Y65" s="747">
        <f ca="1">+Y64/Inputs!L166</f>
        <v>1047964.1865505805</v>
      </c>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s="92"/>
      <c r="BS65" s="92"/>
      <c r="BT65" s="92"/>
      <c r="BU65" s="92"/>
      <c r="BV65" s="92"/>
      <c r="BW65" s="92"/>
      <c r="BX65" s="92"/>
      <c r="BY65" s="92"/>
      <c r="BZ65" s="92"/>
      <c r="CA65" s="92"/>
      <c r="CB65" s="92"/>
      <c r="CC65" s="54"/>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14" customFormat="1" x14ac:dyDescent="0.2">
      <c r="A66" s="172"/>
      <c r="B66" s="172"/>
      <c r="C66"/>
      <c r="D66"/>
      <c r="E66"/>
      <c r="F66" s="72"/>
      <c r="G66"/>
      <c r="H66"/>
      <c r="I66"/>
      <c r="J66"/>
      <c r="K66" s="160"/>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s="92"/>
      <c r="BS66" s="92"/>
      <c r="BT66" s="92"/>
      <c r="BU66" s="92"/>
      <c r="BV66" s="92"/>
      <c r="BW66" s="92"/>
      <c r="BX66" s="92"/>
      <c r="BY66" s="92"/>
      <c r="BZ66" s="92"/>
      <c r="CA66" s="92"/>
      <c r="CB66" s="92"/>
      <c r="CC66" s="54"/>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s="14" customFormat="1" x14ac:dyDescent="0.2">
      <c r="A67" s="186"/>
      <c r="B67" s="186"/>
      <c r="C67"/>
      <c r="D67"/>
      <c r="E67"/>
      <c r="F67" s="72"/>
      <c r="G67"/>
      <c r="H67"/>
      <c r="I67"/>
      <c r="J67"/>
      <c r="K67" s="160"/>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s="92"/>
      <c r="BS67" s="92"/>
      <c r="BT67" s="92"/>
      <c r="BU67" s="92"/>
      <c r="BV67" s="92"/>
      <c r="BW67" s="92"/>
      <c r="BX67" s="92"/>
      <c r="BY67" s="92"/>
      <c r="BZ67" s="92"/>
      <c r="CA67" s="92"/>
      <c r="CB67" s="92"/>
      <c r="CC67" s="54"/>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s="14" customFormat="1" x14ac:dyDescent="0.2">
      <c r="A68" s="172"/>
      <c r="B68" s="172"/>
      <c r="C68"/>
      <c r="D68" s="69" t="s">
        <v>422</v>
      </c>
      <c r="E68"/>
      <c r="F68"/>
      <c r="G68"/>
      <c r="H68"/>
      <c r="I68"/>
      <c r="J68"/>
      <c r="K68" s="160" t="s">
        <v>20</v>
      </c>
      <c r="M68" s="745">
        <v>9.1472481499709504E-2</v>
      </c>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s="92"/>
      <c r="BS68" s="92"/>
      <c r="BT68" s="92"/>
      <c r="BU68" s="92"/>
      <c r="BV68" s="92"/>
      <c r="BW68" s="92"/>
      <c r="BX68" s="92"/>
      <c r="BY68" s="92"/>
      <c r="BZ68" s="92"/>
      <c r="CA68" s="92"/>
      <c r="CB68" s="92"/>
      <c r="CC68" s="54"/>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s="14" customFormat="1" x14ac:dyDescent="0.2">
      <c r="A69" s="172"/>
      <c r="B69" s="172"/>
      <c r="C69"/>
      <c r="D69"/>
      <c r="E69"/>
      <c r="F69" s="72"/>
      <c r="G69"/>
      <c r="H69"/>
      <c r="I69"/>
      <c r="J69"/>
      <c r="K69" s="160"/>
      <c r="M69" s="744">
        <f ca="1">+NPV(M68,Z73:BQ73)</f>
        <v>2000840.4633210031</v>
      </c>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s="92"/>
      <c r="BS69" s="92"/>
      <c r="BT69" s="92"/>
      <c r="BU69" s="92"/>
      <c r="BV69" s="92"/>
      <c r="BW69" s="92"/>
      <c r="BX69" s="92"/>
      <c r="BY69" s="92"/>
      <c r="BZ69" s="92"/>
      <c r="CA69" s="92"/>
      <c r="CB69" s="92"/>
      <c r="CC69" s="54"/>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s="13" customFormat="1" ht="16.5" x14ac:dyDescent="0.25">
      <c r="A70" s="1"/>
      <c r="B70" s="1"/>
      <c r="C70"/>
      <c r="D70" s="174" t="s">
        <v>409</v>
      </c>
      <c r="E70"/>
      <c r="F70"/>
      <c r="G70"/>
      <c r="H70"/>
      <c r="I70"/>
      <c r="J70"/>
      <c r="K70" s="160"/>
      <c r="L70" s="105"/>
      <c r="M70" s="105"/>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s="92"/>
      <c r="BS70" s="92"/>
      <c r="BT70" s="92"/>
      <c r="BU70" s="92"/>
      <c r="BV70" s="92"/>
      <c r="BW70" s="92"/>
      <c r="BX70" s="92"/>
      <c r="BY70" s="92"/>
      <c r="BZ70" s="92"/>
      <c r="CA70" s="92"/>
      <c r="CB70" s="92"/>
      <c r="CC70" s="54"/>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s="13" customFormat="1" x14ac:dyDescent="0.2">
      <c r="A71" s="1"/>
      <c r="B71" s="1"/>
      <c r="C71"/>
      <c r="D71"/>
      <c r="E71"/>
      <c r="F71"/>
      <c r="G71"/>
      <c r="H71"/>
      <c r="I71"/>
      <c r="J71"/>
      <c r="K71" s="160"/>
      <c r="L71"/>
      <c r="M71"/>
      <c r="N71"/>
      <c r="O71"/>
      <c r="P71"/>
      <c r="Q71" s="84">
        <v>40178</v>
      </c>
      <c r="R71" s="84">
        <v>40543</v>
      </c>
      <c r="S71" s="84">
        <v>40908</v>
      </c>
      <c r="T71" s="84">
        <v>41274</v>
      </c>
      <c r="U71" s="84">
        <v>41639</v>
      </c>
      <c r="V71" s="84">
        <v>42004</v>
      </c>
      <c r="W71" s="84">
        <v>42369</v>
      </c>
      <c r="X71" s="84">
        <v>42735</v>
      </c>
      <c r="Y71" s="84">
        <v>43100</v>
      </c>
      <c r="Z71" s="84">
        <v>43465</v>
      </c>
      <c r="AA71" s="84">
        <v>43830</v>
      </c>
      <c r="AB71" s="84">
        <v>44196</v>
      </c>
      <c r="AC71" s="84">
        <v>44561</v>
      </c>
      <c r="AD71" s="84">
        <v>44926</v>
      </c>
      <c r="AE71" s="84">
        <v>45291</v>
      </c>
      <c r="AF71" s="84">
        <v>45657</v>
      </c>
      <c r="AG71" s="84">
        <v>46022</v>
      </c>
      <c r="AH71" s="84">
        <v>46387</v>
      </c>
      <c r="AI71" s="84">
        <v>46752</v>
      </c>
      <c r="AJ71" s="84">
        <v>47118</v>
      </c>
      <c r="AK71" s="84">
        <v>47483</v>
      </c>
      <c r="AL71" s="84">
        <v>47848</v>
      </c>
      <c r="AM71" s="84">
        <v>48213</v>
      </c>
      <c r="AN71" s="84">
        <v>48579</v>
      </c>
      <c r="AO71" s="84">
        <v>48944</v>
      </c>
      <c r="AP71" s="84">
        <v>49309</v>
      </c>
      <c r="AQ71" s="84">
        <v>49674</v>
      </c>
      <c r="AR71" s="84">
        <v>50040</v>
      </c>
      <c r="AS71" s="84">
        <v>50405</v>
      </c>
      <c r="AT71" s="84">
        <v>50770</v>
      </c>
      <c r="AU71" s="84">
        <v>51135</v>
      </c>
      <c r="AV71" s="84">
        <v>51501</v>
      </c>
      <c r="AW71" s="84">
        <v>51866</v>
      </c>
      <c r="AX71" s="84">
        <v>52231</v>
      </c>
      <c r="AY71" s="84">
        <v>52596</v>
      </c>
      <c r="AZ71" s="84">
        <v>52962</v>
      </c>
      <c r="BA71" s="84">
        <v>53327</v>
      </c>
      <c r="BB71" s="84">
        <v>53692</v>
      </c>
      <c r="BC71" s="84">
        <v>54057</v>
      </c>
      <c r="BD71" s="84">
        <v>54423</v>
      </c>
      <c r="BE71" s="84">
        <v>54788</v>
      </c>
      <c r="BF71" s="84">
        <v>55153</v>
      </c>
      <c r="BG71" s="84">
        <v>55518</v>
      </c>
      <c r="BH71" s="84">
        <v>55884</v>
      </c>
      <c r="BI71" s="84">
        <v>56249</v>
      </c>
      <c r="BJ71" s="84">
        <v>56614</v>
      </c>
      <c r="BK71" s="84">
        <v>56979</v>
      </c>
      <c r="BL71" s="84">
        <v>57345</v>
      </c>
      <c r="BM71" s="84">
        <v>57710</v>
      </c>
      <c r="BN71" s="84">
        <v>58075</v>
      </c>
      <c r="BO71" s="84">
        <v>58440</v>
      </c>
      <c r="BP71" s="84">
        <v>58806</v>
      </c>
      <c r="BQ71" s="84">
        <v>59171</v>
      </c>
      <c r="BR71" s="84"/>
      <c r="BS71" s="84"/>
      <c r="BT71" s="84"/>
      <c r="BU71" s="84"/>
      <c r="BV71" s="84"/>
      <c r="BW71" s="84"/>
      <c r="BX71" s="84"/>
      <c r="BY71" s="84"/>
      <c r="BZ71" s="84"/>
      <c r="CA71" s="84"/>
      <c r="CB71" s="84"/>
      <c r="CC71" s="54"/>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s="13" customFormat="1" x14ac:dyDescent="0.2">
      <c r="A72" s="1"/>
      <c r="B72" s="1"/>
      <c r="C72"/>
      <c r="D72"/>
      <c r="E72"/>
      <c r="F72"/>
      <c r="G72"/>
      <c r="H72"/>
      <c r="I72"/>
      <c r="J72"/>
      <c r="K72" s="160"/>
      <c r="L72"/>
      <c r="M72"/>
      <c r="N72" s="71"/>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s="92"/>
      <c r="BS72" s="92"/>
      <c r="BT72" s="92"/>
      <c r="BU72" s="92"/>
      <c r="BV72" s="92"/>
      <c r="BW72" s="92"/>
      <c r="BX72" s="92"/>
      <c r="BY72" s="92"/>
      <c r="BZ72" s="92"/>
      <c r="CA72" s="92"/>
      <c r="CB72" s="92"/>
      <c r="CC72" s="54"/>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s="13" customFormat="1" x14ac:dyDescent="0.2">
      <c r="A73" s="1"/>
      <c r="B73" s="1"/>
      <c r="C73"/>
      <c r="D73" t="s">
        <v>375</v>
      </c>
      <c r="E73" s="743">
        <f>+Inputs!L169</f>
        <v>0.105</v>
      </c>
      <c r="F73"/>
      <c r="G73"/>
      <c r="H73"/>
      <c r="I73"/>
      <c r="J73"/>
      <c r="K73" s="160"/>
      <c r="L73"/>
      <c r="M73"/>
      <c r="N73"/>
      <c r="O73"/>
      <c r="P73"/>
      <c r="Q73" s="147"/>
      <c r="R73" s="147"/>
      <c r="S73" s="147"/>
      <c r="T73" s="147"/>
      <c r="U73" s="147"/>
      <c r="V73" s="147"/>
      <c r="W73" s="147"/>
      <c r="X73" s="742">
        <f t="shared" ref="X73:BC73" si="13">X25</f>
        <v>-2.0000000000000001E-9</v>
      </c>
      <c r="Y73" s="742">
        <f t="shared" si="13"/>
        <v>0</v>
      </c>
      <c r="Z73" s="742">
        <f t="shared" ca="1" si="13"/>
        <v>0</v>
      </c>
      <c r="AA73" s="742">
        <f ca="1">AA25</f>
        <v>207234.50432853866</v>
      </c>
      <c r="AB73" s="742">
        <f t="shared" ca="1" si="13"/>
        <v>34432.077035664392</v>
      </c>
      <c r="AC73" s="742">
        <f t="shared" ca="1" si="13"/>
        <v>52614.671873702144</v>
      </c>
      <c r="AD73" s="742">
        <f t="shared" ca="1" si="13"/>
        <v>63781.974589541409</v>
      </c>
      <c r="AE73" s="742">
        <f t="shared" ca="1" si="13"/>
        <v>74965.245098337444</v>
      </c>
      <c r="AF73" s="742">
        <f t="shared" ca="1" si="13"/>
        <v>87105.496613845622</v>
      </c>
      <c r="AG73" s="742">
        <f t="shared" ca="1" si="13"/>
        <v>100004.97981240657</v>
      </c>
      <c r="AH73" s="742">
        <f t="shared" ca="1" si="13"/>
        <v>114775.37914311793</v>
      </c>
      <c r="AI73" s="742">
        <f t="shared" ca="1" si="13"/>
        <v>126114.2493536347</v>
      </c>
      <c r="AJ73" s="742">
        <f t="shared" ca="1" si="13"/>
        <v>138250.21870790279</v>
      </c>
      <c r="AK73" s="742">
        <f t="shared" ca="1" si="13"/>
        <v>150367.01823269046</v>
      </c>
      <c r="AL73" s="742">
        <f t="shared" ca="1" si="13"/>
        <v>159968.71175103093</v>
      </c>
      <c r="AM73" s="742">
        <f t="shared" ca="1" si="13"/>
        <v>176831.98569887783</v>
      </c>
      <c r="AN73" s="742">
        <f t="shared" ca="1" si="13"/>
        <v>199119.43695099777</v>
      </c>
      <c r="AO73" s="742">
        <f t="shared" ca="1" si="13"/>
        <v>199603.72941562673</v>
      </c>
      <c r="AP73" s="742">
        <f t="shared" ca="1" si="13"/>
        <v>212588.02297926552</v>
      </c>
      <c r="AQ73" s="742">
        <f t="shared" ca="1" si="13"/>
        <v>238726.63021249662</v>
      </c>
      <c r="AR73" s="742">
        <f t="shared" ca="1" si="13"/>
        <v>267957.40045291052</v>
      </c>
      <c r="AS73" s="742">
        <f t="shared" ca="1" si="13"/>
        <v>300068.36207215773</v>
      </c>
      <c r="AT73" s="742">
        <f t="shared" ca="1" si="13"/>
        <v>320543.23862968886</v>
      </c>
      <c r="AU73" s="742">
        <f t="shared" ca="1" si="13"/>
        <v>399722.91814836615</v>
      </c>
      <c r="AV73" s="742">
        <f t="shared" ca="1" si="13"/>
        <v>432568.84078216914</v>
      </c>
      <c r="AW73" s="742">
        <f t="shared" ca="1" si="13"/>
        <v>463403.20155603904</v>
      </c>
      <c r="AX73" s="742">
        <f t="shared" ca="1" si="13"/>
        <v>492886.79403802543</v>
      </c>
      <c r="AY73" s="742">
        <f t="shared" ca="1" si="13"/>
        <v>523620.91397324181</v>
      </c>
      <c r="AZ73" s="742">
        <f t="shared" ca="1" si="13"/>
        <v>556291.59092486952</v>
      </c>
      <c r="BA73" s="742">
        <f t="shared" ca="1" si="13"/>
        <v>481167.30570299801</v>
      </c>
      <c r="BB73" s="742">
        <f t="shared" ca="1" si="13"/>
        <v>518270.98514702771</v>
      </c>
      <c r="BC73" s="742">
        <f t="shared" ca="1" si="13"/>
        <v>553385.2433610335</v>
      </c>
      <c r="BD73" s="742">
        <f t="shared" ref="BD73:BQ73" ca="1" si="14">BD25</f>
        <v>586155.42941777292</v>
      </c>
      <c r="BE73" s="742">
        <f t="shared" ca="1" si="14"/>
        <v>614345.77033319662</v>
      </c>
      <c r="BF73" s="742">
        <f t="shared" ca="1" si="14"/>
        <v>662153.89342346124</v>
      </c>
      <c r="BG73" s="742">
        <f t="shared" ca="1" si="14"/>
        <v>712066.99314357317</v>
      </c>
      <c r="BH73" s="742">
        <f t="shared" ca="1" si="14"/>
        <v>754358.26137922751</v>
      </c>
      <c r="BI73" s="742">
        <f t="shared" ca="1" si="14"/>
        <v>795386.12770300289</v>
      </c>
      <c r="BJ73" s="742">
        <f t="shared" ca="1" si="14"/>
        <v>818529.00237052829</v>
      </c>
      <c r="BK73" s="742">
        <f t="shared" ca="1" si="14"/>
        <v>1114677.3391099721</v>
      </c>
      <c r="BL73" s="742">
        <f t="shared" ca="1" si="14"/>
        <v>973444.95301749976</v>
      </c>
      <c r="BM73" s="742">
        <f t="shared" ca="1" si="14"/>
        <v>1171968.5234743054</v>
      </c>
      <c r="BN73" s="742">
        <f t="shared" ca="1" si="14"/>
        <v>1215106.0589171378</v>
      </c>
      <c r="BO73" s="742">
        <f t="shared" ca="1" si="14"/>
        <v>1259608.4882131356</v>
      </c>
      <c r="BP73" s="742">
        <f t="shared" ca="1" si="14"/>
        <v>1196438.9719220435</v>
      </c>
      <c r="BQ73" s="742">
        <f t="shared" ca="1" si="14"/>
        <v>255041.65494556914</v>
      </c>
      <c r="BR73" s="206"/>
      <c r="BS73" s="206"/>
      <c r="BT73" s="206"/>
      <c r="BU73" s="206"/>
      <c r="BV73" s="206"/>
      <c r="BW73" s="206"/>
      <c r="BX73" s="206"/>
      <c r="BY73" s="206"/>
      <c r="BZ73" s="206"/>
      <c r="CA73" s="206"/>
      <c r="CB73" s="206"/>
      <c r="CC73" s="54"/>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13" customFormat="1" x14ac:dyDescent="0.2">
      <c r="A74" s="1"/>
      <c r="B74" s="1"/>
      <c r="C74"/>
      <c r="D74" t="s">
        <v>376</v>
      </c>
      <c r="E74" s="743">
        <f>+Inputs!L160</f>
        <v>0.6296666666666666</v>
      </c>
      <c r="F74"/>
      <c r="G74"/>
      <c r="H74"/>
      <c r="I74"/>
      <c r="J74"/>
      <c r="K74" s="160"/>
      <c r="L74"/>
      <c r="M74"/>
      <c r="N74"/>
      <c r="O74"/>
      <c r="P74"/>
      <c r="Q74"/>
      <c r="R74"/>
      <c r="S74"/>
      <c r="T74"/>
      <c r="U74"/>
      <c r="V74"/>
      <c r="W74"/>
      <c r="X74" s="158"/>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159"/>
      <c r="BO74" s="159"/>
      <c r="BP74" s="159"/>
      <c r="BQ74" s="159"/>
      <c r="BR74" s="92"/>
      <c r="BS74" s="92"/>
      <c r="BT74" s="92"/>
      <c r="BU74" s="92"/>
      <c r="BV74" s="92"/>
      <c r="BW74" s="92"/>
      <c r="BX74" s="92"/>
      <c r="BY74" s="92"/>
      <c r="BZ74" s="92"/>
      <c r="CA74" s="92"/>
      <c r="CB74" s="92"/>
      <c r="CC74" s="5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13" customFormat="1" x14ac:dyDescent="0.2">
      <c r="A75" s="1"/>
      <c r="B75" s="1"/>
      <c r="C75"/>
      <c r="D75"/>
      <c r="E75"/>
      <c r="F75"/>
      <c r="G75"/>
      <c r="H75"/>
      <c r="I75"/>
      <c r="J75"/>
      <c r="K75" s="160"/>
      <c r="L75" s="161"/>
      <c r="M75"/>
      <c r="N75"/>
      <c r="O75"/>
      <c r="P75"/>
      <c r="Q75"/>
      <c r="R75"/>
      <c r="S75"/>
      <c r="T75"/>
      <c r="U75"/>
      <c r="V75"/>
      <c r="W75"/>
      <c r="X75"/>
      <c r="Y75"/>
      <c r="Z75"/>
      <c r="AA75"/>
      <c r="AB75"/>
      <c r="AC75"/>
      <c r="AD75" s="159"/>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s="92"/>
      <c r="BS75" s="92"/>
      <c r="BT75" s="92"/>
      <c r="BU75" s="92"/>
      <c r="BV75" s="92"/>
      <c r="BW75" s="92"/>
      <c r="BX75" s="92"/>
      <c r="BY75" s="92"/>
      <c r="BZ75" s="92"/>
      <c r="CA75" s="92"/>
      <c r="CB75" s="92"/>
      <c r="CC75" s="54"/>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s="13" customFormat="1" x14ac:dyDescent="0.2">
      <c r="A76" s="1"/>
      <c r="B76" s="1"/>
      <c r="C76"/>
      <c r="D76"/>
      <c r="E76"/>
      <c r="F76"/>
      <c r="G76"/>
      <c r="H76"/>
      <c r="I76"/>
      <c r="J76"/>
      <c r="K76" s="160"/>
      <c r="L76"/>
      <c r="M76"/>
      <c r="N76"/>
      <c r="O76"/>
      <c r="P76"/>
      <c r="Q76"/>
      <c r="R76"/>
      <c r="S76"/>
      <c r="T76"/>
      <c r="U76"/>
      <c r="V76"/>
      <c r="W76"/>
      <c r="X76"/>
      <c r="Y76"/>
      <c r="Z76"/>
      <c r="AA76" s="114"/>
      <c r="AB76"/>
      <c r="AC76"/>
      <c r="AD76" s="209"/>
      <c r="AE76"/>
      <c r="AF76"/>
      <c r="AG76"/>
      <c r="AH76" s="209"/>
      <c r="AI76" s="161"/>
      <c r="AJ76"/>
      <c r="AK76"/>
      <c r="AL76"/>
      <c r="AM76"/>
      <c r="AN76"/>
      <c r="AO76"/>
      <c r="AP76"/>
      <c r="AQ76"/>
      <c r="AR76" s="209"/>
      <c r="AS76"/>
      <c r="AT76"/>
      <c r="AU76"/>
      <c r="AV76"/>
      <c r="AW76"/>
      <c r="AX76"/>
      <c r="AY76"/>
      <c r="AZ76"/>
      <c r="BA76"/>
      <c r="BB76"/>
      <c r="BC76"/>
      <c r="BD76"/>
      <c r="BE76"/>
      <c r="BF76"/>
      <c r="BG76"/>
      <c r="BH76"/>
      <c r="BI76"/>
      <c r="BJ76"/>
      <c r="BK76"/>
      <c r="BL76"/>
      <c r="BM76"/>
      <c r="BN76"/>
      <c r="BO76"/>
      <c r="BP76"/>
      <c r="BQ76"/>
      <c r="BR76" s="92"/>
      <c r="BS76" s="92"/>
      <c r="BT76" s="92"/>
      <c r="BU76" s="92"/>
      <c r="BV76" s="92"/>
      <c r="BW76" s="92"/>
      <c r="BX76" s="92"/>
      <c r="BY76" s="92"/>
      <c r="BZ76" s="92"/>
      <c r="CA76" s="92"/>
      <c r="CB76" s="92"/>
      <c r="CC76" s="54"/>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s="13" customFormat="1" x14ac:dyDescent="0.2">
      <c r="A77" s="1"/>
      <c r="B77" s="1"/>
      <c r="C77"/>
      <c r="D77" s="69" t="s">
        <v>405</v>
      </c>
      <c r="E77" s="148"/>
      <c r="H77"/>
      <c r="I77"/>
      <c r="J77"/>
      <c r="K77" s="160" t="s">
        <v>62</v>
      </c>
      <c r="M77" s="741">
        <f ca="1">+NPV($E$73,Z73:BQ73)</f>
        <v>1578127.9330445917</v>
      </c>
      <c r="N77" s="159"/>
      <c r="O77"/>
      <c r="P77"/>
      <c r="Q77"/>
      <c r="R77"/>
      <c r="S77"/>
      <c r="T77"/>
      <c r="U77"/>
      <c r="V77"/>
      <c r="W77"/>
      <c r="X77"/>
      <c r="Y77"/>
      <c r="Z77"/>
      <c r="AA77" s="159"/>
      <c r="AB77"/>
      <c r="AC77" s="161"/>
      <c r="AD77" s="159"/>
      <c r="AE77"/>
      <c r="AF77"/>
      <c r="AG77"/>
      <c r="AH77" s="161"/>
      <c r="AI77" s="161"/>
      <c r="AJ77"/>
      <c r="AK77"/>
      <c r="AL77"/>
      <c r="AM77"/>
      <c r="AN77"/>
      <c r="AO77"/>
      <c r="AP77"/>
      <c r="AQ77"/>
      <c r="AR77" s="161"/>
      <c r="AS77"/>
      <c r="AT77"/>
      <c r="AU77"/>
      <c r="AV77"/>
      <c r="AW77"/>
      <c r="AX77"/>
      <c r="AY77"/>
      <c r="AZ77"/>
      <c r="BA77"/>
      <c r="BB77"/>
      <c r="BC77"/>
      <c r="BD77"/>
      <c r="BE77"/>
      <c r="BF77"/>
      <c r="BG77"/>
      <c r="BH77"/>
      <c r="BI77"/>
      <c r="BJ77"/>
      <c r="BK77"/>
      <c r="BL77"/>
      <c r="BM77"/>
      <c r="BN77"/>
      <c r="BO77"/>
      <c r="BP77"/>
      <c r="BQ77"/>
      <c r="BR77" s="92"/>
      <c r="BS77" s="92"/>
      <c r="BT77" s="92"/>
      <c r="BU77" s="92"/>
      <c r="BV77" s="92"/>
      <c r="BW77" s="92"/>
      <c r="BX77" s="92"/>
      <c r="BY77" s="92"/>
      <c r="BZ77" s="92"/>
      <c r="CA77" s="92"/>
      <c r="CB77" s="92"/>
      <c r="CC77" s="54"/>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s="13" customFormat="1" x14ac:dyDescent="0.2">
      <c r="A78" s="1"/>
      <c r="B78" s="1"/>
      <c r="C78"/>
      <c r="D78" s="69"/>
      <c r="E78"/>
      <c r="H78"/>
      <c r="I78"/>
      <c r="J78"/>
      <c r="K78" s="160"/>
      <c r="M78" s="184"/>
      <c r="N78" s="159"/>
      <c r="O78"/>
      <c r="P78"/>
      <c r="Q78"/>
      <c r="R78"/>
      <c r="S78"/>
      <c r="T78"/>
      <c r="U78"/>
      <c r="V78"/>
      <c r="W78"/>
      <c r="X78"/>
      <c r="Y78"/>
      <c r="Z78"/>
      <c r="AA78"/>
      <c r="AB78"/>
      <c r="AC78" s="159"/>
      <c r="AD78" s="71"/>
      <c r="AE78"/>
      <c r="AF78"/>
      <c r="AG78"/>
      <c r="AH78" s="71"/>
      <c r="AI78" s="71"/>
      <c r="AJ78"/>
      <c r="AK78"/>
      <c r="AL78"/>
      <c r="AM78"/>
      <c r="AN78"/>
      <c r="AO78"/>
      <c r="AP78"/>
      <c r="AQ78"/>
      <c r="AR78" s="71"/>
      <c r="AS78"/>
      <c r="AT78"/>
      <c r="AU78"/>
      <c r="AV78"/>
      <c r="AW78"/>
      <c r="AX78"/>
      <c r="AY78"/>
      <c r="AZ78"/>
      <c r="BA78"/>
      <c r="BB78"/>
      <c r="BC78"/>
      <c r="BD78"/>
      <c r="BE78"/>
      <c r="BF78"/>
      <c r="BG78"/>
      <c r="BH78"/>
      <c r="BI78"/>
      <c r="BJ78"/>
      <c r="BK78"/>
      <c r="BL78"/>
      <c r="BM78"/>
      <c r="BN78"/>
      <c r="BO78"/>
      <c r="BP78"/>
      <c r="BQ78"/>
      <c r="BR78" s="92"/>
      <c r="BS78" s="92"/>
      <c r="BT78" s="92"/>
      <c r="BU78" s="92"/>
      <c r="BV78" s="92"/>
      <c r="BW78" s="92"/>
      <c r="BX78" s="92"/>
      <c r="BY78" s="92"/>
      <c r="BZ78" s="92"/>
      <c r="CA78" s="92"/>
      <c r="CB78" s="92"/>
      <c r="CC78" s="54"/>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s="13" customFormat="1" x14ac:dyDescent="0.2">
      <c r="A79" s="1"/>
      <c r="B79" s="1"/>
      <c r="C79"/>
      <c r="D79" s="69" t="s">
        <v>406</v>
      </c>
      <c r="E79"/>
      <c r="H79"/>
      <c r="I79"/>
      <c r="J79"/>
      <c r="K79" s="160" t="s">
        <v>62</v>
      </c>
      <c r="M79" s="741">
        <f ca="1">+M77*E74</f>
        <v>993694.55517374445</v>
      </c>
      <c r="N79" s="159"/>
      <c r="O79"/>
      <c r="P79"/>
      <c r="Q79"/>
      <c r="R79"/>
      <c r="S79"/>
      <c r="T79"/>
      <c r="U79"/>
      <c r="V79"/>
      <c r="W79"/>
      <c r="X79" s="159"/>
      <c r="Y79" s="159"/>
      <c r="Z79" s="159"/>
      <c r="AA79" s="159"/>
      <c r="AB79" s="159"/>
      <c r="AC79" s="159"/>
      <c r="AD79" s="159"/>
      <c r="AE79" s="159"/>
      <c r="AF79" s="159"/>
      <c r="AG79" s="159"/>
      <c r="AH79" s="192"/>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205"/>
      <c r="BS79" s="205"/>
      <c r="BT79" s="205"/>
      <c r="BU79" s="205"/>
      <c r="BV79" s="205"/>
      <c r="BW79" s="205"/>
      <c r="BX79" s="205"/>
      <c r="BY79" s="205"/>
      <c r="BZ79" s="205"/>
      <c r="CA79" s="205"/>
      <c r="CB79" s="205"/>
      <c r="CC79" s="54"/>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s="13" customFormat="1" x14ac:dyDescent="0.2">
      <c r="A80" s="1"/>
      <c r="B80" s="1"/>
      <c r="C80"/>
      <c r="D80" s="69" t="s">
        <v>406</v>
      </c>
      <c r="E80"/>
      <c r="H80"/>
      <c r="I80"/>
      <c r="J80"/>
      <c r="K80" s="160" t="s">
        <v>491</v>
      </c>
      <c r="M80" s="741">
        <f ca="1">+M79/Inputs!L166</f>
        <v>826563.42969035474</v>
      </c>
      <c r="N80" s="781"/>
      <c r="O80"/>
      <c r="P80"/>
      <c r="Q80"/>
      <c r="R80"/>
      <c r="S80"/>
      <c r="T80"/>
      <c r="U80"/>
      <c r="V80"/>
      <c r="W80"/>
      <c r="X80"/>
      <c r="Y80"/>
      <c r="Z80"/>
      <c r="AA80"/>
      <c r="AB80"/>
      <c r="AC80" s="71"/>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s="92"/>
      <c r="BS80" s="92"/>
      <c r="BT80" s="92"/>
      <c r="BU80" s="92"/>
      <c r="BV80" s="92"/>
      <c r="BW80" s="92"/>
      <c r="BX80" s="92"/>
      <c r="BY80" s="92"/>
      <c r="BZ80" s="92"/>
      <c r="CA80" s="92"/>
      <c r="CB80" s="92"/>
      <c r="CC80" s="54"/>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s="13" customFormat="1" x14ac:dyDescent="0.2">
      <c r="A81" s="1"/>
      <c r="B81" s="1"/>
      <c r="C81"/>
      <c r="D81"/>
      <c r="E81"/>
      <c r="F81"/>
      <c r="G81"/>
      <c r="H81"/>
      <c r="I81"/>
      <c r="J81"/>
      <c r="K81" s="160"/>
      <c r="L81"/>
      <c r="M81" s="105"/>
      <c r="N81" s="71"/>
      <c r="O81"/>
      <c r="P81"/>
      <c r="Q81"/>
      <c r="R81"/>
      <c r="S81"/>
      <c r="T81"/>
      <c r="U81"/>
      <c r="V81"/>
      <c r="W81"/>
      <c r="X81"/>
      <c r="Y81"/>
      <c r="Z81"/>
      <c r="AA81" s="159"/>
      <c r="AB81"/>
      <c r="AC81"/>
      <c r="AD81"/>
      <c r="AE81"/>
      <c r="AF81"/>
      <c r="AG81"/>
      <c r="AH81"/>
      <c r="AI81"/>
      <c r="AJ81"/>
      <c r="AK81"/>
      <c r="AL81"/>
      <c r="AM81"/>
      <c r="AN81"/>
      <c r="AO81"/>
      <c r="AP81"/>
      <c r="AQ81"/>
      <c r="AR81" s="195"/>
      <c r="AS81"/>
      <c r="AT81"/>
      <c r="AU81"/>
      <c r="AV81"/>
      <c r="AW81"/>
      <c r="AX81"/>
      <c r="AY81"/>
      <c r="AZ81"/>
      <c r="BA81"/>
      <c r="BB81"/>
      <c r="BC81"/>
      <c r="BD81"/>
      <c r="BE81"/>
      <c r="BF81"/>
      <c r="BG81"/>
      <c r="BH81"/>
      <c r="BI81"/>
      <c r="BJ81"/>
      <c r="BK81"/>
      <c r="BL81"/>
      <c r="BM81"/>
      <c r="BN81"/>
      <c r="BO81"/>
      <c r="BP81"/>
      <c r="BQ81"/>
      <c r="BR81" s="92"/>
      <c r="BS81" s="92"/>
      <c r="BT81" s="92"/>
      <c r="BU81" s="92"/>
      <c r="BV81" s="92"/>
      <c r="BW81" s="92"/>
      <c r="BX81" s="92"/>
      <c r="BY81" s="92"/>
      <c r="BZ81" s="92"/>
      <c r="CA81" s="92"/>
      <c r="CB81" s="92"/>
      <c r="CC81" s="54"/>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x14ac:dyDescent="0.2"/>
    <row r="83" spans="1:256" x14ac:dyDescent="0.2"/>
    <row r="84" spans="1:256" x14ac:dyDescent="0.2"/>
    <row r="85" spans="1:256" x14ac:dyDescent="0.2"/>
    <row r="86" spans="1:256" x14ac:dyDescent="0.2"/>
    <row r="87" spans="1:256" x14ac:dyDescent="0.2"/>
    <row r="88" spans="1:256" x14ac:dyDescent="0.2"/>
    <row r="89" spans="1:256" x14ac:dyDescent="0.2"/>
    <row r="90" spans="1:256" x14ac:dyDescent="0.2"/>
    <row r="91" spans="1:256" x14ac:dyDescent="0.2"/>
    <row r="92" spans="1:256" x14ac:dyDescent="0.2"/>
    <row r="93" spans="1:256" x14ac:dyDescent="0.2"/>
    <row r="94" spans="1:256" x14ac:dyDescent="0.2"/>
    <row r="95" spans="1:256" x14ac:dyDescent="0.2"/>
    <row r="96" spans="1:25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row r="65537" x14ac:dyDescent="0.2"/>
    <row r="65538" x14ac:dyDescent="0.2"/>
    <row r="65539" x14ac:dyDescent="0.2"/>
    <row r="65540" x14ac:dyDescent="0.2"/>
    <row r="65541" x14ac:dyDescent="0.2"/>
    <row r="65542" x14ac:dyDescent="0.2"/>
    <row r="65543" x14ac:dyDescent="0.2"/>
    <row r="65544" x14ac:dyDescent="0.2"/>
    <row r="65545" x14ac:dyDescent="0.2"/>
    <row r="65546" x14ac:dyDescent="0.2"/>
    <row r="65547" x14ac:dyDescent="0.2"/>
    <row r="65548" x14ac:dyDescent="0.2"/>
    <row r="65549" x14ac:dyDescent="0.2"/>
    <row r="65550" x14ac:dyDescent="0.2"/>
    <row r="65551" x14ac:dyDescent="0.2"/>
    <row r="65552" x14ac:dyDescent="0.2"/>
    <row r="65553" x14ac:dyDescent="0.2"/>
    <row r="65554" x14ac:dyDescent="0.2"/>
    <row r="65555" x14ac:dyDescent="0.2"/>
    <row r="65556" x14ac:dyDescent="0.2"/>
    <row r="65557" x14ac:dyDescent="0.2"/>
    <row r="65558" x14ac:dyDescent="0.2"/>
    <row r="65559" x14ac:dyDescent="0.2"/>
    <row r="65560" x14ac:dyDescent="0.2"/>
    <row r="65561" x14ac:dyDescent="0.2"/>
    <row r="65562" x14ac:dyDescent="0.2"/>
    <row r="65563" x14ac:dyDescent="0.2"/>
    <row r="65564" x14ac:dyDescent="0.2"/>
    <row r="65565" x14ac:dyDescent="0.2"/>
    <row r="65566" x14ac:dyDescent="0.2"/>
    <row r="65567" x14ac:dyDescent="0.2"/>
    <row r="65568" x14ac:dyDescent="0.2"/>
    <row r="65569" x14ac:dyDescent="0.2"/>
    <row r="65570" x14ac:dyDescent="0.2"/>
    <row r="65571" x14ac:dyDescent="0.2"/>
    <row r="65572" x14ac:dyDescent="0.2"/>
    <row r="65573" x14ac:dyDescent="0.2"/>
    <row r="65574" x14ac:dyDescent="0.2"/>
    <row r="65575" x14ac:dyDescent="0.2"/>
    <row r="65576" x14ac:dyDescent="0.2"/>
    <row r="65577" x14ac:dyDescent="0.2"/>
    <row r="65578" x14ac:dyDescent="0.2"/>
    <row r="65579" x14ac:dyDescent="0.2"/>
    <row r="65580" x14ac:dyDescent="0.2"/>
    <row r="65581" x14ac:dyDescent="0.2"/>
    <row r="65582" x14ac:dyDescent="0.2"/>
    <row r="65583" x14ac:dyDescent="0.2"/>
    <row r="65584" x14ac:dyDescent="0.2"/>
    <row r="65585" x14ac:dyDescent="0.2"/>
    <row r="65586" x14ac:dyDescent="0.2"/>
    <row r="65587" x14ac:dyDescent="0.2"/>
    <row r="65588" x14ac:dyDescent="0.2"/>
    <row r="65589" x14ac:dyDescent="0.2"/>
    <row r="65590" x14ac:dyDescent="0.2"/>
    <row r="65591" x14ac:dyDescent="0.2"/>
    <row r="65592" x14ac:dyDescent="0.2"/>
    <row r="65593" x14ac:dyDescent="0.2"/>
    <row r="65594" x14ac:dyDescent="0.2"/>
    <row r="65595" x14ac:dyDescent="0.2"/>
    <row r="65596" x14ac:dyDescent="0.2"/>
    <row r="65597" x14ac:dyDescent="0.2"/>
    <row r="65598" x14ac:dyDescent="0.2"/>
    <row r="65599" x14ac:dyDescent="0.2"/>
    <row r="65600" x14ac:dyDescent="0.2"/>
    <row r="65601" x14ac:dyDescent="0.2"/>
    <row r="65602" x14ac:dyDescent="0.2"/>
    <row r="65603" x14ac:dyDescent="0.2"/>
    <row r="65604" x14ac:dyDescent="0.2"/>
    <row r="65605" x14ac:dyDescent="0.2"/>
    <row r="65606" x14ac:dyDescent="0.2"/>
    <row r="65607" x14ac:dyDescent="0.2"/>
    <row r="65608" x14ac:dyDescent="0.2"/>
    <row r="65609" x14ac:dyDescent="0.2"/>
    <row r="65610" x14ac:dyDescent="0.2"/>
    <row r="65611" x14ac:dyDescent="0.2"/>
    <row r="65612" x14ac:dyDescent="0.2"/>
    <row r="65613" x14ac:dyDescent="0.2"/>
    <row r="65614" x14ac:dyDescent="0.2"/>
    <row r="65615" x14ac:dyDescent="0.2"/>
    <row r="65616" x14ac:dyDescent="0.2"/>
    <row r="65617" x14ac:dyDescent="0.2"/>
    <row r="65618" x14ac:dyDescent="0.2"/>
    <row r="65619" x14ac:dyDescent="0.2"/>
    <row r="65620" x14ac:dyDescent="0.2"/>
    <row r="65621" x14ac:dyDescent="0.2"/>
    <row r="65622" x14ac:dyDescent="0.2"/>
    <row r="65623" x14ac:dyDescent="0.2"/>
    <row r="65624" x14ac:dyDescent="0.2"/>
    <row r="65625" x14ac:dyDescent="0.2"/>
    <row r="65626" x14ac:dyDescent="0.2"/>
    <row r="65627" x14ac:dyDescent="0.2"/>
    <row r="65628" x14ac:dyDescent="0.2"/>
    <row r="65629" x14ac:dyDescent="0.2"/>
    <row r="65630" x14ac:dyDescent="0.2"/>
    <row r="65631" x14ac:dyDescent="0.2"/>
    <row r="65632" x14ac:dyDescent="0.2"/>
    <row r="65633" x14ac:dyDescent="0.2"/>
    <row r="65634" x14ac:dyDescent="0.2"/>
    <row r="65635" x14ac:dyDescent="0.2"/>
    <row r="65636" x14ac:dyDescent="0.2"/>
    <row r="65637" x14ac:dyDescent="0.2"/>
    <row r="65638" x14ac:dyDescent="0.2"/>
    <row r="65639" x14ac:dyDescent="0.2"/>
    <row r="65640" x14ac:dyDescent="0.2"/>
    <row r="65641" x14ac:dyDescent="0.2"/>
    <row r="65642" x14ac:dyDescent="0.2"/>
    <row r="65643" x14ac:dyDescent="0.2"/>
    <row r="65644" x14ac:dyDescent="0.2"/>
    <row r="65645" x14ac:dyDescent="0.2"/>
    <row r="65646" x14ac:dyDescent="0.2"/>
    <row r="65647" x14ac:dyDescent="0.2"/>
    <row r="65648" x14ac:dyDescent="0.2"/>
    <row r="65649" x14ac:dyDescent="0.2"/>
    <row r="65650" x14ac:dyDescent="0.2"/>
    <row r="65651" x14ac:dyDescent="0.2"/>
    <row r="65652" x14ac:dyDescent="0.2"/>
    <row r="65653" x14ac:dyDescent="0.2"/>
    <row r="65654" x14ac:dyDescent="0.2"/>
    <row r="65655" x14ac:dyDescent="0.2"/>
    <row r="65656" x14ac:dyDescent="0.2"/>
    <row r="65657" x14ac:dyDescent="0.2"/>
    <row r="65658" x14ac:dyDescent="0.2"/>
    <row r="65659" x14ac:dyDescent="0.2"/>
    <row r="65660" x14ac:dyDescent="0.2"/>
    <row r="65661" x14ac:dyDescent="0.2"/>
    <row r="65662" x14ac:dyDescent="0.2"/>
    <row r="65663" x14ac:dyDescent="0.2"/>
    <row r="65664" x14ac:dyDescent="0.2"/>
    <row r="65665" x14ac:dyDescent="0.2"/>
    <row r="65666" x14ac:dyDescent="0.2"/>
    <row r="65667" x14ac:dyDescent="0.2"/>
    <row r="65668" x14ac:dyDescent="0.2"/>
    <row r="65669" x14ac:dyDescent="0.2"/>
    <row r="65670" x14ac:dyDescent="0.2"/>
    <row r="65671" x14ac:dyDescent="0.2"/>
    <row r="65672" x14ac:dyDescent="0.2"/>
    <row r="65673" x14ac:dyDescent="0.2"/>
    <row r="65674" x14ac:dyDescent="0.2"/>
    <row r="65675" x14ac:dyDescent="0.2"/>
    <row r="65676" x14ac:dyDescent="0.2"/>
    <row r="65677" x14ac:dyDescent="0.2"/>
    <row r="65678" x14ac:dyDescent="0.2"/>
    <row r="65679" x14ac:dyDescent="0.2"/>
    <row r="65680" x14ac:dyDescent="0.2"/>
    <row r="65681" x14ac:dyDescent="0.2"/>
    <row r="65682" x14ac:dyDescent="0.2"/>
    <row r="65683" x14ac:dyDescent="0.2"/>
    <row r="65684" x14ac:dyDescent="0.2"/>
    <row r="65685" x14ac:dyDescent="0.2"/>
    <row r="65686" x14ac:dyDescent="0.2"/>
    <row r="65687" x14ac:dyDescent="0.2"/>
    <row r="65688" x14ac:dyDescent="0.2"/>
    <row r="65689" x14ac:dyDescent="0.2"/>
    <row r="65690" x14ac:dyDescent="0.2"/>
    <row r="65691" x14ac:dyDescent="0.2"/>
    <row r="65692" x14ac:dyDescent="0.2"/>
    <row r="65693" x14ac:dyDescent="0.2"/>
    <row r="65694" x14ac:dyDescent="0.2"/>
    <row r="65695" x14ac:dyDescent="0.2"/>
    <row r="65696" x14ac:dyDescent="0.2"/>
    <row r="65697" x14ac:dyDescent="0.2"/>
    <row r="65698" x14ac:dyDescent="0.2"/>
    <row r="65699" x14ac:dyDescent="0.2"/>
    <row r="65700" x14ac:dyDescent="0.2"/>
    <row r="65701" x14ac:dyDescent="0.2"/>
    <row r="65702" x14ac:dyDescent="0.2"/>
    <row r="65703" x14ac:dyDescent="0.2"/>
    <row r="65704" x14ac:dyDescent="0.2"/>
  </sheetData>
  <sheetProtection algorithmName="SHA-512" hashValue="4IPajCI8pvJA7mRZfqL799DjsaxG6U4hzaR3zFZfvTox8jsk/TfpmKbe+togydj3YRGfLxEwXEXeIbnj+d9Ogw==" saltValue="X4oetEAna7I5IQslsAYFKQ==" spinCount="100000" sheet="1" objects="1" scenarios="1"/>
  <customSheetViews>
    <customSheetView guid="{A171ABFC-BD20-4BE9-8F97-F532286F0C2D}" scale="70" showGridLines="0" hiddenRows="1" hiddenColumns="1">
      <pane xSplit="15" ySplit="10" topLeftCell="P11" activePane="bottomRight" state="frozen"/>
      <selection pane="bottomRight" activeCell="X42" sqref="X42"/>
      <pageMargins left="0.75" right="0.75" top="1" bottom="1" header="0.5" footer="0.5"/>
      <pageSetup paperSize="9" orientation="portrait" r:id="rId1"/>
      <headerFooter alignWithMargins="0"/>
    </customSheetView>
    <customSheetView guid="{5F88CBE0-3291-4A41-996B-A8A1DC273A84}" scale="70" showGridLines="0" hiddenRows="1" hiddenColumns="1">
      <pane xSplit="15" ySplit="10" topLeftCell="P29" activePane="bottomRight" state="frozen"/>
      <selection pane="bottomRight" activeCell="M61" sqref="M61"/>
      <pageMargins left="0.75" right="0.75" top="1" bottom="1" header="0.5" footer="0.5"/>
      <pageSetup paperSize="9" orientation="portrait" r:id="rId2"/>
      <headerFooter alignWithMargins="0"/>
    </customSheetView>
  </customSheetViews>
  <phoneticPr fontId="4" type="noConversion"/>
  <conditionalFormatting sqref="F4">
    <cfRule type="cellIs" dxfId="3" priority="7" stopIfTrue="1" operator="equal">
      <formula>0</formula>
    </cfRule>
    <cfRule type="cellIs" dxfId="2" priority="8" stopIfTrue="1" operator="equal">
      <formula>1</formula>
    </cfRule>
  </conditionalFormatting>
  <pageMargins left="0.35433070866141736" right="0.35433070866141736" top="0.19685039370078741" bottom="0.19685039370078741" header="0.51181102362204722" footer="0.51181102362204722"/>
  <pageSetup paperSize="9" scale="36" orientation="landscape" r:id="rId3"/>
  <headerFooter alignWithMargins="0"/>
  <colBreaks count="2" manualBreakCount="2">
    <brk id="33" max="101" man="1"/>
    <brk id="54" max="101" man="1"/>
  </colBreaks>
  <ignoredErrors>
    <ignoredError sqref="Y22:BQ22" 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22</vt:i4>
      </vt:variant>
    </vt:vector>
  </HeadingPairs>
  <TitlesOfParts>
    <vt:vector size="32" baseType="lpstr">
      <vt:lpstr>Dis</vt:lpstr>
      <vt:lpstr>Summary</vt:lpstr>
      <vt:lpstr>Inputs</vt:lpstr>
      <vt:lpstr>Oper</vt:lpstr>
      <vt:lpstr>Fin</vt:lpstr>
      <vt:lpstr>CF</vt:lpstr>
      <vt:lpstr>Tax</vt:lpstr>
      <vt:lpstr>Acc</vt:lpstr>
      <vt:lpstr>Valuation &amp; IRR</vt:lpstr>
      <vt:lpstr>Mac</vt:lpstr>
      <vt:lpstr>Acc!Área_de_impresión</vt:lpstr>
      <vt:lpstr>CF!Área_de_impresión</vt:lpstr>
      <vt:lpstr>Dis!Área_de_impresión</vt:lpstr>
      <vt:lpstr>Fin!Área_de_impresión</vt:lpstr>
      <vt:lpstr>Inputs!Área_de_impresión</vt:lpstr>
      <vt:lpstr>Mac!Área_de_impresión</vt:lpstr>
      <vt:lpstr>Oper!Área_de_impresión</vt:lpstr>
      <vt:lpstr>Summary!Área_de_impresión</vt:lpstr>
      <vt:lpstr>Tax!Área_de_impresión</vt:lpstr>
      <vt:lpstr>'Valuation &amp; IRR'!Área_de_impresión</vt:lpstr>
      <vt:lpstr>Macro_CHECK</vt:lpstr>
      <vt:lpstr>MACRO_COPY</vt:lpstr>
      <vt:lpstr>MACRO_PASTE</vt:lpstr>
      <vt:lpstr>Scenario</vt:lpstr>
      <vt:lpstr>Acc!Títulos_a_imprimir</vt:lpstr>
      <vt:lpstr>CF!Títulos_a_imprimir</vt:lpstr>
      <vt:lpstr>Fin!Títulos_a_imprimir</vt:lpstr>
      <vt:lpstr>Inputs!Títulos_a_imprimir</vt:lpstr>
      <vt:lpstr>Mac!Títulos_a_imprimir</vt:lpstr>
      <vt:lpstr>Oper!Títulos_a_imprimir</vt:lpstr>
      <vt:lpstr>Tax!Títulos_a_imprimir</vt:lpstr>
      <vt:lpstr>'Valuation &amp; IRR'!Títulos_a_imprimir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González Gallastegui;ryan.wilkinson@cintra.us</dc:creator>
  <cp:lastModifiedBy>Natalia del Olmo Escobar</cp:lastModifiedBy>
  <cp:lastPrinted>2017-06-01T12:20:31Z</cp:lastPrinted>
  <dcterms:created xsi:type="dcterms:W3CDTF">2011-07-26T20:55:39Z</dcterms:created>
  <dcterms:modified xsi:type="dcterms:W3CDTF">2018-05-31T17:41:33Z</dcterms:modified>
</cp:coreProperties>
</file>