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codeName="{3D1A710C-6663-3D7B-7F91-EC182F24A4BC}"/>
  <workbookPr saveExternalLinkValues="0" codeName="ThisWorkbook" defaultThemeVersion="124226"/>
  <mc:AlternateContent xmlns:mc="http://schemas.openxmlformats.org/markup-compatibility/2006">
    <mc:Choice Requires="x15">
      <x15ac:absPath xmlns:x15ac="http://schemas.microsoft.com/office/spreadsheetml/2010/11/ac" url="T:\1 CINTRA\1 - VALORACIONES CINTRA\1 - MODELOS DE VALORACIÓN\2018\MODELOS WEB &amp; SUMMARIES\MODELOS DE LA WEB\"/>
    </mc:Choice>
  </mc:AlternateContent>
  <xr:revisionPtr revIDLastSave="0" documentId="13_ncr:1_{0C1514CC-C1AD-450F-9F77-73E74133C693}" xr6:coauthVersionLast="36" xr6:coauthVersionMax="36" xr10:uidLastSave="{00000000-0000-0000-0000-000000000000}"/>
  <bookViews>
    <workbookView xWindow="0" yWindow="0" windowWidth="28800" windowHeight="11835" tabRatio="884" activeTab="7" xr2:uid="{00000000-000D-0000-FFFF-FFFF00000000}"/>
  </bookViews>
  <sheets>
    <sheet name="Dis" sheetId="10" r:id="rId1"/>
    <sheet name="Summary" sheetId="1" r:id="rId2"/>
    <sheet name="Inputs" sheetId="2" r:id="rId3"/>
    <sheet name="Oper" sheetId="3" r:id="rId4"/>
    <sheet name="Fin" sheetId="4" r:id="rId5"/>
    <sheet name="CF" sheetId="5" r:id="rId6"/>
    <sheet name="Acc" sheetId="6" r:id="rId7"/>
    <sheet name="Tax" sheetId="7" r:id="rId8"/>
    <sheet name="Valuation &amp; IRR" sheetId="8" r:id="rId9"/>
    <sheet name="Mac" sheetId="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F" localSheetId="0" hidden="1">[1]Revenues!#REF!</definedName>
    <definedName name="__123Graph_F" localSheetId="1" hidden="1">[1]Revenues!#REF!</definedName>
    <definedName name="__123Graph_F" hidden="1">[1]Revenues!#REF!</definedName>
    <definedName name="__123Graph_X" localSheetId="0" hidden="1">[1]Revenues!#REF!</definedName>
    <definedName name="__123Graph_X" localSheetId="1" hidden="1">[1]Revenues!#REF!</definedName>
    <definedName name="__123Graph_X" hidden="1">[1]Revenues!#REF!</definedName>
    <definedName name="__5__123Graph_AGRAFICO_1" localSheetId="1" hidden="1">[2]Revenues!#REF!</definedName>
    <definedName name="__5__123Graph_AGRAFICO_1" hidden="1">[2]Revenues!#REF!</definedName>
    <definedName name="_1__123Graph_AGRAFICO_1" localSheetId="1" hidden="1">[3]Revenues!#REF!</definedName>
    <definedName name="_1__123Graph_AGRAFICO_1" hidden="1">[3]Revenues!#REF!</definedName>
    <definedName name="_10__123Graph_BGRAFICO_4" localSheetId="1" hidden="1">[4]Bandas!#REF!</definedName>
    <definedName name="_10__123Graph_BGRAFICO_4" hidden="1">[4]Bandas!#REF!</definedName>
    <definedName name="_10__123Graph_BGRAFICO_5" localSheetId="1" hidden="1">[4]Bandas!#REF!</definedName>
    <definedName name="_10__123Graph_BGRAFICO_5" hidden="1">[4]Bandas!#REF!</definedName>
    <definedName name="_10__123Graph_CGRAFICO_2" localSheetId="1" hidden="1">[5]Bandas!#REF!</definedName>
    <definedName name="_10__123Graph_CGRAFICO_2" hidden="1">[5]Bandas!#REF!</definedName>
    <definedName name="_10__123Graph_XGRAFICO_1" localSheetId="1" hidden="1">[6]Ingresos!#REF!</definedName>
    <definedName name="_10__123Graph_XGRAFICO_1" hidden="1">[6]Ingresos!#REF!</definedName>
    <definedName name="_11__123Graph_AGRAFICO_4" localSheetId="1" hidden="1">[4]Bandas!#REF!</definedName>
    <definedName name="_11__123Graph_AGRAFICO_4" hidden="1">[4]Bandas!#REF!</definedName>
    <definedName name="_11__123Graph_BGRAFICO_5" localSheetId="1" hidden="1">[4]Bandas!#REF!</definedName>
    <definedName name="_11__123Graph_BGRAFICO_5" hidden="1">[4]Bandas!#REF!</definedName>
    <definedName name="_11__123Graph_CGRAFICO_2" localSheetId="1" hidden="1">[4]Bandas!#REF!</definedName>
    <definedName name="_11__123Graph_CGRAFICO_2" hidden="1">[4]Bandas!#REF!</definedName>
    <definedName name="_11__123Graph_CGRAFICO_3" localSheetId="1" hidden="1">[5]Bandas!#REF!</definedName>
    <definedName name="_11__123Graph_CGRAFICO_3" hidden="1">[5]Bandas!#REF!</definedName>
    <definedName name="_12__123Graph_AGRAFICO_2" localSheetId="1" hidden="1">[4]Bandas!#REF!</definedName>
    <definedName name="_12__123Graph_AGRAFICO_2" hidden="1">[4]Bandas!#REF!</definedName>
    <definedName name="_12__123Graph_AGRAFICO_3" localSheetId="1" hidden="1">[4]Bandas!#REF!</definedName>
    <definedName name="_12__123Graph_AGRAFICO_3" hidden="1">[4]Bandas!#REF!</definedName>
    <definedName name="_12__123Graph_CGRAFICO_2" localSheetId="1" hidden="1">[4]Bandas!#REF!</definedName>
    <definedName name="_12__123Graph_CGRAFICO_2" hidden="1">[4]Bandas!#REF!</definedName>
    <definedName name="_12__123Graph_CGRAFICO_3" localSheetId="1" hidden="1">[4]Bandas!#REF!</definedName>
    <definedName name="_12__123Graph_CGRAFICO_3" hidden="1">[4]Bandas!#REF!</definedName>
    <definedName name="_12__123Graph_CGRAFICO_4" localSheetId="1" hidden="1">[5]Bandas!#REF!</definedName>
    <definedName name="_12__123Graph_CGRAFICO_4" hidden="1">[5]Bandas!#REF!</definedName>
    <definedName name="_13__123Graph_AGRAFICO_5" localSheetId="1" hidden="1">[4]Bandas!#REF!</definedName>
    <definedName name="_13__123Graph_AGRAFICO_5" hidden="1">[4]Bandas!#REF!</definedName>
    <definedName name="_13__123Graph_CGRAFICO_3" localSheetId="1" hidden="1">[4]Bandas!#REF!</definedName>
    <definedName name="_13__123Graph_CGRAFICO_3" hidden="1">[4]Bandas!#REF!</definedName>
    <definedName name="_13__123Graph_CGRAFICO_4" localSheetId="1" hidden="1">[4]Bandas!#REF!</definedName>
    <definedName name="_13__123Graph_CGRAFICO_4" hidden="1">[4]Bandas!#REF!</definedName>
    <definedName name="_13__123Graph_CGRAFICO_5" localSheetId="1" hidden="1">[5]Bandas!#REF!</definedName>
    <definedName name="_13__123Graph_CGRAFICO_5" hidden="1">[5]Bandas!#REF!</definedName>
    <definedName name="_14__123Graph_CGRAFICO_4" localSheetId="1" hidden="1">[4]Bandas!#REF!</definedName>
    <definedName name="_14__123Graph_CGRAFICO_4" hidden="1">[4]Bandas!#REF!</definedName>
    <definedName name="_14__123Graph_CGRAFICO_5" localSheetId="1" hidden="1">[4]Bandas!#REF!</definedName>
    <definedName name="_14__123Graph_CGRAFICO_5" hidden="1">[4]Bandas!#REF!</definedName>
    <definedName name="_14__123Graph_DGRAFICO_2" localSheetId="1" hidden="1">[5]Bandas!#REF!</definedName>
    <definedName name="_14__123Graph_DGRAFICO_2" hidden="1">[5]Bandas!#REF!</definedName>
    <definedName name="_15__123Graph_AGRAFICO_3" localSheetId="1" hidden="1">[4]Bandas!#REF!</definedName>
    <definedName name="_15__123Graph_AGRAFICO_3" hidden="1">[4]Bandas!#REF!</definedName>
    <definedName name="_15__123Graph_AGRAFICO_4" localSheetId="1" hidden="1">[4]Bandas!#REF!</definedName>
    <definedName name="_15__123Graph_AGRAFICO_4" hidden="1">[4]Bandas!#REF!</definedName>
    <definedName name="_15__123Graph_BGRAFICO_2" localSheetId="1" hidden="1">[4]Bandas!#REF!</definedName>
    <definedName name="_15__123Graph_BGRAFICO_2" hidden="1">[4]Bandas!#REF!</definedName>
    <definedName name="_15__123Graph_CGRAFICO_5" localSheetId="1" hidden="1">[4]Bandas!#REF!</definedName>
    <definedName name="_15__123Graph_CGRAFICO_5" hidden="1">[4]Bandas!#REF!</definedName>
    <definedName name="_15__123Graph_DGRAFICO_2" localSheetId="1" hidden="1">[4]Bandas!#REF!</definedName>
    <definedName name="_15__123Graph_DGRAFICO_2" hidden="1">[4]Bandas!#REF!</definedName>
    <definedName name="_15__123Graph_DGRAFICO_4" localSheetId="1" hidden="1">[5]Bandas!#REF!</definedName>
    <definedName name="_15__123Graph_DGRAFICO_4" hidden="1">[5]Bandas!#REF!</definedName>
    <definedName name="_16__123Graph_DGRAFICO_2" localSheetId="1" hidden="1">[4]Bandas!#REF!</definedName>
    <definedName name="_16__123Graph_DGRAFICO_2" hidden="1">[4]Bandas!#REF!</definedName>
    <definedName name="_16__123Graph_DGRAFICO_4" localSheetId="1" hidden="1">[4]Bandas!#REF!</definedName>
    <definedName name="_16__123Graph_DGRAFICO_4" hidden="1">[4]Bandas!#REF!</definedName>
    <definedName name="_16__123Graph_EGRAFICO_4" localSheetId="1" hidden="1">[5]Bandas!#REF!</definedName>
    <definedName name="_16__123Graph_EGRAFICO_4" hidden="1">[5]Bandas!#REF!</definedName>
    <definedName name="_17__123Graph_BGRAFICO_3" localSheetId="1" hidden="1">[4]Bandas!#REF!</definedName>
    <definedName name="_17__123Graph_BGRAFICO_3" hidden="1">[4]Bandas!#REF!</definedName>
    <definedName name="_17__123Graph_DGRAFICO_4" localSheetId="1" hidden="1">[4]Bandas!#REF!</definedName>
    <definedName name="_17__123Graph_DGRAFICO_4" hidden="1">[4]Bandas!#REF!</definedName>
    <definedName name="_17__123Graph_EGRAFICO_4" localSheetId="1" hidden="1">[4]Bandas!#REF!</definedName>
    <definedName name="_17__123Graph_EGRAFICO_4" hidden="1">[4]Bandas!#REF!</definedName>
    <definedName name="_17__123Graph_FGRAFICO_4" localSheetId="1" hidden="1">[5]Bandas!#REF!</definedName>
    <definedName name="_17__123Graph_FGRAFICO_4" hidden="1">[5]Bandas!#REF!</definedName>
    <definedName name="_18__123Graph_AGRAFICO_4" localSheetId="1" hidden="1">[4]Bandas!#REF!</definedName>
    <definedName name="_18__123Graph_AGRAFICO_4" hidden="1">[4]Bandas!#REF!</definedName>
    <definedName name="_18__123Graph_AGRAFICO_5" localSheetId="1" hidden="1">[4]Bandas!#REF!</definedName>
    <definedName name="_18__123Graph_AGRAFICO_5" hidden="1">[4]Bandas!#REF!</definedName>
    <definedName name="_18__123Graph_EGRAFICO_4" localSheetId="1" hidden="1">[4]Bandas!#REF!</definedName>
    <definedName name="_18__123Graph_EGRAFICO_4" hidden="1">[4]Bandas!#REF!</definedName>
    <definedName name="_18__123Graph_FGRAFICO_4" localSheetId="1" hidden="1">[4]Bandas!#REF!</definedName>
    <definedName name="_18__123Graph_FGRAFICO_4" hidden="1">[4]Bandas!#REF!</definedName>
    <definedName name="_18__123Graph_XGRAFICO_1" localSheetId="1" hidden="1">[5]Receitas!#REF!</definedName>
    <definedName name="_18__123Graph_XGRAFICO_1" hidden="1">[5]Receitas!#REF!</definedName>
    <definedName name="_19__123Graph_BGRAFICO_4" localSheetId="1" hidden="1">[4]Bandas!#REF!</definedName>
    <definedName name="_19__123Graph_BGRAFICO_4" hidden="1">[4]Bandas!#REF!</definedName>
    <definedName name="_19__123Graph_FGRAFICO_4" localSheetId="1" hidden="1">[4]Bandas!#REF!</definedName>
    <definedName name="_19__123Graph_FGRAFICO_4" hidden="1">[4]Bandas!#REF!</definedName>
    <definedName name="_19__123Graph_XGRAFICO_1" localSheetId="1" hidden="1">[2]Revenues!#REF!</definedName>
    <definedName name="_19__123Graph_XGRAFICO_1" hidden="1">[2]Revenues!#REF!</definedName>
    <definedName name="_19__123Graph_XGRAFICO_4" localSheetId="1" hidden="1">[5]Bandas!#REF!</definedName>
    <definedName name="_19__123Graph_XGRAFICO_4" hidden="1">[5]Bandas!#REF!</definedName>
    <definedName name="_1F" localSheetId="1" hidden="1">'[7]Datos Infraestructura (r)'!#REF!</definedName>
    <definedName name="_1F" hidden="1">'[7]Datos Infraestructura (r)'!#REF!</definedName>
    <definedName name="_2__123Graph_AGRAFICO_1" localSheetId="1" hidden="1">[2]Revenues!#REF!</definedName>
    <definedName name="_2__123Graph_AGRAFICO_1" hidden="1">[2]Revenues!#REF!</definedName>
    <definedName name="_2__123Graph_AGRAFICO_2" localSheetId="1" hidden="1">[5]Bandas!#REF!</definedName>
    <definedName name="_2__123Graph_AGRAFICO_2" hidden="1">[5]Bandas!#REF!</definedName>
    <definedName name="_2__123Graph_XGRAFICO_1" localSheetId="1" hidden="1">[3]Revenues!#REF!</definedName>
    <definedName name="_2__123Graph_XGRAFICO_1" hidden="1">[3]Revenues!#REF!</definedName>
    <definedName name="_20__123Graph_XGRAFICO_4" localSheetId="1" hidden="1">[4]Bandas!#REF!</definedName>
    <definedName name="_20__123Graph_XGRAFICO_4" hidden="1">[4]Bandas!#REF!</definedName>
    <definedName name="_20__123Graph_XGRAFICO_5" localSheetId="1" hidden="1">[5]Bandas!#REF!</definedName>
    <definedName name="_20__123Graph_XGRAFICO_5" hidden="1">[5]Bandas!#REF!</definedName>
    <definedName name="_21__123Graph_AGRAFICO_5" localSheetId="1" hidden="1">[4]Bandas!#REF!</definedName>
    <definedName name="_21__123Graph_AGRAFICO_5" hidden="1">[4]Bandas!#REF!</definedName>
    <definedName name="_21__123Graph_BGRAFICO_2" localSheetId="1" hidden="1">[4]Bandas!#REF!</definedName>
    <definedName name="_21__123Graph_BGRAFICO_2" hidden="1">[4]Bandas!#REF!</definedName>
    <definedName name="_21__123Graph_BGRAFICO_5" localSheetId="1" hidden="1">[4]Bandas!#REF!</definedName>
    <definedName name="_21__123Graph_BGRAFICO_5" hidden="1">[4]Bandas!#REF!</definedName>
    <definedName name="_21__123Graph_XGRAFICO_1" localSheetId="1" hidden="1">'[8]Traffic Revenues'!#REF!</definedName>
    <definedName name="_21__123Graph_XGRAFICO_1" hidden="1">'[8]Traffic Revenues'!#REF!</definedName>
    <definedName name="_21__123Graph_XGRAFICO_5" localSheetId="1" hidden="1">[4]Bandas!#REF!</definedName>
    <definedName name="_21__123Graph_XGRAFICO_5" hidden="1">[4]Bandas!#REF!</definedName>
    <definedName name="_21_0_0_F" localSheetId="1" hidden="1">'[9]Datos infraestructura'!#REF!</definedName>
    <definedName name="_21_0_0_F" hidden="1">'[9]Datos infraestructura'!#REF!</definedName>
    <definedName name="_22__123Graph_XGRAFICO_4" localSheetId="1" hidden="1">[4]Bandas!#REF!</definedName>
    <definedName name="_22__123Graph_XGRAFICO_4" hidden="1">[4]Bandas!#REF!</definedName>
    <definedName name="_22_0_0_F" localSheetId="1" hidden="1">'[10]Datos infraestructura'!#REF!</definedName>
    <definedName name="_22_0_0_F" hidden="1">'[10]Datos infraestructura'!#REF!</definedName>
    <definedName name="_23__123Graph_CGRAFICO_2" localSheetId="1" hidden="1">[4]Bandas!#REF!</definedName>
    <definedName name="_23__123Graph_CGRAFICO_2" hidden="1">[4]Bandas!#REF!</definedName>
    <definedName name="_23__123Graph_XGRAFICO_5" localSheetId="1" hidden="1">[4]Bandas!#REF!</definedName>
    <definedName name="_23__123Graph_XGRAFICO_5" hidden="1">[4]Bandas!#REF!</definedName>
    <definedName name="_24__123Graph_BGRAFICO_2" localSheetId="1" hidden="1">[4]Bandas!#REF!</definedName>
    <definedName name="_24__123Graph_BGRAFICO_2" hidden="1">[4]Bandas!#REF!</definedName>
    <definedName name="_24__123Graph_BGRAFICO_3" localSheetId="1" hidden="1">[4]Bandas!#REF!</definedName>
    <definedName name="_24__123Graph_BGRAFICO_3" hidden="1">[4]Bandas!#REF!</definedName>
    <definedName name="_25__123Graph_CGRAFICO_3" localSheetId="1" hidden="1">[4]Bandas!#REF!</definedName>
    <definedName name="_25__123Graph_CGRAFICO_3" hidden="1">[4]Bandas!#REF!</definedName>
    <definedName name="_25_0_0_F" localSheetId="1" hidden="1">'[11]Datos infraestructura'!#REF!</definedName>
    <definedName name="_25_0_0_F" hidden="1">'[11]Datos infraestructura'!#REF!</definedName>
    <definedName name="_27__123Graph_BGRAFICO_3" localSheetId="1" hidden="1">[4]Bandas!#REF!</definedName>
    <definedName name="_27__123Graph_BGRAFICO_3" hidden="1">[4]Bandas!#REF!</definedName>
    <definedName name="_27__123Graph_BGRAFICO_4" localSheetId="1" hidden="1">[4]Bandas!#REF!</definedName>
    <definedName name="_27__123Graph_BGRAFICO_4" hidden="1">[4]Bandas!#REF!</definedName>
    <definedName name="_27__123Graph_CGRAFICO_4" localSheetId="1" hidden="1">[4]Bandas!#REF!</definedName>
    <definedName name="_27__123Graph_CGRAFICO_4" hidden="1">[4]Bandas!#REF!</definedName>
    <definedName name="_29__123Graph_CGRAFICO_5" localSheetId="1" hidden="1">[4]Bandas!#REF!</definedName>
    <definedName name="_29__123Graph_CGRAFICO_5" hidden="1">[4]Bandas!#REF!</definedName>
    <definedName name="_3__123Graph_AGRAFICO_1" localSheetId="1" hidden="1">'[8]Traffic Revenues'!#REF!</definedName>
    <definedName name="_3__123Graph_AGRAFICO_1" hidden="1">'[8]Traffic Revenues'!#REF!</definedName>
    <definedName name="_3__123Graph_AGRAFICO_2" localSheetId="1" hidden="1">[4]Bandas!#REF!</definedName>
    <definedName name="_3__123Graph_AGRAFICO_2" hidden="1">[4]Bandas!#REF!</definedName>
    <definedName name="_3__123Graph_AGRAFICO_3" localSheetId="1" hidden="1">[5]Bandas!#REF!</definedName>
    <definedName name="_3__123Graph_AGRAFICO_3" hidden="1">[5]Bandas!#REF!</definedName>
    <definedName name="_3_0_0_F" localSheetId="1" hidden="1">'[12]Datos infra- basicos'!#REF!</definedName>
    <definedName name="_3_0_0_F" hidden="1">'[12]Datos infra- basicos'!#REF!</definedName>
    <definedName name="_30__123Graph_BGRAFICO_4" localSheetId="1" hidden="1">[4]Bandas!#REF!</definedName>
    <definedName name="_30__123Graph_BGRAFICO_4" hidden="1">[4]Bandas!#REF!</definedName>
    <definedName name="_30__123Graph_BGRAFICO_5" localSheetId="1" hidden="1">[4]Bandas!#REF!</definedName>
    <definedName name="_30__123Graph_BGRAFICO_5" hidden="1">[4]Bandas!#REF!</definedName>
    <definedName name="_31__123Graph_DGRAFICO_2" localSheetId="1" hidden="1">[4]Bandas!#REF!</definedName>
    <definedName name="_31__123Graph_DGRAFICO_2" hidden="1">[4]Bandas!#REF!</definedName>
    <definedName name="_33__123Graph_BGRAFICO_5" localSheetId="1" hidden="1">[4]Bandas!#REF!</definedName>
    <definedName name="_33__123Graph_BGRAFICO_5" hidden="1">[4]Bandas!#REF!</definedName>
    <definedName name="_33__123Graph_CGRAFICO_2" localSheetId="1" hidden="1">[4]Bandas!#REF!</definedName>
    <definedName name="_33__123Graph_CGRAFICO_2" hidden="1">[4]Bandas!#REF!</definedName>
    <definedName name="_33__123Graph_DGRAFICO_4" localSheetId="1" hidden="1">[4]Bandas!#REF!</definedName>
    <definedName name="_33__123Graph_DGRAFICO_4" hidden="1">[4]Bandas!#REF!</definedName>
    <definedName name="_35__123Graph_EGRAFICO_4" localSheetId="1" hidden="1">[4]Bandas!#REF!</definedName>
    <definedName name="_35__123Graph_EGRAFICO_4" hidden="1">[4]Bandas!#REF!</definedName>
    <definedName name="_36__123Graph_CGRAFICO_2" localSheetId="1" hidden="1">[4]Bandas!#REF!</definedName>
    <definedName name="_36__123Graph_CGRAFICO_2" hidden="1">[4]Bandas!#REF!</definedName>
    <definedName name="_36__123Graph_CGRAFICO_3" localSheetId="1" hidden="1">[4]Bandas!#REF!</definedName>
    <definedName name="_36__123Graph_CGRAFICO_3" hidden="1">[4]Bandas!#REF!</definedName>
    <definedName name="_37__123Graph_FGRAFICO_4" localSheetId="1" hidden="1">[4]Bandas!#REF!</definedName>
    <definedName name="_37__123Graph_FGRAFICO_4" hidden="1">[4]Bandas!#REF!</definedName>
    <definedName name="_39__123Graph_CGRAFICO_3" localSheetId="1" hidden="1">[4]Bandas!#REF!</definedName>
    <definedName name="_39__123Graph_CGRAFICO_3" hidden="1">[4]Bandas!#REF!</definedName>
    <definedName name="_39__123Graph_CGRAFICO_4" localSheetId="1" hidden="1">[4]Bandas!#REF!</definedName>
    <definedName name="_39__123Graph_CGRAFICO_4" hidden="1">[4]Bandas!#REF!</definedName>
    <definedName name="_4__123Graph_AGRAFICO_2" localSheetId="1" hidden="1">[4]Bandas!#REF!</definedName>
    <definedName name="_4__123Graph_AGRAFICO_2" hidden="1">[4]Bandas!#REF!</definedName>
    <definedName name="_4__123Graph_AGRAFICO_3" localSheetId="1" hidden="1">[4]Bandas!#REF!</definedName>
    <definedName name="_4__123Graph_AGRAFICO_3" hidden="1">[4]Bandas!#REF!</definedName>
    <definedName name="_4__123Graph_AGRAFICO_4" localSheetId="1" hidden="1">[5]Bandas!#REF!</definedName>
    <definedName name="_4__123Graph_AGRAFICO_4" hidden="1">[5]Bandas!#REF!</definedName>
    <definedName name="_4_0_0_F" localSheetId="0" hidden="1">#REF!</definedName>
    <definedName name="_4_0_0_F" localSheetId="1" hidden="1">#REF!</definedName>
    <definedName name="_4_0_0_F" hidden="1">#REF!</definedName>
    <definedName name="_40__123Graph_XGRAFICO_1" localSheetId="0" hidden="1">[2]Revenues!#REF!</definedName>
    <definedName name="_40__123Graph_XGRAFICO_1" localSheetId="1" hidden="1">[2]Revenues!#REF!</definedName>
    <definedName name="_40__123Graph_XGRAFICO_1" hidden="1">[2]Revenues!#REF!</definedName>
    <definedName name="_42__123Graph_CGRAFICO_4" localSheetId="1" hidden="1">[4]Bandas!#REF!</definedName>
    <definedName name="_42__123Graph_CGRAFICO_4" hidden="1">[4]Bandas!#REF!</definedName>
    <definedName name="_42__123Graph_CGRAFICO_5" localSheetId="1" hidden="1">[4]Bandas!#REF!</definedName>
    <definedName name="_42__123Graph_CGRAFICO_5" hidden="1">[4]Bandas!#REF!</definedName>
    <definedName name="_42__123Graph_XGRAFICO_4" localSheetId="1" hidden="1">[4]Bandas!#REF!</definedName>
    <definedName name="_42__123Graph_XGRAFICO_4" hidden="1">[4]Bandas!#REF!</definedName>
    <definedName name="_44__123Graph_XGRAFICO_5" localSheetId="1" hidden="1">[4]Bandas!#REF!</definedName>
    <definedName name="_44__123Graph_XGRAFICO_5" hidden="1">[4]Bandas!#REF!</definedName>
    <definedName name="_45__123Graph_CGRAFICO_5" localSheetId="1" hidden="1">[4]Bandas!#REF!</definedName>
    <definedName name="_45__123Graph_CGRAFICO_5" hidden="1">[4]Bandas!#REF!</definedName>
    <definedName name="_45__123Graph_DGRAFICO_2" localSheetId="1" hidden="1">[4]Bandas!#REF!</definedName>
    <definedName name="_45__123Graph_DGRAFICO_2" hidden="1">[4]Bandas!#REF!</definedName>
    <definedName name="_48__123Graph_DGRAFICO_2" localSheetId="1" hidden="1">[4]Bandas!#REF!</definedName>
    <definedName name="_48__123Graph_DGRAFICO_2" hidden="1">[4]Bandas!#REF!</definedName>
    <definedName name="_48__123Graph_DGRAFICO_4" localSheetId="1" hidden="1">[4]Bandas!#REF!</definedName>
    <definedName name="_48__123Graph_DGRAFICO_4" hidden="1">[4]Bandas!#REF!</definedName>
    <definedName name="_49_0_0_F" localSheetId="1" hidden="1">'[10]Datos infraestructura'!#REF!</definedName>
    <definedName name="_49_0_0_F" hidden="1">'[10]Datos infraestructura'!#REF!</definedName>
    <definedName name="_5__123Graph_AGRAFICO_1" localSheetId="1" hidden="1">[6]Ingresos!#REF!</definedName>
    <definedName name="_5__123Graph_AGRAFICO_1" hidden="1">[6]Ingresos!#REF!</definedName>
    <definedName name="_5__123Graph_AGRAFICO_3" localSheetId="1" hidden="1">[4]Bandas!#REF!</definedName>
    <definedName name="_5__123Graph_AGRAFICO_3" hidden="1">[4]Bandas!#REF!</definedName>
    <definedName name="_5__123Graph_AGRAFICO_4" localSheetId="1" hidden="1">[4]Bandas!#REF!</definedName>
    <definedName name="_5__123Graph_AGRAFICO_4" hidden="1">[4]Bandas!#REF!</definedName>
    <definedName name="_5__123Graph_AGRAFICO_5" localSheetId="1" hidden="1">[5]Bandas!#REF!</definedName>
    <definedName name="_5__123Graph_AGRAFICO_5" hidden="1">[5]Bandas!#REF!</definedName>
    <definedName name="_50_0_0_F" localSheetId="1" hidden="1">'[10]Datos infraestructura'!#REF!</definedName>
    <definedName name="_50_0_0_F" hidden="1">'[10]Datos infraestructura'!#REF!</definedName>
    <definedName name="_51__123Graph_DGRAFICO_4" localSheetId="1" hidden="1">[4]Bandas!#REF!</definedName>
    <definedName name="_51__123Graph_DGRAFICO_4" hidden="1">[4]Bandas!#REF!</definedName>
    <definedName name="_51__123Graph_EGRAFICO_4" localSheetId="1" hidden="1">[4]Bandas!#REF!</definedName>
    <definedName name="_51__123Graph_EGRAFICO_4" hidden="1">[4]Bandas!#REF!</definedName>
    <definedName name="_54__123Graph_EGRAFICO_4" localSheetId="1" hidden="1">[4]Bandas!#REF!</definedName>
    <definedName name="_54__123Graph_EGRAFICO_4" hidden="1">[4]Bandas!#REF!</definedName>
    <definedName name="_54__123Graph_FGRAFICO_4" localSheetId="1" hidden="1">[4]Bandas!#REF!</definedName>
    <definedName name="_54__123Graph_FGRAFICO_4" hidden="1">[4]Bandas!#REF!</definedName>
    <definedName name="_57__123Graph_FGRAFICO_4" localSheetId="1" hidden="1">[4]Bandas!#REF!</definedName>
    <definedName name="_57__123Graph_FGRAFICO_4" hidden="1">[4]Bandas!#REF!</definedName>
    <definedName name="_57__123Graph_XGRAFICO_1" localSheetId="1" hidden="1">[1]Revenues!#REF!</definedName>
    <definedName name="_57__123Graph_XGRAFICO_1" hidden="1">[1]Revenues!#REF!</definedName>
    <definedName name="_6__123Graph_AGRAFICO_1" localSheetId="1" hidden="1">[1]Revenues!#REF!</definedName>
    <definedName name="_6__123Graph_AGRAFICO_1" hidden="1">[1]Revenues!#REF!</definedName>
    <definedName name="_6__123Graph_AGRAFICO_4" localSheetId="1" hidden="1">[4]Bandas!#REF!</definedName>
    <definedName name="_6__123Graph_AGRAFICO_4" hidden="1">[4]Bandas!#REF!</definedName>
    <definedName name="_6__123Graph_AGRAFICO_5" localSheetId="1" hidden="1">[4]Bandas!#REF!</definedName>
    <definedName name="_6__123Graph_AGRAFICO_5" hidden="1">[4]Bandas!#REF!</definedName>
    <definedName name="_6__123Graph_BGRAFICO_2" localSheetId="1" hidden="1">[5]Bandas!#REF!</definedName>
    <definedName name="_6__123Graph_BGRAFICO_2" hidden="1">[5]Bandas!#REF!</definedName>
    <definedName name="_60__123Graph_XGRAFICO_4" localSheetId="1" hidden="1">[4]Bandas!#REF!</definedName>
    <definedName name="_60__123Graph_XGRAFICO_4" hidden="1">[4]Bandas!#REF!</definedName>
    <definedName name="_63__123Graph_XGRAFICO_5" localSheetId="1" hidden="1">[4]Bandas!#REF!</definedName>
    <definedName name="_63__123Graph_XGRAFICO_5" hidden="1">[4]Bandas!#REF!</definedName>
    <definedName name="_64__123Graph_XGRAFICO_1" localSheetId="1" hidden="1">'[13]Traffic Revenues'!#REF!</definedName>
    <definedName name="_64__123Graph_XGRAFICO_1" hidden="1">'[13]Traffic Revenues'!#REF!</definedName>
    <definedName name="_67__123Graph_XGRAFICO_4" localSheetId="1" hidden="1">[4]Bandas!#REF!</definedName>
    <definedName name="_67__123Graph_XGRAFICO_4" hidden="1">[4]Bandas!#REF!</definedName>
    <definedName name="_69_0_0_F" localSheetId="1" hidden="1">'[10]Datos infraestructura'!#REF!</definedName>
    <definedName name="_69_0_0_F" hidden="1">'[10]Datos infraestructura'!#REF!</definedName>
    <definedName name="_7__123Graph_AGRAFICO_2" localSheetId="1" hidden="1">[4]Bandas!#REF!</definedName>
    <definedName name="_7__123Graph_AGRAFICO_2" hidden="1">[4]Bandas!#REF!</definedName>
    <definedName name="_7__123Graph_AGRAFICO_5" localSheetId="1" hidden="1">[4]Bandas!#REF!</definedName>
    <definedName name="_7__123Graph_AGRAFICO_5" hidden="1">[4]Bandas!#REF!</definedName>
    <definedName name="_7__123Graph_BGRAFICO_2" localSheetId="1" hidden="1">[4]Bandas!#REF!</definedName>
    <definedName name="_7__123Graph_BGRAFICO_2" hidden="1">[4]Bandas!#REF!</definedName>
    <definedName name="_7__123Graph_BGRAFICO_3" localSheetId="1" hidden="1">[5]Bandas!#REF!</definedName>
    <definedName name="_7__123Graph_BGRAFICO_3" hidden="1">[5]Bandas!#REF!</definedName>
    <definedName name="_70__123Graph_XGRAFICO_5" localSheetId="1" hidden="1">[4]Bandas!#REF!</definedName>
    <definedName name="_70__123Graph_XGRAFICO_5" hidden="1">[4]Bandas!#REF!</definedName>
    <definedName name="_70_0_0_F" localSheetId="1" hidden="1">'[10]Datos infraestructura'!#REF!</definedName>
    <definedName name="_70_0_0_F" hidden="1">'[10]Datos infraestructura'!#REF!</definedName>
    <definedName name="_8__123Graph_BGRAFICO_2" localSheetId="1" hidden="1">[4]Bandas!#REF!</definedName>
    <definedName name="_8__123Graph_BGRAFICO_2" hidden="1">[4]Bandas!#REF!</definedName>
    <definedName name="_8__123Graph_BGRAFICO_3" localSheetId="1" hidden="1">[4]Bandas!#REF!</definedName>
    <definedName name="_8__123Graph_BGRAFICO_3" hidden="1">[4]Bandas!#REF!</definedName>
    <definedName name="_8__123Graph_BGRAFICO_4" localSheetId="1" hidden="1">[5]Bandas!#REF!</definedName>
    <definedName name="_8__123Graph_BGRAFICO_4" hidden="1">[5]Bandas!#REF!</definedName>
    <definedName name="_83_0_0_F" localSheetId="1" hidden="1">'[11]Datos infraestructura'!#REF!</definedName>
    <definedName name="_83_0_0_F" hidden="1">'[11]Datos infraestructura'!#REF!</definedName>
    <definedName name="_84_0_0_F" localSheetId="1" hidden="1">'[14]Datos infraestructura'!#REF!</definedName>
    <definedName name="_84_0_0_F" hidden="1">'[14]Datos infraestructura'!#REF!</definedName>
    <definedName name="_9__123Graph_AGRAFICO_1" localSheetId="1" hidden="1">'[13]Traffic Revenues'!#REF!</definedName>
    <definedName name="_9__123Graph_AGRAFICO_1" hidden="1">'[13]Traffic Revenues'!#REF!</definedName>
    <definedName name="_9__123Graph_AGRAFICO_2" localSheetId="1" hidden="1">[4]Bandas!#REF!</definedName>
    <definedName name="_9__123Graph_AGRAFICO_2" hidden="1">[4]Bandas!#REF!</definedName>
    <definedName name="_9__123Graph_AGRAFICO_3" localSheetId="1" hidden="1">[4]Bandas!#REF!</definedName>
    <definedName name="_9__123Graph_AGRAFICO_3" hidden="1">[4]Bandas!#REF!</definedName>
    <definedName name="_9__123Graph_BGRAFICO_3" localSheetId="1" hidden="1">[4]Bandas!#REF!</definedName>
    <definedName name="_9__123Graph_BGRAFICO_3" hidden="1">[4]Bandas!#REF!</definedName>
    <definedName name="_9__123Graph_BGRAFICO_4" localSheetId="1" hidden="1">[4]Bandas!#REF!</definedName>
    <definedName name="_9__123Graph_BGRAFICO_4" hidden="1">[4]Bandas!#REF!</definedName>
    <definedName name="_9__123Graph_BGRAFICO_5" localSheetId="1" hidden="1">[5]Bandas!#REF!</definedName>
    <definedName name="_9__123Graph_BGRAFICO_5" hidden="1">[5]Bandas!#REF!</definedName>
    <definedName name="_bdm.FastTrackBookmark.1_10_2007_12_28_19_PM.edm" hidden="1">[15]Title!$J$18</definedName>
    <definedName name="_bdm.FastTrackBookmark.1_10_2007_12_28_30_PM.edm" hidden="1">'[15]Detailed Outputs'!$C$322</definedName>
    <definedName name="_bdm.FastTrackBookmark.1_15_2007_5_39_13_PM.edm" localSheetId="0" hidden="1">[16]Scenario!#REF!</definedName>
    <definedName name="_bdm.FastTrackBookmark.1_15_2007_5_39_13_PM.edm" localSheetId="1" hidden="1">[16]Scenario!#REF!</definedName>
    <definedName name="_bdm.FastTrackBookmark.1_15_2007_5_39_13_PM.edm" hidden="1">[16]Scenario!#REF!</definedName>
    <definedName name="_bdm.FastTrackBookmark.1_20_2007_2_24_46_PM.edm" localSheetId="0" hidden="1">[16]Scenario!#REF!</definedName>
    <definedName name="_bdm.FastTrackBookmark.1_20_2007_2_24_46_PM.edm" localSheetId="1" hidden="1">[16]Scenario!#REF!</definedName>
    <definedName name="_bdm.FastTrackBookmark.1_20_2007_2_24_46_PM.edm" hidden="1">[16]Scenario!#REF!</definedName>
    <definedName name="_bdm.FastTrackBookmark.1_21_2007_9_18_20_PM.edm" localSheetId="1" hidden="1">[16]Scenario!#REF!</definedName>
    <definedName name="_bdm.FastTrackBookmark.1_21_2007_9_18_20_PM.edm" hidden="1">[16]Scenario!#REF!</definedName>
    <definedName name="_bdm.FastTrackBookmark.1_22_2007_6_06_36_PM.edm" localSheetId="1" hidden="1">[16]Scenario!#REF!</definedName>
    <definedName name="_bdm.FastTrackBookmark.1_22_2007_6_06_36_PM.edm" hidden="1">[16]Scenario!#REF!</definedName>
    <definedName name="_bdm.FastTrackBookmark.11_15_2006_11_26_49_PM.edm" localSheetId="1" hidden="1">[15]ChartData!#REF!</definedName>
    <definedName name="_bdm.FastTrackBookmark.11_15_2006_11_26_49_PM.edm" hidden="1">[15]ChartData!#REF!</definedName>
    <definedName name="_bdm.FastTrackBookmark.11_15_2006_5_19_46_PM.edm" localSheetId="1" hidden="1">[15]Debt!#REF!</definedName>
    <definedName name="_bdm.FastTrackBookmark.11_15_2006_5_19_46_PM.edm" hidden="1">[15]Debt!#REF!</definedName>
    <definedName name="_bdm.FastTrackBookmark.11_21_2006_8_44_58_PM.edm" localSheetId="0" hidden="1">#REF!</definedName>
    <definedName name="_bdm.FastTrackBookmark.11_21_2006_8_44_58_PM.edm" localSheetId="1" hidden="1">#REF!</definedName>
    <definedName name="_bdm.FastTrackBookmark.11_21_2006_8_44_58_PM.edm" hidden="1">#REF!</definedName>
    <definedName name="_bdm.FastTrackBookmark.11_21_2006_8_45_02_PM.edm" localSheetId="0" hidden="1">[15]Scenario!#REF!</definedName>
    <definedName name="_bdm.FastTrackBookmark.11_21_2006_8_45_02_PM.edm" localSheetId="1" hidden="1">[15]Scenario!#REF!</definedName>
    <definedName name="_bdm.FastTrackBookmark.11_21_2006_8_45_02_PM.edm" hidden="1">[15]Scenario!#REF!</definedName>
    <definedName name="_Fill" localSheetId="1" hidden="1">[17]Inputs!#REF!</definedName>
    <definedName name="_Fill" hidden="1">[17]Inputs!#REF!</definedName>
    <definedName name="_r" localSheetId="1" hidden="1">[18]Ingresos!#REF!</definedName>
    <definedName name="_r" hidden="1">[18]Ingresos!#REF!</definedName>
    <definedName name="_Table1_In1" localSheetId="0" hidden="1">#REF!</definedName>
    <definedName name="_Table1_In1" localSheetId="1" hidden="1">#REF!</definedName>
    <definedName name="_Table1_In1" hidden="1">#REF!</definedName>
    <definedName name="_Table1_Out" localSheetId="0" hidden="1">#REF!</definedName>
    <definedName name="_Table1_Out" localSheetId="1" hidden="1">#REF!</definedName>
    <definedName name="_Table1_Out" hidden="1">#REF!</definedName>
    <definedName name="_Table2_In1" localSheetId="0" hidden="1">#REF!</definedName>
    <definedName name="_Table2_In1" localSheetId="1" hidden="1">#REF!</definedName>
    <definedName name="_Table2_In1" hidden="1">#REF!</definedName>
    <definedName name="_Table2_In2" localSheetId="0" hidden="1">#REF!</definedName>
    <definedName name="_Table2_In2" localSheetId="1" hidden="1">#REF!</definedName>
    <definedName name="_Table2_In2" hidden="1">#REF!</definedName>
    <definedName name="A"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f"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no_Ab" localSheetId="0" hidden="1">#REF!</definedName>
    <definedName name="Ano_Ab" localSheetId="1" hidden="1">#REF!</definedName>
    <definedName name="Ano_Ab" hidden="1">#REF!</definedName>
    <definedName name="Ano_Enc" localSheetId="0" hidden="1">#REF!</definedName>
    <definedName name="Ano_Enc" localSheetId="1" hidden="1">#REF!</definedName>
    <definedName name="Ano_Enc" hidden="1">#REF!</definedName>
    <definedName name="anscount" hidden="1">1</definedName>
    <definedName name="_xlnm.Print_Area" localSheetId="6">Acc!$A$1:$BJ$103</definedName>
    <definedName name="_xlnm.Print_Area" localSheetId="5">CF!$A$1:$BJ$71</definedName>
    <definedName name="_xlnm.Print_Area" localSheetId="0">Dis!$A$1:$Q$66</definedName>
    <definedName name="_xlnm.Print_Area" localSheetId="4">Fin!$A$1:$BJ$369</definedName>
    <definedName name="_xlnm.Print_Area" localSheetId="2">Inputs!$A$1:$R$249</definedName>
    <definedName name="_xlnm.Print_Area" localSheetId="9">Mac!$A$1:$BJ$36</definedName>
    <definedName name="_xlnm.Print_Area" localSheetId="3">Oper!$A$1:$BJ$117</definedName>
    <definedName name="_xlnm.Print_Area" localSheetId="1">Summary!$A$2:$AA$101</definedName>
    <definedName name="_xlnm.Print_Area" localSheetId="7">Tax!$A$1:$BJ$84</definedName>
    <definedName name="_xlnm.Print_Area" localSheetId="8">'Valuation &amp; IRR'!$A$1:$BQ$80</definedName>
    <definedName name="AS2DocOpenMode" hidden="1">"AS2DocumentEdit"</definedName>
    <definedName name="a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andasAnoInicial" localSheetId="0" hidden="1">#REF!</definedName>
    <definedName name="BandasAnoInicial" localSheetId="1" hidden="1">#REF!</definedName>
    <definedName name="BandasAnoInicial" hidden="1">#REF!</definedName>
    <definedName name="BandasCadernoEncargos" localSheetId="0" hidden="1">#REF!</definedName>
    <definedName name="BandasCadernoEncargos" localSheetId="1" hidden="1">#REF!</definedName>
    <definedName name="BandasCadernoEncargos" hidden="1">#REF!</definedName>
    <definedName name="BandasIndiceActualizaçãoTarifária" localSheetId="0" hidden="1">#REF!</definedName>
    <definedName name="BandasIndiceActualizaçãoTarifária" localSheetId="1" hidden="1">#REF!</definedName>
    <definedName name="BandasIndiceActualizaçãoTarifária" hidden="1">#REF!</definedName>
    <definedName name="BandasLimitesSuperior" localSheetId="0" hidden="1">#REF!</definedName>
    <definedName name="BandasLimitesSuperior" localSheetId="1" hidden="1">#REF!</definedName>
    <definedName name="BandasLimitesSuperior" hidden="1">#REF!</definedName>
    <definedName name="BandasPagamentosFixos" localSheetId="0" hidden="1">#REF!</definedName>
    <definedName name="BandasPagamentosFixos" localSheetId="1" hidden="1">#REF!</definedName>
    <definedName name="BandasPagamentosFixos" hidden="1">#REF!</definedName>
    <definedName name="BandasPagamentosVariaveis" localSheetId="0" hidden="1">#REF!</definedName>
    <definedName name="BandasPagamentosVariaveis" localSheetId="1" hidden="1">#REF!</definedName>
    <definedName name="BandasPagamentosVariaveis" hidden="1">#REF!</definedName>
    <definedName name="BandasPenalizaçõesPercentagem" localSheetId="0" hidden="1">#REF!</definedName>
    <definedName name="BandasPenalizaçõesPercentagem" localSheetId="1" hidden="1">#REF!</definedName>
    <definedName name="BandasPenalizaçõesPercentagem" hidden="1">#REF!</definedName>
    <definedName name="BandasPgtIndiceActualizaçãoTarifária" localSheetId="0" hidden="1">#REF!</definedName>
    <definedName name="BandasPgtIndiceActualizaçãoTarifária" localSheetId="1" hidden="1">#REF!</definedName>
    <definedName name="BandasPgtIndiceActualizaçãoTarifária" hidden="1">#REF!</definedName>
    <definedName name="BandasReceitasPortagem" localSheetId="0" hidden="1">#REF!</definedName>
    <definedName name="BandasReceitasPortagem" localSheetId="1" hidden="1">#REF!</definedName>
    <definedName name="BandasReceitasPortagem" hidden="1">#REF!</definedName>
    <definedName name="BandasTabelaActualizaçãoTarifária" localSheetId="0" hidden="1">#REF!</definedName>
    <definedName name="BandasTabelaActualizaçãoTarifária" localSheetId="1" hidden="1">#REF!</definedName>
    <definedName name="BandasTabelaActualizaçãoTarifária" hidden="1">#REF!</definedName>
    <definedName name="BandasTarifasReferência" localSheetId="0" hidden="1">#REF!</definedName>
    <definedName name="BandasTarifasReferência" localSheetId="1" hidden="1">#REF!</definedName>
    <definedName name="BandasTarifasReferência" hidden="1">#REF!</definedName>
    <definedName name="BandasVeiculosKmsAlocação" localSheetId="0" hidden="1">#REF!</definedName>
    <definedName name="BandasVeiculosKmsAlocação" localSheetId="1" hidden="1">#REF!</definedName>
    <definedName name="BandasVeiculosKmsAlocação" hidden="1">#REF!</definedName>
    <definedName name="Barreiras_Entrada_Manual" localSheetId="0" hidden="1">#REF!</definedName>
    <definedName name="Barreiras_Entrada_Manual" localSheetId="1" hidden="1">#REF!</definedName>
    <definedName name="Barreiras_Entrada_Manual" hidden="1">#REF!</definedName>
    <definedName name="Barreiras_Entrada_VV" localSheetId="0" hidden="1">#REF!</definedName>
    <definedName name="Barreiras_Entrada_VV" localSheetId="1" hidden="1">#REF!</definedName>
    <definedName name="Barreiras_Entrada_VV" hidden="1">#REF!</definedName>
    <definedName name="Barreiras_Lanços" localSheetId="0" hidden="1">#REF!</definedName>
    <definedName name="Barreiras_Lanços" localSheetId="1" hidden="1">#REF!</definedName>
    <definedName name="Barreiras_Lanços" hidden="1">#REF!</definedName>
    <definedName name="Barreiras_Saída_Manual" localSheetId="0" hidden="1">#REF!</definedName>
    <definedName name="Barreiras_Saída_Manual" localSheetId="1" hidden="1">#REF!</definedName>
    <definedName name="Barreiras_Saída_Manual" hidden="1">#REF!</definedName>
    <definedName name="Barreiras_Saída_VV" localSheetId="0" hidden="1">#REF!</definedName>
    <definedName name="Barreiras_Saída_VV" localSheetId="1" hidden="1">#REF!</definedName>
    <definedName name="Barreiras_Saída_VV" hidden="1">#REF!</definedName>
    <definedName name="Barreiras_Sublanços" localSheetId="0" hidden="1">#REF!</definedName>
    <definedName name="Barreiras_Sublanços" localSheetId="1" hidden="1">#REF!</definedName>
    <definedName name="Barreiras_Sublanços" hidden="1">#REF!</definedName>
    <definedName name="Code" localSheetId="0" hidden="1">#REF!</definedName>
    <definedName name="Code" localSheetId="1" hidden="1">#REF!</definedName>
    <definedName name="Code" hidden="1">#REF!</definedName>
    <definedName name="CustosExploraçãoParâmetros" localSheetId="0" hidden="1">#REF!</definedName>
    <definedName name="CustosExploraçãoParâmetros" localSheetId="1" hidden="1">#REF!</definedName>
    <definedName name="CustosExploraçãoParâmetros" hidden="1">#REF!</definedName>
    <definedName name="CustosExploraçãoValores" localSheetId="0" hidden="1">#REF!</definedName>
    <definedName name="CustosExploraçãoValores" localSheetId="1" hidden="1">#REF!</definedName>
    <definedName name="CustosExploraçãoValores" hidden="1">#REF!</definedName>
    <definedName name="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ata1" localSheetId="0" hidden="1">#REF!</definedName>
    <definedName name="data1" localSheetId="1" hidden="1">#REF!</definedName>
    <definedName name="data1" hidden="1">#REF!</definedName>
    <definedName name="data2" localSheetId="0" hidden="1">#REF!</definedName>
    <definedName name="data2" localSheetId="1" hidden="1">#REF!</definedName>
    <definedName name="data2" hidden="1">#REF!</definedName>
    <definedName name="data3" localSheetId="0" hidden="1">#REF!</definedName>
    <definedName name="data3" localSheetId="1" hidden="1">#REF!</definedName>
    <definedName name="data3" hidden="1">#REF!</definedName>
    <definedName name="DataCessãoExploração" localSheetId="0" hidden="1">#REF!</definedName>
    <definedName name="DataCessãoExploração" localSheetId="1" hidden="1">#REF!</definedName>
    <definedName name="DataCessãoExploração" hidden="1">#REF!</definedName>
    <definedName name="D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ias_Ab" localSheetId="0" hidden="1">#REF!</definedName>
    <definedName name="Dias_Ab" localSheetId="1" hidden="1">#REF!</definedName>
    <definedName name="Dias_Ab" hidden="1">#REF!</definedName>
    <definedName name="Dias_Enc" localSheetId="0" hidden="1">#REF!</definedName>
    <definedName name="Dias_Enc" localSheetId="1" hidden="1">#REF!</definedName>
    <definedName name="Dias_Enc" hidden="1">#REF!</definedName>
    <definedName name="Discount" localSheetId="0" hidden="1">#REF!</definedName>
    <definedName name="Discount" localSheetId="1" hidden="1">#REF!</definedName>
    <definedName name="Discount" hidden="1">#REF!</definedName>
    <definedName name="display_area_2" localSheetId="0" hidden="1">#REF!</definedName>
    <definedName name="display_area_2" localSheetId="1" hidden="1">#REF!</definedName>
    <definedName name="display_area_2" hidden="1">#REF!</definedName>
    <definedName name="DividaAcrJuros" localSheetId="0" hidden="1">#REF!</definedName>
    <definedName name="DividaAcrJuros" localSheetId="1" hidden="1">#REF!</definedName>
    <definedName name="DividaAcrJuros" hidden="1">#REF!</definedName>
    <definedName name="DividaAlocação" localSheetId="0" hidden="1">#REF!</definedName>
    <definedName name="DividaAlocação" localSheetId="1" hidden="1">#REF!</definedName>
    <definedName name="DividaAlocação" hidden="1">#REF!</definedName>
    <definedName name="DividaCom" localSheetId="0" hidden="1">#REF!</definedName>
    <definedName name="DividaCom" localSheetId="1" hidden="1">#REF!</definedName>
    <definedName name="DividaCom" hidden="1">#REF!</definedName>
    <definedName name="DividaCP" localSheetId="0" hidden="1">#REF!</definedName>
    <definedName name="DividaCP" localSheetId="1" hidden="1">#REF!</definedName>
    <definedName name="DividaCP" hidden="1">#REF!</definedName>
    <definedName name="DividaJurCapitaliz" localSheetId="0" hidden="1">#REF!</definedName>
    <definedName name="DividaJurCapitaliz" localSheetId="1" hidden="1">#REF!</definedName>
    <definedName name="DividaJurCapitaliz" hidden="1">#REF!</definedName>
    <definedName name="DividaJuros" localSheetId="0" hidden="1">#REF!</definedName>
    <definedName name="DividaJuros" localSheetId="1" hidden="1">#REF!</definedName>
    <definedName name="DividaJuros" hidden="1">#REF!</definedName>
    <definedName name="DividaMLP" localSheetId="0" hidden="1">#REF!</definedName>
    <definedName name="DividaMLP" localSheetId="1" hidden="1">#REF!</definedName>
    <definedName name="DividaMLP" hidden="1">#REF!</definedName>
    <definedName name="DividaTaxasJuro" localSheetId="0" hidden="1">#REF!</definedName>
    <definedName name="DividaTaxasJuro" localSheetId="1" hidden="1">#REF!</definedName>
    <definedName name="DividaTaxasJuro" hidden="1">#REF!</definedName>
    <definedName name="Extensão" localSheetId="0" hidden="1">#REF!</definedName>
    <definedName name="Extensão" localSheetId="1" hidden="1">#REF!</definedName>
    <definedName name="Extensão" hidden="1">#REF!</definedName>
    <definedName name="ExtensãoObras" localSheetId="0" hidden="1">#REF!</definedName>
    <definedName name="ExtensãoObras" localSheetId="1" hidden="1">#REF!</definedName>
    <definedName name="ExtensãoObras" hidden="1">#REF!</definedName>
    <definedName name="FCode" localSheetId="0" hidden="1">#REF!</definedName>
    <definedName name="FCode" localSheetId="1" hidden="1">#REF!</definedName>
    <definedName name="FCode" hidden="1">#REF!</definedName>
    <definedName name="HiddenRows" localSheetId="0" hidden="1">#REF!</definedName>
    <definedName name="HiddenRows" localSheetId="1" hidden="1">#REF!</definedName>
    <definedName name="HiddenRows" hidden="1">#REF!</definedName>
    <definedName name="IMOB_AmortizaçõesAcumuladas" localSheetId="0" hidden="1">#REF!</definedName>
    <definedName name="IMOB_AmortizaçõesAcumuladas" localSheetId="1" hidden="1">#REF!</definedName>
    <definedName name="IMOB_AmortizaçõesAcumuladas" hidden="1">#REF!</definedName>
    <definedName name="IMOB_AmortizaçõesExercício" localSheetId="0" hidden="1">#REF!</definedName>
    <definedName name="IMOB_AmortizaçõesExercício" localSheetId="1" hidden="1">#REF!</definedName>
    <definedName name="IMOB_AmortizaçõesExercício" hidden="1">#REF!</definedName>
    <definedName name="IMOB_ImobilizadoBruto" localSheetId="0" hidden="1">#REF!</definedName>
    <definedName name="IMOB_ImobilizadoBruto" localSheetId="1" hidden="1">#REF!</definedName>
    <definedName name="IMOB_ImobilizadoBruto" hidden="1">#REF!</definedName>
    <definedName name="IMOB_tppe" localSheetId="0" hidden="1">#REF!</definedName>
    <definedName name="IMOB_tppe" localSheetId="1" hidden="1">#REF!</definedName>
    <definedName name="IMOB_tppe" hidden="1">#REF!</definedName>
    <definedName name="IMOB_Transferências" localSheetId="0" hidden="1">#REF!</definedName>
    <definedName name="IMOB_Transferências" localSheetId="1" hidden="1">#REF!</definedName>
    <definedName name="IMOB_Transferências" hidden="1">#REF!</definedName>
    <definedName name="IMOBConta" localSheetId="0" hidden="1">#REF!</definedName>
    <definedName name="IMOBConta" localSheetId="1" hidden="1">#REF!</definedName>
    <definedName name="IMOBConta" hidden="1">#REF!</definedName>
    <definedName name="IMOBInvest_v" localSheetId="0" hidden="1">#REF!</definedName>
    <definedName name="IMOBInvest_v" localSheetId="1" hidden="1">#REF!</definedName>
    <definedName name="IMOBInvest_v" hidden="1">#REF!</definedName>
    <definedName name="IMOBTransf_v" localSheetId="0" hidden="1">#REF!</definedName>
    <definedName name="IMOBTransf_v" localSheetId="1" hidden="1">#REF!</definedName>
    <definedName name="IMOBTransf_v" hidden="1">#REF!</definedName>
    <definedName name="IMOBTransf_vduod" localSheetId="0" hidden="1">#REF!</definedName>
    <definedName name="IMOBTransf_vduod" localSheetId="1" hidden="1">#REF!</definedName>
    <definedName name="IMOBTransf_vduod" hidden="1">#REF!</definedName>
    <definedName name="infpte" localSheetId="0" hidden="1">#REF!</definedName>
    <definedName name="infpte" localSheetId="1" hidden="1">#REF!</definedName>
    <definedName name="infpte" hidden="1">#REF!</definedName>
    <definedName name="Investimentos" localSheetId="0" hidden="1">#REF!</definedName>
    <definedName name="Investimentos" localSheetId="1" hidden="1">#REF!</definedName>
    <definedName name="Investimentos" hidden="1">#REF!</definedName>
    <definedName name="Investimentos_Areas" localSheetId="0" hidden="1">#REF!</definedName>
    <definedName name="Investimentos_Areas" localSheetId="1" hidden="1">#REF!</definedName>
    <definedName name="Investimentos_Areas" hidden="1">#REF!</definedName>
    <definedName name="Investimentos_fc" localSheetId="0" hidden="1">#REF!</definedName>
    <definedName name="Investimentos_fc" localSheetId="1" hidden="1">#REF!</definedName>
    <definedName name="Investimentos_fc" hidden="1">#REF!</definedName>
    <definedName name="Investimentos_Sublanços" localSheetId="0" hidden="1">#REF!</definedName>
    <definedName name="Investimentos_Sublanços" localSheetId="1" hidden="1">#REF!</definedName>
    <definedName name="Investimentos_Sublanços" hidden="1">#REF!</definedName>
    <definedName name="IPC_Mensal" localSheetId="0" hidden="1">#REF!</definedName>
    <definedName name="IPC_Mensal" localSheetId="1" hidden="1">#REF!</definedName>
    <definedName name="IPC_Mensal"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IVA_Areas_SErviço" localSheetId="0" hidden="1">#REF!</definedName>
    <definedName name="IVA_Areas_SErviço" localSheetId="1" hidden="1">#REF!</definedName>
    <definedName name="IVA_Areas_SErviço" hidden="1">#REF!</definedName>
    <definedName name="IVA_Invest" localSheetId="0" hidden="1">#REF!</definedName>
    <definedName name="IVA_Invest" localSheetId="1" hidden="1">#REF!</definedName>
    <definedName name="IVA_Invest" hidden="1">#REF!</definedName>
    <definedName name="Iva_Outros_Proveitos" localSheetId="0" hidden="1">#REF!</definedName>
    <definedName name="Iva_Outros_Proveitos" localSheetId="1" hidden="1">#REF!</definedName>
    <definedName name="Iva_Outros_Proveitos" hidden="1">#REF!</definedName>
    <definedName name="IVA_Portagens" localSheetId="0" hidden="1">#REF!</definedName>
    <definedName name="IVA_Portagens" localSheetId="1" hidden="1">#REF!</definedName>
    <definedName name="IVA_Portagens" hidden="1">#REF!</definedName>
    <definedName name="Macro_CHECK">Mac!$M$21</definedName>
    <definedName name="MACRO_COPY">Mac!$Q$22:$IO$27</definedName>
    <definedName name="MACRO_PASTE">Mac!$Q$31:$IO$36</definedName>
    <definedName name="Ñ"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Ñ"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rderTable" localSheetId="0" hidden="1">#REF!</definedName>
    <definedName name="OrderTable" localSheetId="1" hidden="1">#REF!</definedName>
    <definedName name="OrderTable" hidden="1">#REF!</definedName>
    <definedName name="Outros_Activos" localSheetId="0" hidden="1">#REF!</definedName>
    <definedName name="Outros_Activos" localSheetId="1" hidden="1">#REF!</definedName>
    <definedName name="Outros_Activos" hidden="1">#REF!</definedName>
    <definedName name="Portagem_Receitas" localSheetId="0" hidden="1">#REF!</definedName>
    <definedName name="Portagem_Receitas" localSheetId="1" hidden="1">#REF!</definedName>
    <definedName name="Portagem_Receitas" hidden="1">#REF!</definedName>
    <definedName name="Portagem_Receitas_Estrutura" localSheetId="0" hidden="1">#REF!</definedName>
    <definedName name="Portagem_Receitas_Estrutura" localSheetId="1" hidden="1">#REF!</definedName>
    <definedName name="Portagem_Receitas_Estrutura" hidden="1">#REF!</definedName>
    <definedName name="Portagem_Receitascl1" localSheetId="0" hidden="1">#REF!</definedName>
    <definedName name="Portagem_Receitascl1" localSheetId="1" hidden="1">#REF!</definedName>
    <definedName name="Portagem_Receitascl1" hidden="1">#REF!</definedName>
    <definedName name="Portagem_Receitascl2" localSheetId="0" hidden="1">#REF!</definedName>
    <definedName name="Portagem_Receitascl2" localSheetId="1" hidden="1">#REF!</definedName>
    <definedName name="Portagem_Receitascl2" hidden="1">#REF!</definedName>
    <definedName name="Portagem_Receitascl3" localSheetId="0" hidden="1">#REF!</definedName>
    <definedName name="Portagem_Receitascl3" localSheetId="1" hidden="1">#REF!</definedName>
    <definedName name="Portagem_Receitascl3" hidden="1">#REF!</definedName>
    <definedName name="Portagem_Receitascl4" localSheetId="0" hidden="1">#REF!</definedName>
    <definedName name="Portagem_Receitascl4" localSheetId="1" hidden="1">#REF!</definedName>
    <definedName name="Portagem_Receitascl4" hidden="1">#REF!</definedName>
    <definedName name="Portagem_Taxascl1" localSheetId="0" hidden="1">#REF!</definedName>
    <definedName name="Portagem_Taxascl1" localSheetId="1" hidden="1">#REF!</definedName>
    <definedName name="Portagem_Taxascl1" hidden="1">#REF!</definedName>
    <definedName name="Portagem_Taxascl2" localSheetId="0" hidden="1">#REF!</definedName>
    <definedName name="Portagem_Taxascl2" localSheetId="1" hidden="1">#REF!</definedName>
    <definedName name="Portagem_Taxascl2" hidden="1">#REF!</definedName>
    <definedName name="Portagem_Taxascl3" localSheetId="0" hidden="1">#REF!</definedName>
    <definedName name="Portagem_Taxascl3" localSheetId="1" hidden="1">#REF!</definedName>
    <definedName name="Portagem_Taxascl3" hidden="1">#REF!</definedName>
    <definedName name="Portagem_Taxascl4" localSheetId="0" hidden="1">#REF!</definedName>
    <definedName name="Portagem_Taxascl4" localSheetId="1" hidden="1">#REF!</definedName>
    <definedName name="Portagem_Taxascl4" hidden="1">#REF!</definedName>
    <definedName name="ProdForm" localSheetId="0" hidden="1">#REF!</definedName>
    <definedName name="ProdForm" localSheetId="1" hidden="1">#REF!</definedName>
    <definedName name="ProdForm" hidden="1">#REF!</definedName>
    <definedName name="Product" localSheetId="0" hidden="1">#REF!</definedName>
    <definedName name="Product" localSheetId="1" hidden="1">#REF!</definedName>
    <definedName name="Product" hidden="1">#REF!</definedName>
    <definedName name="QD_Balanços" localSheetId="0" hidden="1">#REF!</definedName>
    <definedName name="QD_Balanços" localSheetId="1" hidden="1">#REF!</definedName>
    <definedName name="QD_Balanços" hidden="1">#REF!</definedName>
    <definedName name="QD_DemonstraçãoFluxosCaixa" localSheetId="0" hidden="1">#REF!</definedName>
    <definedName name="QD_DemonstraçãoFluxosCaixa" localSheetId="1" hidden="1">#REF!</definedName>
    <definedName name="QD_DemonstraçãoFluxosCaixa" hidden="1">#REF!</definedName>
    <definedName name="QD_DemonstraçãoResultados" localSheetId="0" hidden="1">#REF!</definedName>
    <definedName name="QD_DemonstraçãoResultados" localSheetId="1" hidden="1">#REF!</definedName>
    <definedName name="QD_DemonstraçãoResultados" hidden="1">#REF!</definedName>
    <definedName name="QD_FundosPróprios" localSheetId="0" hidden="1">#REF!</definedName>
    <definedName name="QD_FundosPróprios" localSheetId="1" hidden="1">#REF!</definedName>
    <definedName name="QD_FundosPróprios" hidden="1">#REF!</definedName>
    <definedName name="QD_MOAF" localSheetId="0" hidden="1">#REF!</definedName>
    <definedName name="QD_MOAF" localSheetId="1" hidden="1">#REF!</definedName>
    <definedName name="QD_MOAF" hidden="1">#REF!</definedName>
    <definedName name="QuadroDividaModelo" localSheetId="0" hidden="1">#REF!</definedName>
    <definedName name="QuadroDividaModelo" localSheetId="1" hidden="1">#REF!</definedName>
    <definedName name="QuadroDividaModelo" hidden="1">#REF!</definedName>
    <definedName name="QuadroDividaUtilizador" localSheetId="0" hidden="1">#REF!</definedName>
    <definedName name="QuadroDividaUtilizador" localSheetId="1" hidden="1">#REF!</definedName>
    <definedName name="QuadroDividaUtilizador" hidden="1">#REF!</definedName>
    <definedName name="q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CArea" localSheetId="0" hidden="1">#REF!</definedName>
    <definedName name="RCArea" localSheetId="1" hidden="1">#REF!</definedName>
    <definedName name="RCArea" hidden="1">#REF!</definedName>
    <definedName name="Scenario">Inputs!$L$7</definedName>
    <definedName name="SpecialPrice" localSheetId="0" hidden="1">#REF!</definedName>
    <definedName name="SpecialPrice" localSheetId="1" hidden="1">#REF!</definedName>
    <definedName name="SpecialPrice" hidden="1">#REF!</definedName>
    <definedName name="Sublanços_a" localSheetId="0" hidden="1">#REF!</definedName>
    <definedName name="Sublanços_a" localSheetId="1" hidden="1">#REF!</definedName>
    <definedName name="Sublanços_a" hidden="1">#REF!</definedName>
    <definedName name="Subs_Calculados_v" localSheetId="0" hidden="1">#REF!</definedName>
    <definedName name="Subs_Calculados_v" localSheetId="1" hidden="1">#REF!</definedName>
    <definedName name="Subs_Calculados_v" hidden="1">#REF!</definedName>
    <definedName name="Subs_Exploração" localSheetId="0" hidden="1">#REF!</definedName>
    <definedName name="Subs_Exploração" localSheetId="1" hidden="1">#REF!</definedName>
    <definedName name="Subs_Exploração" hidden="1">#REF!</definedName>
    <definedName name="Subs_Recebidos_v" localSheetId="0" hidden="1">#REF!</definedName>
    <definedName name="Subs_Recebidos_v" localSheetId="1" hidden="1">#REF!</definedName>
    <definedName name="Subs_Recebidos_v" hidden="1">#REF!</definedName>
    <definedName name="Subs_Taxas_v" localSheetId="0" hidden="1">#REF!</definedName>
    <definedName name="Subs_Taxas_v" localSheetId="1" hidden="1">#REF!</definedName>
    <definedName name="Subs_Taxas_v" hidden="1">#REF!</definedName>
    <definedName name="Tabela_Areas_Serviço_Downpayment" localSheetId="0" hidden="1">#REF!</definedName>
    <definedName name="Tabela_Areas_Serviço_Downpayment" localSheetId="1" hidden="1">#REF!</definedName>
    <definedName name="Tabela_Areas_Serviço_Downpayment" hidden="1">#REF!</definedName>
    <definedName name="Tabela_Areas_Serviço_Fixas" localSheetId="0" hidden="1">#REF!</definedName>
    <definedName name="Tabela_Areas_Serviço_Fixas" localSheetId="1" hidden="1">#REF!</definedName>
    <definedName name="Tabela_Areas_Serviço_Fixas" hidden="1">#REF!</definedName>
    <definedName name="Tabela_Areas_Serviço_Proveitos_Diferidos" localSheetId="0" hidden="1">#REF!</definedName>
    <definedName name="Tabela_Areas_Serviço_Proveitos_Diferidos" localSheetId="1" hidden="1">#REF!</definedName>
    <definedName name="Tabela_Areas_Serviço_Proveitos_Diferidos" hidden="1">#REF!</definedName>
    <definedName name="Tabela_Areas_Serviço_Proveitos_Exercício" localSheetId="0" hidden="1">#REF!</definedName>
    <definedName name="Tabela_Areas_Serviço_Proveitos_Exercício" localSheetId="1" hidden="1">#REF!</definedName>
    <definedName name="Tabela_Areas_Serviço_Proveitos_Exercício" hidden="1">#REF!</definedName>
    <definedName name="Tabela_Custos_Exploração_Resumo" localSheetId="0" hidden="1">#REF!</definedName>
    <definedName name="Tabela_Custos_Exploração_Resumo" localSheetId="1" hidden="1">#REF!</definedName>
    <definedName name="Tabela_Custos_Exploração_Resumo" hidden="1">#REF!</definedName>
    <definedName name="Tabela_IVA" localSheetId="0" hidden="1">#REF!</definedName>
    <definedName name="Tabela_IVA" localSheetId="1" hidden="1">#REF!</definedName>
    <definedName name="Tabela_IVA" hidden="1">#REF!</definedName>
    <definedName name="Tabela_Lanços" localSheetId="0" hidden="1">#REF!</definedName>
    <definedName name="Tabela_Lanços" localSheetId="1" hidden="1">#REF!</definedName>
    <definedName name="Tabela_Lanços" hidden="1">#REF!</definedName>
    <definedName name="Tabela_Outros_Proveitos" localSheetId="0" hidden="1">#REF!</definedName>
    <definedName name="Tabela_Outros_Proveitos" localSheetId="1" hidden="1">#REF!</definedName>
    <definedName name="Tabela_Outros_Proveitos" hidden="1">#REF!</definedName>
    <definedName name="Tabela_Prazos_Médios" localSheetId="0" hidden="1">#REF!</definedName>
    <definedName name="Tabela_Prazos_Médios" localSheetId="1" hidden="1">#REF!</definedName>
    <definedName name="Tabela_Prazos_Médios" hidden="1">#REF!</definedName>
    <definedName name="TabelaActualizaçãoTarifária" localSheetId="0" hidden="1">#REF!</definedName>
    <definedName name="TabelaActualizaçãoTarifária" localSheetId="1" hidden="1">#REF!</definedName>
    <definedName name="TabelaActualizaçãoTarifária" hidden="1">#REF!</definedName>
    <definedName name="tbl_ProdInfo" localSheetId="0" hidden="1">#REF!</definedName>
    <definedName name="tbl_ProdInfo" localSheetId="1" hidden="1">#REF!</definedName>
    <definedName name="tbl_ProdInfo" hidden="1">#REF!</definedName>
    <definedName name="_xlnm.Print_Titles" localSheetId="6">Acc!$A:$O,Acc!$1:$11</definedName>
    <definedName name="_xlnm.Print_Titles" localSheetId="5">CF!$A:$O</definedName>
    <definedName name="_xlnm.Print_Titles" localSheetId="4">Fin!$A:$O,Fin!$1:$11</definedName>
    <definedName name="_xlnm.Print_Titles" localSheetId="2">Inputs!$1:$10</definedName>
    <definedName name="_xlnm.Print_Titles" localSheetId="9">Mac!$A:$O</definedName>
    <definedName name="_xlnm.Print_Titles" localSheetId="3">Oper!$A:$O</definedName>
    <definedName name="_xlnm.Print_Titles" localSheetId="7">Tax!$A:$O,Tax!$1:$10</definedName>
    <definedName name="_xlnm.Print_Titles" localSheetId="8">'Valuation &amp; IRR'!$A:$O</definedName>
    <definedName name="TMDA" localSheetId="0" hidden="1">#REF!</definedName>
    <definedName name="TMDA" localSheetId="1" hidden="1">#REF!</definedName>
    <definedName name="TMDA" hidden="1">#REF!</definedName>
    <definedName name="TMDA_kms_Exploração" localSheetId="0" hidden="1">#REF!</definedName>
    <definedName name="TMDA_kms_Exploração" localSheetId="1" hidden="1">#REF!</definedName>
    <definedName name="TMDA_kms_Exploração" hidden="1">#REF!</definedName>
    <definedName name="TMDA_Kms_Exploração_média" localSheetId="0" hidden="1">#REF!</definedName>
    <definedName name="TMDA_Kms_Exploração_média" localSheetId="1" hidden="1">#REF!</definedName>
    <definedName name="TMDA_Kms_Exploração_média" hidden="1">#REF!</definedName>
    <definedName name="TMDA_kms_Percorridos_Lanços" localSheetId="0" hidden="1">#REF!</definedName>
    <definedName name="TMDA_kms_Percorridos_Lanços" localSheetId="1" hidden="1">#REF!</definedName>
    <definedName name="TMDA_kms_Percorridos_Lanços" hidden="1">#REF!</definedName>
    <definedName name="TMDA_Receitas" localSheetId="0" hidden="1">#REF!</definedName>
    <definedName name="TMDA_Receitas" localSheetId="1" hidden="1">#REF!</definedName>
    <definedName name="TMDA_Receitas" hidden="1">#REF!</definedName>
    <definedName name="TMDA_Receitascl1" localSheetId="0" hidden="1">#REF!</definedName>
    <definedName name="TMDA_Receitascl1" localSheetId="1" hidden="1">#REF!</definedName>
    <definedName name="TMDA_Receitascl1" hidden="1">#REF!</definedName>
    <definedName name="TMDA_Receitascl2" localSheetId="0" hidden="1">#REF!</definedName>
    <definedName name="TMDA_Receitascl2" localSheetId="1" hidden="1">#REF!</definedName>
    <definedName name="TMDA_Receitascl2" hidden="1">#REF!</definedName>
    <definedName name="TMDA_Receitascl3" localSheetId="0" hidden="1">#REF!</definedName>
    <definedName name="TMDA_Receitascl3" localSheetId="1" hidden="1">#REF!</definedName>
    <definedName name="TMDA_Receitascl3" hidden="1">#REF!</definedName>
    <definedName name="TMDA_Receitascl4" localSheetId="0" hidden="1">#REF!</definedName>
    <definedName name="TMDA_Receitascl4" localSheetId="1" hidden="1">#REF!</definedName>
    <definedName name="TMDA_Receitascl4" hidden="1">#REF!</definedName>
    <definedName name="TMDA_ViasLanços" localSheetId="0" hidden="1">#REF!</definedName>
    <definedName name="TMDA_ViasLanços" localSheetId="1" hidden="1">#REF!</definedName>
    <definedName name="TMDA_ViasLanços" hidden="1">#REF!</definedName>
    <definedName name="TMDAcl1" localSheetId="0" hidden="1">#REF!</definedName>
    <definedName name="TMDAcl1" localSheetId="1" hidden="1">#REF!</definedName>
    <definedName name="TMDAcl1" hidden="1">#REF!</definedName>
    <definedName name="TMDAcl2" localSheetId="0" hidden="1">#REF!</definedName>
    <definedName name="TMDAcl2" localSheetId="1" hidden="1">#REF!</definedName>
    <definedName name="TMDAcl2" hidden="1">#REF!</definedName>
    <definedName name="TMDAcl3" localSheetId="0" hidden="1">#REF!</definedName>
    <definedName name="TMDAcl3" localSheetId="1" hidden="1">#REF!</definedName>
    <definedName name="TMDAcl3" hidden="1">#REF!</definedName>
    <definedName name="TMDAcl4" localSheetId="0" hidden="1">#REF!</definedName>
    <definedName name="TMDAcl4" localSheetId="1" hidden="1">#REF!</definedName>
    <definedName name="TMDAcl4" hidden="1">#REF!</definedName>
    <definedName name="Total_Nós_média" localSheetId="0" hidden="1">#REF!</definedName>
    <definedName name="Total_Nós_média" localSheetId="1" hidden="1">#REF!</definedName>
    <definedName name="Total_Nós_média" hidden="1">#REF!</definedName>
    <definedName name="Total_Portagens_média" localSheetId="0" hidden="1">#REF!</definedName>
    <definedName name="Total_Portagens_média" localSheetId="1" hidden="1">#REF!</definedName>
    <definedName name="Total_Portagens_média" hidden="1">#REF!</definedName>
    <definedName name="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XRefColumnsCount" hidden="1">1</definedName>
    <definedName name="XRefPasteRangeCount" hidden="1">1</definedName>
    <definedName name="Z_148EB523_2AD8_4BF5_875E_1A0B44E3C5DA_.wvu.Cols" localSheetId="1" hidden="1">Summary!$Q:$R,Summary!$Y:$Y,Summary!$AN:$XFD</definedName>
    <definedName name="Z_5F88CBE0_3291_4A41_996B_A8A1DC273A84_.wvu.Cols" localSheetId="5" hidden="1">CF!$DR:$XFD</definedName>
    <definedName name="Z_5F88CBE0_3291_4A41_996B_A8A1DC273A84_.wvu.Cols" localSheetId="4" hidden="1">Fin!$BW:$XFD</definedName>
    <definedName name="Z_5F88CBE0_3291_4A41_996B_A8A1DC273A84_.wvu.Cols" localSheetId="2" hidden="1">Inputs!$X:$XFD</definedName>
    <definedName name="Z_5F88CBE0_3291_4A41_996B_A8A1DC273A84_.wvu.Cols" localSheetId="9" hidden="1">Mac!$IQ:$XFD</definedName>
    <definedName name="Z_5F88CBE0_3291_4A41_996B_A8A1DC273A84_.wvu.Cols" localSheetId="3" hidden="1">Oper!$DR:$XFD</definedName>
    <definedName name="Z_5F88CBE0_3291_4A41_996B_A8A1DC273A84_.wvu.Cols" localSheetId="7" hidden="1">Tax!$DR:$XFD</definedName>
    <definedName name="Z_5F88CBE0_3291_4A41_996B_A8A1DC273A84_.wvu.Cols" localSheetId="8" hidden="1">'Valuation &amp; IRR'!$CD:$XFD</definedName>
    <definedName name="Z_5F88CBE0_3291_4A41_996B_A8A1DC273A84_.wvu.PrintArea" localSheetId="1" hidden="1">Summary!$A$2:$Y$104</definedName>
    <definedName name="Z_5F88CBE0_3291_4A41_996B_A8A1DC273A84_.wvu.Rows" localSheetId="7" hidden="1">Tax!#REF!</definedName>
    <definedName name="Z_5F88CBE0_3291_4A41_996B_A8A1DC273A84_.wvu.Rows" localSheetId="8" hidden="1">'Valuation &amp; IRR'!$65643:$1048576,'Valuation &amp; IRR'!$256:$65391</definedName>
    <definedName name="Z_A171ABFC_BD20_4BE9_8F97_F532286F0C2D_.wvu.Cols" localSheetId="5" hidden="1">CF!$DR:$XFD</definedName>
    <definedName name="Z_A171ABFC_BD20_4BE9_8F97_F532286F0C2D_.wvu.Cols" localSheetId="4" hidden="1">Fin!$BW:$XFD</definedName>
    <definedName name="Z_A171ABFC_BD20_4BE9_8F97_F532286F0C2D_.wvu.Cols" localSheetId="2" hidden="1">Inputs!$X:$XFD</definedName>
    <definedName name="Z_A171ABFC_BD20_4BE9_8F97_F532286F0C2D_.wvu.Cols" localSheetId="9" hidden="1">Mac!$IQ:$XFD</definedName>
    <definedName name="Z_A171ABFC_BD20_4BE9_8F97_F532286F0C2D_.wvu.Cols" localSheetId="3" hidden="1">Oper!$DR:$XFD</definedName>
    <definedName name="Z_A171ABFC_BD20_4BE9_8F97_F532286F0C2D_.wvu.Cols" localSheetId="7" hidden="1">Tax!$DR:$XFD</definedName>
    <definedName name="Z_A171ABFC_BD20_4BE9_8F97_F532286F0C2D_.wvu.Cols" localSheetId="8" hidden="1">'Valuation &amp; IRR'!$CD:$XFD</definedName>
    <definedName name="Z_A171ABFC_BD20_4BE9_8F97_F532286F0C2D_.wvu.PrintArea" localSheetId="1" hidden="1">Summary!$A$2:$Y$104</definedName>
    <definedName name="Z_A171ABFC_BD20_4BE9_8F97_F532286F0C2D_.wvu.Rows" localSheetId="7" hidden="1">Tax!#REF!</definedName>
    <definedName name="Z_A171ABFC_BD20_4BE9_8F97_F532286F0C2D_.wvu.Rows" localSheetId="8" hidden="1">'Valuation &amp; IRR'!$65643:$1048576,'Valuation &amp; IRR'!$256:$65391</definedName>
    <definedName name="Z_D5F8AA90_3C65_487D_972C_477D75B27FAB_.wvu.Cols" localSheetId="1" hidden="1">Summary!$J:$AH</definedName>
    <definedName name="Z_D5F8AA90_3C65_487D_972C_477D75B27FAB_.wvu.PrintArea" localSheetId="1" hidden="1">Summary!$A$6:$AS$105</definedName>
  </definedNames>
  <calcPr calcId="191029"/>
  <customWorkbookViews>
    <customWorkbookView name="Agustin Gomez-Moreno Vazquez - Vista personalizada" guid="{A171ABFC-BD20-4BE9-8F97-F532286F0C2D}" mergeInterval="0" personalView="1" maximized="1" xWindow="-8" yWindow="-8" windowWidth="1936" windowHeight="1056" tabRatio="884" activeSheetId="4"/>
    <customWorkbookView name="Pablo Villanueva Peral - Personal View" guid="{5F88CBE0-3291-4A41-996B-A8A1DC273A84}" mergeInterval="0" personalView="1" maximized="1" xWindow="-8" yWindow="-8" windowWidth="1936" windowHeight="1056" tabRatio="884" activeSheetId="4"/>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9" i="3" l="1"/>
  <c r="R8" i="3" s="1"/>
  <c r="R9" i="3" s="1"/>
  <c r="S8" i="3" s="1"/>
  <c r="S9" i="3" s="1"/>
  <c r="T8" i="3" s="1"/>
  <c r="T9" i="3" s="1"/>
  <c r="L21" i="2"/>
  <c r="L22" i="2"/>
  <c r="Q9" i="5"/>
  <c r="R8" i="5" s="1"/>
  <c r="R9" i="5" s="1"/>
  <c r="S8" i="5" s="1"/>
  <c r="S9" i="5" s="1"/>
  <c r="L85" i="2"/>
  <c r="E111" i="1"/>
  <c r="Q236" i="4"/>
  <c r="F140" i="1"/>
  <c r="F159" i="1" s="1"/>
  <c r="F141" i="1"/>
  <c r="F144" i="1"/>
  <c r="F153" i="1"/>
  <c r="F154" i="1"/>
  <c r="F155" i="1"/>
  <c r="F145" i="1"/>
  <c r="F147" i="1"/>
  <c r="F152" i="1"/>
  <c r="E108" i="1"/>
  <c r="R38" i="7"/>
  <c r="L83" i="2"/>
  <c r="B16" i="1"/>
  <c r="B17" i="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R39" i="6"/>
  <c r="R40" i="6"/>
  <c r="R41" i="6"/>
  <c r="R42" i="6"/>
  <c r="R43" i="6"/>
  <c r="R44" i="6"/>
  <c r="R38" i="6" s="1"/>
  <c r="R55" i="6"/>
  <c r="R56" i="6"/>
  <c r="R60" i="6"/>
  <c r="R61" i="6"/>
  <c r="R63" i="6"/>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R54" i="6"/>
  <c r="R69" i="7"/>
  <c r="R74" i="7" s="1"/>
  <c r="R73" i="7"/>
  <c r="Y23" i="8"/>
  <c r="L94" i="2"/>
  <c r="L67" i="7"/>
  <c r="L96" i="2"/>
  <c r="L76" i="7" s="1"/>
  <c r="L95" i="2"/>
  <c r="L68" i="7" s="1"/>
  <c r="S64" i="7"/>
  <c r="T64" i="7"/>
  <c r="U64" i="7" s="1"/>
  <c r="V64" i="7" s="1"/>
  <c r="BV26" i="9"/>
  <c r="BW26" i="9"/>
  <c r="BX26" i="9"/>
  <c r="BY26" i="9"/>
  <c r="BZ26" i="9"/>
  <c r="CA26" i="9"/>
  <c r="CB26" i="9"/>
  <c r="CC26" i="9"/>
  <c r="CD26" i="9"/>
  <c r="CE26" i="9"/>
  <c r="CF26" i="9"/>
  <c r="CG26" i="9"/>
  <c r="CH26" i="9"/>
  <c r="CI26" i="9"/>
  <c r="CJ26" i="9"/>
  <c r="CK26" i="9"/>
  <c r="CL26" i="9"/>
  <c r="CM26" i="9"/>
  <c r="CN26" i="9"/>
  <c r="CO26" i="9"/>
  <c r="CP26" i="9"/>
  <c r="CQ26" i="9"/>
  <c r="CR26" i="9"/>
  <c r="CS26" i="9"/>
  <c r="CT26" i="9"/>
  <c r="CU26" i="9"/>
  <c r="CV26" i="9"/>
  <c r="CW26" i="9"/>
  <c r="CX26" i="9"/>
  <c r="CY26" i="9"/>
  <c r="CZ26" i="9"/>
  <c r="DA26" i="9"/>
  <c r="DB26" i="9"/>
  <c r="DC26" i="9"/>
  <c r="DD26" i="9"/>
  <c r="DE26" i="9"/>
  <c r="DF26" i="9"/>
  <c r="DG26" i="9"/>
  <c r="DH26" i="9"/>
  <c r="DI26" i="9"/>
  <c r="DJ26" i="9"/>
  <c r="DK26" i="9"/>
  <c r="DL26" i="9"/>
  <c r="DM26" i="9"/>
  <c r="DN26" i="9"/>
  <c r="DO26" i="9"/>
  <c r="DP26" i="9"/>
  <c r="DQ26" i="9"/>
  <c r="DR26" i="9"/>
  <c r="DS26" i="9"/>
  <c r="DT26" i="9"/>
  <c r="DU26" i="9"/>
  <c r="DV26" i="9"/>
  <c r="DW26" i="9"/>
  <c r="DX26" i="9"/>
  <c r="DY26" i="9"/>
  <c r="DZ26" i="9"/>
  <c r="EA26" i="9"/>
  <c r="EB26" i="9"/>
  <c r="EC26" i="9"/>
  <c r="ED26" i="9"/>
  <c r="EE26" i="9"/>
  <c r="EF26" i="9"/>
  <c r="EG26" i="9"/>
  <c r="EH26" i="9"/>
  <c r="EI26" i="9"/>
  <c r="EJ26" i="9"/>
  <c r="EK26" i="9"/>
  <c r="EL26" i="9"/>
  <c r="EM26" i="9"/>
  <c r="EN26" i="9"/>
  <c r="EO26" i="9"/>
  <c r="EP26" i="9"/>
  <c r="EQ26" i="9"/>
  <c r="ER26" i="9"/>
  <c r="ES26" i="9"/>
  <c r="ET26" i="9"/>
  <c r="EU26" i="9"/>
  <c r="EV26" i="9"/>
  <c r="EW26" i="9"/>
  <c r="EX26" i="9"/>
  <c r="EY26" i="9"/>
  <c r="EZ26" i="9"/>
  <c r="FA26" i="9"/>
  <c r="FB26" i="9"/>
  <c r="FC26" i="9"/>
  <c r="FD26" i="9"/>
  <c r="FE26" i="9"/>
  <c r="FF26" i="9"/>
  <c r="FG26" i="9"/>
  <c r="FH26" i="9"/>
  <c r="FI26" i="9"/>
  <c r="FJ26" i="9"/>
  <c r="FK26" i="9"/>
  <c r="FL26" i="9"/>
  <c r="FM26" i="9"/>
  <c r="FN26" i="9"/>
  <c r="FO26" i="9"/>
  <c r="FP26" i="9"/>
  <c r="FQ26" i="9"/>
  <c r="FR26" i="9"/>
  <c r="FS26" i="9"/>
  <c r="FT26" i="9"/>
  <c r="FU26" i="9"/>
  <c r="FV26" i="9"/>
  <c r="FW26" i="9"/>
  <c r="FX26" i="9"/>
  <c r="FY26" i="9"/>
  <c r="FZ26" i="9"/>
  <c r="GA26" i="9"/>
  <c r="GB26" i="9"/>
  <c r="GC26" i="9"/>
  <c r="GD26" i="9"/>
  <c r="GE26" i="9"/>
  <c r="GF26" i="9"/>
  <c r="GG26" i="9"/>
  <c r="GH26" i="9"/>
  <c r="GI26" i="9"/>
  <c r="GJ26" i="9"/>
  <c r="GK26" i="9"/>
  <c r="GL26" i="9"/>
  <c r="GM26" i="9"/>
  <c r="GN26" i="9"/>
  <c r="GO26" i="9"/>
  <c r="GP26" i="9"/>
  <c r="GQ26" i="9"/>
  <c r="GR26" i="9"/>
  <c r="GS26" i="9"/>
  <c r="GT26" i="9"/>
  <c r="GU26" i="9"/>
  <c r="GV26" i="9"/>
  <c r="GW26" i="9"/>
  <c r="GX26" i="9"/>
  <c r="GY26" i="9"/>
  <c r="GZ26" i="9"/>
  <c r="HA26" i="9"/>
  <c r="HB26" i="9"/>
  <c r="HC26" i="9"/>
  <c r="HD26" i="9"/>
  <c r="HE26" i="9"/>
  <c r="HF26" i="9"/>
  <c r="HG26" i="9"/>
  <c r="HH26" i="9"/>
  <c r="HI26" i="9"/>
  <c r="HJ26" i="9"/>
  <c r="HK26" i="9"/>
  <c r="HL26" i="9"/>
  <c r="HM26" i="9"/>
  <c r="HN26" i="9"/>
  <c r="HO26" i="9"/>
  <c r="HP26" i="9"/>
  <c r="HQ26" i="9"/>
  <c r="HR26" i="9"/>
  <c r="HS26" i="9"/>
  <c r="HT26" i="9"/>
  <c r="HU26" i="9"/>
  <c r="HV26" i="9"/>
  <c r="HW26" i="9"/>
  <c r="HX26" i="9"/>
  <c r="HY26" i="9"/>
  <c r="HZ26" i="9"/>
  <c r="IA26" i="9"/>
  <c r="IB26" i="9"/>
  <c r="IC26" i="9"/>
  <c r="ID26" i="9"/>
  <c r="IE26" i="9"/>
  <c r="IF26" i="9"/>
  <c r="IG26" i="9"/>
  <c r="IH26" i="9"/>
  <c r="II26" i="9"/>
  <c r="IJ26" i="9"/>
  <c r="IK26" i="9"/>
  <c r="IL26" i="9"/>
  <c r="IM26" i="9"/>
  <c r="IN26" i="9"/>
  <c r="IO26" i="9"/>
  <c r="Q26" i="9"/>
  <c r="N21" i="4"/>
  <c r="R277" i="4"/>
  <c r="N274" i="4" s="1"/>
  <c r="R251" i="4"/>
  <c r="N248" i="4"/>
  <c r="R88" i="4"/>
  <c r="R305" i="4"/>
  <c r="R317" i="4"/>
  <c r="N314" i="4"/>
  <c r="L15" i="2"/>
  <c r="H111" i="3" s="1"/>
  <c r="C47" i="2"/>
  <c r="A47" i="2"/>
  <c r="A48" i="2" s="1"/>
  <c r="A49" i="2" s="1"/>
  <c r="A50" i="2" s="1"/>
  <c r="A51" i="2" s="1"/>
  <c r="A52" i="2" s="1"/>
  <c r="A53" i="2" s="1"/>
  <c r="A54" i="2" s="1"/>
  <c r="A55" i="2" s="1"/>
  <c r="C48" i="2"/>
  <c r="C49" i="2" s="1"/>
  <c r="C50" i="2" s="1"/>
  <c r="C35" i="2"/>
  <c r="C51" i="2"/>
  <c r="C52" i="2" s="1"/>
  <c r="C53" i="2" s="1"/>
  <c r="C54" i="2" s="1"/>
  <c r="C55" i="2" s="1"/>
  <c r="F146" i="1"/>
  <c r="F161" i="1"/>
  <c r="G138" i="1"/>
  <c r="H138" i="1" s="1"/>
  <c r="I138" i="1" s="1"/>
  <c r="J138" i="1" s="1"/>
  <c r="K138" i="1"/>
  <c r="L138" i="1" s="1"/>
  <c r="M138" i="1" s="1"/>
  <c r="N138" i="1" s="1"/>
  <c r="O138" i="1" s="1"/>
  <c r="P138" i="1" s="1"/>
  <c r="Q138" i="1" s="1"/>
  <c r="R138" i="1" s="1"/>
  <c r="S138" i="1" s="1"/>
  <c r="T138" i="1" s="1"/>
  <c r="U138" i="1" s="1"/>
  <c r="V138" i="1" s="1"/>
  <c r="W138" i="1" s="1"/>
  <c r="X138" i="1" s="1"/>
  <c r="Y138" i="1" s="1"/>
  <c r="Z138" i="1" s="1"/>
  <c r="AA138" i="1" s="1"/>
  <c r="AB138" i="1" s="1"/>
  <c r="AC138" i="1" s="1"/>
  <c r="AD138" i="1" s="1"/>
  <c r="AE138" i="1" s="1"/>
  <c r="AF138" i="1" s="1"/>
  <c r="AG138" i="1" s="1"/>
  <c r="AH138" i="1" s="1"/>
  <c r="AI138" i="1" s="1"/>
  <c r="AJ138" i="1" s="1"/>
  <c r="AK138" i="1" s="1"/>
  <c r="AL138" i="1" s="1"/>
  <c r="AM138" i="1" s="1"/>
  <c r="AN138" i="1" s="1"/>
  <c r="AO138" i="1" s="1"/>
  <c r="AP138" i="1" s="1"/>
  <c r="AQ138" i="1" s="1"/>
  <c r="AR138" i="1" s="1"/>
  <c r="AS138" i="1" s="1"/>
  <c r="AT138" i="1" s="1"/>
  <c r="AU138" i="1" s="1"/>
  <c r="AV138" i="1" s="1"/>
  <c r="AW138" i="1" s="1"/>
  <c r="AX138" i="1" s="1"/>
  <c r="L187" i="2"/>
  <c r="L184" i="2"/>
  <c r="L183" i="2"/>
  <c r="L182" i="2"/>
  <c r="L181" i="2"/>
  <c r="L177" i="2"/>
  <c r="L172" i="2"/>
  <c r="L171" i="2"/>
  <c r="L169" i="2"/>
  <c r="L167" i="2"/>
  <c r="L164" i="2"/>
  <c r="L163" i="2"/>
  <c r="L160" i="2"/>
  <c r="L159" i="2"/>
  <c r="L158" i="2"/>
  <c r="L157" i="2"/>
  <c r="L156" i="2"/>
  <c r="L155" i="2"/>
  <c r="L154" i="2"/>
  <c r="L153" i="2"/>
  <c r="L100" i="2"/>
  <c r="L99" i="2"/>
  <c r="L98" i="2"/>
  <c r="L91" i="2"/>
  <c r="L26" i="7" s="1"/>
  <c r="L89" i="2"/>
  <c r="L20" i="7"/>
  <c r="L18" i="2"/>
  <c r="L17" i="2"/>
  <c r="L16" i="2"/>
  <c r="L14" i="2"/>
  <c r="V20" i="7"/>
  <c r="BI20" i="7"/>
  <c r="AS20" i="7"/>
  <c r="AC20" i="7"/>
  <c r="BG20" i="7"/>
  <c r="AQ20" i="7"/>
  <c r="AA20" i="7"/>
  <c r="AZ20" i="7"/>
  <c r="AJ20" i="7"/>
  <c r="T20" i="7"/>
  <c r="AX20" i="7"/>
  <c r="AH20" i="7"/>
  <c r="BC20" i="7"/>
  <c r="AM20" i="7"/>
  <c r="W20" i="7"/>
  <c r="AV20" i="7"/>
  <c r="AF20" i="7"/>
  <c r="BJ20" i="7"/>
  <c r="AT20" i="7"/>
  <c r="AD20" i="7"/>
  <c r="BA20" i="7"/>
  <c r="AK20" i="7"/>
  <c r="U20" i="7"/>
  <c r="AY20" i="7"/>
  <c r="AI20" i="7"/>
  <c r="S20" i="7"/>
  <c r="BH20" i="7"/>
  <c r="AR20" i="7"/>
  <c r="AB20" i="7"/>
  <c r="BF20" i="7"/>
  <c r="AP20" i="7"/>
  <c r="Z20" i="7"/>
  <c r="AW20" i="7"/>
  <c r="AG20" i="7"/>
  <c r="AU20" i="7"/>
  <c r="AE20" i="7"/>
  <c r="BD20" i="7"/>
  <c r="AN20" i="7"/>
  <c r="X20" i="7"/>
  <c r="BB20" i="7"/>
  <c r="AL20" i="7"/>
  <c r="BE20" i="7"/>
  <c r="AO20" i="7"/>
  <c r="Y20" i="7"/>
  <c r="M298" i="4"/>
  <c r="M299" i="4"/>
  <c r="BJ284" i="4"/>
  <c r="BI284" i="4"/>
  <c r="BH284" i="4"/>
  <c r="BG284" i="4"/>
  <c r="BF284" i="4"/>
  <c r="BE284" i="4"/>
  <c r="U236" i="4"/>
  <c r="T236" i="4"/>
  <c r="S236" i="4"/>
  <c r="R236"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E73" i="8"/>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L164" i="4"/>
  <c r="DQ18" i="3"/>
  <c r="DQ19"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N74" i="3"/>
  <c r="N71" i="3"/>
  <c r="N68" i="3"/>
  <c r="N65" i="3"/>
  <c r="H52" i="3"/>
  <c r="C58" i="2"/>
  <c r="C70" i="2" s="1"/>
  <c r="A58" i="2"/>
  <c r="A70" i="2" s="1"/>
  <c r="A35" i="2"/>
  <c r="A36" i="2" s="1"/>
  <c r="A59" i="2"/>
  <c r="A71" i="2" s="1"/>
  <c r="C59" i="2"/>
  <c r="C71" i="2"/>
  <c r="C36" i="2"/>
  <c r="C37" i="2"/>
  <c r="C38" i="2" s="1"/>
  <c r="C60" i="2"/>
  <c r="C72" i="2"/>
  <c r="D55" i="7"/>
  <c r="DP30" i="5"/>
  <c r="DP96" i="6" s="1"/>
  <c r="DO30" i="5"/>
  <c r="DO96" i="6"/>
  <c r="DN30" i="5"/>
  <c r="DN96" i="6" s="1"/>
  <c r="DM30" i="5"/>
  <c r="DM96" i="6"/>
  <c r="DL30" i="5"/>
  <c r="DL96" i="6" s="1"/>
  <c r="DK30" i="5"/>
  <c r="DK96" i="6"/>
  <c r="DJ30" i="5"/>
  <c r="DJ96" i="6" s="1"/>
  <c r="DI30" i="5"/>
  <c r="DI96" i="6"/>
  <c r="DH30" i="5"/>
  <c r="DH96" i="6" s="1"/>
  <c r="DG30" i="5"/>
  <c r="DG96" i="6"/>
  <c r="DF30" i="5"/>
  <c r="DF96" i="6" s="1"/>
  <c r="DE30" i="5"/>
  <c r="DE96" i="6"/>
  <c r="DD30" i="5"/>
  <c r="DD96" i="6" s="1"/>
  <c r="DC30" i="5"/>
  <c r="DC96" i="6"/>
  <c r="DB30" i="5"/>
  <c r="DB96" i="6" s="1"/>
  <c r="DA30" i="5"/>
  <c r="DA96" i="6"/>
  <c r="CZ30" i="5"/>
  <c r="CZ96" i="6" s="1"/>
  <c r="CY30" i="5"/>
  <c r="CY96" i="6"/>
  <c r="CX30" i="5"/>
  <c r="CX96" i="6" s="1"/>
  <c r="CW30" i="5"/>
  <c r="CW96" i="6"/>
  <c r="CV30" i="5"/>
  <c r="CV96" i="6" s="1"/>
  <c r="CU30" i="5"/>
  <c r="CU96" i="6"/>
  <c r="CT30" i="5"/>
  <c r="CT96" i="6" s="1"/>
  <c r="CS30" i="5"/>
  <c r="CS96" i="6"/>
  <c r="CR30" i="5"/>
  <c r="CR96" i="6" s="1"/>
  <c r="CQ30" i="5"/>
  <c r="CQ96" i="6"/>
  <c r="CP30" i="5"/>
  <c r="CP96" i="6" s="1"/>
  <c r="CO30" i="5"/>
  <c r="CO96" i="6"/>
  <c r="CN30" i="5"/>
  <c r="CN96" i="6" s="1"/>
  <c r="CM30" i="5"/>
  <c r="CM96" i="6"/>
  <c r="CL30" i="5"/>
  <c r="CL96" i="6" s="1"/>
  <c r="CK30" i="5"/>
  <c r="CK96" i="6"/>
  <c r="CJ30" i="5"/>
  <c r="CJ96" i="6" s="1"/>
  <c r="CI30" i="5"/>
  <c r="CI96" i="6"/>
  <c r="CH30" i="5"/>
  <c r="CH96" i="6" s="1"/>
  <c r="CG30" i="5"/>
  <c r="CG96" i="6"/>
  <c r="CF30" i="5"/>
  <c r="CF96" i="6" s="1"/>
  <c r="CE30" i="5"/>
  <c r="CE96" i="6"/>
  <c r="CD30" i="5"/>
  <c r="CD96" i="6" s="1"/>
  <c r="CC30" i="5"/>
  <c r="CC96" i="6"/>
  <c r="CB30" i="5"/>
  <c r="CB96" i="6" s="1"/>
  <c r="CA30" i="5"/>
  <c r="CA96" i="6"/>
  <c r="BZ30" i="5"/>
  <c r="BZ96" i="6" s="1"/>
  <c r="BY30" i="5"/>
  <c r="BY96" i="6"/>
  <c r="BX30" i="5"/>
  <c r="BX96" i="6" s="1"/>
  <c r="BW30" i="5"/>
  <c r="BW96" i="6"/>
  <c r="BV30" i="5"/>
  <c r="BV96" i="6" s="1"/>
  <c r="T183" i="4"/>
  <c r="S183" i="4"/>
  <c r="R183" i="4"/>
  <c r="DP25" i="6"/>
  <c r="DO25" i="6"/>
  <c r="DN25" i="6"/>
  <c r="DM25" i="6"/>
  <c r="DL25" i="6"/>
  <c r="DK25" i="6"/>
  <c r="DJ25" i="6"/>
  <c r="DI25" i="6"/>
  <c r="DH25" i="6"/>
  <c r="DG25" i="6"/>
  <c r="DF25" i="6"/>
  <c r="DE25" i="6"/>
  <c r="DD25" i="6"/>
  <c r="DC25" i="6"/>
  <c r="DB25" i="6"/>
  <c r="DA25" i="6"/>
  <c r="CZ25" i="6"/>
  <c r="CY25" i="6"/>
  <c r="CX25" i="6"/>
  <c r="CW25" i="6"/>
  <c r="CV25" i="6"/>
  <c r="CU25" i="6"/>
  <c r="CT25" i="6"/>
  <c r="CS25" i="6"/>
  <c r="CR25" i="6"/>
  <c r="CQ25" i="6"/>
  <c r="CP25" i="6"/>
  <c r="CO25" i="6"/>
  <c r="CN25" i="6"/>
  <c r="CM25" i="6"/>
  <c r="CL25" i="6"/>
  <c r="CK25" i="6"/>
  <c r="CJ25" i="6"/>
  <c r="CI25" i="6"/>
  <c r="CH25" i="6"/>
  <c r="CG25" i="6"/>
  <c r="CF25" i="6"/>
  <c r="CE25" i="6"/>
  <c r="CD25" i="6"/>
  <c r="CC25" i="6"/>
  <c r="CB25" i="6"/>
  <c r="CA25" i="6"/>
  <c r="BZ25" i="6"/>
  <c r="BY25" i="6"/>
  <c r="BX25" i="6"/>
  <c r="BW25" i="6"/>
  <c r="BV25" i="6"/>
  <c r="DP37" i="5"/>
  <c r="DO37" i="5"/>
  <c r="DN37" i="5"/>
  <c r="DM37" i="5"/>
  <c r="DL37" i="5"/>
  <c r="DK37" i="5"/>
  <c r="DJ37" i="5"/>
  <c r="DI37" i="5"/>
  <c r="DH37" i="5"/>
  <c r="DG37" i="5"/>
  <c r="DF37" i="5"/>
  <c r="DE37" i="5"/>
  <c r="DD37" i="5"/>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DP60" i="6"/>
  <c r="DO60" i="6"/>
  <c r="DN60" i="6"/>
  <c r="DM60" i="6"/>
  <c r="DL60" i="6"/>
  <c r="DK60" i="6"/>
  <c r="DK59" i="6" s="1"/>
  <c r="DJ60" i="6"/>
  <c r="DI60" i="6"/>
  <c r="DH60" i="6"/>
  <c r="DG60" i="6"/>
  <c r="DF60" i="6"/>
  <c r="DE60" i="6"/>
  <c r="DD60" i="6"/>
  <c r="DC60" i="6"/>
  <c r="DC59" i="6" s="1"/>
  <c r="DB60" i="6"/>
  <c r="DA60" i="6"/>
  <c r="CZ60" i="6"/>
  <c r="CY60" i="6"/>
  <c r="CX60" i="6"/>
  <c r="CW60" i="6"/>
  <c r="CV60" i="6"/>
  <c r="CU60" i="6"/>
  <c r="CU59" i="6" s="1"/>
  <c r="CT60" i="6"/>
  <c r="CS60" i="6"/>
  <c r="CR60" i="6"/>
  <c r="CQ60" i="6"/>
  <c r="CP60" i="6"/>
  <c r="CO60" i="6"/>
  <c r="CN60" i="6"/>
  <c r="CM60" i="6"/>
  <c r="CM59" i="6" s="1"/>
  <c r="CL60" i="6"/>
  <c r="CK60" i="6"/>
  <c r="CJ60" i="6"/>
  <c r="CI60" i="6"/>
  <c r="CH60" i="6"/>
  <c r="CG60" i="6"/>
  <c r="CF60" i="6"/>
  <c r="CE60" i="6"/>
  <c r="CE59" i="6" s="1"/>
  <c r="CD60" i="6"/>
  <c r="CC60" i="6"/>
  <c r="CB60" i="6"/>
  <c r="CA60" i="6"/>
  <c r="BZ60" i="6"/>
  <c r="BY60" i="6"/>
  <c r="BX60" i="6"/>
  <c r="BW60" i="6"/>
  <c r="BW59" i="6" s="1"/>
  <c r="BV60" i="6"/>
  <c r="T60" i="6"/>
  <c r="S60" i="6"/>
  <c r="T32" i="4"/>
  <c r="S32" i="4"/>
  <c r="R32" i="4"/>
  <c r="T31" i="4"/>
  <c r="S31" i="4"/>
  <c r="R31" i="4"/>
  <c r="T30" i="4"/>
  <c r="S30" i="4"/>
  <c r="R30" i="4"/>
  <c r="T29" i="4"/>
  <c r="S29" i="4"/>
  <c r="R29" i="4"/>
  <c r="T352" i="4"/>
  <c r="S352" i="4"/>
  <c r="IO25" i="9"/>
  <c r="IN25" i="9"/>
  <c r="IM25" i="9"/>
  <c r="IL25" i="9"/>
  <c r="IK25" i="9"/>
  <c r="IJ25" i="9"/>
  <c r="II25" i="9"/>
  <c r="IH25" i="9"/>
  <c r="IG25" i="9"/>
  <c r="IF25" i="9"/>
  <c r="IE25" i="9"/>
  <c r="ID25" i="9"/>
  <c r="IC25" i="9"/>
  <c r="IB25" i="9"/>
  <c r="IA25" i="9"/>
  <c r="HZ25" i="9"/>
  <c r="HY25" i="9"/>
  <c r="HX25" i="9"/>
  <c r="HW25" i="9"/>
  <c r="HV25" i="9"/>
  <c r="HU25" i="9"/>
  <c r="HT25" i="9"/>
  <c r="HS25" i="9"/>
  <c r="HR25" i="9"/>
  <c r="HQ25" i="9"/>
  <c r="HP25" i="9"/>
  <c r="HO25" i="9"/>
  <c r="HN25" i="9"/>
  <c r="HM25" i="9"/>
  <c r="HL25" i="9"/>
  <c r="HK25" i="9"/>
  <c r="HJ25" i="9"/>
  <c r="HI25" i="9"/>
  <c r="HH25" i="9"/>
  <c r="HG25" i="9"/>
  <c r="HF25" i="9"/>
  <c r="HE25" i="9"/>
  <c r="HD25" i="9"/>
  <c r="HC25" i="9"/>
  <c r="HB25" i="9"/>
  <c r="HA25" i="9"/>
  <c r="GZ25" i="9"/>
  <c r="GY25" i="9"/>
  <c r="GX25" i="9"/>
  <c r="GW25" i="9"/>
  <c r="GV25" i="9"/>
  <c r="GU25" i="9"/>
  <c r="GT25" i="9"/>
  <c r="GS25" i="9"/>
  <c r="GR25" i="9"/>
  <c r="GQ25" i="9"/>
  <c r="GP25" i="9"/>
  <c r="GO25" i="9"/>
  <c r="GN25" i="9"/>
  <c r="GM25" i="9"/>
  <c r="GL25" i="9"/>
  <c r="GK25" i="9"/>
  <c r="GJ25" i="9"/>
  <c r="GI25" i="9"/>
  <c r="GH25" i="9"/>
  <c r="GG25" i="9"/>
  <c r="GF25" i="9"/>
  <c r="GE25" i="9"/>
  <c r="GD25" i="9"/>
  <c r="GC25" i="9"/>
  <c r="GB25" i="9"/>
  <c r="GA25" i="9"/>
  <c r="FZ25" i="9"/>
  <c r="FY25" i="9"/>
  <c r="FX25" i="9"/>
  <c r="FW25" i="9"/>
  <c r="FV25" i="9"/>
  <c r="FU25" i="9"/>
  <c r="FT25" i="9"/>
  <c r="FS25" i="9"/>
  <c r="FR25" i="9"/>
  <c r="FQ25" i="9"/>
  <c r="FP25" i="9"/>
  <c r="FO25" i="9"/>
  <c r="FN25" i="9"/>
  <c r="FM25" i="9"/>
  <c r="FL25" i="9"/>
  <c r="FK25" i="9"/>
  <c r="FJ25" i="9"/>
  <c r="FI25" i="9"/>
  <c r="FH25" i="9"/>
  <c r="FG25" i="9"/>
  <c r="FF25" i="9"/>
  <c r="FE25" i="9"/>
  <c r="FD25" i="9"/>
  <c r="FC25" i="9"/>
  <c r="FB25" i="9"/>
  <c r="FA25" i="9"/>
  <c r="EZ25" i="9"/>
  <c r="EY25" i="9"/>
  <c r="EX25" i="9"/>
  <c r="EW25" i="9"/>
  <c r="EV25" i="9"/>
  <c r="EU25" i="9"/>
  <c r="ET25" i="9"/>
  <c r="ES25" i="9"/>
  <c r="ER25" i="9"/>
  <c r="EQ25" i="9"/>
  <c r="EP25" i="9"/>
  <c r="EO25" i="9"/>
  <c r="EN25" i="9"/>
  <c r="EM25" i="9"/>
  <c r="EL25" i="9"/>
  <c r="EK25" i="9"/>
  <c r="EJ25" i="9"/>
  <c r="EI25" i="9"/>
  <c r="EH25" i="9"/>
  <c r="EG25" i="9"/>
  <c r="EF25" i="9"/>
  <c r="EE25" i="9"/>
  <c r="ED25" i="9"/>
  <c r="EC25" i="9"/>
  <c r="EB25" i="9"/>
  <c r="EA25" i="9"/>
  <c r="DZ25" i="9"/>
  <c r="DY25" i="9"/>
  <c r="DX25" i="9"/>
  <c r="DW25" i="9"/>
  <c r="DV25" i="9"/>
  <c r="DU25" i="9"/>
  <c r="DT25" i="9"/>
  <c r="DS25" i="9"/>
  <c r="DR25" i="9"/>
  <c r="DQ25" i="9"/>
  <c r="DP25" i="9"/>
  <c r="DO25" i="9"/>
  <c r="DN25" i="9"/>
  <c r="DM25" i="9"/>
  <c r="DL25" i="9"/>
  <c r="DK25" i="9"/>
  <c r="DJ25" i="9"/>
  <c r="DI25" i="9"/>
  <c r="DH25" i="9"/>
  <c r="DG25" i="9"/>
  <c r="DF25" i="9"/>
  <c r="DE25" i="9"/>
  <c r="DD25" i="9"/>
  <c r="DC25" i="9"/>
  <c r="DB25" i="9"/>
  <c r="DA25" i="9"/>
  <c r="CZ25" i="9"/>
  <c r="CY25" i="9"/>
  <c r="CX25" i="9"/>
  <c r="CW25" i="9"/>
  <c r="CV25" i="9"/>
  <c r="CU25" i="9"/>
  <c r="CT25" i="9"/>
  <c r="CS25" i="9"/>
  <c r="CR25" i="9"/>
  <c r="CQ25" i="9"/>
  <c r="CP25" i="9"/>
  <c r="CO25" i="9"/>
  <c r="CN25" i="9"/>
  <c r="CM25" i="9"/>
  <c r="CL25" i="9"/>
  <c r="CK25" i="9"/>
  <c r="CJ25" i="9"/>
  <c r="CI25" i="9"/>
  <c r="CH25" i="9"/>
  <c r="CG25" i="9"/>
  <c r="CF25" i="9"/>
  <c r="CE25" i="9"/>
  <c r="CD25" i="9"/>
  <c r="CC25" i="9"/>
  <c r="CB25" i="9"/>
  <c r="CA25" i="9"/>
  <c r="BZ25" i="9"/>
  <c r="BY25" i="9"/>
  <c r="BX25" i="9"/>
  <c r="BW25" i="9"/>
  <c r="BV25" i="9"/>
  <c r="U212" i="4"/>
  <c r="L230" i="2"/>
  <c r="L214" i="2"/>
  <c r="N89" i="4"/>
  <c r="R113" i="4"/>
  <c r="S113" i="4"/>
  <c r="T113" i="4"/>
  <c r="T114" i="4" s="1"/>
  <c r="U113" i="4"/>
  <c r="V113" i="4"/>
  <c r="W113" i="4"/>
  <c r="X113" i="4"/>
  <c r="Y113" i="4"/>
  <c r="Z113" i="4"/>
  <c r="AA113" i="4"/>
  <c r="AB113" i="4"/>
  <c r="AC113" i="4"/>
  <c r="AD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P114" i="4" s="1"/>
  <c r="BQ113" i="4"/>
  <c r="BR113" i="4"/>
  <c r="BS113" i="4"/>
  <c r="BT113" i="4"/>
  <c r="BU113" i="4"/>
  <c r="E72" i="8"/>
  <c r="K40" i="8"/>
  <c r="K39" i="8"/>
  <c r="K41" i="8" s="1"/>
  <c r="K50" i="8" s="1"/>
  <c r="K38" i="8"/>
  <c r="K31" i="8"/>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Q8" i="4"/>
  <c r="DP40" i="5"/>
  <c r="DO40" i="5"/>
  <c r="DN40" i="5"/>
  <c r="DM40" i="5"/>
  <c r="DL40" i="5"/>
  <c r="DK40" i="5"/>
  <c r="DJ40" i="5"/>
  <c r="DI40" i="5"/>
  <c r="DH40" i="5"/>
  <c r="DG40" i="5"/>
  <c r="DF40" i="5"/>
  <c r="DE40" i="5"/>
  <c r="DD40" i="5"/>
  <c r="DC40" i="5"/>
  <c r="DB40" i="5"/>
  <c r="DA40" i="5"/>
  <c r="CZ40" i="5"/>
  <c r="CY40" i="5"/>
  <c r="CX40" i="5"/>
  <c r="CW40" i="5"/>
  <c r="CV40" i="5"/>
  <c r="CU40" i="5"/>
  <c r="CT40" i="5"/>
  <c r="CS40" i="5"/>
  <c r="CR40" i="5"/>
  <c r="CQ40" i="5"/>
  <c r="CP40" i="5"/>
  <c r="CO40" i="5"/>
  <c r="CN40" i="5"/>
  <c r="CM40" i="5"/>
  <c r="CL40" i="5"/>
  <c r="CK40" i="5"/>
  <c r="CJ40" i="5"/>
  <c r="CI40" i="5"/>
  <c r="CH40" i="5"/>
  <c r="CG40" i="5"/>
  <c r="CF40" i="5"/>
  <c r="CE40" i="5"/>
  <c r="CD40" i="5"/>
  <c r="CC40" i="5"/>
  <c r="CB40" i="5"/>
  <c r="CA40" i="5"/>
  <c r="BZ40" i="5"/>
  <c r="BY40" i="5"/>
  <c r="BY91" i="6" s="1"/>
  <c r="BX40" i="5"/>
  <c r="BW40" i="5"/>
  <c r="BV40" i="5"/>
  <c r="O7" i="1"/>
  <c r="U21" i="4"/>
  <c r="N304" i="4"/>
  <c r="DP61" i="6"/>
  <c r="DO61" i="6"/>
  <c r="DO59" i="6" s="1"/>
  <c r="DN61" i="6"/>
  <c r="DM61" i="6"/>
  <c r="DL61" i="6"/>
  <c r="DK61" i="6"/>
  <c r="DJ61" i="6"/>
  <c r="DI61" i="6"/>
  <c r="DH61" i="6"/>
  <c r="DG61" i="6"/>
  <c r="DG59" i="6" s="1"/>
  <c r="DF61" i="6"/>
  <c r="DE61" i="6"/>
  <c r="DD61" i="6"/>
  <c r="DC61" i="6"/>
  <c r="DB61" i="6"/>
  <c r="DA61" i="6"/>
  <c r="CZ61" i="6"/>
  <c r="CY61" i="6"/>
  <c r="CY59" i="6" s="1"/>
  <c r="CX61" i="6"/>
  <c r="CW61" i="6"/>
  <c r="CV61" i="6"/>
  <c r="CU61" i="6"/>
  <c r="CT61" i="6"/>
  <c r="CS61" i="6"/>
  <c r="CR61" i="6"/>
  <c r="CQ61" i="6"/>
  <c r="CQ59" i="6" s="1"/>
  <c r="CP61" i="6"/>
  <c r="CO61" i="6"/>
  <c r="CN61" i="6"/>
  <c r="CM61" i="6"/>
  <c r="CL61" i="6"/>
  <c r="CK61" i="6"/>
  <c r="CJ61" i="6"/>
  <c r="CI61" i="6"/>
  <c r="CH61" i="6"/>
  <c r="CG61" i="6"/>
  <c r="CF61" i="6"/>
  <c r="CE61" i="6"/>
  <c r="CD61" i="6"/>
  <c r="CC61" i="6"/>
  <c r="CB61" i="6"/>
  <c r="CA61" i="6"/>
  <c r="CA59" i="6" s="1"/>
  <c r="BZ61" i="6"/>
  <c r="BY61" i="6"/>
  <c r="BX61" i="6"/>
  <c r="BW61" i="6"/>
  <c r="BV61" i="6"/>
  <c r="J9" i="1"/>
  <c r="K47" i="8"/>
  <c r="BS207" i="4"/>
  <c r="BO207" i="4"/>
  <c r="BK207" i="4"/>
  <c r="BG207" i="4"/>
  <c r="BC207" i="4"/>
  <c r="AY207" i="4"/>
  <c r="AU207" i="4"/>
  <c r="AQ207" i="4"/>
  <c r="AM207" i="4"/>
  <c r="AI207" i="4"/>
  <c r="AE207" i="4"/>
  <c r="AA207" i="4"/>
  <c r="W207" i="4"/>
  <c r="S207" i="4"/>
  <c r="BR207" i="4"/>
  <c r="BN207" i="4"/>
  <c r="BJ207" i="4"/>
  <c r="BF207" i="4"/>
  <c r="BB207" i="4"/>
  <c r="AX207" i="4"/>
  <c r="AT207" i="4"/>
  <c r="AP207" i="4"/>
  <c r="AL207" i="4"/>
  <c r="AH207" i="4"/>
  <c r="AD207" i="4"/>
  <c r="Z207" i="4"/>
  <c r="V207" i="4"/>
  <c r="R207" i="4"/>
  <c r="BU207" i="4"/>
  <c r="BQ207" i="4"/>
  <c r="BM207" i="4"/>
  <c r="BI207" i="4"/>
  <c r="BE207" i="4"/>
  <c r="BA207" i="4"/>
  <c r="AW207" i="4"/>
  <c r="AS207" i="4"/>
  <c r="AO207" i="4"/>
  <c r="AK207" i="4"/>
  <c r="AC207" i="4"/>
  <c r="Y207" i="4"/>
  <c r="U207" i="4"/>
  <c r="AZ207" i="4"/>
  <c r="AV207" i="4"/>
  <c r="AR207" i="4"/>
  <c r="AN207" i="4"/>
  <c r="AJ207" i="4"/>
  <c r="AF207" i="4"/>
  <c r="AB207" i="4"/>
  <c r="X207" i="4"/>
  <c r="T207" i="4"/>
  <c r="AG207" i="4"/>
  <c r="BT207" i="4"/>
  <c r="BP207" i="4"/>
  <c r="BL207" i="4"/>
  <c r="BH207" i="4"/>
  <c r="BD207" i="4"/>
  <c r="J8" i="1"/>
  <c r="Y3" i="1"/>
  <c r="H45" i="3"/>
  <c r="DM45" i="3"/>
  <c r="DI45" i="3"/>
  <c r="DE45" i="3"/>
  <c r="DA45" i="3"/>
  <c r="CW45" i="3"/>
  <c r="CS45" i="3"/>
  <c r="CO45" i="3"/>
  <c r="CK45" i="3"/>
  <c r="CG45" i="3"/>
  <c r="CC45" i="3"/>
  <c r="BY45" i="3"/>
  <c r="BU45" i="3"/>
  <c r="BQ45" i="3"/>
  <c r="BM45" i="3"/>
  <c r="DP45" i="3"/>
  <c r="DL45" i="3"/>
  <c r="DH45" i="3"/>
  <c r="DD45" i="3"/>
  <c r="CZ45" i="3"/>
  <c r="CV45" i="3"/>
  <c r="CR45" i="3"/>
  <c r="CN45" i="3"/>
  <c r="CJ45" i="3"/>
  <c r="CF45" i="3"/>
  <c r="CB45" i="3"/>
  <c r="BX45" i="3"/>
  <c r="BT45" i="3"/>
  <c r="BP45" i="3"/>
  <c r="BL45" i="3"/>
  <c r="DO45" i="3"/>
  <c r="DK45" i="3"/>
  <c r="DG45" i="3"/>
  <c r="DC45" i="3"/>
  <c r="CY45" i="3"/>
  <c r="CU45" i="3"/>
  <c r="CQ45" i="3"/>
  <c r="CM45" i="3"/>
  <c r="CI45" i="3"/>
  <c r="CE45" i="3"/>
  <c r="CA45" i="3"/>
  <c r="BW45" i="3"/>
  <c r="BS45" i="3"/>
  <c r="BO45" i="3"/>
  <c r="BK45" i="3"/>
  <c r="DN45" i="3"/>
  <c r="DJ45" i="3"/>
  <c r="DF45" i="3"/>
  <c r="DB45" i="3"/>
  <c r="CX45" i="3"/>
  <c r="CT45" i="3"/>
  <c r="CP45" i="3"/>
  <c r="CL45" i="3"/>
  <c r="CH45" i="3"/>
  <c r="CD45" i="3"/>
  <c r="BZ45" i="3"/>
  <c r="BV45" i="3"/>
  <c r="BR45" i="3"/>
  <c r="BN45" i="3"/>
  <c r="E110" i="1"/>
  <c r="F107" i="1"/>
  <c r="G107" i="1" s="1"/>
  <c r="H107" i="1" s="1"/>
  <c r="I107" i="1" s="1"/>
  <c r="J107" i="1" s="1"/>
  <c r="IO24" i="9"/>
  <c r="IN24" i="9"/>
  <c r="IM24" i="9"/>
  <c r="IL24" i="9"/>
  <c r="IK24" i="9"/>
  <c r="IJ24" i="9"/>
  <c r="II24" i="9"/>
  <c r="IH24" i="9"/>
  <c r="IG24" i="9"/>
  <c r="IF24" i="9"/>
  <c r="IE24" i="9"/>
  <c r="ID24" i="9"/>
  <c r="IC24" i="9"/>
  <c r="IB24" i="9"/>
  <c r="IA24" i="9"/>
  <c r="HZ24" i="9"/>
  <c r="HY24" i="9"/>
  <c r="HX24" i="9"/>
  <c r="HW24" i="9"/>
  <c r="HV24" i="9"/>
  <c r="HU24" i="9"/>
  <c r="HT24" i="9"/>
  <c r="HS24" i="9"/>
  <c r="HR24" i="9"/>
  <c r="HQ24" i="9"/>
  <c r="HP24" i="9"/>
  <c r="HO24" i="9"/>
  <c r="HN24" i="9"/>
  <c r="HM24" i="9"/>
  <c r="HL24" i="9"/>
  <c r="HK24" i="9"/>
  <c r="HJ24" i="9"/>
  <c r="HI24" i="9"/>
  <c r="HH24" i="9"/>
  <c r="HG24" i="9"/>
  <c r="HF24" i="9"/>
  <c r="HE24" i="9"/>
  <c r="HD24" i="9"/>
  <c r="HC24" i="9"/>
  <c r="HB24" i="9"/>
  <c r="HA24" i="9"/>
  <c r="GZ24" i="9"/>
  <c r="GY24" i="9"/>
  <c r="GX24" i="9"/>
  <c r="GW24" i="9"/>
  <c r="GV24" i="9"/>
  <c r="GU24" i="9"/>
  <c r="GT24" i="9"/>
  <c r="GS24" i="9"/>
  <c r="GR24" i="9"/>
  <c r="GQ24" i="9"/>
  <c r="GP24" i="9"/>
  <c r="GO24" i="9"/>
  <c r="GN24" i="9"/>
  <c r="GM24" i="9"/>
  <c r="GL24" i="9"/>
  <c r="GK24" i="9"/>
  <c r="GJ24" i="9"/>
  <c r="GI24" i="9"/>
  <c r="GH24" i="9"/>
  <c r="GG24" i="9"/>
  <c r="GF24" i="9"/>
  <c r="GE24" i="9"/>
  <c r="GD24" i="9"/>
  <c r="GC24" i="9"/>
  <c r="GB24" i="9"/>
  <c r="GA24" i="9"/>
  <c r="FZ24" i="9"/>
  <c r="FY24" i="9"/>
  <c r="FX24" i="9"/>
  <c r="FW24" i="9"/>
  <c r="FV24" i="9"/>
  <c r="FU24" i="9"/>
  <c r="FT24" i="9"/>
  <c r="FS24" i="9"/>
  <c r="FR24" i="9"/>
  <c r="FQ24" i="9"/>
  <c r="FP24" i="9"/>
  <c r="FO24" i="9"/>
  <c r="FN24" i="9"/>
  <c r="FM24" i="9"/>
  <c r="FL24" i="9"/>
  <c r="FK24" i="9"/>
  <c r="FJ24" i="9"/>
  <c r="FI24" i="9"/>
  <c r="FH24" i="9"/>
  <c r="FG24" i="9"/>
  <c r="FF24" i="9"/>
  <c r="FE24" i="9"/>
  <c r="FD24" i="9"/>
  <c r="FC24" i="9"/>
  <c r="FB24" i="9"/>
  <c r="FA24" i="9"/>
  <c r="EZ24" i="9"/>
  <c r="EY24" i="9"/>
  <c r="EX24" i="9"/>
  <c r="EW24" i="9"/>
  <c r="EV24"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DP93" i="6"/>
  <c r="DO93" i="6"/>
  <c r="DN93" i="6"/>
  <c r="DM93" i="6"/>
  <c r="DL93" i="6"/>
  <c r="DK93" i="6"/>
  <c r="DJ93" i="6"/>
  <c r="DI93" i="6"/>
  <c r="DH93" i="6"/>
  <c r="DG93" i="6"/>
  <c r="DF93" i="6"/>
  <c r="DE93" i="6"/>
  <c r="DD93" i="6"/>
  <c r="DC93" i="6"/>
  <c r="DB93" i="6"/>
  <c r="DA93" i="6"/>
  <c r="CZ93" i="6"/>
  <c r="CY93" i="6"/>
  <c r="CX93" i="6"/>
  <c r="CW93" i="6"/>
  <c r="CV93" i="6"/>
  <c r="CU93" i="6"/>
  <c r="CT93" i="6"/>
  <c r="CS93" i="6"/>
  <c r="CR93" i="6"/>
  <c r="CQ93" i="6"/>
  <c r="CP93" i="6"/>
  <c r="CO93" i="6"/>
  <c r="CN93" i="6"/>
  <c r="CM93" i="6"/>
  <c r="CL93" i="6"/>
  <c r="CK93" i="6"/>
  <c r="CJ93" i="6"/>
  <c r="CI93" i="6"/>
  <c r="CH93" i="6"/>
  <c r="CG93" i="6"/>
  <c r="CF93" i="6"/>
  <c r="CE93" i="6"/>
  <c r="CD93" i="6"/>
  <c r="CC93" i="6"/>
  <c r="CB93" i="6"/>
  <c r="CA93" i="6"/>
  <c r="BZ93" i="6"/>
  <c r="BY93" i="6"/>
  <c r="BX93" i="6"/>
  <c r="BW93" i="6"/>
  <c r="BV93"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263" i="4"/>
  <c r="DP41" i="5"/>
  <c r="DO41" i="5"/>
  <c r="DN41" i="5"/>
  <c r="DM41" i="5"/>
  <c r="DL41" i="5"/>
  <c r="DK41" i="5"/>
  <c r="DJ41" i="5"/>
  <c r="DI41" i="5"/>
  <c r="DH41" i="5"/>
  <c r="DG41" i="5"/>
  <c r="DF41" i="5"/>
  <c r="DE41" i="5"/>
  <c r="DD41" i="5"/>
  <c r="DC41" i="5"/>
  <c r="DB41" i="5"/>
  <c r="DA41" i="5"/>
  <c r="CZ41" i="5"/>
  <c r="CY41" i="5"/>
  <c r="CX41" i="5"/>
  <c r="CW41" i="5"/>
  <c r="CV41" i="5"/>
  <c r="CU41" i="5"/>
  <c r="CT41" i="5"/>
  <c r="CS41" i="5"/>
  <c r="CR41" i="5"/>
  <c r="CQ41" i="5"/>
  <c r="CP41" i="5"/>
  <c r="CO41" i="5"/>
  <c r="CN41" i="5"/>
  <c r="CM41" i="5"/>
  <c r="CL41" i="5"/>
  <c r="CK41" i="5"/>
  <c r="CJ41" i="5"/>
  <c r="CI41" i="5"/>
  <c r="CH41" i="5"/>
  <c r="CG41" i="5"/>
  <c r="CF41" i="5"/>
  <c r="CE41" i="5"/>
  <c r="CD41" i="5"/>
  <c r="CC41" i="5"/>
  <c r="CB41" i="5"/>
  <c r="CB90" i="6" s="1"/>
  <c r="CA41" i="5"/>
  <c r="BZ41" i="5"/>
  <c r="BY41" i="5"/>
  <c r="BX41" i="5"/>
  <c r="BW41" i="5"/>
  <c r="BV41" i="5"/>
  <c r="F2" i="6"/>
  <c r="DP78" i="6"/>
  <c r="DO78" i="6"/>
  <c r="DN78" i="6"/>
  <c r="DM78" i="6"/>
  <c r="DL78" i="6"/>
  <c r="DK78" i="6"/>
  <c r="DJ78" i="6"/>
  <c r="DI78" i="6"/>
  <c r="DH78" i="6"/>
  <c r="DG78" i="6"/>
  <c r="DF78" i="6"/>
  <c r="DE78" i="6"/>
  <c r="DD78"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DP63" i="6"/>
  <c r="DO63" i="6"/>
  <c r="DN63" i="6"/>
  <c r="DM63" i="6"/>
  <c r="DL63" i="6"/>
  <c r="DK63" i="6"/>
  <c r="DJ63" i="6"/>
  <c r="DJ59" i="6" s="1"/>
  <c r="DI63" i="6"/>
  <c r="DH63" i="6"/>
  <c r="DG63" i="6"/>
  <c r="DF63" i="6"/>
  <c r="DE63" i="6"/>
  <c r="DD63" i="6"/>
  <c r="DC63" i="6"/>
  <c r="DB63" i="6"/>
  <c r="DB59" i="6" s="1"/>
  <c r="DA63" i="6"/>
  <c r="CZ63" i="6"/>
  <c r="CY63" i="6"/>
  <c r="CX63" i="6"/>
  <c r="CW63" i="6"/>
  <c r="CV63" i="6"/>
  <c r="CU63" i="6"/>
  <c r="CT63" i="6"/>
  <c r="CT59" i="6" s="1"/>
  <c r="CS63" i="6"/>
  <c r="CR63" i="6"/>
  <c r="CQ63" i="6"/>
  <c r="CP63" i="6"/>
  <c r="CO63" i="6"/>
  <c r="CN63" i="6"/>
  <c r="CM63" i="6"/>
  <c r="CL63" i="6"/>
  <c r="CL59" i="6" s="1"/>
  <c r="CK63" i="6"/>
  <c r="CJ63" i="6"/>
  <c r="CI63" i="6"/>
  <c r="CH63" i="6"/>
  <c r="CG63" i="6"/>
  <c r="CF63" i="6"/>
  <c r="CE63" i="6"/>
  <c r="CD63" i="6"/>
  <c r="CD59" i="6" s="1"/>
  <c r="CC63" i="6"/>
  <c r="CB63" i="6"/>
  <c r="CA63" i="6"/>
  <c r="BZ63" i="6"/>
  <c r="BY63" i="6"/>
  <c r="BX63" i="6"/>
  <c r="BW63" i="6"/>
  <c r="BV63" i="6"/>
  <c r="BV59" i="6" s="1"/>
  <c r="DP62" i="6"/>
  <c r="DO62" i="6"/>
  <c r="DN62" i="6"/>
  <c r="DM62" i="6"/>
  <c r="DL62" i="6"/>
  <c r="DK62" i="6"/>
  <c r="DJ62" i="6"/>
  <c r="DI62" i="6"/>
  <c r="DI59" i="6" s="1"/>
  <c r="DH62" i="6"/>
  <c r="DG62" i="6"/>
  <c r="DF62" i="6"/>
  <c r="DE62" i="6"/>
  <c r="DD62" i="6"/>
  <c r="DC62" i="6"/>
  <c r="DB62" i="6"/>
  <c r="DA62" i="6"/>
  <c r="DA59" i="6" s="1"/>
  <c r="CZ62" i="6"/>
  <c r="CY62" i="6"/>
  <c r="CX62" i="6"/>
  <c r="CW62" i="6"/>
  <c r="CV62" i="6"/>
  <c r="CU62" i="6"/>
  <c r="CT62" i="6"/>
  <c r="CS62" i="6"/>
  <c r="CS59" i="6" s="1"/>
  <c r="CR62" i="6"/>
  <c r="CQ62" i="6"/>
  <c r="CP62" i="6"/>
  <c r="CO62" i="6"/>
  <c r="CN62" i="6"/>
  <c r="CM62" i="6"/>
  <c r="CL62" i="6"/>
  <c r="CK62" i="6"/>
  <c r="CJ62" i="6"/>
  <c r="CI62" i="6"/>
  <c r="CH62" i="6"/>
  <c r="CG62" i="6"/>
  <c r="CF62" i="6"/>
  <c r="CE62" i="6"/>
  <c r="CD62" i="6"/>
  <c r="CC62" i="6"/>
  <c r="CC59" i="6" s="1"/>
  <c r="CB62" i="6"/>
  <c r="CB59" i="6" s="1"/>
  <c r="CA62" i="6"/>
  <c r="BZ62" i="6"/>
  <c r="BY62" i="6"/>
  <c r="BX62" i="6"/>
  <c r="BW62" i="6"/>
  <c r="BV62" i="6"/>
  <c r="CX59" i="6"/>
  <c r="DN59" i="6"/>
  <c r="CH59" i="6"/>
  <c r="CP59" i="6"/>
  <c r="BZ59" i="6"/>
  <c r="DF59" i="6"/>
  <c r="CN59" i="6"/>
  <c r="CI59" i="6"/>
  <c r="BX59" i="6"/>
  <c r="CF59" i="6"/>
  <c r="CJ59" i="6"/>
  <c r="CR59" i="6"/>
  <c r="CV59" i="6"/>
  <c r="CZ59" i="6"/>
  <c r="DD59" i="6"/>
  <c r="DH59" i="6"/>
  <c r="DL59" i="6"/>
  <c r="DP59" i="6"/>
  <c r="BY59" i="6"/>
  <c r="CG59" i="6"/>
  <c r="CK59" i="6"/>
  <c r="CO59" i="6"/>
  <c r="CW59" i="6"/>
  <c r="DE59" i="6"/>
  <c r="DM59" i="6"/>
  <c r="R150" i="4"/>
  <c r="H37" i="3"/>
  <c r="H29" i="3"/>
  <c r="P8" i="2"/>
  <c r="Q8" i="2" s="1"/>
  <c r="R8" i="2" s="1"/>
  <c r="G9" i="2"/>
  <c r="L81" i="2"/>
  <c r="DP111" i="3"/>
  <c r="DP115" i="3" s="1"/>
  <c r="DL111" i="3"/>
  <c r="DL115" i="3"/>
  <c r="DH111" i="3"/>
  <c r="DH115" i="3" s="1"/>
  <c r="DD111" i="3"/>
  <c r="DD115" i="3" s="1"/>
  <c r="CZ111" i="3"/>
  <c r="CZ115" i="3" s="1"/>
  <c r="CV111" i="3"/>
  <c r="CV115" i="3"/>
  <c r="CR111" i="3"/>
  <c r="CR115" i="3" s="1"/>
  <c r="CN111" i="3"/>
  <c r="CN115" i="3" s="1"/>
  <c r="CJ111" i="3"/>
  <c r="CJ115" i="3" s="1"/>
  <c r="CF111" i="3"/>
  <c r="CF115" i="3"/>
  <c r="CB111" i="3"/>
  <c r="CB115" i="3" s="1"/>
  <c r="BX111" i="3"/>
  <c r="BX115" i="3" s="1"/>
  <c r="BT111" i="3"/>
  <c r="BT115" i="3" s="1"/>
  <c r="BP111" i="3"/>
  <c r="BP115" i="3"/>
  <c r="BL111" i="3"/>
  <c r="BL115" i="3" s="1"/>
  <c r="DO111" i="3"/>
  <c r="DO115" i="3" s="1"/>
  <c r="DK111" i="3"/>
  <c r="DK115" i="3" s="1"/>
  <c r="DG111" i="3"/>
  <c r="DG115" i="3"/>
  <c r="DC111" i="3"/>
  <c r="DC115" i="3" s="1"/>
  <c r="CY111" i="3"/>
  <c r="CY115" i="3" s="1"/>
  <c r="CU111" i="3"/>
  <c r="CU115" i="3" s="1"/>
  <c r="CQ111" i="3"/>
  <c r="CQ115" i="3"/>
  <c r="CM111" i="3"/>
  <c r="CM115" i="3" s="1"/>
  <c r="CI111" i="3"/>
  <c r="CI115" i="3" s="1"/>
  <c r="CE111" i="3"/>
  <c r="CE115" i="3" s="1"/>
  <c r="CA111" i="3"/>
  <c r="CA115" i="3"/>
  <c r="BW111" i="3"/>
  <c r="BW115" i="3" s="1"/>
  <c r="BS111" i="3"/>
  <c r="BS115" i="3" s="1"/>
  <c r="BO111" i="3"/>
  <c r="BO115" i="3" s="1"/>
  <c r="BK111" i="3"/>
  <c r="BK115" i="3"/>
  <c r="DN111" i="3"/>
  <c r="DN115" i="3" s="1"/>
  <c r="DJ111" i="3"/>
  <c r="DJ115" i="3" s="1"/>
  <c r="DF111" i="3"/>
  <c r="DF115" i="3" s="1"/>
  <c r="DB111" i="3"/>
  <c r="DB115" i="3"/>
  <c r="CX111" i="3"/>
  <c r="CX115" i="3" s="1"/>
  <c r="CT111" i="3"/>
  <c r="CT115" i="3" s="1"/>
  <c r="DM111" i="3"/>
  <c r="DM115" i="3" s="1"/>
  <c r="CW111" i="3"/>
  <c r="CW115" i="3"/>
  <c r="CL111" i="3"/>
  <c r="CL115" i="3" s="1"/>
  <c r="CD111" i="3"/>
  <c r="CD115" i="3" s="1"/>
  <c r="BV111" i="3"/>
  <c r="BV115" i="3" s="1"/>
  <c r="BN111" i="3"/>
  <c r="BN115" i="3"/>
  <c r="DI111" i="3"/>
  <c r="DI115" i="3" s="1"/>
  <c r="CS111" i="3"/>
  <c r="CS115" i="3" s="1"/>
  <c r="CK111" i="3"/>
  <c r="CK115" i="3" s="1"/>
  <c r="CC111" i="3"/>
  <c r="CC115" i="3"/>
  <c r="BU111" i="3"/>
  <c r="BU115" i="3" s="1"/>
  <c r="BM111" i="3"/>
  <c r="BM115" i="3" s="1"/>
  <c r="DE111" i="3"/>
  <c r="DE115" i="3" s="1"/>
  <c r="CP111" i="3"/>
  <c r="CP115" i="3"/>
  <c r="CH111" i="3"/>
  <c r="CH115" i="3" s="1"/>
  <c r="BZ111" i="3"/>
  <c r="BZ115" i="3" s="1"/>
  <c r="BR111" i="3"/>
  <c r="BR115" i="3" s="1"/>
  <c r="DA111" i="3"/>
  <c r="DA115" i="3"/>
  <c r="CO111" i="3"/>
  <c r="CO115" i="3" s="1"/>
  <c r="CG111" i="3"/>
  <c r="CG115" i="3" s="1"/>
  <c r="BY111" i="3"/>
  <c r="BY115" i="3" s="1"/>
  <c r="BQ111" i="3"/>
  <c r="BQ115" i="3"/>
  <c r="BM24" i="3"/>
  <c r="BQ24" i="3"/>
  <c r="BU24" i="3"/>
  <c r="BY24" i="3"/>
  <c r="CC24" i="3"/>
  <c r="CG24" i="3"/>
  <c r="CK24" i="3"/>
  <c r="CO24" i="3"/>
  <c r="CS24" i="3"/>
  <c r="CW24" i="3"/>
  <c r="DA24" i="3"/>
  <c r="DE24" i="3"/>
  <c r="DI24" i="3"/>
  <c r="DM24" i="3"/>
  <c r="BN24" i="3"/>
  <c r="BR24" i="3"/>
  <c r="BV24" i="3"/>
  <c r="BZ24" i="3"/>
  <c r="CD24" i="3"/>
  <c r="CH24" i="3"/>
  <c r="CL24" i="3"/>
  <c r="CP24" i="3"/>
  <c r="CT24" i="3"/>
  <c r="CX24" i="3"/>
  <c r="DB24" i="3"/>
  <c r="DF24" i="3"/>
  <c r="DJ24" i="3"/>
  <c r="DN24" i="3"/>
  <c r="BK24" i="3"/>
  <c r="BO24" i="3"/>
  <c r="BS24" i="3"/>
  <c r="BW24" i="3"/>
  <c r="CA24" i="3"/>
  <c r="CE24" i="3"/>
  <c r="CI24" i="3"/>
  <c r="CM24" i="3"/>
  <c r="CQ24" i="3"/>
  <c r="CU24" i="3"/>
  <c r="CY24" i="3"/>
  <c r="DC24" i="3"/>
  <c r="DG24" i="3"/>
  <c r="DK24" i="3"/>
  <c r="DO24" i="3"/>
  <c r="BL24" i="3"/>
  <c r="BP24" i="3"/>
  <c r="BT24" i="3"/>
  <c r="BX24" i="3"/>
  <c r="CB24" i="3"/>
  <c r="CF24" i="3"/>
  <c r="CJ24" i="3"/>
  <c r="CN24" i="3"/>
  <c r="CR24" i="3"/>
  <c r="CV24" i="3"/>
  <c r="CZ24" i="3"/>
  <c r="DD24" i="3"/>
  <c r="DH24" i="3"/>
  <c r="DL24" i="3"/>
  <c r="DP24" i="3"/>
  <c r="DP37" i="3"/>
  <c r="DL37" i="3"/>
  <c r="DH37" i="3"/>
  <c r="DD37" i="3"/>
  <c r="CZ37" i="3"/>
  <c r="CV37" i="3"/>
  <c r="CR37" i="3"/>
  <c r="CN37" i="3"/>
  <c r="CJ37" i="3"/>
  <c r="CF37" i="3"/>
  <c r="CB37" i="3"/>
  <c r="BX37" i="3"/>
  <c r="BT37" i="3"/>
  <c r="BP37" i="3"/>
  <c r="BL37" i="3"/>
  <c r="DO37" i="3"/>
  <c r="DK37" i="3"/>
  <c r="DG37" i="3"/>
  <c r="DC37" i="3"/>
  <c r="CY37" i="3"/>
  <c r="CU37" i="3"/>
  <c r="CQ37" i="3"/>
  <c r="CM37" i="3"/>
  <c r="CI37" i="3"/>
  <c r="CE37" i="3"/>
  <c r="CA37" i="3"/>
  <c r="BW37" i="3"/>
  <c r="BS37" i="3"/>
  <c r="BO37" i="3"/>
  <c r="BK37" i="3"/>
  <c r="DN37" i="3"/>
  <c r="DJ37" i="3"/>
  <c r="DF37" i="3"/>
  <c r="DB37" i="3"/>
  <c r="CX37" i="3"/>
  <c r="CT37" i="3"/>
  <c r="CP37" i="3"/>
  <c r="CL37" i="3"/>
  <c r="CH37" i="3"/>
  <c r="CD37" i="3"/>
  <c r="BZ37" i="3"/>
  <c r="BV37" i="3"/>
  <c r="BR37" i="3"/>
  <c r="BN37" i="3"/>
  <c r="DM37" i="3"/>
  <c r="DI37" i="3"/>
  <c r="DE37" i="3"/>
  <c r="DA37" i="3"/>
  <c r="CW37" i="3"/>
  <c r="CS37" i="3"/>
  <c r="CO37" i="3"/>
  <c r="CK37" i="3"/>
  <c r="CG37" i="3"/>
  <c r="CC37" i="3"/>
  <c r="BY37" i="3"/>
  <c r="BU37" i="3"/>
  <c r="BQ37" i="3"/>
  <c r="BM37" i="3"/>
  <c r="BM29" i="3"/>
  <c r="BQ29" i="3"/>
  <c r="BU29" i="3"/>
  <c r="BY29" i="3"/>
  <c r="CC29" i="3"/>
  <c r="CG29" i="3"/>
  <c r="CK29" i="3"/>
  <c r="CO29" i="3"/>
  <c r="CS29" i="3"/>
  <c r="CW29" i="3"/>
  <c r="DA29" i="3"/>
  <c r="DE29" i="3"/>
  <c r="DI29" i="3"/>
  <c r="DM29" i="3"/>
  <c r="BL29" i="3"/>
  <c r="BR29" i="3"/>
  <c r="BW29" i="3"/>
  <c r="CB29" i="3"/>
  <c r="CH29" i="3"/>
  <c r="CM29" i="3"/>
  <c r="CR29" i="3"/>
  <c r="CX29" i="3"/>
  <c r="DC29" i="3"/>
  <c r="DH29" i="3"/>
  <c r="DN29" i="3"/>
  <c r="BO29" i="3"/>
  <c r="BV29" i="3"/>
  <c r="CD29" i="3"/>
  <c r="CJ29" i="3"/>
  <c r="CQ29" i="3"/>
  <c r="CY29" i="3"/>
  <c r="DF29" i="3"/>
  <c r="DL29" i="3"/>
  <c r="BP29" i="3"/>
  <c r="BX29" i="3"/>
  <c r="CE29" i="3"/>
  <c r="CL29" i="3"/>
  <c r="CT29" i="3"/>
  <c r="CZ29" i="3"/>
  <c r="DG29" i="3"/>
  <c r="DO29" i="3"/>
  <c r="BS29" i="3"/>
  <c r="CF29" i="3"/>
  <c r="CU29" i="3"/>
  <c r="DJ29" i="3"/>
  <c r="BN29" i="3"/>
  <c r="CA29" i="3"/>
  <c r="CP29" i="3"/>
  <c r="DD29" i="3"/>
  <c r="BT29" i="3"/>
  <c r="CV29" i="3"/>
  <c r="BZ29" i="3"/>
  <c r="DB29" i="3"/>
  <c r="CI29" i="3"/>
  <c r="DK29" i="3"/>
  <c r="BK29" i="3"/>
  <c r="CN29" i="3"/>
  <c r="DP29" i="3"/>
  <c r="Q9" i="6"/>
  <c r="R8" i="6" s="1"/>
  <c r="R9" i="6" s="1"/>
  <c r="R7" i="6" s="1"/>
  <c r="R67" i="7" s="1"/>
  <c r="R68" i="7" s="1"/>
  <c r="R75" i="7" s="1"/>
  <c r="R70" i="7" s="1"/>
  <c r="R80" i="7" s="1"/>
  <c r="S8" i="6"/>
  <c r="S9" i="6" s="1"/>
  <c r="IO8" i="9"/>
  <c r="IN8" i="9"/>
  <c r="IM8" i="9"/>
  <c r="IL8" i="9"/>
  <c r="IK8" i="9"/>
  <c r="IJ8" i="9"/>
  <c r="II8" i="9"/>
  <c r="IH8" i="9"/>
  <c r="IG8" i="9"/>
  <c r="IF8" i="9"/>
  <c r="IE8" i="9"/>
  <c r="ID8" i="9"/>
  <c r="IC8" i="9"/>
  <c r="IB8" i="9"/>
  <c r="IA8" i="9"/>
  <c r="HZ8" i="9"/>
  <c r="HY8" i="9"/>
  <c r="HX8" i="9"/>
  <c r="HW8" i="9"/>
  <c r="HV8" i="9"/>
  <c r="HU8" i="9"/>
  <c r="HT8" i="9"/>
  <c r="HS8" i="9"/>
  <c r="HR8" i="9"/>
  <c r="HQ8" i="9"/>
  <c r="HP8" i="9"/>
  <c r="HO8" i="9"/>
  <c r="HN8" i="9"/>
  <c r="HM8" i="9"/>
  <c r="HL8" i="9"/>
  <c r="HK8" i="9"/>
  <c r="HJ8" i="9"/>
  <c r="HI8" i="9"/>
  <c r="HH8" i="9"/>
  <c r="HG8" i="9"/>
  <c r="HF8" i="9"/>
  <c r="HE8" i="9"/>
  <c r="HD8" i="9"/>
  <c r="HC8" i="9"/>
  <c r="HB8" i="9"/>
  <c r="HA8" i="9"/>
  <c r="GZ8" i="9"/>
  <c r="GY8" i="9"/>
  <c r="GX8" i="9"/>
  <c r="GW8" i="9"/>
  <c r="GV8" i="9"/>
  <c r="GU8" i="9"/>
  <c r="GT8" i="9"/>
  <c r="GS8" i="9"/>
  <c r="GR8" i="9"/>
  <c r="GQ8" i="9"/>
  <c r="GP8" i="9"/>
  <c r="GO8" i="9"/>
  <c r="GN8" i="9"/>
  <c r="GM8" i="9"/>
  <c r="GL8" i="9"/>
  <c r="GK8" i="9"/>
  <c r="GJ8" i="9"/>
  <c r="GI8" i="9"/>
  <c r="GH8" i="9"/>
  <c r="GG8" i="9"/>
  <c r="GF8" i="9"/>
  <c r="GE8" i="9"/>
  <c r="GD8" i="9"/>
  <c r="GC8" i="9"/>
  <c r="GB8" i="9"/>
  <c r="GA8" i="9"/>
  <c r="FZ8" i="9"/>
  <c r="FY8" i="9"/>
  <c r="FX8" i="9"/>
  <c r="FW8" i="9"/>
  <c r="FV8" i="9"/>
  <c r="FU8" i="9"/>
  <c r="FT8" i="9"/>
  <c r="FS8" i="9"/>
  <c r="FR8" i="9"/>
  <c r="FQ8" i="9"/>
  <c r="FP8" i="9"/>
  <c r="FO8" i="9"/>
  <c r="FN8" i="9"/>
  <c r="FM8" i="9"/>
  <c r="FL8" i="9"/>
  <c r="FK8" i="9"/>
  <c r="FJ8" i="9"/>
  <c r="FI8" i="9"/>
  <c r="FH8" i="9"/>
  <c r="FG8" i="9"/>
  <c r="FF8" i="9"/>
  <c r="FE8" i="9"/>
  <c r="FD8" i="9"/>
  <c r="FC8" i="9"/>
  <c r="FB8" i="9"/>
  <c r="FA8" i="9"/>
  <c r="EZ8" i="9"/>
  <c r="EY8" i="9"/>
  <c r="EX8" i="9"/>
  <c r="EW8" i="9"/>
  <c r="EV8" i="9"/>
  <c r="EU8" i="9"/>
  <c r="ET8" i="9"/>
  <c r="ES8" i="9"/>
  <c r="ER8" i="9"/>
  <c r="EQ8" i="9"/>
  <c r="EP8" i="9"/>
  <c r="EO8" i="9"/>
  <c r="EN8" i="9"/>
  <c r="EM8" i="9"/>
  <c r="EL8" i="9"/>
  <c r="EK8" i="9"/>
  <c r="EJ8" i="9"/>
  <c r="EI8" i="9"/>
  <c r="EH8" i="9"/>
  <c r="EG8" i="9"/>
  <c r="EF8" i="9"/>
  <c r="EE8" i="9"/>
  <c r="ED8" i="9"/>
  <c r="EC8" i="9"/>
  <c r="EB8" i="9"/>
  <c r="EA8" i="9"/>
  <c r="DZ8" i="9"/>
  <c r="DY8" i="9"/>
  <c r="DX8" i="9"/>
  <c r="DW8" i="9"/>
  <c r="DV8" i="9"/>
  <c r="DU8" i="9"/>
  <c r="DT8" i="9"/>
  <c r="DS8" i="9"/>
  <c r="DR8" i="9"/>
  <c r="DQ8" i="9"/>
  <c r="IO7" i="9"/>
  <c r="IN7" i="9"/>
  <c r="IM7" i="9"/>
  <c r="IL7" i="9"/>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P7" i="9"/>
  <c r="EO7" i="9"/>
  <c r="EN7" i="9"/>
  <c r="EM7" i="9"/>
  <c r="EL7" i="9"/>
  <c r="EK7" i="9"/>
  <c r="EJ7" i="9"/>
  <c r="EI7" i="9"/>
  <c r="EH7" i="9"/>
  <c r="EG7" i="9"/>
  <c r="EF7" i="9"/>
  <c r="EE7" i="9"/>
  <c r="ED7" i="9"/>
  <c r="EC7" i="9"/>
  <c r="EB7" i="9"/>
  <c r="EA7" i="9"/>
  <c r="DZ7" i="9"/>
  <c r="DY7" i="9"/>
  <c r="DX7" i="9"/>
  <c r="DW7" i="9"/>
  <c r="DV7" i="9"/>
  <c r="DU7" i="9"/>
  <c r="DT7" i="9"/>
  <c r="DS7" i="9"/>
  <c r="DR7" i="9"/>
  <c r="DQ7" i="9"/>
  <c r="IO6" i="9"/>
  <c r="IN6" i="9"/>
  <c r="IM6" i="9"/>
  <c r="IL6" i="9"/>
  <c r="IK6" i="9"/>
  <c r="IJ6" i="9"/>
  <c r="II6" i="9"/>
  <c r="IH6" i="9"/>
  <c r="IG6" i="9"/>
  <c r="IF6" i="9"/>
  <c r="IE6" i="9"/>
  <c r="ID6" i="9"/>
  <c r="IC6" i="9"/>
  <c r="IB6" i="9"/>
  <c r="IA6" i="9"/>
  <c r="HZ6" i="9"/>
  <c r="HY6" i="9"/>
  <c r="HX6" i="9"/>
  <c r="HW6" i="9"/>
  <c r="HV6" i="9"/>
  <c r="HU6" i="9"/>
  <c r="HT6" i="9"/>
  <c r="HS6" i="9"/>
  <c r="HR6" i="9"/>
  <c r="HQ6" i="9"/>
  <c r="HP6" i="9"/>
  <c r="HO6" i="9"/>
  <c r="HN6" i="9"/>
  <c r="HM6" i="9"/>
  <c r="HL6" i="9"/>
  <c r="HK6" i="9"/>
  <c r="HJ6" i="9"/>
  <c r="HI6" i="9"/>
  <c r="HH6" i="9"/>
  <c r="HG6" i="9"/>
  <c r="HF6" i="9"/>
  <c r="HE6" i="9"/>
  <c r="HD6" i="9"/>
  <c r="HC6" i="9"/>
  <c r="HB6" i="9"/>
  <c r="HA6" i="9"/>
  <c r="GZ6" i="9"/>
  <c r="GY6" i="9"/>
  <c r="GX6" i="9"/>
  <c r="GW6" i="9"/>
  <c r="GV6" i="9"/>
  <c r="GU6" i="9"/>
  <c r="GT6" i="9"/>
  <c r="GS6" i="9"/>
  <c r="GR6" i="9"/>
  <c r="GQ6" i="9"/>
  <c r="GP6" i="9"/>
  <c r="GO6" i="9"/>
  <c r="GN6" i="9"/>
  <c r="GM6" i="9"/>
  <c r="GL6" i="9"/>
  <c r="GK6" i="9"/>
  <c r="GJ6" i="9"/>
  <c r="GI6" i="9"/>
  <c r="GH6" i="9"/>
  <c r="GG6" i="9"/>
  <c r="GF6" i="9"/>
  <c r="GE6" i="9"/>
  <c r="GD6" i="9"/>
  <c r="GC6" i="9"/>
  <c r="GB6" i="9"/>
  <c r="GA6" i="9"/>
  <c r="FZ6" i="9"/>
  <c r="FY6" i="9"/>
  <c r="FX6" i="9"/>
  <c r="FW6" i="9"/>
  <c r="FV6" i="9"/>
  <c r="FU6" i="9"/>
  <c r="FT6" i="9"/>
  <c r="FS6" i="9"/>
  <c r="FR6" i="9"/>
  <c r="FQ6" i="9"/>
  <c r="FP6" i="9"/>
  <c r="FO6" i="9"/>
  <c r="FN6" i="9"/>
  <c r="FM6" i="9"/>
  <c r="FL6" i="9"/>
  <c r="FK6" i="9"/>
  <c r="FJ6" i="9"/>
  <c r="FI6" i="9"/>
  <c r="FH6" i="9"/>
  <c r="FG6" i="9"/>
  <c r="FF6" i="9"/>
  <c r="FE6" i="9"/>
  <c r="FD6" i="9"/>
  <c r="FC6" i="9"/>
  <c r="FB6" i="9"/>
  <c r="FA6" i="9"/>
  <c r="EZ6" i="9"/>
  <c r="EY6" i="9"/>
  <c r="EX6" i="9"/>
  <c r="EW6" i="9"/>
  <c r="EV6" i="9"/>
  <c r="EU6" i="9"/>
  <c r="ET6" i="9"/>
  <c r="ES6" i="9"/>
  <c r="ER6" i="9"/>
  <c r="EQ6" i="9"/>
  <c r="EP6" i="9"/>
  <c r="EO6" i="9"/>
  <c r="EN6" i="9"/>
  <c r="EM6" i="9"/>
  <c r="EL6" i="9"/>
  <c r="EK6" i="9"/>
  <c r="EJ6" i="9"/>
  <c r="EI6" i="9"/>
  <c r="EH6" i="9"/>
  <c r="EG6" i="9"/>
  <c r="EF6" i="9"/>
  <c r="EE6" i="9"/>
  <c r="ED6" i="9"/>
  <c r="EC6" i="9"/>
  <c r="EB6" i="9"/>
  <c r="EA6" i="9"/>
  <c r="DZ6" i="9"/>
  <c r="DY6" i="9"/>
  <c r="DX6" i="9"/>
  <c r="DW6" i="9"/>
  <c r="DV6" i="9"/>
  <c r="DU6" i="9"/>
  <c r="DT6" i="9"/>
  <c r="DS6" i="9"/>
  <c r="DR6" i="9"/>
  <c r="DQ6" i="9"/>
  <c r="BJ76" i="3"/>
  <c r="BI76" i="3"/>
  <c r="BH76" i="3"/>
  <c r="BG76" i="3"/>
  <c r="BF76" i="3"/>
  <c r="BE76" i="3"/>
  <c r="BD76" i="3"/>
  <c r="BC76" i="3"/>
  <c r="BB76" i="3"/>
  <c r="BA76" i="3"/>
  <c r="AZ76" i="3"/>
  <c r="AY76" i="3"/>
  <c r="AX76" i="3"/>
  <c r="AW76" i="3"/>
  <c r="AV76" i="3"/>
  <c r="AU76" i="3"/>
  <c r="AT76" i="3"/>
  <c r="AS76" i="3"/>
  <c r="AR76" i="3"/>
  <c r="AQ76" i="3"/>
  <c r="AP76" i="3"/>
  <c r="AO76" i="3"/>
  <c r="AN76" i="3"/>
  <c r="AM76" i="3"/>
  <c r="AL76" i="3"/>
  <c r="AK76" i="3"/>
  <c r="AJ76" i="3"/>
  <c r="AI76" i="3"/>
  <c r="AH76" i="3"/>
  <c r="AG76" i="3"/>
  <c r="AF76" i="3"/>
  <c r="AE76" i="3"/>
  <c r="AD76" i="3"/>
  <c r="AC76" i="3"/>
  <c r="AB76" i="3"/>
  <c r="AA76" i="3"/>
  <c r="Z76" i="3"/>
  <c r="N76" i="3" s="1"/>
  <c r="Y76" i="3"/>
  <c r="X76" i="3"/>
  <c r="W76" i="3"/>
  <c r="V76" i="3"/>
  <c r="U76" i="3"/>
  <c r="T76" i="3"/>
  <c r="S76" i="3"/>
  <c r="BJ73" i="3"/>
  <c r="BI73" i="3"/>
  <c r="BH73" i="3"/>
  <c r="BG73" i="3"/>
  <c r="BF73" i="3"/>
  <c r="BE73" i="3"/>
  <c r="BD73"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BJ70" i="3"/>
  <c r="BI70" i="3"/>
  <c r="BH70" i="3"/>
  <c r="BG70" i="3"/>
  <c r="BF70" i="3"/>
  <c r="BE70" i="3"/>
  <c r="BD70" i="3"/>
  <c r="BC70" i="3"/>
  <c r="BB70" i="3"/>
  <c r="BA70" i="3"/>
  <c r="AZ70" i="3"/>
  <c r="AY70" i="3"/>
  <c r="AX70" i="3"/>
  <c r="AW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BJ67" i="3"/>
  <c r="BI67" i="3"/>
  <c r="BH67" i="3"/>
  <c r="BG67"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Y67" i="3"/>
  <c r="X67" i="3"/>
  <c r="W67" i="3"/>
  <c r="V67" i="3"/>
  <c r="U67" i="3"/>
  <c r="T67" i="3"/>
  <c r="S67" i="3"/>
  <c r="F2" i="3"/>
  <c r="F2" i="7"/>
  <c r="BU261" i="4"/>
  <c r="BT263" i="4" s="1"/>
  <c r="L166" i="4"/>
  <c r="K80" i="4"/>
  <c r="M102" i="4"/>
  <c r="L199" i="4"/>
  <c r="L202" i="4"/>
  <c r="L104" i="4"/>
  <c r="L105" i="4" s="1"/>
  <c r="L102" i="4"/>
  <c r="L169" i="4"/>
  <c r="L168" i="4"/>
  <c r="R114" i="4"/>
  <c r="R159" i="4"/>
  <c r="S37" i="4"/>
  <c r="S78" i="6" s="1"/>
  <c r="S114" i="4"/>
  <c r="S159" i="4"/>
  <c r="T37" i="4"/>
  <c r="T78" i="6" s="1"/>
  <c r="T159" i="4"/>
  <c r="U60" i="4"/>
  <c r="U61" i="4"/>
  <c r="U37" i="4"/>
  <c r="U78" i="6"/>
  <c r="U114" i="4"/>
  <c r="U159" i="4"/>
  <c r="BK44" i="5"/>
  <c r="BK37" i="4"/>
  <c r="BK78" i="6" s="1"/>
  <c r="V37" i="4"/>
  <c r="V78" i="6" s="1"/>
  <c r="V114" i="4"/>
  <c r="V159" i="4"/>
  <c r="W37" i="4"/>
  <c r="W78" i="6" s="1"/>
  <c r="W114" i="4"/>
  <c r="W159" i="4"/>
  <c r="X37" i="4"/>
  <c r="X78" i="6" s="1"/>
  <c r="X114" i="4"/>
  <c r="X159" i="4"/>
  <c r="Y37" i="4"/>
  <c r="Y78" i="6" s="1"/>
  <c r="Y114" i="4"/>
  <c r="Y159" i="4"/>
  <c r="Z37" i="4"/>
  <c r="Z78" i="6" s="1"/>
  <c r="Z114" i="4"/>
  <c r="Z159" i="4"/>
  <c r="AA37" i="4"/>
  <c r="AA78" i="6" s="1"/>
  <c r="AA114" i="4"/>
  <c r="AA159" i="4"/>
  <c r="AB37" i="4"/>
  <c r="AB78" i="6" s="1"/>
  <c r="AB114" i="4"/>
  <c r="AB159" i="4"/>
  <c r="AC37" i="4"/>
  <c r="AC78" i="6" s="1"/>
  <c r="AC114" i="4"/>
  <c r="AC159" i="4"/>
  <c r="AD37" i="4"/>
  <c r="AD78" i="6" s="1"/>
  <c r="AD114" i="4"/>
  <c r="AD159" i="4"/>
  <c r="AE37" i="4"/>
  <c r="AE78" i="6" s="1"/>
  <c r="AE114" i="4"/>
  <c r="AE159" i="4"/>
  <c r="AF37" i="4"/>
  <c r="AF78" i="6" s="1"/>
  <c r="AF114" i="4"/>
  <c r="AF159" i="4"/>
  <c r="AG37" i="4"/>
  <c r="AG78" i="6" s="1"/>
  <c r="AG114" i="4"/>
  <c r="AG159" i="4"/>
  <c r="AH37" i="4"/>
  <c r="AH78" i="6" s="1"/>
  <c r="AH114" i="4"/>
  <c r="AH159" i="4"/>
  <c r="AI37" i="4"/>
  <c r="AI78" i="6" s="1"/>
  <c r="AI114" i="4"/>
  <c r="AI159" i="4"/>
  <c r="AJ37" i="4"/>
  <c r="AJ78" i="6" s="1"/>
  <c r="AJ114" i="4"/>
  <c r="AJ159" i="4"/>
  <c r="AK37" i="4"/>
  <c r="AK78" i="6" s="1"/>
  <c r="AK114" i="4"/>
  <c r="AK159" i="4"/>
  <c r="AL37" i="4"/>
  <c r="AL78" i="6" s="1"/>
  <c r="AL114" i="4"/>
  <c r="AL159" i="4"/>
  <c r="AM37" i="4"/>
  <c r="AM78" i="6" s="1"/>
  <c r="AM114" i="4"/>
  <c r="AM159" i="4"/>
  <c r="AN37" i="4"/>
  <c r="AN78" i="6" s="1"/>
  <c r="AN114" i="4"/>
  <c r="AN159" i="4"/>
  <c r="AO37" i="4"/>
  <c r="AO78" i="6" s="1"/>
  <c r="AO114" i="4"/>
  <c r="AO159" i="4"/>
  <c r="AP37" i="4"/>
  <c r="AP78" i="6" s="1"/>
  <c r="AP114" i="4"/>
  <c r="AP159" i="4"/>
  <c r="AQ37" i="4"/>
  <c r="AQ78" i="6" s="1"/>
  <c r="AQ114" i="4"/>
  <c r="AQ159" i="4"/>
  <c r="AR37" i="4"/>
  <c r="AR78" i="6" s="1"/>
  <c r="AR114" i="4"/>
  <c r="AR159" i="4"/>
  <c r="AS37" i="4"/>
  <c r="AS78" i="6" s="1"/>
  <c r="AS114" i="4"/>
  <c r="AS159" i="4"/>
  <c r="AT37" i="4"/>
  <c r="AT78" i="6" s="1"/>
  <c r="AT114" i="4"/>
  <c r="AT159" i="4"/>
  <c r="AU37" i="4"/>
  <c r="AU78" i="6" s="1"/>
  <c r="AU114" i="4"/>
  <c r="AU159" i="4"/>
  <c r="AV37" i="4"/>
  <c r="AV78" i="6" s="1"/>
  <c r="AV114" i="4"/>
  <c r="AV159" i="4"/>
  <c r="AW37" i="4"/>
  <c r="AW78" i="6" s="1"/>
  <c r="AW114" i="4"/>
  <c r="AW159" i="4"/>
  <c r="AX37" i="4"/>
  <c r="AX78" i="6" s="1"/>
  <c r="AX114" i="4"/>
  <c r="AX159" i="4"/>
  <c r="AY37" i="4"/>
  <c r="AY78" i="6" s="1"/>
  <c r="AY114" i="4"/>
  <c r="AY159" i="4"/>
  <c r="AZ37" i="4"/>
  <c r="AZ78" i="6" s="1"/>
  <c r="AZ114" i="4"/>
  <c r="AZ159" i="4"/>
  <c r="BA37" i="4"/>
  <c r="BA78" i="6" s="1"/>
  <c r="BA114" i="4"/>
  <c r="BA159" i="4"/>
  <c r="BB37" i="4"/>
  <c r="BB78" i="6" s="1"/>
  <c r="BB114" i="4"/>
  <c r="BB159" i="4"/>
  <c r="BC37" i="4"/>
  <c r="BC78" i="6" s="1"/>
  <c r="BC114" i="4"/>
  <c r="BC159" i="4"/>
  <c r="BD37" i="4"/>
  <c r="BD78" i="6" s="1"/>
  <c r="BD114" i="4"/>
  <c r="BD159" i="4"/>
  <c r="BE37" i="4"/>
  <c r="BE78" i="6" s="1"/>
  <c r="BE114" i="4"/>
  <c r="BE159" i="4"/>
  <c r="BF37" i="4"/>
  <c r="BF78" i="6" s="1"/>
  <c r="BF114" i="4"/>
  <c r="BF159" i="4"/>
  <c r="BG37" i="4"/>
  <c r="BG78" i="6" s="1"/>
  <c r="BG114" i="4"/>
  <c r="BG159" i="4"/>
  <c r="BH37" i="4"/>
  <c r="BH78" i="6" s="1"/>
  <c r="BH114" i="4"/>
  <c r="BH159" i="4"/>
  <c r="BI37" i="4"/>
  <c r="BI78" i="6" s="1"/>
  <c r="BI114" i="4"/>
  <c r="BI159" i="4"/>
  <c r="BJ37" i="4"/>
  <c r="BJ78" i="6" s="1"/>
  <c r="BJ114" i="4"/>
  <c r="BJ159" i="4"/>
  <c r="BK114" i="4"/>
  <c r="BK159" i="4"/>
  <c r="BK60" i="4"/>
  <c r="BK61" i="4"/>
  <c r="AU175" i="4"/>
  <c r="AU176" i="4"/>
  <c r="AU177" i="4"/>
  <c r="AV175" i="4"/>
  <c r="AV176" i="4"/>
  <c r="AV177" i="4"/>
  <c r="AW175" i="4"/>
  <c r="AW176" i="4"/>
  <c r="AW177" i="4"/>
  <c r="AX175" i="4"/>
  <c r="AX176" i="4"/>
  <c r="AX177" i="4"/>
  <c r="AY175" i="4"/>
  <c r="AY176" i="4"/>
  <c r="AY177" i="4"/>
  <c r="AZ175" i="4"/>
  <c r="AZ176" i="4"/>
  <c r="AZ177" i="4"/>
  <c r="BA175" i="4"/>
  <c r="BA176" i="4"/>
  <c r="BA177" i="4"/>
  <c r="BB175" i="4"/>
  <c r="BB176" i="4"/>
  <c r="BB177" i="4"/>
  <c r="BC175" i="4"/>
  <c r="BC176" i="4"/>
  <c r="BC177" i="4"/>
  <c r="BD175" i="4"/>
  <c r="BD176" i="4"/>
  <c r="BD177" i="4"/>
  <c r="V28" i="6"/>
  <c r="V60" i="4"/>
  <c r="V61" i="4"/>
  <c r="R60" i="4"/>
  <c r="R61" i="4"/>
  <c r="S44" i="5"/>
  <c r="S60" i="4"/>
  <c r="S61" i="4"/>
  <c r="T28" i="6"/>
  <c r="T60" i="4"/>
  <c r="T61" i="4"/>
  <c r="U28" i="6"/>
  <c r="W28" i="6"/>
  <c r="W60" i="4"/>
  <c r="W61" i="4"/>
  <c r="X28" i="6"/>
  <c r="X60" i="4"/>
  <c r="X61" i="4"/>
  <c r="Y28" i="6"/>
  <c r="Y60" i="4"/>
  <c r="Y61" i="4"/>
  <c r="Z28" i="6"/>
  <c r="Z60" i="4"/>
  <c r="Z61" i="4"/>
  <c r="AA28" i="6"/>
  <c r="AA60" i="4"/>
  <c r="AA61" i="4"/>
  <c r="AB28" i="6"/>
  <c r="AB60" i="4"/>
  <c r="AB61" i="4"/>
  <c r="AC28" i="6"/>
  <c r="AC60" i="4"/>
  <c r="AC61" i="4"/>
  <c r="AD28" i="6"/>
  <c r="AD60" i="4"/>
  <c r="AD61" i="4"/>
  <c r="AE28" i="6"/>
  <c r="AE60" i="4"/>
  <c r="AE61" i="4"/>
  <c r="AF28" i="6"/>
  <c r="AF60" i="4"/>
  <c r="AF61" i="4"/>
  <c r="AG28" i="6"/>
  <c r="AG60" i="4"/>
  <c r="AG61" i="4"/>
  <c r="AH28" i="6"/>
  <c r="AH60" i="4"/>
  <c r="AH61" i="4"/>
  <c r="AI28" i="6"/>
  <c r="AI60" i="4"/>
  <c r="AI61" i="4"/>
  <c r="AJ28" i="6"/>
  <c r="AJ60" i="4"/>
  <c r="AJ61" i="4"/>
  <c r="AK28" i="6"/>
  <c r="AK60" i="4"/>
  <c r="AK61" i="4"/>
  <c r="AL28" i="6"/>
  <c r="AL60" i="4"/>
  <c r="AL61" i="4"/>
  <c r="AM28" i="6"/>
  <c r="AM60" i="4"/>
  <c r="AM61" i="4"/>
  <c r="AN28" i="6"/>
  <c r="AN60" i="4"/>
  <c r="AN61" i="4"/>
  <c r="AO28" i="6"/>
  <c r="AO60" i="4"/>
  <c r="AO61" i="4"/>
  <c r="AP28" i="6"/>
  <c r="AP60" i="4"/>
  <c r="AP61" i="4"/>
  <c r="AQ28" i="6"/>
  <c r="AQ60" i="4"/>
  <c r="AQ61" i="4"/>
  <c r="AR28" i="6"/>
  <c r="AR60" i="4"/>
  <c r="AR61" i="4"/>
  <c r="AS28" i="6"/>
  <c r="AS60" i="4"/>
  <c r="AS61" i="4"/>
  <c r="AT28" i="6"/>
  <c r="AT60" i="4"/>
  <c r="AT61" i="4"/>
  <c r="AU28" i="6"/>
  <c r="AU60" i="4"/>
  <c r="AU61" i="4"/>
  <c r="AV28" i="6"/>
  <c r="AV60" i="4"/>
  <c r="AV61" i="4"/>
  <c r="AW28" i="6"/>
  <c r="AW60" i="4"/>
  <c r="AW61" i="4"/>
  <c r="AX28" i="6"/>
  <c r="AX60" i="4"/>
  <c r="AX61" i="4"/>
  <c r="AY28" i="6"/>
  <c r="AY60" i="4"/>
  <c r="AY61" i="4"/>
  <c r="AZ28" i="6"/>
  <c r="AZ60" i="4"/>
  <c r="AZ61" i="4"/>
  <c r="BA28" i="6"/>
  <c r="BA60" i="4"/>
  <c r="BA61" i="4"/>
  <c r="BB28" i="6"/>
  <c r="BB60" i="4"/>
  <c r="BB61" i="4"/>
  <c r="BC28" i="6"/>
  <c r="BC60" i="4"/>
  <c r="BC61" i="4"/>
  <c r="BD28" i="6"/>
  <c r="BD60" i="4"/>
  <c r="BD61" i="4"/>
  <c r="BE28" i="6"/>
  <c r="BE60" i="4"/>
  <c r="BE61" i="4"/>
  <c r="BF28" i="6"/>
  <c r="BF60" i="4"/>
  <c r="BF61" i="4"/>
  <c r="BG28" i="6"/>
  <c r="BG60" i="4"/>
  <c r="BG61" i="4"/>
  <c r="BH28" i="6"/>
  <c r="BH60" i="4"/>
  <c r="BH61" i="4"/>
  <c r="BI28" i="6"/>
  <c r="BI60" i="4"/>
  <c r="BI61" i="4"/>
  <c r="BJ28" i="6"/>
  <c r="BJ60" i="4"/>
  <c r="BJ61" i="4"/>
  <c r="BL44" i="5"/>
  <c r="BL37" i="4"/>
  <c r="BL78" i="6" s="1"/>
  <c r="BL114" i="4"/>
  <c r="BL159" i="4"/>
  <c r="BL60" i="4"/>
  <c r="BL61" i="4"/>
  <c r="BM44" i="5"/>
  <c r="BM37" i="4"/>
  <c r="BM78" i="6" s="1"/>
  <c r="BM114" i="4"/>
  <c r="BM159" i="4"/>
  <c r="BM60" i="4"/>
  <c r="BM61" i="4"/>
  <c r="BN44" i="5"/>
  <c r="BN37" i="4"/>
  <c r="BN78" i="6"/>
  <c r="BN114" i="4"/>
  <c r="BN159" i="4"/>
  <c r="BN60" i="4"/>
  <c r="BN61" i="4"/>
  <c r="BO44" i="5"/>
  <c r="BO37" i="4"/>
  <c r="BO78" i="6" s="1"/>
  <c r="BO114" i="4"/>
  <c r="BO159" i="4"/>
  <c r="BO60" i="4"/>
  <c r="BO61" i="4"/>
  <c r="BP44" i="5"/>
  <c r="BP37" i="4"/>
  <c r="BP78" i="6" s="1"/>
  <c r="BP159" i="4"/>
  <c r="N159" i="4" s="1"/>
  <c r="BP60" i="4"/>
  <c r="BP61" i="4"/>
  <c r="BQ44" i="5"/>
  <c r="BQ37" i="4"/>
  <c r="BQ78" i="6"/>
  <c r="BQ114" i="4"/>
  <c r="BQ159" i="4"/>
  <c r="BQ60" i="4"/>
  <c r="N60" i="4" s="1"/>
  <c r="BQ61" i="4"/>
  <c r="BR44" i="5"/>
  <c r="BR37" i="4"/>
  <c r="BR78" i="6" s="1"/>
  <c r="BR114" i="4"/>
  <c r="BR159" i="4"/>
  <c r="BR60" i="4"/>
  <c r="BR61" i="4"/>
  <c r="BS44" i="5"/>
  <c r="BS37" i="4"/>
  <c r="BS78" i="6"/>
  <c r="BS114" i="4"/>
  <c r="BS159" i="4"/>
  <c r="BS60" i="4"/>
  <c r="BS61" i="4"/>
  <c r="BT44" i="5"/>
  <c r="BT37" i="4"/>
  <c r="BT78" i="6" s="1"/>
  <c r="BT114" i="4"/>
  <c r="BT159" i="4"/>
  <c r="BT60" i="4"/>
  <c r="BT61" i="4"/>
  <c r="BU44" i="5"/>
  <c r="BU114" i="4"/>
  <c r="BU159" i="4"/>
  <c r="BU60" i="4"/>
  <c r="BU61" i="4"/>
  <c r="BV44" i="5"/>
  <c r="BV33" i="5"/>
  <c r="BV94" i="6" s="1"/>
  <c r="BV39" i="5"/>
  <c r="BV92" i="6"/>
  <c r="BV91" i="6"/>
  <c r="BV90" i="6"/>
  <c r="BW44" i="5"/>
  <c r="BW33" i="5"/>
  <c r="BW94" i="6"/>
  <c r="BW39" i="5"/>
  <c r="BW92" i="6" s="1"/>
  <c r="BW91" i="6"/>
  <c r="BW90" i="6"/>
  <c r="BX44" i="5"/>
  <c r="BX33" i="5"/>
  <c r="BX94" i="6" s="1"/>
  <c r="BX39" i="5"/>
  <c r="BX92" i="6"/>
  <c r="BX91" i="6"/>
  <c r="BX90" i="6"/>
  <c r="BY44" i="5"/>
  <c r="BY33" i="5"/>
  <c r="BY94" i="6"/>
  <c r="BY39" i="5"/>
  <c r="BY92" i="6"/>
  <c r="BY90" i="6"/>
  <c r="BZ44" i="5"/>
  <c r="BZ33" i="5"/>
  <c r="BZ94" i="6" s="1"/>
  <c r="BZ39" i="5"/>
  <c r="BZ92" i="6" s="1"/>
  <c r="BZ91" i="6"/>
  <c r="BZ90" i="6"/>
  <c r="CA44" i="5"/>
  <c r="CA33" i="5"/>
  <c r="CA94" i="6" s="1"/>
  <c r="CA39" i="5"/>
  <c r="CA92" i="6"/>
  <c r="CA91" i="6"/>
  <c r="CA90" i="6"/>
  <c r="CB44" i="5"/>
  <c r="CB33" i="5"/>
  <c r="CB94" i="6"/>
  <c r="CB39" i="5"/>
  <c r="CB92" i="6" s="1"/>
  <c r="CB91" i="6"/>
  <c r="CC44" i="5"/>
  <c r="CC33" i="5"/>
  <c r="CC94" i="6" s="1"/>
  <c r="CC39" i="5"/>
  <c r="CC92" i="6"/>
  <c r="CC91" i="6"/>
  <c r="CC90" i="6"/>
  <c r="CD44" i="5"/>
  <c r="CD33" i="5"/>
  <c r="CD94" i="6" s="1"/>
  <c r="CD39" i="5"/>
  <c r="CD92" i="6"/>
  <c r="CD91" i="6"/>
  <c r="CD90" i="6"/>
  <c r="CE44" i="5"/>
  <c r="CE33" i="5"/>
  <c r="CE94" i="6"/>
  <c r="CE39" i="5"/>
  <c r="CE92" i="6" s="1"/>
  <c r="CE91" i="6"/>
  <c r="CE90" i="6"/>
  <c r="CF44" i="5"/>
  <c r="CF33" i="5"/>
  <c r="CF94" i="6" s="1"/>
  <c r="CF39" i="5"/>
  <c r="CF92" i="6"/>
  <c r="CF91" i="6"/>
  <c r="CF90" i="6"/>
  <c r="CG44" i="5"/>
  <c r="CG33" i="5"/>
  <c r="CG94" i="6"/>
  <c r="CG39" i="5"/>
  <c r="CG92" i="6"/>
  <c r="CG91" i="6"/>
  <c r="CG90" i="6"/>
  <c r="CH44" i="5"/>
  <c r="CH33" i="5"/>
  <c r="CH94" i="6"/>
  <c r="CH39" i="5"/>
  <c r="CH92" i="6"/>
  <c r="CH91" i="6"/>
  <c r="CH90" i="6"/>
  <c r="CI44" i="5"/>
  <c r="CI33" i="5"/>
  <c r="CI94" i="6" s="1"/>
  <c r="CI39" i="5"/>
  <c r="CI92" i="6" s="1"/>
  <c r="CI91" i="6"/>
  <c r="CI90" i="6"/>
  <c r="CJ44" i="5"/>
  <c r="CJ33" i="5"/>
  <c r="CJ94" i="6" s="1"/>
  <c r="CJ39" i="5"/>
  <c r="CJ92" i="6"/>
  <c r="CJ91" i="6"/>
  <c r="CJ90" i="6"/>
  <c r="CK44" i="5"/>
  <c r="CK33" i="5"/>
  <c r="CK94" i="6"/>
  <c r="CK39" i="5"/>
  <c r="CK92" i="6" s="1"/>
  <c r="CK91" i="6"/>
  <c r="CK90" i="6"/>
  <c r="CL44" i="5"/>
  <c r="CL33" i="5"/>
  <c r="CL94" i="6"/>
  <c r="CL39" i="5"/>
  <c r="CL91" i="6"/>
  <c r="CL90" i="6"/>
  <c r="CM44" i="5"/>
  <c r="CM33" i="5"/>
  <c r="CM94" i="6" s="1"/>
  <c r="CM39" i="5"/>
  <c r="CM92" i="6"/>
  <c r="CM91" i="6"/>
  <c r="CM90" i="6"/>
  <c r="CN44" i="5"/>
  <c r="CN33" i="5"/>
  <c r="CN94" i="6"/>
  <c r="CN39" i="5"/>
  <c r="CN92" i="6"/>
  <c r="CN91" i="6"/>
  <c r="CN90" i="6"/>
  <c r="CO44" i="5"/>
  <c r="CO33" i="5"/>
  <c r="CO94" i="6" s="1"/>
  <c r="CO39" i="5"/>
  <c r="CO92" i="6" s="1"/>
  <c r="CO91" i="6"/>
  <c r="CO90" i="6"/>
  <c r="CP44" i="5"/>
  <c r="CP33" i="5"/>
  <c r="CP94" i="6"/>
  <c r="CP39" i="5"/>
  <c r="CP92" i="6"/>
  <c r="CP91" i="6"/>
  <c r="CP90" i="6"/>
  <c r="CQ44" i="5"/>
  <c r="CQ28" i="6" s="1"/>
  <c r="CQ33" i="5"/>
  <c r="CQ94" i="6" s="1"/>
  <c r="CQ39" i="5"/>
  <c r="CQ92" i="6" s="1"/>
  <c r="CQ91" i="6"/>
  <c r="CQ90" i="6"/>
  <c r="CR44" i="5"/>
  <c r="CR33" i="5"/>
  <c r="CR94" i="6" s="1"/>
  <c r="CR39" i="5"/>
  <c r="CR92" i="6"/>
  <c r="CR91" i="6"/>
  <c r="CR90" i="6"/>
  <c r="CS44" i="5"/>
  <c r="CS33" i="5"/>
  <c r="CS94" i="6"/>
  <c r="CS39" i="5"/>
  <c r="CS92" i="6" s="1"/>
  <c r="CS91" i="6"/>
  <c r="CS90" i="6"/>
  <c r="CT44" i="5"/>
  <c r="CT33" i="5"/>
  <c r="CT94" i="6"/>
  <c r="CT39" i="5"/>
  <c r="CT91" i="6"/>
  <c r="CT90" i="6"/>
  <c r="CU44" i="5"/>
  <c r="CU33" i="5"/>
  <c r="CU94" i="6" s="1"/>
  <c r="CU39" i="5"/>
  <c r="CU92" i="6"/>
  <c r="CU91" i="6"/>
  <c r="CU90" i="6"/>
  <c r="CV44" i="5"/>
  <c r="CV33" i="5"/>
  <c r="CV94" i="6"/>
  <c r="CV39" i="5"/>
  <c r="CV92" i="6"/>
  <c r="CV91" i="6"/>
  <c r="CV90" i="6"/>
  <c r="CW44" i="5"/>
  <c r="CW33" i="5"/>
  <c r="CW94" i="6" s="1"/>
  <c r="CW39" i="5"/>
  <c r="CW92" i="6" s="1"/>
  <c r="CW91" i="6"/>
  <c r="CW90" i="6"/>
  <c r="CX44" i="5"/>
  <c r="CX33" i="5"/>
  <c r="CX94" i="6"/>
  <c r="CX39" i="5"/>
  <c r="CX92" i="6"/>
  <c r="CX91" i="6"/>
  <c r="CX90" i="6"/>
  <c r="CY44" i="5"/>
  <c r="CY33" i="5"/>
  <c r="CY94" i="6" s="1"/>
  <c r="CY39" i="5"/>
  <c r="CY92" i="6" s="1"/>
  <c r="CY91" i="6"/>
  <c r="CY90" i="6"/>
  <c r="CZ44" i="5"/>
  <c r="CZ33" i="5"/>
  <c r="CZ94" i="6" s="1"/>
  <c r="CZ39" i="5"/>
  <c r="CZ92" i="6"/>
  <c r="CZ91" i="6"/>
  <c r="CZ90" i="6"/>
  <c r="DA44" i="5"/>
  <c r="DA33" i="5"/>
  <c r="DA94" i="6"/>
  <c r="DA39" i="5"/>
  <c r="DA92" i="6" s="1"/>
  <c r="DA91" i="6"/>
  <c r="DA90" i="6"/>
  <c r="DB44" i="5"/>
  <c r="DB33" i="5"/>
  <c r="DB94" i="6"/>
  <c r="DB39" i="5"/>
  <c r="DB91" i="6"/>
  <c r="DB90" i="6"/>
  <c r="DC44" i="5"/>
  <c r="DC33" i="5"/>
  <c r="DC94" i="6" s="1"/>
  <c r="DC39" i="5"/>
  <c r="DC92" i="6"/>
  <c r="DC91" i="6"/>
  <c r="DC90" i="6"/>
  <c r="DD44" i="5"/>
  <c r="DD33" i="5"/>
  <c r="DD94" i="6"/>
  <c r="DD39" i="5"/>
  <c r="DD92" i="6"/>
  <c r="DD91" i="6"/>
  <c r="DD90" i="6"/>
  <c r="DE44" i="5"/>
  <c r="DE33" i="5"/>
  <c r="DE94" i="6"/>
  <c r="DE39" i="5"/>
  <c r="DE92" i="6" s="1"/>
  <c r="DE91" i="6"/>
  <c r="DE90" i="6"/>
  <c r="DF44" i="5"/>
  <c r="DF33" i="5"/>
  <c r="DF94" i="6"/>
  <c r="DF39" i="5"/>
  <c r="DF92" i="6"/>
  <c r="DF91" i="6"/>
  <c r="DF90" i="6"/>
  <c r="DG44" i="5"/>
  <c r="DG33" i="5"/>
  <c r="DG94" i="6" s="1"/>
  <c r="DG39" i="5"/>
  <c r="DG92" i="6" s="1"/>
  <c r="DG91" i="6"/>
  <c r="DG90" i="6"/>
  <c r="DH44" i="5"/>
  <c r="DH33" i="5"/>
  <c r="DH94" i="6" s="1"/>
  <c r="DH39" i="5"/>
  <c r="DH92" i="6"/>
  <c r="DH91" i="6"/>
  <c r="DH90" i="6"/>
  <c r="DI44" i="5"/>
  <c r="DI33" i="5"/>
  <c r="DI94" i="6"/>
  <c r="DI39" i="5"/>
  <c r="DI92" i="6" s="1"/>
  <c r="DI91" i="6"/>
  <c r="DI90" i="6"/>
  <c r="DJ44" i="5"/>
  <c r="DJ33" i="5"/>
  <c r="DJ94" i="6"/>
  <c r="DJ39" i="5"/>
  <c r="DJ91" i="6"/>
  <c r="DJ90" i="6"/>
  <c r="DK44" i="5"/>
  <c r="DK33" i="5"/>
  <c r="DK94" i="6" s="1"/>
  <c r="DK39" i="5"/>
  <c r="DK92" i="6"/>
  <c r="DK91" i="6"/>
  <c r="DK90" i="6"/>
  <c r="DL44" i="5"/>
  <c r="DL33" i="5"/>
  <c r="DL94" i="6"/>
  <c r="DL39" i="5"/>
  <c r="DL92" i="6"/>
  <c r="DL91" i="6"/>
  <c r="DL90" i="6"/>
  <c r="DM44" i="5"/>
  <c r="DM33" i="5"/>
  <c r="DM94" i="6"/>
  <c r="DM39" i="5"/>
  <c r="DM92" i="6" s="1"/>
  <c r="DM91" i="6"/>
  <c r="DM90" i="6"/>
  <c r="DN44" i="5"/>
  <c r="DN33" i="5"/>
  <c r="DN94" i="6"/>
  <c r="DN39" i="5"/>
  <c r="DN92" i="6"/>
  <c r="DN91" i="6"/>
  <c r="DN90" i="6"/>
  <c r="DO44" i="5"/>
  <c r="DO75" i="6" s="1"/>
  <c r="DO33" i="5"/>
  <c r="DO94" i="6" s="1"/>
  <c r="DO39" i="5"/>
  <c r="DO92" i="6"/>
  <c r="DO91" i="6"/>
  <c r="DO90" i="6"/>
  <c r="DP44" i="5"/>
  <c r="DP33" i="5"/>
  <c r="DP94" i="6" s="1"/>
  <c r="DP39" i="5"/>
  <c r="DP92" i="6"/>
  <c r="DP91" i="6"/>
  <c r="DP90" i="6"/>
  <c r="R175" i="4"/>
  <c r="R176" i="4"/>
  <c r="R177" i="4"/>
  <c r="S175" i="4"/>
  <c r="S176" i="4"/>
  <c r="S177" i="4"/>
  <c r="T175" i="4"/>
  <c r="T176" i="4"/>
  <c r="T177" i="4"/>
  <c r="U175" i="4"/>
  <c r="U176" i="4"/>
  <c r="U178" i="4" s="1"/>
  <c r="U177" i="4"/>
  <c r="G2" i="9"/>
  <c r="F2" i="8"/>
  <c r="F2" i="4"/>
  <c r="F2" i="5"/>
  <c r="L154" i="4"/>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IO27" i="9"/>
  <c r="IN27" i="9"/>
  <c r="IM27" i="9"/>
  <c r="IL27" i="9"/>
  <c r="IK27" i="9"/>
  <c r="IJ27" i="9"/>
  <c r="II27" i="9"/>
  <c r="IH27" i="9"/>
  <c r="IG27" i="9"/>
  <c r="IF27" i="9"/>
  <c r="IE27" i="9"/>
  <c r="ID27" i="9"/>
  <c r="IC27" i="9"/>
  <c r="IB27" i="9"/>
  <c r="IA27" i="9"/>
  <c r="HZ27" i="9"/>
  <c r="HY27" i="9"/>
  <c r="HX27" i="9"/>
  <c r="HW27" i="9"/>
  <c r="HV27" i="9"/>
  <c r="HU27" i="9"/>
  <c r="HT27" i="9"/>
  <c r="HS27" i="9"/>
  <c r="HR27" i="9"/>
  <c r="HQ27" i="9"/>
  <c r="HP27" i="9"/>
  <c r="HO27" i="9"/>
  <c r="HN27" i="9"/>
  <c r="HM27" i="9"/>
  <c r="HL27" i="9"/>
  <c r="HK27" i="9"/>
  <c r="HJ27" i="9"/>
  <c r="HI27" i="9"/>
  <c r="HH27" i="9"/>
  <c r="HG27" i="9"/>
  <c r="HF27" i="9"/>
  <c r="HE27" i="9"/>
  <c r="HD27" i="9"/>
  <c r="HC27" i="9"/>
  <c r="HB27" i="9"/>
  <c r="HA27" i="9"/>
  <c r="GZ27" i="9"/>
  <c r="GY27" i="9"/>
  <c r="GX27" i="9"/>
  <c r="GW27" i="9"/>
  <c r="GV27" i="9"/>
  <c r="GU27" i="9"/>
  <c r="GT27" i="9"/>
  <c r="GS27" i="9"/>
  <c r="GR27" i="9"/>
  <c r="GQ27" i="9"/>
  <c r="GP27" i="9"/>
  <c r="GO27" i="9"/>
  <c r="GN27" i="9"/>
  <c r="GM27" i="9"/>
  <c r="GL27" i="9"/>
  <c r="GK27" i="9"/>
  <c r="GJ27" i="9"/>
  <c r="GI27" i="9"/>
  <c r="GH27" i="9"/>
  <c r="GG27" i="9"/>
  <c r="GF27" i="9"/>
  <c r="GE27" i="9"/>
  <c r="GD27" i="9"/>
  <c r="GC27" i="9"/>
  <c r="GB27" i="9"/>
  <c r="GA27" i="9"/>
  <c r="FZ27" i="9"/>
  <c r="FY27" i="9"/>
  <c r="FX27" i="9"/>
  <c r="FW27" i="9"/>
  <c r="FV27" i="9"/>
  <c r="FU27" i="9"/>
  <c r="FT27" i="9"/>
  <c r="FS27" i="9"/>
  <c r="FR27" i="9"/>
  <c r="FQ27" i="9"/>
  <c r="FP27" i="9"/>
  <c r="FO27" i="9"/>
  <c r="FN27" i="9"/>
  <c r="FM27" i="9"/>
  <c r="FL27" i="9"/>
  <c r="FK27" i="9"/>
  <c r="FJ27" i="9"/>
  <c r="FI27" i="9"/>
  <c r="FH27" i="9"/>
  <c r="FG27" i="9"/>
  <c r="FF27" i="9"/>
  <c r="FE27" i="9"/>
  <c r="FD27" i="9"/>
  <c r="FC27" i="9"/>
  <c r="FB27" i="9"/>
  <c r="FA27" i="9"/>
  <c r="EZ27" i="9"/>
  <c r="EY27" i="9"/>
  <c r="EX27" i="9"/>
  <c r="EW27" i="9"/>
  <c r="EV27" i="9"/>
  <c r="EU27" i="9"/>
  <c r="ET27" i="9"/>
  <c r="ES27" i="9"/>
  <c r="ER27" i="9"/>
  <c r="EQ27" i="9"/>
  <c r="EP27" i="9"/>
  <c r="EO27" i="9"/>
  <c r="EN27" i="9"/>
  <c r="EM27" i="9"/>
  <c r="EL27" i="9"/>
  <c r="EK27" i="9"/>
  <c r="EJ27" i="9"/>
  <c r="EI27" i="9"/>
  <c r="EH27" i="9"/>
  <c r="EG27" i="9"/>
  <c r="EF27" i="9"/>
  <c r="EE27" i="9"/>
  <c r="ED27" i="9"/>
  <c r="EC27" i="9"/>
  <c r="EB27" i="9"/>
  <c r="EA27" i="9"/>
  <c r="DZ27" i="9"/>
  <c r="DY27" i="9"/>
  <c r="DX27" i="9"/>
  <c r="DW27" i="9"/>
  <c r="DV27" i="9"/>
  <c r="DU27" i="9"/>
  <c r="DT27" i="9"/>
  <c r="DS27" i="9"/>
  <c r="DR27" i="9"/>
  <c r="DQ27" i="9"/>
  <c r="DP27" i="9"/>
  <c r="DO27" i="9"/>
  <c r="DN27" i="9"/>
  <c r="DM27" i="9"/>
  <c r="DL27" i="9"/>
  <c r="DK27" i="9"/>
  <c r="DJ27" i="9"/>
  <c r="DI27" i="9"/>
  <c r="DH27" i="9"/>
  <c r="DG27" i="9"/>
  <c r="DF27" i="9"/>
  <c r="DE27" i="9"/>
  <c r="DD27" i="9"/>
  <c r="DC27" i="9"/>
  <c r="DB27" i="9"/>
  <c r="DA27" i="9"/>
  <c r="CZ27" i="9"/>
  <c r="CY27" i="9"/>
  <c r="CX27" i="9"/>
  <c r="CW27" i="9"/>
  <c r="CV27" i="9"/>
  <c r="CU27" i="9"/>
  <c r="CT27" i="9"/>
  <c r="CS27" i="9"/>
  <c r="CR27" i="9"/>
  <c r="CQ27" i="9"/>
  <c r="CP27" i="9"/>
  <c r="CO27" i="9"/>
  <c r="CN27" i="9"/>
  <c r="CM27" i="9"/>
  <c r="CL27" i="9"/>
  <c r="CK27" i="9"/>
  <c r="CJ27" i="9"/>
  <c r="CI27" i="9"/>
  <c r="CH27" i="9"/>
  <c r="CG27" i="9"/>
  <c r="CF27" i="9"/>
  <c r="CE27" i="9"/>
  <c r="CD27" i="9"/>
  <c r="CC27" i="9"/>
  <c r="CB27" i="9"/>
  <c r="CA27" i="9"/>
  <c r="BZ27" i="9"/>
  <c r="BY27" i="9"/>
  <c r="BX27" i="9"/>
  <c r="BW27" i="9"/>
  <c r="BV27" i="9"/>
  <c r="IO23" i="9"/>
  <c r="IN23" i="9"/>
  <c r="IM23" i="9"/>
  <c r="IL23" i="9"/>
  <c r="IK23" i="9"/>
  <c r="IJ23" i="9"/>
  <c r="II23" i="9"/>
  <c r="IH23" i="9"/>
  <c r="IG23" i="9"/>
  <c r="IF23" i="9"/>
  <c r="IE23" i="9"/>
  <c r="ID23" i="9"/>
  <c r="IC23" i="9"/>
  <c r="IB23" i="9"/>
  <c r="IA23" i="9"/>
  <c r="HZ23" i="9"/>
  <c r="HY23" i="9"/>
  <c r="HX23" i="9"/>
  <c r="HW23" i="9"/>
  <c r="HV23" i="9"/>
  <c r="HU23" i="9"/>
  <c r="HT23" i="9"/>
  <c r="HS23" i="9"/>
  <c r="HR23" i="9"/>
  <c r="HQ23" i="9"/>
  <c r="HP23" i="9"/>
  <c r="HO23" i="9"/>
  <c r="HN23" i="9"/>
  <c r="HM23" i="9"/>
  <c r="HL23" i="9"/>
  <c r="HK23" i="9"/>
  <c r="HJ23" i="9"/>
  <c r="HI23" i="9"/>
  <c r="HH23" i="9"/>
  <c r="HG23" i="9"/>
  <c r="HF23" i="9"/>
  <c r="HE23" i="9"/>
  <c r="HD23" i="9"/>
  <c r="HC23" i="9"/>
  <c r="HB23" i="9"/>
  <c r="HA23" i="9"/>
  <c r="GZ23" i="9"/>
  <c r="GY23" i="9"/>
  <c r="GX23" i="9"/>
  <c r="GW23" i="9"/>
  <c r="GV23" i="9"/>
  <c r="GU23" i="9"/>
  <c r="GT23" i="9"/>
  <c r="GS23" i="9"/>
  <c r="GR23" i="9"/>
  <c r="GQ23" i="9"/>
  <c r="GP23" i="9"/>
  <c r="GO23" i="9"/>
  <c r="GN23" i="9"/>
  <c r="GM23" i="9"/>
  <c r="GL23" i="9"/>
  <c r="GK23" i="9"/>
  <c r="GJ23" i="9"/>
  <c r="GI23" i="9"/>
  <c r="GH23" i="9"/>
  <c r="GG23" i="9"/>
  <c r="GF23" i="9"/>
  <c r="GE23" i="9"/>
  <c r="GD23" i="9"/>
  <c r="GC23" i="9"/>
  <c r="GB23" i="9"/>
  <c r="GA23" i="9"/>
  <c r="FZ23" i="9"/>
  <c r="FY23" i="9"/>
  <c r="FX23" i="9"/>
  <c r="FW23" i="9"/>
  <c r="FV23" i="9"/>
  <c r="FU23" i="9"/>
  <c r="FT23" i="9"/>
  <c r="FS23" i="9"/>
  <c r="FR23" i="9"/>
  <c r="FQ23" i="9"/>
  <c r="FP23" i="9"/>
  <c r="FO23" i="9"/>
  <c r="FN23" i="9"/>
  <c r="FM23" i="9"/>
  <c r="FL23" i="9"/>
  <c r="FK23" i="9"/>
  <c r="FJ23" i="9"/>
  <c r="FI23" i="9"/>
  <c r="FH23" i="9"/>
  <c r="FG23" i="9"/>
  <c r="FF23" i="9"/>
  <c r="FE23" i="9"/>
  <c r="FD23" i="9"/>
  <c r="FC23" i="9"/>
  <c r="FB23" i="9"/>
  <c r="FA23" i="9"/>
  <c r="EZ23" i="9"/>
  <c r="EY23" i="9"/>
  <c r="EX23" i="9"/>
  <c r="EW23" i="9"/>
  <c r="EV23"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R124" i="4"/>
  <c r="S124" i="4" s="1"/>
  <c r="T124" i="4" s="1"/>
  <c r="U124" i="4" s="1"/>
  <c r="V124" i="4" s="1"/>
  <c r="W124" i="4" s="1"/>
  <c r="X124" i="4" s="1"/>
  <c r="Y124" i="4" s="1"/>
  <c r="Z124" i="4" s="1"/>
  <c r="AA124" i="4" s="1"/>
  <c r="AB124" i="4" s="1"/>
  <c r="AC124" i="4" s="1"/>
  <c r="AD124" i="4" s="1"/>
  <c r="AE124" i="4" s="1"/>
  <c r="AF124" i="4" s="1"/>
  <c r="AG124" i="4" s="1"/>
  <c r="AH124" i="4" s="1"/>
  <c r="AI124" i="4" s="1"/>
  <c r="AJ124" i="4" s="1"/>
  <c r="AK124" i="4" s="1"/>
  <c r="AL124" i="4" s="1"/>
  <c r="AM124" i="4" s="1"/>
  <c r="AN124" i="4" s="1"/>
  <c r="AO124" i="4" s="1"/>
  <c r="AP124" i="4" s="1"/>
  <c r="AQ124" i="4" s="1"/>
  <c r="AR124" i="4" s="1"/>
  <c r="AS124" i="4" s="1"/>
  <c r="AT124" i="4" s="1"/>
  <c r="AU124" i="4" s="1"/>
  <c r="AV124" i="4" s="1"/>
  <c r="AW124" i="4" s="1"/>
  <c r="AX124" i="4" s="1"/>
  <c r="AY124" i="4" s="1"/>
  <c r="AZ124" i="4" s="1"/>
  <c r="BA124" i="4" s="1"/>
  <c r="BB124" i="4" s="1"/>
  <c r="BC124" i="4" s="1"/>
  <c r="BD124" i="4" s="1"/>
  <c r="BE124" i="4" s="1"/>
  <c r="BF124" i="4" s="1"/>
  <c r="BG124" i="4" s="1"/>
  <c r="BH124" i="4" s="1"/>
  <c r="BI124" i="4" s="1"/>
  <c r="BJ124" i="4" s="1"/>
  <c r="BK124" i="4" s="1"/>
  <c r="BL124" i="4" s="1"/>
  <c r="BM124" i="4" s="1"/>
  <c r="BN124" i="4" s="1"/>
  <c r="BO124" i="4" s="1"/>
  <c r="BP124" i="4" s="1"/>
  <c r="BQ124" i="4" s="1"/>
  <c r="BR124" i="4" s="1"/>
  <c r="BS124" i="4" s="1"/>
  <c r="BT124" i="4" s="1"/>
  <c r="BU124" i="4" s="1"/>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Q271" i="4"/>
  <c r="AR271" i="4"/>
  <c r="AS271" i="4"/>
  <c r="AT271" i="4"/>
  <c r="AU271" i="4"/>
  <c r="AV271" i="4"/>
  <c r="AW271" i="4"/>
  <c r="AX271" i="4"/>
  <c r="AY271" i="4"/>
  <c r="AZ271" i="4"/>
  <c r="BA271" i="4"/>
  <c r="BB271" i="4"/>
  <c r="BC271" i="4"/>
  <c r="BD271" i="4"/>
  <c r="BE271" i="4"/>
  <c r="BF271" i="4"/>
  <c r="BG271" i="4"/>
  <c r="BH271" i="4"/>
  <c r="BI271" i="4"/>
  <c r="BJ271" i="4"/>
  <c r="BK271" i="4"/>
  <c r="BL271" i="4"/>
  <c r="BM271" i="4"/>
  <c r="BN271" i="4"/>
  <c r="BO271" i="4"/>
  <c r="BP271" i="4"/>
  <c r="BQ271" i="4"/>
  <c r="BR271" i="4"/>
  <c r="BS271" i="4"/>
  <c r="BT271" i="4"/>
  <c r="BU271" i="4"/>
  <c r="L103" i="4"/>
  <c r="W175" i="4"/>
  <c r="AA175" i="4"/>
  <c r="AE175" i="4"/>
  <c r="AI175" i="4"/>
  <c r="AI178" i="4" s="1"/>
  <c r="AM175" i="4"/>
  <c r="AQ175" i="4"/>
  <c r="BG175" i="4"/>
  <c r="BK175" i="4"/>
  <c r="BO175" i="4"/>
  <c r="BS175" i="4"/>
  <c r="V175" i="4"/>
  <c r="Z175" i="4"/>
  <c r="Z178" i="4" s="1"/>
  <c r="AD175" i="4"/>
  <c r="AH175" i="4"/>
  <c r="AL175" i="4"/>
  <c r="AP175" i="4"/>
  <c r="AT175" i="4"/>
  <c r="BF175" i="4"/>
  <c r="BJ175" i="4"/>
  <c r="BN175" i="4"/>
  <c r="BN178" i="4" s="1"/>
  <c r="BR175" i="4"/>
  <c r="AB175" i="4"/>
  <c r="AJ175" i="4"/>
  <c r="AR175" i="4"/>
  <c r="BH175" i="4"/>
  <c r="BP175" i="4"/>
  <c r="AF175" i="4"/>
  <c r="AN175" i="4"/>
  <c r="AN178" i="4" s="1"/>
  <c r="BT175" i="4"/>
  <c r="AG175" i="4"/>
  <c r="BM175" i="4"/>
  <c r="AC175" i="4"/>
  <c r="AK175" i="4"/>
  <c r="AS175" i="4"/>
  <c r="BI175" i="4"/>
  <c r="BQ175" i="4"/>
  <c r="BQ178" i="4" s="1"/>
  <c r="X175" i="4"/>
  <c r="BL175" i="4"/>
  <c r="Y175" i="4"/>
  <c r="AO175" i="4"/>
  <c r="BE175" i="4"/>
  <c r="BU175" i="4"/>
  <c r="W176" i="4"/>
  <c r="AA176" i="4"/>
  <c r="AA178" i="4" s="1"/>
  <c r="AE176" i="4"/>
  <c r="AI176" i="4"/>
  <c r="AM176" i="4"/>
  <c r="AQ176" i="4"/>
  <c r="BG176" i="4"/>
  <c r="BK176" i="4"/>
  <c r="BO176" i="4"/>
  <c r="BS176" i="4"/>
  <c r="BS178" i="4" s="1"/>
  <c r="V176" i="4"/>
  <c r="Z176" i="4"/>
  <c r="AD176" i="4"/>
  <c r="AH176" i="4"/>
  <c r="AL176" i="4"/>
  <c r="AP176" i="4"/>
  <c r="AT176" i="4"/>
  <c r="BF176" i="4"/>
  <c r="BF178" i="4" s="1"/>
  <c r="BJ176" i="4"/>
  <c r="BN176" i="4"/>
  <c r="BR176" i="4"/>
  <c r="AB176" i="4"/>
  <c r="AJ176" i="4"/>
  <c r="AR176" i="4"/>
  <c r="BH176" i="4"/>
  <c r="BP176" i="4"/>
  <c r="BP178" i="4" s="1"/>
  <c r="X176" i="4"/>
  <c r="BL176" i="4"/>
  <c r="AG176" i="4"/>
  <c r="BM176" i="4"/>
  <c r="AC176" i="4"/>
  <c r="AK176" i="4"/>
  <c r="AS176" i="4"/>
  <c r="BI176" i="4"/>
  <c r="BI178" i="4" s="1"/>
  <c r="BQ176" i="4"/>
  <c r="AF176" i="4"/>
  <c r="AN176" i="4"/>
  <c r="BT176" i="4"/>
  <c r="Y176" i="4"/>
  <c r="AO176" i="4"/>
  <c r="BE176" i="4"/>
  <c r="BU176" i="4"/>
  <c r="BU178" i="4" s="1"/>
  <c r="W177" i="4"/>
  <c r="AA177" i="4"/>
  <c r="AE177" i="4"/>
  <c r="AI177" i="4"/>
  <c r="AM177" i="4"/>
  <c r="AQ177" i="4"/>
  <c r="BG177" i="4"/>
  <c r="BK177" i="4"/>
  <c r="BK178" i="4" s="1"/>
  <c r="BO177" i="4"/>
  <c r="BS177" i="4"/>
  <c r="V177" i="4"/>
  <c r="Z177" i="4"/>
  <c r="AD177" i="4"/>
  <c r="AH177" i="4"/>
  <c r="AL177" i="4"/>
  <c r="AP177" i="4"/>
  <c r="AP178" i="4" s="1"/>
  <c r="AT177" i="4"/>
  <c r="BF177" i="4"/>
  <c r="BJ177" i="4"/>
  <c r="BN177" i="4"/>
  <c r="BR177" i="4"/>
  <c r="AB177" i="4"/>
  <c r="AJ177" i="4"/>
  <c r="AR177" i="4"/>
  <c r="BH177" i="4"/>
  <c r="BP177" i="4"/>
  <c r="AF177" i="4"/>
  <c r="BL177" i="4"/>
  <c r="AG177" i="4"/>
  <c r="BM177" i="4"/>
  <c r="AC177" i="4"/>
  <c r="AK177" i="4"/>
  <c r="AK178" i="4" s="1"/>
  <c r="AS177" i="4"/>
  <c r="BI177" i="4"/>
  <c r="BQ177" i="4"/>
  <c r="X177" i="4"/>
  <c r="AN177" i="4"/>
  <c r="BT177" i="4"/>
  <c r="Y177" i="4"/>
  <c r="AO177" i="4"/>
  <c r="AO178" i="4" s="1"/>
  <c r="BE177" i="4"/>
  <c r="BU177" i="4"/>
  <c r="X6" i="8"/>
  <c r="Y6" i="8" s="1"/>
  <c r="Z6" i="8" s="1"/>
  <c r="AA6" i="8" s="1"/>
  <c r="AB6" i="8" s="1"/>
  <c r="AC6" i="8"/>
  <c r="AD6" i="8" s="1"/>
  <c r="AE6" i="8" s="1"/>
  <c r="AF6" i="8" s="1"/>
  <c r="AG6" i="8" s="1"/>
  <c r="AH6" i="8" s="1"/>
  <c r="AI6" i="8" s="1"/>
  <c r="AJ6" i="8" s="1"/>
  <c r="AK6" i="8" s="1"/>
  <c r="AL6" i="8" s="1"/>
  <c r="AM6" i="8" s="1"/>
  <c r="AN6" i="8" s="1"/>
  <c r="AO6" i="8" s="1"/>
  <c r="AP6" i="8" s="1"/>
  <c r="AQ6" i="8" s="1"/>
  <c r="AR6" i="8" s="1"/>
  <c r="AS6" i="8" s="1"/>
  <c r="AT6" i="8" s="1"/>
  <c r="AU6" i="8" s="1"/>
  <c r="AV6" i="8" s="1"/>
  <c r="AW6" i="8" s="1"/>
  <c r="AX6" i="8" s="1"/>
  <c r="AY6" i="8" s="1"/>
  <c r="AZ6" i="8" s="1"/>
  <c r="BA6" i="8"/>
  <c r="BB6" i="8" s="1"/>
  <c r="BC6" i="8" s="1"/>
  <c r="BD6" i="8" s="1"/>
  <c r="BE6" i="8" s="1"/>
  <c r="BF6" i="8" s="1"/>
  <c r="BG6" i="8" s="1"/>
  <c r="BH6" i="8" s="1"/>
  <c r="BI6" i="8" s="1"/>
  <c r="BJ6" i="8" s="1"/>
  <c r="BK6" i="8" s="1"/>
  <c r="BL6" i="8" s="1"/>
  <c r="BM6" i="8" s="1"/>
  <c r="BN6" i="8" s="1"/>
  <c r="BO6" i="8" s="1"/>
  <c r="BP6" i="8" s="1"/>
  <c r="BQ6" i="8" s="1"/>
  <c r="N36" i="9"/>
  <c r="N35" i="9"/>
  <c r="N34" i="9"/>
  <c r="N33" i="9"/>
  <c r="N32" i="9"/>
  <c r="N31" i="9"/>
  <c r="N22" i="9"/>
  <c r="S28" i="6"/>
  <c r="S347" i="4" s="1"/>
  <c r="AW118" i="1"/>
  <c r="AX152" i="1"/>
  <c r="AG118" i="1"/>
  <c r="AH152" i="1"/>
  <c r="AC118" i="1"/>
  <c r="AD152" i="1"/>
  <c r="U118" i="1"/>
  <c r="V152" i="1"/>
  <c r="M118" i="1"/>
  <c r="N152" i="1"/>
  <c r="AT118" i="1"/>
  <c r="AU152" i="1"/>
  <c r="AP118" i="1"/>
  <c r="AQ152" i="1"/>
  <c r="AH118" i="1"/>
  <c r="AI152" i="1"/>
  <c r="AD118" i="1"/>
  <c r="AE152" i="1"/>
  <c r="V118" i="1"/>
  <c r="W152" i="1"/>
  <c r="N118" i="1"/>
  <c r="O152" i="1"/>
  <c r="G118" i="1"/>
  <c r="M16" i="1"/>
  <c r="H152" i="1"/>
  <c r="AU118" i="1"/>
  <c r="AV152" i="1"/>
  <c r="AQ118" i="1"/>
  <c r="AR152" i="1"/>
  <c r="AM118" i="1"/>
  <c r="AN152" i="1"/>
  <c r="AI118" i="1"/>
  <c r="AJ152" i="1"/>
  <c r="AE118" i="1"/>
  <c r="AF152" i="1"/>
  <c r="AA118" i="1"/>
  <c r="AB152" i="1"/>
  <c r="W118" i="1"/>
  <c r="X152" i="1"/>
  <c r="S118" i="1"/>
  <c r="T152" i="1"/>
  <c r="O118" i="1"/>
  <c r="P152" i="1"/>
  <c r="K118" i="1"/>
  <c r="L152" i="1"/>
  <c r="H118" i="1"/>
  <c r="M17" i="1"/>
  <c r="I152" i="1"/>
  <c r="I118" i="1"/>
  <c r="J152" i="1"/>
  <c r="AS118" i="1"/>
  <c r="AT152" i="1"/>
  <c r="AO118" i="1"/>
  <c r="AP152" i="1"/>
  <c r="AK118" i="1"/>
  <c r="AL152" i="1"/>
  <c r="Y118" i="1"/>
  <c r="Z152" i="1"/>
  <c r="Q118" i="1"/>
  <c r="R152" i="1"/>
  <c r="F118" i="1"/>
  <c r="M15" i="1"/>
  <c r="G152" i="1"/>
  <c r="AL118" i="1"/>
  <c r="AM152" i="1"/>
  <c r="Z118" i="1"/>
  <c r="AA152" i="1"/>
  <c r="R118" i="1"/>
  <c r="S152" i="1"/>
  <c r="J118" i="1"/>
  <c r="K152" i="1"/>
  <c r="AV118" i="1"/>
  <c r="AW152" i="1"/>
  <c r="AR118" i="1"/>
  <c r="AS152" i="1"/>
  <c r="AN118" i="1"/>
  <c r="AO152" i="1"/>
  <c r="AJ118" i="1"/>
  <c r="AK152" i="1"/>
  <c r="AF118" i="1"/>
  <c r="AG152" i="1"/>
  <c r="AB118" i="1"/>
  <c r="AC152" i="1"/>
  <c r="X118" i="1"/>
  <c r="Y152" i="1"/>
  <c r="T118" i="1"/>
  <c r="U152" i="1"/>
  <c r="P118" i="1"/>
  <c r="Q152" i="1"/>
  <c r="L118" i="1"/>
  <c r="M152" i="1"/>
  <c r="E118" i="1"/>
  <c r="DJ77" i="6"/>
  <c r="DL77" i="6"/>
  <c r="CK77" i="6"/>
  <c r="CT77" i="6"/>
  <c r="CQ77" i="6"/>
  <c r="CH77" i="6"/>
  <c r="CE77" i="6"/>
  <c r="CA77" i="6"/>
  <c r="BZ77" i="6"/>
  <c r="BX77" i="6"/>
  <c r="Q24" i="9"/>
  <c r="M105" i="4"/>
  <c r="DM77" i="6"/>
  <c r="DL75" i="6"/>
  <c r="DL28" i="6"/>
  <c r="DI77" i="6"/>
  <c r="DH28" i="6"/>
  <c r="DH75" i="6"/>
  <c r="DE77" i="6"/>
  <c r="DD75" i="6"/>
  <c r="DD28" i="6"/>
  <c r="DA77" i="6"/>
  <c r="CZ28" i="6"/>
  <c r="CZ75" i="6"/>
  <c r="CS77" i="6"/>
  <c r="CR28" i="6"/>
  <c r="CR75" i="6"/>
  <c r="CG77" i="6"/>
  <c r="CF75" i="6"/>
  <c r="CF28" i="6"/>
  <c r="BY77" i="6"/>
  <c r="BX75" i="6"/>
  <c r="BX28" i="6"/>
  <c r="BM75" i="6"/>
  <c r="BM28" i="6"/>
  <c r="BA75" i="6"/>
  <c r="AK75" i="6"/>
  <c r="AE75" i="6"/>
  <c r="AC75" i="6"/>
  <c r="W75" i="6"/>
  <c r="U75" i="6"/>
  <c r="V75" i="6"/>
  <c r="DE75" i="6"/>
  <c r="DE28" i="6"/>
  <c r="CX77" i="6"/>
  <c r="CW75" i="6"/>
  <c r="CW28" i="6"/>
  <c r="CP77" i="6"/>
  <c r="CO75" i="6"/>
  <c r="CO28" i="6"/>
  <c r="CL77" i="6"/>
  <c r="CK75" i="6"/>
  <c r="CK28" i="6"/>
  <c r="CC75" i="6"/>
  <c r="CC28" i="6"/>
  <c r="BY75" i="6"/>
  <c r="BY28" i="6"/>
  <c r="DO28" i="6"/>
  <c r="DK75" i="6"/>
  <c r="DK28" i="6"/>
  <c r="DH77" i="6"/>
  <c r="DD77" i="6"/>
  <c r="DC75" i="6"/>
  <c r="DC28" i="6"/>
  <c r="CZ77" i="6"/>
  <c r="CV77" i="6"/>
  <c r="CU75" i="6"/>
  <c r="CU28" i="6"/>
  <c r="CR77" i="6"/>
  <c r="CQ75" i="6"/>
  <c r="CN77" i="6"/>
  <c r="CM75" i="6"/>
  <c r="CM28" i="6"/>
  <c r="CJ77" i="6"/>
  <c r="CF77" i="6"/>
  <c r="CE75" i="6"/>
  <c r="CE28" i="6"/>
  <c r="CB77" i="6"/>
  <c r="CA75" i="6"/>
  <c r="CA28" i="6"/>
  <c r="BW75" i="6"/>
  <c r="BW28" i="6"/>
  <c r="BU75" i="6"/>
  <c r="BU28" i="6"/>
  <c r="BS75" i="6"/>
  <c r="BS28" i="6"/>
  <c r="BO75" i="6"/>
  <c r="BO28" i="6"/>
  <c r="BL28" i="6"/>
  <c r="BL75" i="6"/>
  <c r="BK75" i="6"/>
  <c r="BK28" i="6"/>
  <c r="DP28" i="6"/>
  <c r="DP75" i="6"/>
  <c r="CW77" i="6"/>
  <c r="CV75" i="6"/>
  <c r="CV28" i="6"/>
  <c r="CO77" i="6"/>
  <c r="CN75" i="6"/>
  <c r="CN28" i="6"/>
  <c r="CJ28" i="6"/>
  <c r="CJ75" i="6"/>
  <c r="CC77" i="6"/>
  <c r="CB28" i="6"/>
  <c r="CB75" i="6"/>
  <c r="BP75" i="6"/>
  <c r="BP28" i="6"/>
  <c r="BI75" i="6"/>
  <c r="BG75" i="6"/>
  <c r="BE75" i="6"/>
  <c r="BC75" i="6"/>
  <c r="AY75" i="6"/>
  <c r="AW75" i="6"/>
  <c r="AU75" i="6"/>
  <c r="AS75" i="6"/>
  <c r="AQ75" i="6"/>
  <c r="AO75" i="6"/>
  <c r="AM75" i="6"/>
  <c r="AI75" i="6"/>
  <c r="AG75" i="6"/>
  <c r="AA75" i="6"/>
  <c r="Y75" i="6"/>
  <c r="DN77" i="6"/>
  <c r="DM75" i="6"/>
  <c r="DM28" i="6"/>
  <c r="DI75" i="6"/>
  <c r="DI28" i="6"/>
  <c r="DF77" i="6"/>
  <c r="DB77" i="6"/>
  <c r="DA75" i="6"/>
  <c r="DA28" i="6"/>
  <c r="CS75" i="6"/>
  <c r="CS28" i="6"/>
  <c r="CG75" i="6"/>
  <c r="CG28" i="6"/>
  <c r="CD77" i="6"/>
  <c r="BV77" i="6"/>
  <c r="BT28" i="6"/>
  <c r="BT75" i="6"/>
  <c r="BR75" i="6"/>
  <c r="BR28" i="6"/>
  <c r="BQ75" i="6"/>
  <c r="BQ28" i="6"/>
  <c r="BN75" i="6"/>
  <c r="BN28" i="6"/>
  <c r="T75" i="6"/>
  <c r="DP77" i="6"/>
  <c r="DO77" i="6"/>
  <c r="DN75" i="6"/>
  <c r="DN28" i="6"/>
  <c r="DK77" i="6"/>
  <c r="DJ75" i="6"/>
  <c r="DJ28" i="6"/>
  <c r="DG77" i="6"/>
  <c r="DF75" i="6"/>
  <c r="DF28" i="6"/>
  <c r="DC77" i="6"/>
  <c r="DB75" i="6"/>
  <c r="DB28" i="6"/>
  <c r="CY77" i="6"/>
  <c r="CX75" i="6"/>
  <c r="CX28" i="6"/>
  <c r="CU77" i="6"/>
  <c r="CT75" i="6"/>
  <c r="CT28" i="6"/>
  <c r="CP75" i="6"/>
  <c r="CP28" i="6"/>
  <c r="CM77" i="6"/>
  <c r="CL75" i="6"/>
  <c r="CL28" i="6"/>
  <c r="CI77" i="6"/>
  <c r="CH75" i="6"/>
  <c r="CH28" i="6"/>
  <c r="CD75" i="6"/>
  <c r="CD28" i="6"/>
  <c r="BZ75" i="6"/>
  <c r="BZ28" i="6"/>
  <c r="BW77" i="6"/>
  <c r="BV75" i="6"/>
  <c r="BV28" i="6"/>
  <c r="BJ75" i="6"/>
  <c r="BH75" i="6"/>
  <c r="BF75" i="6"/>
  <c r="BD75" i="6"/>
  <c r="BB75" i="6"/>
  <c r="AZ75" i="6"/>
  <c r="AX75" i="6"/>
  <c r="AV75" i="6"/>
  <c r="AT75" i="6"/>
  <c r="AR75" i="6"/>
  <c r="AP75" i="6"/>
  <c r="AN75" i="6"/>
  <c r="AL75" i="6"/>
  <c r="AJ75" i="6"/>
  <c r="AH75" i="6"/>
  <c r="AF75" i="6"/>
  <c r="AD75" i="6"/>
  <c r="AB75" i="6"/>
  <c r="Z75" i="6"/>
  <c r="X75" i="6"/>
  <c r="S75" i="6"/>
  <c r="M104" i="4"/>
  <c r="M103" i="4"/>
  <c r="AJ178" i="4"/>
  <c r="AE178" i="4"/>
  <c r="M22" i="9"/>
  <c r="M31" i="9" s="1"/>
  <c r="X178" i="4"/>
  <c r="BM178" i="4"/>
  <c r="AZ178" i="4"/>
  <c r="AF178" i="4"/>
  <c r="AB178" i="4"/>
  <c r="AQ178" i="4"/>
  <c r="AS178" i="4"/>
  <c r="AG178" i="4"/>
  <c r="AH178" i="4"/>
  <c r="Y178" i="4"/>
  <c r="BJ178" i="4"/>
  <c r="V178" i="4"/>
  <c r="BE178" i="4"/>
  <c r="BH178" i="4"/>
  <c r="BR178" i="4"/>
  <c r="AT178" i="4"/>
  <c r="AD178" i="4"/>
  <c r="BO178" i="4"/>
  <c r="AM178" i="4"/>
  <c r="W178" i="4"/>
  <c r="T178" i="4"/>
  <c r="AU178" i="4"/>
  <c r="AV178" i="4"/>
  <c r="AX178" i="4"/>
  <c r="AW178" i="4"/>
  <c r="BA178" i="4"/>
  <c r="AR178" i="4"/>
  <c r="AL178" i="4"/>
  <c r="S178" i="4"/>
  <c r="BG178" i="4"/>
  <c r="AC178" i="4"/>
  <c r="BB178" i="4"/>
  <c r="BL178" i="4"/>
  <c r="BT178" i="4"/>
  <c r="R178" i="4"/>
  <c r="BC178" i="4"/>
  <c r="BD178" i="4"/>
  <c r="AY178" i="4"/>
  <c r="N61" i="4"/>
  <c r="M18" i="1"/>
  <c r="DI42" i="5"/>
  <c r="DG42" i="5"/>
  <c r="DN42" i="5"/>
  <c r="DE42" i="5"/>
  <c r="CZ42" i="5"/>
  <c r="DC42" i="5"/>
  <c r="CD42" i="5"/>
  <c r="CN42" i="5"/>
  <c r="CG42" i="5"/>
  <c r="CC42" i="5"/>
  <c r="BY42" i="5"/>
  <c r="BW42" i="5"/>
  <c r="CF42" i="5"/>
  <c r="CY42" i="5"/>
  <c r="CR42" i="5"/>
  <c r="DD42" i="5"/>
  <c r="CU42" i="5"/>
  <c r="CI42" i="5"/>
  <c r="CJ42" i="5"/>
  <c r="CM42" i="5"/>
  <c r="CW42" i="5"/>
  <c r="DP42" i="5"/>
  <c r="DH42" i="5"/>
  <c r="CV42" i="5"/>
  <c r="CB42" i="5"/>
  <c r="CP42" i="5"/>
  <c r="BV42" i="5"/>
  <c r="DA42" i="5"/>
  <c r="CO42" i="5"/>
  <c r="DO42" i="5"/>
  <c r="CX42" i="5"/>
  <c r="CS42" i="5"/>
  <c r="DF42" i="5"/>
  <c r="DK42" i="5"/>
  <c r="DM42" i="5"/>
  <c r="BX42" i="5"/>
  <c r="CA42" i="5"/>
  <c r="CK42" i="5"/>
  <c r="CQ42" i="5"/>
  <c r="BZ42" i="5"/>
  <c r="CH42" i="5"/>
  <c r="DL42" i="5"/>
  <c r="CE42" i="5"/>
  <c r="BU37" i="4"/>
  <c r="BU78" i="6" s="1"/>
  <c r="Q9" i="7"/>
  <c r="R8" i="7" s="1"/>
  <c r="Q7" i="7"/>
  <c r="Q7" i="3"/>
  <c r="Q7" i="4" s="1"/>
  <c r="Q9" i="4"/>
  <c r="R223" i="4"/>
  <c r="R8" i="4"/>
  <c r="R166" i="4" s="1"/>
  <c r="R80" i="4" s="1"/>
  <c r="R9" i="7"/>
  <c r="S8" i="7" s="1"/>
  <c r="R151" i="4"/>
  <c r="R9" i="4"/>
  <c r="R108" i="4"/>
  <c r="R298" i="4"/>
  <c r="S8" i="4"/>
  <c r="S9" i="7"/>
  <c r="R20" i="3"/>
  <c r="S9" i="4"/>
  <c r="S166" i="4" s="1"/>
  <c r="R130" i="4"/>
  <c r="S108" i="4"/>
  <c r="S298" i="4"/>
  <c r="T8" i="4"/>
  <c r="L58" i="2"/>
  <c r="L70" i="2"/>
  <c r="L34" i="2"/>
  <c r="L46" i="2"/>
  <c r="R39" i="7"/>
  <c r="T9" i="4"/>
  <c r="T108" i="4"/>
  <c r="T166" i="4"/>
  <c r="R19" i="3"/>
  <c r="R285" i="4"/>
  <c r="R203" i="4"/>
  <c r="T298" i="4"/>
  <c r="F143" i="1"/>
  <c r="F162" i="1"/>
  <c r="Q7" i="9"/>
  <c r="X8" i="8"/>
  <c r="Q12" i="5"/>
  <c r="Q8" i="9"/>
  <c r="Q13" i="5"/>
  <c r="Q7" i="5"/>
  <c r="Q14" i="5"/>
  <c r="X9" i="8"/>
  <c r="Q16" i="5"/>
  <c r="Q15" i="5"/>
  <c r="Q25" i="9"/>
  <c r="R7" i="9"/>
  <c r="X7" i="8"/>
  <c r="Q56" i="7"/>
  <c r="R12" i="5"/>
  <c r="Y8" i="8"/>
  <c r="Q15" i="4"/>
  <c r="Q13" i="4"/>
  <c r="Q12" i="4"/>
  <c r="Q82" i="4"/>
  <c r="U147" i="4"/>
  <c r="R8" i="9"/>
  <c r="R14" i="5"/>
  <c r="Q80" i="4"/>
  <c r="R15" i="5"/>
  <c r="Y9" i="8"/>
  <c r="Y7" i="8" s="1"/>
  <c r="R13" i="5"/>
  <c r="R16" i="5"/>
  <c r="R7" i="5"/>
  <c r="R102" i="4"/>
  <c r="R107" i="4" s="1"/>
  <c r="R104" i="4"/>
  <c r="R105" i="4"/>
  <c r="R106" i="4" s="1"/>
  <c r="R6" i="9"/>
  <c r="R12" i="3"/>
  <c r="S7" i="9"/>
  <c r="R56" i="7"/>
  <c r="R13" i="4"/>
  <c r="R312" i="4"/>
  <c r="R82" i="4"/>
  <c r="R172" i="4" s="1"/>
  <c r="R299" i="4"/>
  <c r="R12" i="4"/>
  <c r="Z8" i="8"/>
  <c r="S12" i="5"/>
  <c r="S55" i="6"/>
  <c r="R208" i="4"/>
  <c r="R15" i="4"/>
  <c r="R115" i="4"/>
  <c r="S8" i="9"/>
  <c r="R333" i="4"/>
  <c r="Z9" i="8"/>
  <c r="Z7" i="8" s="1"/>
  <c r="S16" i="5"/>
  <c r="S55" i="5" s="1"/>
  <c r="S15" i="5"/>
  <c r="S14" i="5"/>
  <c r="S13" i="5"/>
  <c r="R63" i="4"/>
  <c r="V147" i="4"/>
  <c r="R18" i="3"/>
  <c r="R16" i="3"/>
  <c r="S104" i="4"/>
  <c r="S102" i="4"/>
  <c r="S107" i="4" s="1"/>
  <c r="S105" i="4"/>
  <c r="S106" i="4"/>
  <c r="S44" i="6"/>
  <c r="S56" i="7"/>
  <c r="S12" i="4"/>
  <c r="S115" i="4"/>
  <c r="S208" i="4"/>
  <c r="S15" i="4"/>
  <c r="S13" i="4"/>
  <c r="S312" i="4"/>
  <c r="S299" i="4"/>
  <c r="S80" i="4"/>
  <c r="S82" i="4"/>
  <c r="S172" i="4" s="1"/>
  <c r="W147" i="4"/>
  <c r="S333" i="4"/>
  <c r="R314" i="4"/>
  <c r="F142" i="1"/>
  <c r="F160" i="1"/>
  <c r="E109" i="1"/>
  <c r="R152" i="4"/>
  <c r="T104" i="4"/>
  <c r="T105" i="4"/>
  <c r="T106" i="4" s="1"/>
  <c r="T102" i="4"/>
  <c r="T107" i="4" s="1"/>
  <c r="R21" i="4"/>
  <c r="T299" i="4"/>
  <c r="T82" i="4"/>
  <c r="T172" i="4" s="1"/>
  <c r="R316" i="4"/>
  <c r="R238" i="4"/>
  <c r="T80" i="4"/>
  <c r="X147" i="4"/>
  <c r="T333" i="4"/>
  <c r="S314" i="4"/>
  <c r="R70" i="4"/>
  <c r="S21" i="4"/>
  <c r="Y147" i="4"/>
  <c r="R17" i="3"/>
  <c r="U31" i="4"/>
  <c r="U30" i="4"/>
  <c r="U333" i="4"/>
  <c r="T21" i="4"/>
  <c r="R332" i="4"/>
  <c r="R339" i="4" s="1"/>
  <c r="Z147" i="4"/>
  <c r="V333" i="4"/>
  <c r="AA147" i="4"/>
  <c r="W333" i="4"/>
  <c r="V21" i="4"/>
  <c r="AB147" i="4"/>
  <c r="X333" i="4"/>
  <c r="R90" i="4"/>
  <c r="R22" i="4" s="1"/>
  <c r="W21" i="4"/>
  <c r="AC147" i="4"/>
  <c r="R91" i="4"/>
  <c r="R23" i="4"/>
  <c r="Y333" i="4"/>
  <c r="X21" i="4"/>
  <c r="AD147" i="4"/>
  <c r="Z333" i="4"/>
  <c r="Y21" i="4"/>
  <c r="AE147" i="4"/>
  <c r="AA333" i="4"/>
  <c r="R20" i="4"/>
  <c r="Z21" i="4"/>
  <c r="AF147" i="4"/>
  <c r="AB333" i="4"/>
  <c r="AA21" i="4"/>
  <c r="R50" i="4"/>
  <c r="AC333" i="4"/>
  <c r="AG147" i="4"/>
  <c r="AB21" i="4"/>
  <c r="S20" i="4"/>
  <c r="AH147" i="4"/>
  <c r="AD333" i="4"/>
  <c r="AC21" i="4"/>
  <c r="AE333" i="4"/>
  <c r="AI147" i="4"/>
  <c r="S50" i="4"/>
  <c r="AD21" i="4"/>
  <c r="AF333" i="4"/>
  <c r="AJ147" i="4"/>
  <c r="AE21" i="4"/>
  <c r="AG333" i="4"/>
  <c r="AK147" i="4"/>
  <c r="AF21" i="4"/>
  <c r="T50" i="4"/>
  <c r="AL147" i="4"/>
  <c r="AH333" i="4"/>
  <c r="AG21" i="4"/>
  <c r="AM147" i="4"/>
  <c r="AI333" i="4"/>
  <c r="AH21" i="4"/>
  <c r="AJ333" i="4"/>
  <c r="AN147" i="4"/>
  <c r="AI21" i="4"/>
  <c r="AO147" i="4"/>
  <c r="AK333" i="4"/>
  <c r="AJ21" i="4"/>
  <c r="AP147" i="4"/>
  <c r="AL333" i="4"/>
  <c r="AK21" i="4"/>
  <c r="AQ147" i="4"/>
  <c r="AM333" i="4"/>
  <c r="AL21" i="4"/>
  <c r="AR147" i="4"/>
  <c r="AN333" i="4"/>
  <c r="AM21" i="4"/>
  <c r="AS147" i="4"/>
  <c r="AO333" i="4"/>
  <c r="AN21" i="4"/>
  <c r="AT147" i="4"/>
  <c r="AP333" i="4"/>
  <c r="AO21" i="4"/>
  <c r="AU147" i="4"/>
  <c r="AQ333" i="4"/>
  <c r="AP21" i="4"/>
  <c r="AV147" i="4"/>
  <c r="AR333" i="4"/>
  <c r="AQ21" i="4"/>
  <c r="AW147" i="4"/>
  <c r="AS333" i="4"/>
  <c r="AR21" i="4"/>
  <c r="AX147" i="4"/>
  <c r="AT333" i="4"/>
  <c r="AS21" i="4"/>
  <c r="AU333" i="4"/>
  <c r="AY147" i="4"/>
  <c r="AT21" i="4"/>
  <c r="AZ147" i="4"/>
  <c r="AV333" i="4"/>
  <c r="AU21" i="4"/>
  <c r="BA147" i="4"/>
  <c r="AW333" i="4"/>
  <c r="AV21" i="4"/>
  <c r="BB147" i="4"/>
  <c r="AX333" i="4"/>
  <c r="AW21" i="4"/>
  <c r="AY333" i="4"/>
  <c r="BC147" i="4"/>
  <c r="AX21" i="4"/>
  <c r="BD147" i="4"/>
  <c r="AZ333" i="4"/>
  <c r="AY21" i="4"/>
  <c r="BE147" i="4"/>
  <c r="BA333" i="4"/>
  <c r="AZ21" i="4"/>
  <c r="BF147" i="4"/>
  <c r="BB333" i="4"/>
  <c r="BA21" i="4"/>
  <c r="BG147" i="4"/>
  <c r="BC333" i="4"/>
  <c r="BB21" i="4"/>
  <c r="BH147" i="4"/>
  <c r="BD333" i="4"/>
  <c r="BC21" i="4"/>
  <c r="BI147" i="4"/>
  <c r="BE333" i="4"/>
  <c r="BD21" i="4"/>
  <c r="BJ147" i="4"/>
  <c r="N149" i="4"/>
  <c r="BF333" i="4"/>
  <c r="BE21" i="4"/>
  <c r="BG333" i="4"/>
  <c r="BF21" i="4"/>
  <c r="R287" i="4"/>
  <c r="BH333" i="4"/>
  <c r="R326" i="4"/>
  <c r="BG21" i="4"/>
  <c r="BI333" i="4"/>
  <c r="BH21" i="4"/>
  <c r="L43" i="2"/>
  <c r="L67" i="2"/>
  <c r="BJ333" i="4"/>
  <c r="BI21" i="4"/>
  <c r="BK333" i="4"/>
  <c r="BJ21" i="4"/>
  <c r="BL333" i="4"/>
  <c r="E112" i="1"/>
  <c r="BK21" i="4"/>
  <c r="BM333" i="4"/>
  <c r="BL21" i="4"/>
  <c r="BN333" i="4"/>
  <c r="BM21" i="4"/>
  <c r="BO333" i="4"/>
  <c r="BN21" i="4"/>
  <c r="BP333" i="4"/>
  <c r="BO21" i="4"/>
  <c r="BQ333" i="4"/>
  <c r="BP21" i="4"/>
  <c r="BR333" i="4"/>
  <c r="BQ21" i="4"/>
  <c r="BS333" i="4"/>
  <c r="BR21" i="4"/>
  <c r="BT333" i="4"/>
  <c r="BS21" i="4"/>
  <c r="BU333" i="4"/>
  <c r="BT21" i="4"/>
  <c r="BU21" i="4"/>
  <c r="N38" i="5"/>
  <c r="N315" i="4"/>
  <c r="R28" i="4"/>
  <c r="R33" i="4"/>
  <c r="S28" i="4"/>
  <c r="S33" i="4"/>
  <c r="T28" i="4" s="1"/>
  <c r="T33" i="4" s="1"/>
  <c r="U28" i="4" s="1"/>
  <c r="L65" i="2"/>
  <c r="L52" i="2"/>
  <c r="L75" i="2"/>
  <c r="L64" i="2"/>
  <c r="L63" i="2"/>
  <c r="L50" i="2"/>
  <c r="L37" i="2"/>
  <c r="L59" i="2"/>
  <c r="L38" i="2"/>
  <c r="L41" i="2"/>
  <c r="L35" i="2"/>
  <c r="L74" i="2"/>
  <c r="L39" i="2"/>
  <c r="L62" i="2"/>
  <c r="L73" i="2"/>
  <c r="L47" i="2"/>
  <c r="L55" i="2"/>
  <c r="L71" i="2"/>
  <c r="L51" i="2"/>
  <c r="L77" i="2"/>
  <c r="L48" i="2"/>
  <c r="L54" i="2"/>
  <c r="L79" i="2"/>
  <c r="L49" i="2"/>
  <c r="L40" i="2"/>
  <c r="L66" i="2"/>
  <c r="L53" i="2"/>
  <c r="L78" i="2"/>
  <c r="L42" i="2"/>
  <c r="L76" i="2"/>
  <c r="L36" i="2"/>
  <c r="L60" i="2"/>
  <c r="L61" i="2"/>
  <c r="L72" i="2"/>
  <c r="R126" i="4"/>
  <c r="R36" i="4"/>
  <c r="Q23" i="9"/>
  <c r="F148" i="1"/>
  <c r="R62" i="4"/>
  <c r="R41" i="7"/>
  <c r="F149" i="1"/>
  <c r="S360" i="4"/>
  <c r="S62" i="4"/>
  <c r="R14" i="4"/>
  <c r="R167" i="4"/>
  <c r="R168" i="4" s="1"/>
  <c r="S14" i="4"/>
  <c r="S167" i="4" s="1"/>
  <c r="E116" i="1"/>
  <c r="F151" i="1"/>
  <c r="F164" i="1" s="1"/>
  <c r="R181" i="4"/>
  <c r="R49" i="4"/>
  <c r="E115" i="1"/>
  <c r="F150" i="1"/>
  <c r="F163" i="1"/>
  <c r="E117" i="1"/>
  <c r="R247" i="4"/>
  <c r="R323" i="4" s="1"/>
  <c r="R273" i="4"/>
  <c r="R267" i="4"/>
  <c r="R302" i="4"/>
  <c r="R324" i="4"/>
  <c r="R47" i="7"/>
  <c r="Q67" i="6"/>
  <c r="X72" i="8"/>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R325" i="4"/>
  <c r="DF21" i="6"/>
  <c r="DG21" i="6"/>
  <c r="DH21" i="6"/>
  <c r="DI21" i="6"/>
  <c r="DJ21" i="6"/>
  <c r="DK21" i="6"/>
  <c r="DL21" i="6"/>
  <c r="DM21" i="6"/>
  <c r="DN21" i="6"/>
  <c r="DO21" i="6"/>
  <c r="DP21" i="6"/>
  <c r="S63" i="4"/>
  <c r="S39" i="5"/>
  <c r="G149" i="1" s="1"/>
  <c r="R306" i="4"/>
  <c r="R307" i="4" s="1"/>
  <c r="E126" i="1"/>
  <c r="N78" i="6"/>
  <c r="Y52" i="8"/>
  <c r="Q27" i="9"/>
  <c r="R67" i="4"/>
  <c r="S247" i="4"/>
  <c r="S323" i="4" s="1"/>
  <c r="S273" i="4"/>
  <c r="R68" i="4"/>
  <c r="S324" i="4"/>
  <c r="E123" i="1"/>
  <c r="E124" i="1"/>
  <c r="R327" i="4"/>
  <c r="S23" i="5"/>
  <c r="S80" i="6" s="1"/>
  <c r="F165" i="1"/>
  <c r="F168" i="1" s="1"/>
  <c r="F156" i="1"/>
  <c r="F166" i="1" s="1"/>
  <c r="R156" i="4"/>
  <c r="Y15" i="8"/>
  <c r="R329" i="4"/>
  <c r="R330" i="4"/>
  <c r="Y22" i="8"/>
  <c r="Y25" i="8" s="1"/>
  <c r="Y72" i="8" s="1"/>
  <c r="Y17" i="8"/>
  <c r="Y59" i="8"/>
  <c r="E128" i="1"/>
  <c r="E132" i="1" s="1"/>
  <c r="R37" i="4"/>
  <c r="N37" i="4"/>
  <c r="N127" i="4"/>
  <c r="R38" i="4"/>
  <c r="R39" i="4"/>
  <c r="R117" i="4"/>
  <c r="R118" i="4"/>
  <c r="R131" i="4"/>
  <c r="R40" i="4" s="1"/>
  <c r="R119" i="4"/>
  <c r="L235" i="2"/>
  <c r="L241" i="2" s="1"/>
  <c r="R48" i="6"/>
  <c r="R47" i="6" s="1"/>
  <c r="R50" i="6" s="1"/>
  <c r="R62" i="6"/>
  <c r="R59" i="6"/>
  <c r="R65" i="6" s="1"/>
  <c r="R67" i="6" s="1"/>
  <c r="L223" i="2"/>
  <c r="L226" i="2" s="1"/>
  <c r="R60" i="7"/>
  <c r="S58" i="7"/>
  <c r="R58" i="7"/>
  <c r="R59" i="7"/>
  <c r="R61" i="7" s="1"/>
  <c r="R49" i="7" s="1"/>
  <c r="R48" i="7"/>
  <c r="N144" i="4"/>
  <c r="N145" i="4"/>
  <c r="R32" i="6"/>
  <c r="R32" i="7"/>
  <c r="S28" i="7" s="1"/>
  <c r="S304" i="4" l="1"/>
  <c r="R69" i="4"/>
  <c r="R50" i="7"/>
  <c r="S47" i="7" s="1"/>
  <c r="R338" i="4"/>
  <c r="E130" i="1"/>
  <c r="E134" i="1" s="1"/>
  <c r="L242" i="2"/>
  <c r="K107" i="1"/>
  <c r="M19" i="1"/>
  <c r="M20" i="1"/>
  <c r="S92" i="6"/>
  <c r="S168" i="4"/>
  <c r="S169" i="4" s="1"/>
  <c r="S170" i="4" s="1"/>
  <c r="R169" i="4"/>
  <c r="R92" i="4"/>
  <c r="T8" i="7"/>
  <c r="T9" i="7" s="1"/>
  <c r="S7" i="7"/>
  <c r="R103" i="4"/>
  <c r="T103" i="4"/>
  <c r="S103" i="4"/>
  <c r="R93" i="4"/>
  <c r="S88" i="4" s="1"/>
  <c r="Q12" i="3"/>
  <c r="Q6" i="9"/>
  <c r="DJ92" i="6"/>
  <c r="DJ42" i="5"/>
  <c r="DB92" i="6"/>
  <c r="DB42" i="5"/>
  <c r="CT92" i="6"/>
  <c r="CT42" i="5"/>
  <c r="CL92" i="6"/>
  <c r="CL42" i="5"/>
  <c r="B49" i="1"/>
  <c r="S327" i="4"/>
  <c r="T23" i="5"/>
  <c r="R7" i="7"/>
  <c r="DG75" i="6"/>
  <c r="DG28" i="6"/>
  <c r="CY75" i="6"/>
  <c r="CY28" i="6"/>
  <c r="CI75" i="6"/>
  <c r="N75" i="6" s="1"/>
  <c r="N44" i="5"/>
  <c r="CI28" i="6"/>
  <c r="W64" i="7"/>
  <c r="S7" i="6"/>
  <c r="T8" i="6"/>
  <c r="T9" i="6" s="1"/>
  <c r="Q7" i="6"/>
  <c r="A60" i="2"/>
  <c r="A72" i="2" s="1"/>
  <c r="A37" i="2"/>
  <c r="S7" i="5"/>
  <c r="T8" i="5"/>
  <c r="C62" i="2"/>
  <c r="C74" i="2" s="1"/>
  <c r="C39" i="2"/>
  <c r="R7" i="3"/>
  <c r="S7" i="3"/>
  <c r="T7" i="3"/>
  <c r="U8" i="3"/>
  <c r="C61" i="2"/>
  <c r="C73" i="2" s="1"/>
  <c r="U9" i="3" l="1"/>
  <c r="U8" i="4"/>
  <c r="S32" i="5"/>
  <c r="S29" i="5"/>
  <c r="S6" i="9"/>
  <c r="S12" i="3"/>
  <c r="S27" i="6" s="1"/>
  <c r="B50" i="1"/>
  <c r="T7" i="6"/>
  <c r="U8" i="6"/>
  <c r="U9" i="6" s="1"/>
  <c r="U8" i="7"/>
  <c r="U9" i="7" s="1"/>
  <c r="T7" i="7"/>
  <c r="R182" i="4"/>
  <c r="R24" i="4"/>
  <c r="T9" i="5"/>
  <c r="T14" i="5"/>
  <c r="AA8" i="8"/>
  <c r="T7" i="9"/>
  <c r="A61" i="2"/>
  <c r="A73" i="2" s="1"/>
  <c r="A38" i="2"/>
  <c r="S24" i="3"/>
  <c r="S53" i="3"/>
  <c r="S52" i="3" s="1"/>
  <c r="S7" i="4"/>
  <c r="S6" i="3"/>
  <c r="S90" i="4"/>
  <c r="R170" i="4"/>
  <c r="L107" i="1"/>
  <c r="T24" i="3"/>
  <c r="T53" i="3"/>
  <c r="T52" i="3" s="1"/>
  <c r="T7" i="4"/>
  <c r="N28" i="6"/>
  <c r="X64" i="7"/>
  <c r="R24" i="3"/>
  <c r="R7" i="4"/>
  <c r="C63" i="2"/>
  <c r="C75" i="2" s="1"/>
  <c r="C40" i="2"/>
  <c r="R340" i="4"/>
  <c r="S325" i="4"/>
  <c r="U7" i="7" l="1"/>
  <c r="V8" i="7"/>
  <c r="V9" i="7" s="1"/>
  <c r="R51" i="4"/>
  <c r="T36" i="3"/>
  <c r="T110" i="3"/>
  <c r="T44" i="3"/>
  <c r="T28" i="3"/>
  <c r="R281" i="4"/>
  <c r="R290" i="4"/>
  <c r="R205" i="4"/>
  <c r="S205" i="4" s="1"/>
  <c r="R188" i="4"/>
  <c r="T290" i="4"/>
  <c r="T31" i="5" s="1"/>
  <c r="T281" i="4"/>
  <c r="M107" i="1"/>
  <c r="M22" i="1"/>
  <c r="M21" i="1"/>
  <c r="S282" i="4"/>
  <c r="S290" i="4"/>
  <c r="S31" i="5" s="1"/>
  <c r="S281" i="4"/>
  <c r="S188" i="4"/>
  <c r="S56" i="4" s="1"/>
  <c r="S355" i="4"/>
  <c r="T7" i="5"/>
  <c r="U8" i="5"/>
  <c r="T15" i="5"/>
  <c r="T12" i="5"/>
  <c r="AA9" i="8"/>
  <c r="AA7" i="8" s="1"/>
  <c r="T8" i="9"/>
  <c r="T13" i="5"/>
  <c r="T16" i="5"/>
  <c r="T55" i="5" s="1"/>
  <c r="V8" i="6"/>
  <c r="V9" i="6" s="1"/>
  <c r="U7" i="6"/>
  <c r="F110" i="1"/>
  <c r="E15" i="1" s="1"/>
  <c r="S87" i="6"/>
  <c r="S20" i="6"/>
  <c r="G146" i="1"/>
  <c r="G161" i="1" s="1"/>
  <c r="S346" i="4"/>
  <c r="G144" i="1"/>
  <c r="S76" i="6"/>
  <c r="R74" i="4"/>
  <c r="R24" i="9"/>
  <c r="C64" i="2"/>
  <c r="C76" i="2" s="1"/>
  <c r="C41" i="2"/>
  <c r="Y64" i="7"/>
  <c r="S109" i="4"/>
  <c r="S110" i="4"/>
  <c r="T110" i="4" s="1"/>
  <c r="S25" i="3"/>
  <c r="V8" i="3"/>
  <c r="U7" i="3"/>
  <c r="U9" i="4"/>
  <c r="S91" i="4"/>
  <c r="S25" i="6"/>
  <c r="S22" i="4"/>
  <c r="A39" i="2"/>
  <c r="A62" i="2"/>
  <c r="A74" i="2" s="1"/>
  <c r="B51" i="1"/>
  <c r="S219" i="4" l="1"/>
  <c r="S25" i="9" s="1"/>
  <c r="S218" i="4"/>
  <c r="T205" i="4"/>
  <c r="C42" i="2"/>
  <c r="C65" i="2"/>
  <c r="C77" i="2" s="1"/>
  <c r="B52" i="1"/>
  <c r="T25" i="3"/>
  <c r="S150" i="4"/>
  <c r="S151" i="4" s="1"/>
  <c r="S23" i="4"/>
  <c r="S92" i="4"/>
  <c r="S56" i="3"/>
  <c r="S20" i="3" s="1"/>
  <c r="R56" i="4"/>
  <c r="U102" i="4"/>
  <c r="U298" i="4"/>
  <c r="U166" i="4"/>
  <c r="U80" i="4" s="1"/>
  <c r="U105" i="4"/>
  <c r="U106" i="4" s="1"/>
  <c r="U103" i="4"/>
  <c r="U104" i="4"/>
  <c r="U24" i="3"/>
  <c r="U110" i="4" s="1"/>
  <c r="U53" i="3"/>
  <c r="U52" i="3" s="1"/>
  <c r="U7" i="4"/>
  <c r="U108" i="4"/>
  <c r="T115" i="4"/>
  <c r="T15" i="4"/>
  <c r="T208" i="4"/>
  <c r="W8" i="7"/>
  <c r="W9" i="7" s="1"/>
  <c r="V7" i="7"/>
  <c r="V9" i="3"/>
  <c r="V8" i="4"/>
  <c r="U299" i="4"/>
  <c r="U9" i="5"/>
  <c r="U14" i="5" s="1"/>
  <c r="U7" i="9"/>
  <c r="AB8" i="8"/>
  <c r="U82" i="4"/>
  <c r="U172" i="4" s="1"/>
  <c r="R218" i="4"/>
  <c r="R219" i="4"/>
  <c r="A40" i="2"/>
  <c r="A63" i="2"/>
  <c r="A75" i="2" s="1"/>
  <c r="W8" i="6"/>
  <c r="W9" i="6" s="1"/>
  <c r="V7" i="6"/>
  <c r="T29" i="5"/>
  <c r="T6" i="9"/>
  <c r="T12" i="3"/>
  <c r="R282" i="4"/>
  <c r="T109" i="4"/>
  <c r="S223" i="4"/>
  <c r="T327" i="4"/>
  <c r="T44" i="6"/>
  <c r="U23" i="5"/>
  <c r="T80" i="6"/>
  <c r="N107" i="1"/>
  <c r="T282" i="4"/>
  <c r="T13" i="4"/>
  <c r="T55" i="6"/>
  <c r="Z64" i="7"/>
  <c r="T12" i="4"/>
  <c r="T347" i="4" s="1"/>
  <c r="T56" i="7"/>
  <c r="T223" i="4" l="1"/>
  <c r="T225" i="4" s="1"/>
  <c r="U109" i="4"/>
  <c r="U290" i="4"/>
  <c r="U214" i="4"/>
  <c r="U281" i="4"/>
  <c r="V8" i="5"/>
  <c r="U7" i="5"/>
  <c r="U12" i="5"/>
  <c r="U13" i="4" s="1"/>
  <c r="U8" i="9"/>
  <c r="AB9" i="8"/>
  <c r="AB7" i="8" s="1"/>
  <c r="U13" i="5"/>
  <c r="U16" i="5"/>
  <c r="U55" i="5" s="1"/>
  <c r="U15" i="5"/>
  <c r="AA64" i="7"/>
  <c r="X8" i="7"/>
  <c r="X9" i="7" s="1"/>
  <c r="W7" i="7"/>
  <c r="T150" i="4"/>
  <c r="T151" i="4" s="1"/>
  <c r="U25" i="3"/>
  <c r="T56" i="3"/>
  <c r="T20" i="3" s="1"/>
  <c r="T39" i="7" s="1"/>
  <c r="R25" i="9"/>
  <c r="U107" i="4"/>
  <c r="S182" i="4"/>
  <c r="S24" i="4"/>
  <c r="T218" i="4"/>
  <c r="T219" i="4"/>
  <c r="T25" i="9" s="1"/>
  <c r="C43" i="2"/>
  <c r="C67" i="2" s="1"/>
  <c r="C79" i="2" s="1"/>
  <c r="C66" i="2"/>
  <c r="C78" i="2" s="1"/>
  <c r="U55" i="6"/>
  <c r="T76" i="6"/>
  <c r="H144" i="1"/>
  <c r="S93" i="4"/>
  <c r="B53" i="1"/>
  <c r="T312" i="4"/>
  <c r="T14" i="4"/>
  <c r="A64" i="2"/>
  <c r="A76" i="2" s="1"/>
  <c r="A41" i="2"/>
  <c r="S39" i="7"/>
  <c r="O107" i="1"/>
  <c r="M23" i="1"/>
  <c r="M24" i="1"/>
  <c r="W7" i="6"/>
  <c r="X8" i="6"/>
  <c r="X9" i="6" s="1"/>
  <c r="V7" i="3"/>
  <c r="W8" i="3"/>
  <c r="V9" i="4"/>
  <c r="V108" i="4" s="1"/>
  <c r="P107" i="1" l="1"/>
  <c r="S51" i="4"/>
  <c r="V23" i="5"/>
  <c r="U327" i="4"/>
  <c r="U80" i="6"/>
  <c r="U44" i="6"/>
  <c r="U31" i="5"/>
  <c r="V299" i="4"/>
  <c r="U150" i="4"/>
  <c r="U151" i="4" s="1"/>
  <c r="U12" i="4"/>
  <c r="U347" i="4" s="1"/>
  <c r="U56" i="7"/>
  <c r="U223" i="4"/>
  <c r="U225" i="4" s="1"/>
  <c r="U63" i="4" s="1"/>
  <c r="T63" i="4"/>
  <c r="U56" i="3"/>
  <c r="U20" i="3" s="1"/>
  <c r="AB64" i="7"/>
  <c r="U312" i="4"/>
  <c r="V82" i="4"/>
  <c r="V172" i="4" s="1"/>
  <c r="B54" i="1"/>
  <c r="X7" i="6"/>
  <c r="Y8" i="6"/>
  <c r="Y9" i="6" s="1"/>
  <c r="A42" i="2"/>
  <c r="A65" i="2"/>
  <c r="A77" i="2" s="1"/>
  <c r="T167" i="4"/>
  <c r="U14" i="4"/>
  <c r="U29" i="5"/>
  <c r="U12" i="3"/>
  <c r="U6" i="9"/>
  <c r="S61" i="6"/>
  <c r="T88" i="4"/>
  <c r="Y8" i="7"/>
  <c r="Y9" i="7" s="1"/>
  <c r="X7" i="7"/>
  <c r="V9" i="5"/>
  <c r="AC8" i="8"/>
  <c r="V7" i="9"/>
  <c r="V14" i="5"/>
  <c r="U282" i="4"/>
  <c r="V166" i="4"/>
  <c r="V80" i="4" s="1"/>
  <c r="V298" i="4"/>
  <c r="V102" i="4"/>
  <c r="V103" i="4"/>
  <c r="V104" i="4"/>
  <c r="V105" i="4"/>
  <c r="V106" i="4"/>
  <c r="W9" i="3"/>
  <c r="W8" i="4"/>
  <c r="V24" i="3"/>
  <c r="V110" i="4" s="1"/>
  <c r="V7" i="4"/>
  <c r="V6" i="3"/>
  <c r="V53" i="3"/>
  <c r="V52" i="3" s="1"/>
  <c r="S316" i="4"/>
  <c r="S357" i="4"/>
  <c r="S25" i="4"/>
  <c r="U115" i="4"/>
  <c r="U15" i="4"/>
  <c r="U208" i="4"/>
  <c r="R6" i="3"/>
  <c r="U183" i="4"/>
  <c r="U32" i="4"/>
  <c r="T6" i="3"/>
  <c r="U50" i="4" l="1"/>
  <c r="I144" i="1"/>
  <c r="U76" i="6"/>
  <c r="A43" i="2"/>
  <c r="A67" i="2" s="1"/>
  <c r="A79" i="2" s="1"/>
  <c r="A66" i="2"/>
  <c r="A78" i="2" s="1"/>
  <c r="V290" i="4"/>
  <c r="V281" i="4"/>
  <c r="AC64" i="7"/>
  <c r="T355" i="4"/>
  <c r="V25" i="3"/>
  <c r="V56" i="3" s="1"/>
  <c r="V20" i="3" s="1"/>
  <c r="S30" i="3"/>
  <c r="S29" i="3" s="1"/>
  <c r="S46" i="3"/>
  <c r="S45" i="3" s="1"/>
  <c r="S38" i="3"/>
  <c r="S37" i="3" s="1"/>
  <c r="S112" i="3"/>
  <c r="V7" i="5"/>
  <c r="W8" i="5"/>
  <c r="V16" i="5"/>
  <c r="V55" i="5" s="1"/>
  <c r="V13" i="5"/>
  <c r="V12" i="5"/>
  <c r="V8" i="9"/>
  <c r="V15" i="5"/>
  <c r="AC9" i="8"/>
  <c r="AC7" i="8" s="1"/>
  <c r="V107" i="4"/>
  <c r="Z8" i="7"/>
  <c r="Z9" i="7" s="1"/>
  <c r="Y7" i="7"/>
  <c r="B55" i="1"/>
  <c r="U39" i="7"/>
  <c r="U355" i="4"/>
  <c r="Q107" i="1"/>
  <c r="M25" i="1"/>
  <c r="Z8" i="6"/>
  <c r="Z9" i="6" s="1"/>
  <c r="Y7" i="6"/>
  <c r="T38" i="3"/>
  <c r="T37" i="3" s="1"/>
  <c r="T41" i="3" s="1"/>
  <c r="T18" i="3" s="1"/>
  <c r="T27" i="5" s="1"/>
  <c r="U36" i="3"/>
  <c r="T112" i="3"/>
  <c r="U110" i="3"/>
  <c r="T46" i="3"/>
  <c r="T45" i="3" s="1"/>
  <c r="T49" i="3" s="1"/>
  <c r="U44" i="3"/>
  <c r="T30" i="3"/>
  <c r="T29" i="3" s="1"/>
  <c r="T33" i="3" s="1"/>
  <c r="T16" i="3" s="1"/>
  <c r="T25" i="5" s="1"/>
  <c r="U28" i="3"/>
  <c r="U6" i="3"/>
  <c r="V46" i="3" s="1"/>
  <c r="V45" i="3" s="1"/>
  <c r="V49" i="3" s="1"/>
  <c r="V109" i="4"/>
  <c r="T90" i="4"/>
  <c r="T168" i="4"/>
  <c r="T169" i="4"/>
  <c r="W36" i="3"/>
  <c r="W110" i="3"/>
  <c r="W44" i="3"/>
  <c r="W28" i="3"/>
  <c r="X8" i="3"/>
  <c r="W7" i="3"/>
  <c r="W9" i="4"/>
  <c r="W108" i="4" s="1"/>
  <c r="T20" i="4"/>
  <c r="S33" i="5"/>
  <c r="S317" i="4"/>
  <c r="U167" i="4"/>
  <c r="V39" i="7" l="1"/>
  <c r="V19" i="3"/>
  <c r="V28" i="5" s="1"/>
  <c r="V285" i="4"/>
  <c r="V203" i="4"/>
  <c r="R107" i="1"/>
  <c r="M26" i="1"/>
  <c r="Z7" i="7"/>
  <c r="AA8" i="7"/>
  <c r="AA9" i="7" s="1"/>
  <c r="V115" i="4"/>
  <c r="V208" i="4"/>
  <c r="V15" i="4"/>
  <c r="S115" i="3"/>
  <c r="S111" i="3"/>
  <c r="T115" i="3"/>
  <c r="T111" i="3"/>
  <c r="S70" i="4"/>
  <c r="T314" i="4"/>
  <c r="S41" i="3"/>
  <c r="W299" i="4"/>
  <c r="V13" i="4"/>
  <c r="V55" i="6"/>
  <c r="S49" i="3"/>
  <c r="X9" i="3"/>
  <c r="X8" i="4"/>
  <c r="T170" i="4"/>
  <c r="T188" i="4"/>
  <c r="T91" i="4"/>
  <c r="T25" i="6"/>
  <c r="T22" i="4"/>
  <c r="T152" i="4"/>
  <c r="H140" i="1"/>
  <c r="T61" i="3"/>
  <c r="T74" i="6"/>
  <c r="T32" i="5"/>
  <c r="Z7" i="6"/>
  <c r="AA8" i="6"/>
  <c r="AA9" i="6" s="1"/>
  <c r="W82" i="4"/>
  <c r="W172" i="4" s="1"/>
  <c r="V12" i="4"/>
  <c r="V347" i="4" s="1"/>
  <c r="V56" i="7"/>
  <c r="S33" i="3"/>
  <c r="V282" i="4"/>
  <c r="V223" i="4"/>
  <c r="V225" i="4" s="1"/>
  <c r="W109" i="4"/>
  <c r="U46" i="3"/>
  <c r="U45" i="3" s="1"/>
  <c r="U49" i="3" s="1"/>
  <c r="V36" i="3"/>
  <c r="U112" i="3"/>
  <c r="V110" i="3"/>
  <c r="U38" i="3"/>
  <c r="U37" i="3" s="1"/>
  <c r="U41" i="3" s="1"/>
  <c r="U18" i="3" s="1"/>
  <c r="U27" i="5" s="1"/>
  <c r="V44" i="3"/>
  <c r="V28" i="3"/>
  <c r="U30" i="3"/>
  <c r="U29" i="3" s="1"/>
  <c r="U33" i="3" s="1"/>
  <c r="U16" i="3" s="1"/>
  <c r="U25" i="5" s="1"/>
  <c r="V112" i="3"/>
  <c r="W23" i="5"/>
  <c r="V327" i="4"/>
  <c r="V80" i="6"/>
  <c r="V44" i="6"/>
  <c r="V150" i="4"/>
  <c r="V151" i="4" s="1"/>
  <c r="AD64" i="7"/>
  <c r="V31" i="5"/>
  <c r="V30" i="3"/>
  <c r="V29" i="3" s="1"/>
  <c r="S94" i="6"/>
  <c r="G147" i="1"/>
  <c r="S41" i="6"/>
  <c r="W166" i="4"/>
  <c r="W80" i="4" s="1"/>
  <c r="W298" i="4"/>
  <c r="W104" i="4"/>
  <c r="W105" i="4"/>
  <c r="W106" i="4"/>
  <c r="W102" i="4"/>
  <c r="W103" i="4"/>
  <c r="T38" i="7"/>
  <c r="T285" i="4"/>
  <c r="T19" i="3"/>
  <c r="T28" i="5" s="1"/>
  <c r="T203" i="4"/>
  <c r="T238" i="4" s="1"/>
  <c r="W9" i="5"/>
  <c r="AD8" i="8"/>
  <c r="W14" i="5"/>
  <c r="W7" i="9"/>
  <c r="G109" i="1"/>
  <c r="D16" i="1" s="1"/>
  <c r="H142" i="1"/>
  <c r="H160" i="1" s="1"/>
  <c r="T88" i="6"/>
  <c r="T17" i="6"/>
  <c r="T345" i="4" s="1"/>
  <c r="U168" i="4"/>
  <c r="U169" i="4"/>
  <c r="W24" i="3"/>
  <c r="W110" i="4" s="1"/>
  <c r="W53" i="3"/>
  <c r="W52" i="3" s="1"/>
  <c r="W7" i="4"/>
  <c r="W6" i="3"/>
  <c r="V38" i="3"/>
  <c r="V37" i="3" s="1"/>
  <c r="B56" i="1"/>
  <c r="V29" i="5"/>
  <c r="V38" i="7" s="1"/>
  <c r="V6" i="9"/>
  <c r="V12" i="3"/>
  <c r="V59" i="7" l="1"/>
  <c r="V48" i="7" s="1"/>
  <c r="V41" i="7"/>
  <c r="G110" i="1"/>
  <c r="E16" i="1" s="1"/>
  <c r="T87" i="6"/>
  <c r="T346" i="4"/>
  <c r="T20" i="6"/>
  <c r="H146" i="1"/>
  <c r="H161" i="1" s="1"/>
  <c r="I140" i="1"/>
  <c r="U74" i="6"/>
  <c r="U152" i="4"/>
  <c r="U61" i="3"/>
  <c r="U32" i="5"/>
  <c r="X108" i="4"/>
  <c r="X82" i="4"/>
  <c r="X172" i="4" s="1"/>
  <c r="X299" i="4"/>
  <c r="W290" i="4"/>
  <c r="W281" i="4"/>
  <c r="W282" i="4" s="1"/>
  <c r="V63" i="4"/>
  <c r="X7" i="3"/>
  <c r="Y8" i="3"/>
  <c r="X9" i="4"/>
  <c r="S107" i="1"/>
  <c r="M27" i="1"/>
  <c r="M28" i="1"/>
  <c r="W107" i="4"/>
  <c r="AE64" i="7"/>
  <c r="U170" i="4"/>
  <c r="U188" i="4"/>
  <c r="U56" i="4" s="1"/>
  <c r="H143" i="1"/>
  <c r="H162" i="1" s="1"/>
  <c r="T89" i="6"/>
  <c r="T351" i="4"/>
  <c r="V115" i="3"/>
  <c r="V111" i="3"/>
  <c r="S16" i="3"/>
  <c r="T23" i="4"/>
  <c r="S203" i="4"/>
  <c r="S38" i="7"/>
  <c r="S19" i="3"/>
  <c r="S285" i="4"/>
  <c r="S18" i="3"/>
  <c r="B57" i="1"/>
  <c r="W25" i="3"/>
  <c r="U115" i="3"/>
  <c r="U111" i="3"/>
  <c r="T56" i="4"/>
  <c r="T316" i="4"/>
  <c r="J143" i="1"/>
  <c r="J162" i="1" s="1"/>
  <c r="V351" i="4"/>
  <c r="V89" i="6"/>
  <c r="W223" i="4"/>
  <c r="W225" i="4" s="1"/>
  <c r="W63" i="4" s="1"/>
  <c r="V76" i="6"/>
  <c r="J144" i="1"/>
  <c r="U88" i="6"/>
  <c r="I142" i="1"/>
  <c r="I160" i="1" s="1"/>
  <c r="U17" i="6"/>
  <c r="U345" i="4" s="1"/>
  <c r="H109" i="1"/>
  <c r="D17" i="1" s="1"/>
  <c r="T59" i="7"/>
  <c r="T48" i="7" s="1"/>
  <c r="T41" i="7"/>
  <c r="AA7" i="6"/>
  <c r="AB8" i="6"/>
  <c r="AB9" i="6" s="1"/>
  <c r="V312" i="4"/>
  <c r="V14" i="4"/>
  <c r="AB8" i="7"/>
  <c r="AB9" i="7" s="1"/>
  <c r="AA7" i="7"/>
  <c r="X44" i="3"/>
  <c r="W38" i="3"/>
  <c r="W37" i="3" s="1"/>
  <c r="W112" i="3"/>
  <c r="X36" i="3"/>
  <c r="W46" i="3"/>
  <c r="W45" i="3" s="1"/>
  <c r="X110" i="3"/>
  <c r="W30" i="3"/>
  <c r="W29" i="3" s="1"/>
  <c r="X28" i="3"/>
  <c r="V213" i="4"/>
  <c r="V238" i="4"/>
  <c r="V33" i="3"/>
  <c r="V16" i="3" s="1"/>
  <c r="V25" i="5" s="1"/>
  <c r="V41" i="3"/>
  <c r="V18" i="3" s="1"/>
  <c r="V27" i="5" s="1"/>
  <c r="X8" i="5"/>
  <c r="W7" i="5"/>
  <c r="W12" i="5"/>
  <c r="W13" i="4" s="1"/>
  <c r="W8" i="9"/>
  <c r="W13" i="5"/>
  <c r="W15" i="5"/>
  <c r="AD9" i="8"/>
  <c r="AD7" i="8" s="1"/>
  <c r="W16" i="5"/>
  <c r="W55" i="5" s="1"/>
  <c r="T92" i="4"/>
  <c r="U203" i="4"/>
  <c r="U285" i="4"/>
  <c r="U38" i="7"/>
  <c r="U19" i="3"/>
  <c r="U28" i="5" s="1"/>
  <c r="W115" i="4" l="1"/>
  <c r="W15" i="4"/>
  <c r="W208" i="4"/>
  <c r="X24" i="3"/>
  <c r="X53" i="3"/>
  <c r="X52" i="3" s="1"/>
  <c r="X7" i="4"/>
  <c r="X6" i="3"/>
  <c r="AB7" i="6"/>
  <c r="AC8" i="6"/>
  <c r="AC9" i="6" s="1"/>
  <c r="U213" i="4"/>
  <c r="U238" i="4"/>
  <c r="W12" i="4"/>
  <c r="W347" i="4" s="1"/>
  <c r="W56" i="7"/>
  <c r="W49" i="3"/>
  <c r="AF64" i="7"/>
  <c r="W31" i="5"/>
  <c r="AC8" i="7"/>
  <c r="AC9" i="7" s="1"/>
  <c r="AB7" i="7"/>
  <c r="S28" i="5"/>
  <c r="S25" i="5"/>
  <c r="V355" i="4"/>
  <c r="W312" i="4"/>
  <c r="W115" i="3"/>
  <c r="W111" i="3"/>
  <c r="V167" i="4"/>
  <c r="W14" i="4"/>
  <c r="T33" i="5"/>
  <c r="S59" i="7"/>
  <c r="S41" i="7"/>
  <c r="S27" i="5"/>
  <c r="Y9" i="3"/>
  <c r="Y8" i="4"/>
  <c r="W29" i="5"/>
  <c r="W6" i="9"/>
  <c r="W12" i="3"/>
  <c r="T317" i="4"/>
  <c r="X25" i="3"/>
  <c r="W150" i="4"/>
  <c r="W151" i="4" s="1"/>
  <c r="S238" i="4"/>
  <c r="T107" i="1"/>
  <c r="U59" i="7"/>
  <c r="U48" i="7" s="1"/>
  <c r="U41" i="7"/>
  <c r="J140" i="1"/>
  <c r="V152" i="4"/>
  <c r="V61" i="3"/>
  <c r="V74" i="6"/>
  <c r="V32" i="5"/>
  <c r="T182" i="4"/>
  <c r="T24" i="4"/>
  <c r="T93" i="4"/>
  <c r="X9" i="5"/>
  <c r="X14" i="5"/>
  <c r="AE8" i="8"/>
  <c r="X7" i="9"/>
  <c r="W56" i="3"/>
  <c r="W20" i="3" s="1"/>
  <c r="U346" i="4"/>
  <c r="U87" i="6"/>
  <c r="H110" i="1"/>
  <c r="E17" i="1" s="1"/>
  <c r="U20" i="6"/>
  <c r="I146" i="1"/>
  <c r="I161" i="1" s="1"/>
  <c r="B58" i="1"/>
  <c r="V352" i="4"/>
  <c r="V29" i="4"/>
  <c r="I143" i="1"/>
  <c r="I162" i="1" s="1"/>
  <c r="U89" i="6"/>
  <c r="U351" i="4"/>
  <c r="W44" i="6"/>
  <c r="W327" i="4"/>
  <c r="W80" i="6"/>
  <c r="X23" i="5"/>
  <c r="V88" i="6"/>
  <c r="V17" i="6"/>
  <c r="V345" i="4" s="1"/>
  <c r="I109" i="1"/>
  <c r="D18" i="1" s="1"/>
  <c r="J142" i="1"/>
  <c r="J160" i="1" s="1"/>
  <c r="W55" i="6"/>
  <c r="X166" i="4"/>
  <c r="X80" i="4" s="1"/>
  <c r="X298" i="4"/>
  <c r="X105" i="4"/>
  <c r="X106" i="4"/>
  <c r="X102" i="4"/>
  <c r="X104" i="4"/>
  <c r="X103" i="4"/>
  <c r="X55" i="6" l="1"/>
  <c r="V20" i="6"/>
  <c r="I110" i="1"/>
  <c r="E18" i="1" s="1"/>
  <c r="J146" i="1"/>
  <c r="J161" i="1" s="1"/>
  <c r="V87" i="6"/>
  <c r="V346" i="4"/>
  <c r="U107" i="1"/>
  <c r="W355" i="4"/>
  <c r="AG64" i="7"/>
  <c r="W38" i="7"/>
  <c r="W19" i="3"/>
  <c r="W203" i="4"/>
  <c r="W285" i="4"/>
  <c r="AD8" i="6"/>
  <c r="AD9" i="6" s="1"/>
  <c r="AC7" i="6"/>
  <c r="T25" i="4"/>
  <c r="X107" i="4"/>
  <c r="W167" i="4"/>
  <c r="AC7" i="7"/>
  <c r="AD8" i="7"/>
  <c r="AD9" i="7" s="1"/>
  <c r="V168" i="4"/>
  <c r="V169" i="4" s="1"/>
  <c r="X112" i="3"/>
  <c r="X38" i="3"/>
  <c r="X37" i="3" s="1"/>
  <c r="Y44" i="3"/>
  <c r="X46" i="3"/>
  <c r="X45" i="3" s="1"/>
  <c r="Y36" i="3"/>
  <c r="Y110" i="3"/>
  <c r="X30" i="3"/>
  <c r="X29" i="3" s="1"/>
  <c r="Y28" i="3"/>
  <c r="W39" i="7"/>
  <c r="X150" i="4"/>
  <c r="X151" i="4" s="1"/>
  <c r="Y299" i="4"/>
  <c r="S48" i="7"/>
  <c r="X290" i="4"/>
  <c r="X31" i="5" s="1"/>
  <c r="X281" i="4"/>
  <c r="X282" i="4"/>
  <c r="W33" i="3"/>
  <c r="X7" i="5"/>
  <c r="Y8" i="5"/>
  <c r="X15" i="5"/>
  <c r="X16" i="5"/>
  <c r="X55" i="5" s="1"/>
  <c r="X12" i="5"/>
  <c r="X13" i="4" s="1"/>
  <c r="X14" i="4" s="1"/>
  <c r="X13" i="5"/>
  <c r="AE9" i="8"/>
  <c r="AE7" i="8" s="1"/>
  <c r="X8" i="9"/>
  <c r="K144" i="1"/>
  <c r="W76" i="6"/>
  <c r="U88" i="4"/>
  <c r="T61" i="6"/>
  <c r="T70" i="4"/>
  <c r="U314" i="4"/>
  <c r="Z8" i="3"/>
  <c r="Y7" i="3"/>
  <c r="Y9" i="4"/>
  <c r="Y108" i="4" s="1"/>
  <c r="S61" i="3"/>
  <c r="G140" i="1"/>
  <c r="S152" i="4"/>
  <c r="S74" i="6"/>
  <c r="U215" i="4"/>
  <c r="U29" i="4"/>
  <c r="U352" i="4"/>
  <c r="X56" i="3"/>
  <c r="X20" i="3" s="1"/>
  <c r="X39" i="7" s="1"/>
  <c r="W41" i="3"/>
  <c r="T94" i="6"/>
  <c r="H147" i="1"/>
  <c r="T41" i="6"/>
  <c r="X109" i="4"/>
  <c r="X110" i="4"/>
  <c r="T51" i="4"/>
  <c r="G142" i="1"/>
  <c r="G160" i="1" s="1"/>
  <c r="F109" i="1"/>
  <c r="D15" i="1" s="1"/>
  <c r="S17" i="6"/>
  <c r="S88" i="6"/>
  <c r="S89" i="6"/>
  <c r="S351" i="4"/>
  <c r="G143" i="1"/>
  <c r="G162" i="1" s="1"/>
  <c r="V170" i="4" l="1"/>
  <c r="V188" i="4"/>
  <c r="X167" i="4"/>
  <c r="U316" i="4"/>
  <c r="Y9" i="5"/>
  <c r="Y14" i="5" s="1"/>
  <c r="AF8" i="8"/>
  <c r="Y7" i="9"/>
  <c r="T357" i="4"/>
  <c r="S345" i="4"/>
  <c r="U33" i="4"/>
  <c r="V28" i="4" s="1"/>
  <c r="X29" i="5"/>
  <c r="X6" i="9"/>
  <c r="X12" i="3"/>
  <c r="X41" i="3" s="1"/>
  <c r="X115" i="3"/>
  <c r="X111" i="3"/>
  <c r="W169" i="4"/>
  <c r="W168" i="4"/>
  <c r="V212" i="4"/>
  <c r="U60" i="6"/>
  <c r="Y82" i="4"/>
  <c r="Y172" i="4" s="1"/>
  <c r="V107" i="1"/>
  <c r="AE8" i="6"/>
  <c r="AE9" i="6" s="1"/>
  <c r="AD7" i="6"/>
  <c r="W18" i="3"/>
  <c r="S62" i="3"/>
  <c r="X12" i="4"/>
  <c r="X347" i="4" s="1"/>
  <c r="X56" i="7"/>
  <c r="W16" i="3"/>
  <c r="Y166" i="4"/>
  <c r="Y80" i="4" s="1"/>
  <c r="Y298" i="4"/>
  <c r="Y102" i="4"/>
  <c r="Y103" i="4"/>
  <c r="Y104" i="4"/>
  <c r="Y105" i="4"/>
  <c r="Y106" i="4" s="1"/>
  <c r="X312" i="4"/>
  <c r="U20" i="4"/>
  <c r="W213" i="4"/>
  <c r="W238" i="4"/>
  <c r="X223" i="4"/>
  <c r="X225" i="4" s="1"/>
  <c r="Y109" i="4"/>
  <c r="Y24" i="3"/>
  <c r="Y25" i="3" s="1"/>
  <c r="Y53" i="3"/>
  <c r="Y52" i="3" s="1"/>
  <c r="Y56" i="3" s="1"/>
  <c r="Y20" i="3" s="1"/>
  <c r="Y39" i="7" s="1"/>
  <c r="Y7" i="4"/>
  <c r="Y6" i="3"/>
  <c r="U90" i="4"/>
  <c r="X327" i="4"/>
  <c r="X44" i="6"/>
  <c r="X80" i="6"/>
  <c r="Y23" i="5"/>
  <c r="X49" i="3"/>
  <c r="AE8" i="7"/>
  <c r="AE9" i="7" s="1"/>
  <c r="AD7" i="7"/>
  <c r="W28" i="5"/>
  <c r="AH64" i="7"/>
  <c r="Z9" i="3"/>
  <c r="Z8" i="4"/>
  <c r="X15" i="4"/>
  <c r="X115" i="4"/>
  <c r="X208" i="4"/>
  <c r="W59" i="7"/>
  <c r="W41" i="7"/>
  <c r="X18" i="3" l="1"/>
  <c r="X27" i="5" s="1"/>
  <c r="AF8" i="7"/>
  <c r="AF9" i="7" s="1"/>
  <c r="AE7" i="7"/>
  <c r="W170" i="4"/>
  <c r="W188" i="4"/>
  <c r="W56" i="4" s="1"/>
  <c r="AI64" i="7"/>
  <c r="Y290" i="4"/>
  <c r="Y31" i="5" s="1"/>
  <c r="Y281" i="4"/>
  <c r="Y282" i="4" s="1"/>
  <c r="W351" i="4"/>
  <c r="K143" i="1"/>
  <c r="K162" i="1" s="1"/>
  <c r="W89" i="6"/>
  <c r="Y150" i="4"/>
  <c r="Y151" i="4" s="1"/>
  <c r="X33" i="3"/>
  <c r="Z7" i="3"/>
  <c r="AA8" i="3"/>
  <c r="Z9" i="4"/>
  <c r="Z108" i="4" s="1"/>
  <c r="Y223" i="4"/>
  <c r="Y225" i="4" s="1"/>
  <c r="Y63" i="4" s="1"/>
  <c r="W25" i="5"/>
  <c r="X63" i="4"/>
  <c r="S86" i="3"/>
  <c r="S87" i="3" s="1"/>
  <c r="S101" i="3"/>
  <c r="S102" i="3" s="1"/>
  <c r="S81" i="3"/>
  <c r="S82" i="3" s="1"/>
  <c r="S91" i="3"/>
  <c r="S92" i="3" s="1"/>
  <c r="S96" i="3"/>
  <c r="S97" i="3" s="1"/>
  <c r="T62" i="3"/>
  <c r="X76" i="6"/>
  <c r="L144" i="1"/>
  <c r="U33" i="5"/>
  <c r="X168" i="4"/>
  <c r="X169" i="4" s="1"/>
  <c r="Y107" i="4"/>
  <c r="Z8" i="5"/>
  <c r="Y7" i="5"/>
  <c r="Y12" i="5"/>
  <c r="Y8" i="9"/>
  <c r="Y13" i="5"/>
  <c r="Y16" i="5"/>
  <c r="Y55" i="5" s="1"/>
  <c r="AF9" i="8"/>
  <c r="AF7" i="8" s="1"/>
  <c r="Y15" i="5"/>
  <c r="W48" i="7"/>
  <c r="X38" i="7"/>
  <c r="X19" i="3"/>
  <c r="X203" i="4"/>
  <c r="X285" i="4"/>
  <c r="U25" i="6"/>
  <c r="U91" i="4"/>
  <c r="U22" i="4"/>
  <c r="U317" i="4"/>
  <c r="Z110" i="3"/>
  <c r="Y46" i="3"/>
  <c r="Y45" i="3" s="1"/>
  <c r="Z44" i="3"/>
  <c r="Z36" i="3"/>
  <c r="Y112" i="3"/>
  <c r="Y38" i="3"/>
  <c r="Y37" i="3" s="1"/>
  <c r="Y30" i="3"/>
  <c r="Y29" i="3" s="1"/>
  <c r="Z28" i="3"/>
  <c r="Y110" i="4"/>
  <c r="W27" i="5"/>
  <c r="W107" i="1"/>
  <c r="V56" i="4"/>
  <c r="W352" i="4"/>
  <c r="W29" i="4"/>
  <c r="AE7" i="6"/>
  <c r="AF8" i="6"/>
  <c r="AF9" i="6" s="1"/>
  <c r="X170" i="4" l="1"/>
  <c r="X188" i="4"/>
  <c r="X59" i="7"/>
  <c r="X41" i="7"/>
  <c r="I147" i="1"/>
  <c r="U94" i="6"/>
  <c r="U41" i="6"/>
  <c r="X213" i="4"/>
  <c r="X238" i="4"/>
  <c r="Z23" i="5"/>
  <c r="Y327" i="4"/>
  <c r="Y80" i="6"/>
  <c r="Y44" i="6"/>
  <c r="Z299" i="4"/>
  <c r="AF7" i="6"/>
  <c r="AG8" i="6"/>
  <c r="AG9" i="6" s="1"/>
  <c r="X107" i="1"/>
  <c r="X28" i="5"/>
  <c r="Y12" i="4"/>
  <c r="Y347" i="4" s="1"/>
  <c r="Y56" i="7"/>
  <c r="T91" i="3"/>
  <c r="T92" i="3" s="1"/>
  <c r="T101" i="3"/>
  <c r="T102" i="3" s="1"/>
  <c r="T96" i="3"/>
  <c r="T97" i="3" s="1"/>
  <c r="U62" i="3"/>
  <c r="T86" i="3"/>
  <c r="T87" i="3" s="1"/>
  <c r="T81" i="3"/>
  <c r="T82" i="3" s="1"/>
  <c r="K142" i="1"/>
  <c r="K160" i="1" s="1"/>
  <c r="W88" i="6"/>
  <c r="J109" i="1"/>
  <c r="D19" i="1" s="1"/>
  <c r="W17" i="6"/>
  <c r="Y13" i="4"/>
  <c r="Y55" i="6"/>
  <c r="AF7" i="7"/>
  <c r="AG8" i="7"/>
  <c r="AG9" i="7" s="1"/>
  <c r="U23" i="4"/>
  <c r="U92" i="4"/>
  <c r="U93" i="4" s="1"/>
  <c r="Y29" i="5"/>
  <c r="Y6" i="9"/>
  <c r="Y12" i="3"/>
  <c r="Y32" i="5"/>
  <c r="Z166" i="4"/>
  <c r="Z80" i="4" s="1"/>
  <c r="Z298" i="4"/>
  <c r="Z102" i="4"/>
  <c r="Z107" i="4" s="1"/>
  <c r="Z103" i="4"/>
  <c r="Z104" i="4"/>
  <c r="Z105" i="4"/>
  <c r="Z106" i="4" s="1"/>
  <c r="X355" i="4"/>
  <c r="Y33" i="3"/>
  <c r="Y16" i="3" s="1"/>
  <c r="Y25" i="5" s="1"/>
  <c r="V314" i="4"/>
  <c r="U70" i="4"/>
  <c r="Z9" i="5"/>
  <c r="AG8" i="8"/>
  <c r="Z7" i="9"/>
  <c r="Z14" i="5"/>
  <c r="S105" i="3"/>
  <c r="AA9" i="3"/>
  <c r="AA8" i="4"/>
  <c r="Y49" i="3"/>
  <c r="Y41" i="3"/>
  <c r="Y15" i="4"/>
  <c r="Y208" i="4"/>
  <c r="Y115" i="4"/>
  <c r="W152" i="4"/>
  <c r="W61" i="3"/>
  <c r="W74" i="6"/>
  <c r="K140" i="1"/>
  <c r="W32" i="5"/>
  <c r="Z24" i="3"/>
  <c r="Z7" i="4"/>
  <c r="Z6" i="3"/>
  <c r="Z53" i="3"/>
  <c r="Z52" i="3" s="1"/>
  <c r="X88" i="6"/>
  <c r="X17" i="6"/>
  <c r="X345" i="4" s="1"/>
  <c r="K109" i="1"/>
  <c r="D20" i="1" s="1"/>
  <c r="L142" i="1"/>
  <c r="L160" i="1" s="1"/>
  <c r="Y111" i="3"/>
  <c r="Y115" i="3"/>
  <c r="X16" i="3"/>
  <c r="Z82" i="4"/>
  <c r="Z172" i="4" s="1"/>
  <c r="AJ64" i="7"/>
  <c r="U61" i="6" l="1"/>
  <c r="V88" i="4"/>
  <c r="V317" i="4"/>
  <c r="V316" i="4"/>
  <c r="Z109" i="4"/>
  <c r="Z25" i="3"/>
  <c r="M144" i="1"/>
  <c r="Y76" i="6"/>
  <c r="Y312" i="4"/>
  <c r="Y14" i="4"/>
  <c r="X351" i="4"/>
  <c r="L143" i="1"/>
  <c r="L162" i="1" s="1"/>
  <c r="X89" i="6"/>
  <c r="X29" i="4"/>
  <c r="X352" i="4"/>
  <c r="Z110" i="4"/>
  <c r="M140" i="1"/>
  <c r="Y152" i="4"/>
  <c r="Y61" i="3"/>
  <c r="Y74" i="6"/>
  <c r="U101" i="3"/>
  <c r="U102" i="3" s="1"/>
  <c r="U91" i="3"/>
  <c r="U92" i="3" s="1"/>
  <c r="U86" i="3"/>
  <c r="U87" i="3" s="1"/>
  <c r="U96" i="3"/>
  <c r="U97" i="3" s="1"/>
  <c r="U81" i="3"/>
  <c r="U82" i="3" s="1"/>
  <c r="V62" i="3"/>
  <c r="Z290" i="4"/>
  <c r="Z31" i="5" s="1"/>
  <c r="Z281" i="4"/>
  <c r="Z282" i="4"/>
  <c r="Y285" i="4"/>
  <c r="Y203" i="4"/>
  <c r="Y38" i="7"/>
  <c r="Y19" i="3"/>
  <c r="Z7" i="5"/>
  <c r="AA8" i="5"/>
  <c r="Z12" i="5"/>
  <c r="Z13" i="4" s="1"/>
  <c r="Z16" i="5"/>
  <c r="Z55" i="5" s="1"/>
  <c r="Z8" i="9"/>
  <c r="Z15" i="5"/>
  <c r="Z13" i="5"/>
  <c r="AG9" i="8"/>
  <c r="AG7" i="8" s="1"/>
  <c r="U182" i="4"/>
  <c r="U24" i="4"/>
  <c r="W345" i="4"/>
  <c r="Y107" i="1"/>
  <c r="T105" i="3"/>
  <c r="T106" i="3" s="1"/>
  <c r="T17" i="3" s="1"/>
  <c r="T26" i="5" s="1"/>
  <c r="X48" i="7"/>
  <c r="W20" i="6"/>
  <c r="K146" i="1"/>
  <c r="K161" i="1" s="1"/>
  <c r="W87" i="6"/>
  <c r="W346" i="4"/>
  <c r="J110" i="1"/>
  <c r="E19" i="1" s="1"/>
  <c r="AK64" i="7"/>
  <c r="AB8" i="3"/>
  <c r="AA7" i="3"/>
  <c r="AA9" i="4"/>
  <c r="AA299" i="4" s="1"/>
  <c r="Y355" i="4"/>
  <c r="Y18" i="3"/>
  <c r="M146" i="1"/>
  <c r="M161" i="1" s="1"/>
  <c r="Y87" i="6"/>
  <c r="Y346" i="4"/>
  <c r="L110" i="1"/>
  <c r="E21" i="1" s="1"/>
  <c r="Y20" i="6"/>
  <c r="AG7" i="7"/>
  <c r="AH8" i="7"/>
  <c r="AH9" i="7" s="1"/>
  <c r="AG7" i="6"/>
  <c r="AH8" i="6"/>
  <c r="AH9" i="6" s="1"/>
  <c r="X56" i="4"/>
  <c r="Z56" i="3"/>
  <c r="Z20" i="3" s="1"/>
  <c r="Z39" i="7" s="1"/>
  <c r="X25" i="5"/>
  <c r="AA110" i="3"/>
  <c r="AA44" i="3"/>
  <c r="AA36" i="3"/>
  <c r="Z112" i="3"/>
  <c r="Z46" i="3"/>
  <c r="Z45" i="3" s="1"/>
  <c r="Z38" i="3"/>
  <c r="Z37" i="3" s="1"/>
  <c r="AA28" i="3"/>
  <c r="Z30" i="3"/>
  <c r="Z29" i="3" s="1"/>
  <c r="S106" i="3"/>
  <c r="U25" i="4"/>
  <c r="AA9" i="5" l="1"/>
  <c r="AA7" i="9"/>
  <c r="AH8" i="8"/>
  <c r="Z312" i="4"/>
  <c r="Z49" i="3"/>
  <c r="T86" i="6"/>
  <c r="H141" i="1"/>
  <c r="T16" i="6"/>
  <c r="T332" i="4"/>
  <c r="T339" i="4" s="1"/>
  <c r="G108" i="1"/>
  <c r="Z107" i="1"/>
  <c r="Z29" i="5"/>
  <c r="Z12" i="3"/>
  <c r="Z41" i="3" s="1"/>
  <c r="Z18" i="3" s="1"/>
  <c r="Z6" i="9"/>
  <c r="U105" i="3"/>
  <c r="X61" i="3"/>
  <c r="X152" i="4"/>
  <c r="X74" i="6"/>
  <c r="L140" i="1"/>
  <c r="X32" i="5"/>
  <c r="AB9" i="3"/>
  <c r="AB8" i="4"/>
  <c r="Z12" i="4"/>
  <c r="Z347" i="4" s="1"/>
  <c r="Z56" i="7"/>
  <c r="Y28" i="5"/>
  <c r="AI8" i="7"/>
  <c r="AI9" i="7" s="1"/>
  <c r="AH7" i="7"/>
  <c r="Z14" i="4"/>
  <c r="Y167" i="4"/>
  <c r="V20" i="4"/>
  <c r="Z15" i="4"/>
  <c r="Z115" i="4"/>
  <c r="Z208" i="4"/>
  <c r="Y59" i="7"/>
  <c r="Y41" i="7"/>
  <c r="Z150" i="4"/>
  <c r="Z151" i="4" s="1"/>
  <c r="Z55" i="6"/>
  <c r="Z115" i="3"/>
  <c r="Z111" i="3"/>
  <c r="AA105" i="4"/>
  <c r="AA106" i="4" s="1"/>
  <c r="AA298" i="4"/>
  <c r="AA102" i="4"/>
  <c r="AA107" i="4" s="1"/>
  <c r="AA104" i="4"/>
  <c r="AA166" i="4"/>
  <c r="AA80" i="4" s="1"/>
  <c r="AA103" i="4"/>
  <c r="AA108" i="4"/>
  <c r="Y238" i="4"/>
  <c r="Y213" i="4"/>
  <c r="V86" i="3"/>
  <c r="V87" i="3" s="1"/>
  <c r="V96" i="3"/>
  <c r="V97" i="3" s="1"/>
  <c r="V101" i="3"/>
  <c r="V102" i="3" s="1"/>
  <c r="W62" i="3"/>
  <c r="V91" i="3"/>
  <c r="V92" i="3" s="1"/>
  <c r="V81" i="3"/>
  <c r="V82" i="3" s="1"/>
  <c r="Z223" i="4"/>
  <c r="Z225" i="4" s="1"/>
  <c r="AA109" i="4"/>
  <c r="V90" i="4"/>
  <c r="W314" i="4"/>
  <c r="V70" i="4"/>
  <c r="AI8" i="6"/>
  <c r="AI9" i="6" s="1"/>
  <c r="AH7" i="6"/>
  <c r="Y27" i="5"/>
  <c r="S17" i="3"/>
  <c r="Z33" i="3"/>
  <c r="AA24" i="3"/>
  <c r="AA110" i="4" s="1"/>
  <c r="AA53" i="3"/>
  <c r="AA52" i="3" s="1"/>
  <c r="AA7" i="4"/>
  <c r="AA6" i="3"/>
  <c r="AL64" i="7"/>
  <c r="AA82" i="4"/>
  <c r="AA172" i="4" s="1"/>
  <c r="U51" i="4"/>
  <c r="AA23" i="5"/>
  <c r="Z327" i="4"/>
  <c r="Z44" i="6"/>
  <c r="Z80" i="6"/>
  <c r="V33" i="5"/>
  <c r="Z27" i="5" l="1"/>
  <c r="M143" i="1"/>
  <c r="M162" i="1" s="1"/>
  <c r="Y89" i="6"/>
  <c r="Y351" i="4"/>
  <c r="C16" i="1"/>
  <c r="AB44" i="3"/>
  <c r="AA38" i="3"/>
  <c r="AA37" i="3" s="1"/>
  <c r="AA112" i="3"/>
  <c r="AB110" i="3"/>
  <c r="AA46" i="3"/>
  <c r="AA45" i="3" s="1"/>
  <c r="AA49" i="3" s="1"/>
  <c r="AB36" i="3"/>
  <c r="AA30" i="3"/>
  <c r="AA29" i="3" s="1"/>
  <c r="AB28" i="3"/>
  <c r="M142" i="1"/>
  <c r="M160" i="1" s="1"/>
  <c r="Y88" i="6"/>
  <c r="L109" i="1"/>
  <c r="D21" i="1" s="1"/>
  <c r="Y17" i="6"/>
  <c r="AJ8" i="6"/>
  <c r="AJ9" i="6" s="1"/>
  <c r="AI7" i="6"/>
  <c r="Y352" i="4"/>
  <c r="Y29" i="4"/>
  <c r="AA25" i="3"/>
  <c r="Y168" i="4"/>
  <c r="Y169" i="4"/>
  <c r="Z76" i="6"/>
  <c r="N144" i="1"/>
  <c r="AB8" i="5"/>
  <c r="AA7" i="5"/>
  <c r="AA13" i="5"/>
  <c r="AA8" i="9"/>
  <c r="AA15" i="5"/>
  <c r="AH9" i="8"/>
  <c r="AH7" i="8" s="1"/>
  <c r="AA12" i="5"/>
  <c r="AA13" i="4" s="1"/>
  <c r="AA14" i="4" s="1"/>
  <c r="AA16" i="5"/>
  <c r="AA55" i="5" s="1"/>
  <c r="Z167" i="4"/>
  <c r="U106" i="3"/>
  <c r="T344" i="4"/>
  <c r="T348" i="4" s="1"/>
  <c r="T18" i="6"/>
  <c r="AA223" i="4"/>
  <c r="AA225" i="4" s="1"/>
  <c r="AA63" i="4" s="1"/>
  <c r="Z63" i="4"/>
  <c r="V94" i="6"/>
  <c r="J147" i="1"/>
  <c r="V41" i="6"/>
  <c r="Z16" i="3"/>
  <c r="W316" i="4"/>
  <c r="W91" i="3"/>
  <c r="W92" i="3" s="1"/>
  <c r="W96" i="3"/>
  <c r="W97" i="3" s="1"/>
  <c r="W101" i="3"/>
  <c r="W102" i="3" s="1"/>
  <c r="W81" i="3"/>
  <c r="W82" i="3" s="1"/>
  <c r="X62" i="3"/>
  <c r="W86" i="3"/>
  <c r="W87" i="3" s="1"/>
  <c r="X87" i="6"/>
  <c r="L146" i="1"/>
  <c r="L161" i="1" s="1"/>
  <c r="X20" i="6"/>
  <c r="K110" i="1"/>
  <c r="E20" i="1" s="1"/>
  <c r="X346" i="4"/>
  <c r="AA107" i="1"/>
  <c r="AB107" i="1" s="1"/>
  <c r="AC107" i="1" s="1"/>
  <c r="AD107" i="1" s="1"/>
  <c r="AE107" i="1" s="1"/>
  <c r="AF107" i="1" s="1"/>
  <c r="AG107" i="1" s="1"/>
  <c r="AH107" i="1" s="1"/>
  <c r="AI107" i="1" s="1"/>
  <c r="AJ107" i="1" s="1"/>
  <c r="AK107" i="1" s="1"/>
  <c r="AL107" i="1" s="1"/>
  <c r="AM107" i="1" s="1"/>
  <c r="AN107" i="1" s="1"/>
  <c r="AO107" i="1" s="1"/>
  <c r="AP107" i="1" s="1"/>
  <c r="AQ107" i="1" s="1"/>
  <c r="AR107" i="1" s="1"/>
  <c r="AS107" i="1" s="1"/>
  <c r="AT107" i="1" s="1"/>
  <c r="AU107" i="1" s="1"/>
  <c r="AV107" i="1" s="1"/>
  <c r="AW107" i="1" s="1"/>
  <c r="V105" i="3"/>
  <c r="V106" i="3" s="1"/>
  <c r="V17" i="3" s="1"/>
  <c r="V26" i="5" s="1"/>
  <c r="AI7" i="7"/>
  <c r="AJ8" i="7"/>
  <c r="AJ9" i="7" s="1"/>
  <c r="Z285" i="4"/>
  <c r="Z19" i="3"/>
  <c r="Z203" i="4"/>
  <c r="Z38" i="7"/>
  <c r="AA290" i="4"/>
  <c r="AA31" i="5" s="1"/>
  <c r="AA282" i="4"/>
  <c r="AA281" i="4"/>
  <c r="AB7" i="3"/>
  <c r="AC8" i="3"/>
  <c r="AB9" i="4"/>
  <c r="AA14" i="5"/>
  <c r="S26" i="5"/>
  <c r="U357" i="4"/>
  <c r="AM64" i="7"/>
  <c r="V22" i="4"/>
  <c r="V25" i="6"/>
  <c r="V91" i="4"/>
  <c r="AA55" i="6"/>
  <c r="Y48" i="7"/>
  <c r="AA167" i="4" l="1"/>
  <c r="Y345" i="4"/>
  <c r="M58" i="1"/>
  <c r="J141" i="1"/>
  <c r="V86" i="6"/>
  <c r="V16" i="6"/>
  <c r="V332" i="4"/>
  <c r="V339" i="4" s="1"/>
  <c r="I108" i="1"/>
  <c r="AB103" i="4"/>
  <c r="AB166" i="4"/>
  <c r="AB80" i="4" s="1"/>
  <c r="AB298" i="4"/>
  <c r="AB105" i="4"/>
  <c r="AB106" i="4" s="1"/>
  <c r="AB104" i="4"/>
  <c r="AB102" i="4"/>
  <c r="AB107" i="4" s="1"/>
  <c r="G141" i="1"/>
  <c r="S86" i="6"/>
  <c r="F108" i="1"/>
  <c r="S332" i="4"/>
  <c r="S16" i="6"/>
  <c r="AC9" i="3"/>
  <c r="AC8" i="4"/>
  <c r="X101" i="3"/>
  <c r="X102" i="3" s="1"/>
  <c r="X86" i="3"/>
  <c r="X87" i="3" s="1"/>
  <c r="Y62" i="3"/>
  <c r="X91" i="3"/>
  <c r="X92" i="3" s="1"/>
  <c r="X96" i="3"/>
  <c r="X97" i="3" s="1"/>
  <c r="X81" i="3"/>
  <c r="X82" i="3" s="1"/>
  <c r="Z25" i="5"/>
  <c r="Z355" i="4"/>
  <c r="AA208" i="4"/>
  <c r="AA15" i="4"/>
  <c r="AA115" i="4"/>
  <c r="AA203" i="4"/>
  <c r="AA19" i="3"/>
  <c r="AA285" i="4"/>
  <c r="W105" i="3"/>
  <c r="W106" i="3" s="1"/>
  <c r="W17" i="3" s="1"/>
  <c r="W26" i="5" s="1"/>
  <c r="U17" i="3"/>
  <c r="AA12" i="4"/>
  <c r="AA347" i="4" s="1"/>
  <c r="AA56" i="7"/>
  <c r="AA115" i="3"/>
  <c r="AA111" i="3"/>
  <c r="AB24" i="3"/>
  <c r="AB7" i="4"/>
  <c r="AB6" i="3"/>
  <c r="AB53" i="3"/>
  <c r="AB52" i="3" s="1"/>
  <c r="Z59" i="7"/>
  <c r="Z48" i="7" s="1"/>
  <c r="Z41" i="7"/>
  <c r="Z213" i="4"/>
  <c r="Z238" i="4"/>
  <c r="AB82" i="4"/>
  <c r="AB172" i="4" s="1"/>
  <c r="T67" i="7"/>
  <c r="T68" i="7" s="1"/>
  <c r="AA29" i="5"/>
  <c r="AA6" i="9"/>
  <c r="AA12" i="3"/>
  <c r="AA355" i="4"/>
  <c r="V23" i="4"/>
  <c r="Z28" i="5"/>
  <c r="AB299" i="4"/>
  <c r="Z168" i="4"/>
  <c r="Z169" i="4"/>
  <c r="AB9" i="5"/>
  <c r="AI8" i="8"/>
  <c r="AB7" i="9"/>
  <c r="AB14" i="5"/>
  <c r="Y170" i="4"/>
  <c r="Y188" i="4"/>
  <c r="AN64" i="7"/>
  <c r="AB108" i="4"/>
  <c r="M42" i="1"/>
  <c r="M29" i="1"/>
  <c r="M38" i="1"/>
  <c r="M39" i="1"/>
  <c r="M48" i="1"/>
  <c r="M46" i="1"/>
  <c r="M49" i="1"/>
  <c r="M32" i="1"/>
  <c r="M31" i="1"/>
  <c r="M36" i="1"/>
  <c r="M44" i="1"/>
  <c r="M34" i="1"/>
  <c r="M41" i="1"/>
  <c r="M35" i="1"/>
  <c r="M30" i="1"/>
  <c r="M33" i="1"/>
  <c r="M40" i="1"/>
  <c r="M45" i="1"/>
  <c r="M37" i="1"/>
  <c r="M43" i="1"/>
  <c r="M47" i="1"/>
  <c r="M51" i="1"/>
  <c r="M50" i="1"/>
  <c r="M53" i="1"/>
  <c r="M52" i="1"/>
  <c r="M54" i="1"/>
  <c r="M55" i="1"/>
  <c r="M56" i="1"/>
  <c r="M57" i="1"/>
  <c r="W33" i="5"/>
  <c r="AA327" i="4"/>
  <c r="AA44" i="6"/>
  <c r="AA80" i="6"/>
  <c r="AB23" i="5"/>
  <c r="AJ7" i="6"/>
  <c r="AK8" i="6"/>
  <c r="AK9" i="6" s="1"/>
  <c r="N142" i="1"/>
  <c r="N160" i="1" s="1"/>
  <c r="M109" i="1"/>
  <c r="D22" i="1" s="1"/>
  <c r="Z88" i="6"/>
  <c r="Z17" i="6"/>
  <c r="Z345" i="4" s="1"/>
  <c r="AK8" i="7"/>
  <c r="AK9" i="7" s="1"/>
  <c r="AJ7" i="7"/>
  <c r="W317" i="4"/>
  <c r="AA312" i="4"/>
  <c r="AA150" i="4"/>
  <c r="AA151" i="4" s="1"/>
  <c r="AB25" i="3"/>
  <c r="AA56" i="3"/>
  <c r="AA20" i="3" s="1"/>
  <c r="AA39" i="7" s="1"/>
  <c r="AA33" i="3"/>
  <c r="AA16" i="3" s="1"/>
  <c r="AA25" i="5" s="1"/>
  <c r="V92" i="4"/>
  <c r="O140" i="1" l="1"/>
  <c r="AA74" i="6"/>
  <c r="AA152" i="4"/>
  <c r="AA61" i="3"/>
  <c r="W70" i="4"/>
  <c r="X314" i="4"/>
  <c r="AB290" i="4"/>
  <c r="AB31" i="5" s="1"/>
  <c r="AB282" i="4"/>
  <c r="AB281" i="4"/>
  <c r="Z152" i="4"/>
  <c r="N140" i="1"/>
  <c r="Z61" i="3"/>
  <c r="Z74" i="6"/>
  <c r="Z32" i="5"/>
  <c r="C15" i="1"/>
  <c r="Z89" i="6"/>
  <c r="Z351" i="4"/>
  <c r="N143" i="1"/>
  <c r="N162" i="1" s="1"/>
  <c r="W94" i="6"/>
  <c r="K147" i="1"/>
  <c r="V182" i="4"/>
  <c r="V24" i="4"/>
  <c r="AB7" i="5"/>
  <c r="AC8" i="5"/>
  <c r="AB16" i="5"/>
  <c r="AB55" i="5" s="1"/>
  <c r="AB8" i="9"/>
  <c r="AI9" i="8"/>
  <c r="AI7" i="8" s="1"/>
  <c r="AB12" i="5"/>
  <c r="AB15" i="5"/>
  <c r="AB13" i="5"/>
  <c r="AA41" i="3"/>
  <c r="AA18" i="3" s="1"/>
  <c r="AB109" i="4"/>
  <c r="AB110" i="4"/>
  <c r="U26" i="5"/>
  <c r="Z170" i="4"/>
  <c r="Z188" i="4"/>
  <c r="Z56" i="4" s="1"/>
  <c r="V93" i="4"/>
  <c r="AA32" i="5"/>
  <c r="AC82" i="4"/>
  <c r="AC172" i="4" s="1"/>
  <c r="AC299" i="4"/>
  <c r="AA168" i="4"/>
  <c r="AA169" i="4" s="1"/>
  <c r="AB150" i="4"/>
  <c r="AB151" i="4" s="1"/>
  <c r="Y56" i="4"/>
  <c r="Y96" i="3"/>
  <c r="Y97" i="3" s="1"/>
  <c r="Y101" i="3"/>
  <c r="Y102" i="3" s="1"/>
  <c r="Y105" i="3" s="1"/>
  <c r="Y106" i="3" s="1"/>
  <c r="Y17" i="3" s="1"/>
  <c r="Y26" i="5" s="1"/>
  <c r="Y81" i="3"/>
  <c r="Y82" i="3" s="1"/>
  <c r="Y91" i="3"/>
  <c r="Y92" i="3" s="1"/>
  <c r="Y86" i="3"/>
  <c r="Y87" i="3" s="1"/>
  <c r="Z62" i="3"/>
  <c r="AD8" i="3"/>
  <c r="AC7" i="3"/>
  <c r="AC9" i="4"/>
  <c r="AC108" i="4" s="1"/>
  <c r="AK7" i="7"/>
  <c r="AL8" i="7"/>
  <c r="AL9" i="7" s="1"/>
  <c r="W41" i="6"/>
  <c r="AA28" i="5"/>
  <c r="S344" i="4"/>
  <c r="S18" i="6"/>
  <c r="C18" i="1"/>
  <c r="AO64" i="7"/>
  <c r="AA76" i="6"/>
  <c r="O144" i="1"/>
  <c r="Z29" i="4"/>
  <c r="Z352" i="4"/>
  <c r="AB56" i="3"/>
  <c r="AB20" i="3" s="1"/>
  <c r="AB39" i="7" s="1"/>
  <c r="AA213" i="4"/>
  <c r="AA238" i="4"/>
  <c r="X105" i="3"/>
  <c r="S339" i="4"/>
  <c r="W86" i="6"/>
  <c r="K141" i="1"/>
  <c r="J108" i="1"/>
  <c r="W16" i="6"/>
  <c r="W332" i="4"/>
  <c r="W339" i="4" s="1"/>
  <c r="AL8" i="6"/>
  <c r="AL9" i="6" s="1"/>
  <c r="AK7" i="6"/>
  <c r="AC36" i="3"/>
  <c r="AC44" i="3"/>
  <c r="AB112" i="3"/>
  <c r="AB46" i="3"/>
  <c r="AB45" i="3" s="1"/>
  <c r="AB49" i="3" s="1"/>
  <c r="AC110" i="3"/>
  <c r="AB38" i="3"/>
  <c r="AB37" i="3" s="1"/>
  <c r="AC28" i="3"/>
  <c r="AB30" i="3"/>
  <c r="AB29" i="3" s="1"/>
  <c r="AA38" i="7"/>
  <c r="V344" i="4"/>
  <c r="V348" i="4" s="1"/>
  <c r="V18" i="6"/>
  <c r="AA170" i="4" l="1"/>
  <c r="AA188" i="4"/>
  <c r="AA56" i="4" s="1"/>
  <c r="AL7" i="6"/>
  <c r="AM8" i="6"/>
  <c r="AM9" i="6" s="1"/>
  <c r="AC24" i="3"/>
  <c r="AC25" i="3" s="1"/>
  <c r="AC7" i="4"/>
  <c r="AC6" i="3"/>
  <c r="AC53" i="3"/>
  <c r="AC52" i="3" s="1"/>
  <c r="AA27" i="5"/>
  <c r="AB29" i="5"/>
  <c r="AB6" i="9"/>
  <c r="AB12" i="3"/>
  <c r="AB41" i="3" s="1"/>
  <c r="AB18" i="3" s="1"/>
  <c r="AB27" i="5" s="1"/>
  <c r="Z87" i="6"/>
  <c r="Z20" i="6"/>
  <c r="Z346" i="4"/>
  <c r="M110" i="1"/>
  <c r="E22" i="1" s="1"/>
  <c r="N146" i="1"/>
  <c r="N161" i="1" s="1"/>
  <c r="X106" i="3"/>
  <c r="AB15" i="4"/>
  <c r="AB208" i="4"/>
  <c r="AB115" i="4"/>
  <c r="V67" i="7"/>
  <c r="V68" i="7" s="1"/>
  <c r="AB38" i="7"/>
  <c r="AB285" i="4"/>
  <c r="AB203" i="4"/>
  <c r="AB19" i="3"/>
  <c r="AB28" i="5" s="1"/>
  <c r="AB115" i="3"/>
  <c r="AB111" i="3"/>
  <c r="S67" i="7"/>
  <c r="S68" i="7" s="1"/>
  <c r="AD9" i="3"/>
  <c r="AD8" i="4"/>
  <c r="AB12" i="4"/>
  <c r="AB347" i="4" s="1"/>
  <c r="AB56" i="7"/>
  <c r="X316" i="4"/>
  <c r="X33" i="5" s="1"/>
  <c r="X41" i="6" s="1"/>
  <c r="W344" i="4"/>
  <c r="W348" i="4" s="1"/>
  <c r="W18" i="6"/>
  <c r="AP64" i="7"/>
  <c r="AA351" i="4"/>
  <c r="AA89" i="6"/>
  <c r="O143" i="1"/>
  <c r="O162" i="1" s="1"/>
  <c r="AM8" i="7"/>
  <c r="AM9" i="7" s="1"/>
  <c r="AL7" i="7"/>
  <c r="AB13" i="4"/>
  <c r="AB55" i="6"/>
  <c r="V51" i="4"/>
  <c r="S348" i="4"/>
  <c r="AA59" i="7"/>
  <c r="AA48" i="7" s="1"/>
  <c r="AA41" i="7"/>
  <c r="Z91" i="3"/>
  <c r="Z92" i="3" s="1"/>
  <c r="Z81" i="3"/>
  <c r="Z82" i="3" s="1"/>
  <c r="Z101" i="3"/>
  <c r="Z102" i="3" s="1"/>
  <c r="Z96" i="3"/>
  <c r="Z97" i="3" s="1"/>
  <c r="AA62" i="3"/>
  <c r="Z86" i="3"/>
  <c r="Z87" i="3" s="1"/>
  <c r="AB33" i="3"/>
  <c r="AB16" i="3" s="1"/>
  <c r="AB25" i="5" s="1"/>
  <c r="AB32" i="5" s="1"/>
  <c r="C19" i="1"/>
  <c r="AA352" i="4"/>
  <c r="AA29" i="4"/>
  <c r="I141" i="1"/>
  <c r="U86" i="6"/>
  <c r="U16" i="6"/>
  <c r="H108" i="1"/>
  <c r="U332" i="4"/>
  <c r="Y86" i="6"/>
  <c r="M141" i="1"/>
  <c r="Y16" i="6"/>
  <c r="Y332" i="4"/>
  <c r="Y339" i="4" s="1"/>
  <c r="AA346" i="4"/>
  <c r="AA20" i="6"/>
  <c r="O146" i="1"/>
  <c r="O161" i="1" s="1"/>
  <c r="N110" i="1"/>
  <c r="E23" i="1" s="1"/>
  <c r="AA87" i="6"/>
  <c r="AC110" i="4"/>
  <c r="AB80" i="6"/>
  <c r="AC23" i="5"/>
  <c r="AB327" i="4"/>
  <c r="AB44" i="6"/>
  <c r="V25" i="4"/>
  <c r="AC298" i="4"/>
  <c r="AC166" i="4"/>
  <c r="AC80" i="4" s="1"/>
  <c r="AC102" i="4"/>
  <c r="AC107" i="4" s="1"/>
  <c r="AC104" i="4"/>
  <c r="AC103" i="4"/>
  <c r="AC105" i="4"/>
  <c r="AC106" i="4" s="1"/>
  <c r="V61" i="6"/>
  <c r="W88" i="4"/>
  <c r="AB223" i="4"/>
  <c r="AB225" i="4" s="1"/>
  <c r="AB63" i="4" s="1"/>
  <c r="AC109" i="4"/>
  <c r="AC9" i="5"/>
  <c r="AC7" i="9"/>
  <c r="AJ8" i="8"/>
  <c r="P146" i="1" l="1"/>
  <c r="P161" i="1" s="1"/>
  <c r="AB346" i="4"/>
  <c r="AB20" i="6"/>
  <c r="AB87" i="6"/>
  <c r="O110" i="1"/>
  <c r="E24" i="1" s="1"/>
  <c r="AB17" i="6"/>
  <c r="AB345" i="4" s="1"/>
  <c r="O109" i="1"/>
  <c r="D24" i="1" s="1"/>
  <c r="AB88" i="6"/>
  <c r="P142" i="1"/>
  <c r="P160" i="1" s="1"/>
  <c r="AD8" i="5"/>
  <c r="AC7" i="5"/>
  <c r="AC16" i="5"/>
  <c r="AC55" i="5" s="1"/>
  <c r="AC13" i="5"/>
  <c r="AC15" i="5"/>
  <c r="AC12" i="5"/>
  <c r="AC13" i="4" s="1"/>
  <c r="AJ9" i="8"/>
  <c r="AJ7" i="8" s="1"/>
  <c r="AC8" i="9"/>
  <c r="U18" i="6"/>
  <c r="U344" i="4"/>
  <c r="AB213" i="4"/>
  <c r="AB238" i="4"/>
  <c r="AC281" i="4"/>
  <c r="AC282" i="4" s="1"/>
  <c r="AC290" i="4"/>
  <c r="AC31" i="5" s="1"/>
  <c r="AC223" i="4"/>
  <c r="AC225" i="4" s="1"/>
  <c r="AC63" i="4" s="1"/>
  <c r="AB74" i="6"/>
  <c r="AB61" i="3"/>
  <c r="P140" i="1"/>
  <c r="AB152" i="4"/>
  <c r="X17" i="3"/>
  <c r="AC150" i="4"/>
  <c r="AC151" i="4" s="1"/>
  <c r="AN8" i="6"/>
  <c r="AN9" i="6" s="1"/>
  <c r="AM7" i="6"/>
  <c r="W90" i="4"/>
  <c r="AA96" i="3"/>
  <c r="AA97" i="3" s="1"/>
  <c r="AB62" i="3"/>
  <c r="AA86" i="3"/>
  <c r="AA87" i="3" s="1"/>
  <c r="AA101" i="3"/>
  <c r="AA102" i="3" s="1"/>
  <c r="AA91" i="3"/>
  <c r="AA92" i="3" s="1"/>
  <c r="AA81" i="3"/>
  <c r="AA82" i="3" s="1"/>
  <c r="AB312" i="4"/>
  <c r="AB14" i="4"/>
  <c r="X317" i="4"/>
  <c r="AB76" i="6"/>
  <c r="P144" i="1"/>
  <c r="X94" i="6"/>
  <c r="L147" i="1"/>
  <c r="AB59" i="7"/>
  <c r="AB48" i="7" s="1"/>
  <c r="AB41" i="7"/>
  <c r="AB355" i="4"/>
  <c r="AC55" i="6"/>
  <c r="Z105" i="3"/>
  <c r="AQ64" i="7"/>
  <c r="AA88" i="6"/>
  <c r="N109" i="1"/>
  <c r="D23" i="1" s="1"/>
  <c r="AA17" i="6"/>
  <c r="O142" i="1"/>
  <c r="O160" i="1" s="1"/>
  <c r="AC14" i="5"/>
  <c r="U339" i="4"/>
  <c r="AD108" i="4"/>
  <c r="AD299" i="4"/>
  <c r="AC56" i="3"/>
  <c r="AC20" i="3" s="1"/>
  <c r="AC39" i="7" s="1"/>
  <c r="W20" i="4"/>
  <c r="Y344" i="4"/>
  <c r="Y348" i="4" s="1"/>
  <c r="Y18" i="6"/>
  <c r="C17" i="1"/>
  <c r="AN8" i="7"/>
  <c r="AN9" i="7" s="1"/>
  <c r="AM7" i="7"/>
  <c r="AD7" i="3"/>
  <c r="AE8" i="3"/>
  <c r="AD9" i="4"/>
  <c r="P143" i="1"/>
  <c r="P162" i="1" s="1"/>
  <c r="AB89" i="6"/>
  <c r="AB351" i="4"/>
  <c r="AD36" i="3"/>
  <c r="AC46" i="3"/>
  <c r="AC45" i="3" s="1"/>
  <c r="AC49" i="3" s="1"/>
  <c r="AD44" i="3"/>
  <c r="AC38" i="3"/>
  <c r="AC37" i="3" s="1"/>
  <c r="AD110" i="3"/>
  <c r="AC112" i="3"/>
  <c r="AD28" i="3"/>
  <c r="AC30" i="3"/>
  <c r="AC29" i="3" s="1"/>
  <c r="AD24" i="3" l="1"/>
  <c r="AD53" i="3"/>
  <c r="AD52" i="3" s="1"/>
  <c r="AD7" i="4"/>
  <c r="AD6" i="3"/>
  <c r="AA345" i="4"/>
  <c r="AC312" i="4"/>
  <c r="AC38" i="7"/>
  <c r="AC285" i="4"/>
  <c r="AC203" i="4"/>
  <c r="AC19" i="3"/>
  <c r="AC28" i="5" s="1"/>
  <c r="Z106" i="3"/>
  <c r="AA105" i="3"/>
  <c r="AA106" i="3" s="1"/>
  <c r="AA17" i="3" s="1"/>
  <c r="AA26" i="5" s="1"/>
  <c r="AB352" i="4"/>
  <c r="AB29" i="4"/>
  <c r="AC115" i="4"/>
  <c r="AC208" i="4"/>
  <c r="AC15" i="4"/>
  <c r="Y314" i="4"/>
  <c r="X70" i="4"/>
  <c r="AB81" i="3"/>
  <c r="AB82" i="3" s="1"/>
  <c r="AB101" i="3"/>
  <c r="AB102" i="3" s="1"/>
  <c r="AB96" i="3"/>
  <c r="AB97" i="3" s="1"/>
  <c r="AB86" i="3"/>
  <c r="AB87" i="3" s="1"/>
  <c r="AB91" i="3"/>
  <c r="AB92" i="3" s="1"/>
  <c r="AC44" i="6"/>
  <c r="AD23" i="5"/>
  <c r="AC80" i="6"/>
  <c r="AC327" i="4"/>
  <c r="AC12" i="4"/>
  <c r="AC347" i="4" s="1"/>
  <c r="AC56" i="7"/>
  <c r="AC14" i="4"/>
  <c r="AB167" i="4"/>
  <c r="U348" i="4"/>
  <c r="AC29" i="5"/>
  <c r="AC6" i="9"/>
  <c r="AC12" i="3"/>
  <c r="AC41" i="3" s="1"/>
  <c r="AC18" i="3" s="1"/>
  <c r="AC27" i="5" s="1"/>
  <c r="AO8" i="7"/>
  <c r="AO9" i="7" s="1"/>
  <c r="AN7" i="7"/>
  <c r="U67" i="7"/>
  <c r="U68" i="7" s="1"/>
  <c r="AD9" i="5"/>
  <c r="AD14" i="5" s="1"/>
  <c r="AD7" i="9"/>
  <c r="AK8" i="8"/>
  <c r="AO8" i="6"/>
  <c r="AO9" i="6" s="1"/>
  <c r="AN7" i="6"/>
  <c r="AC111" i="3"/>
  <c r="AC115" i="3"/>
  <c r="AD166" i="4"/>
  <c r="AD80" i="4" s="1"/>
  <c r="AD298" i="4"/>
  <c r="AD104" i="4"/>
  <c r="AD102" i="4"/>
  <c r="AD107" i="4" s="1"/>
  <c r="AD103" i="4"/>
  <c r="AD105" i="4"/>
  <c r="AD106" i="4" s="1"/>
  <c r="AD82" i="4"/>
  <c r="AD172" i="4" s="1"/>
  <c r="AR64" i="7"/>
  <c r="X26" i="5"/>
  <c r="AE9" i="3"/>
  <c r="AE8" i="4"/>
  <c r="W25" i="6"/>
  <c r="W22" i="4"/>
  <c r="W91" i="4"/>
  <c r="P109" i="1" l="1"/>
  <c r="D25" i="1" s="1"/>
  <c r="AC17" i="6"/>
  <c r="AC345" i="4" s="1"/>
  <c r="Q142" i="1"/>
  <c r="Q160" i="1" s="1"/>
  <c r="AC88" i="6"/>
  <c r="L141" i="1"/>
  <c r="X86" i="6"/>
  <c r="X332" i="4"/>
  <c r="K108" i="1"/>
  <c r="X16" i="6"/>
  <c r="AO7" i="6"/>
  <c r="AP8" i="6"/>
  <c r="AP9" i="6" s="1"/>
  <c r="AC213" i="4"/>
  <c r="AC238" i="4"/>
  <c r="AC59" i="7"/>
  <c r="AC48" i="7" s="1"/>
  <c r="AC41" i="7"/>
  <c r="AP8" i="7"/>
  <c r="AP9" i="7" s="1"/>
  <c r="AO7" i="7"/>
  <c r="Y317" i="4"/>
  <c r="Y316" i="4"/>
  <c r="Y33" i="5" s="1"/>
  <c r="AC167" i="4"/>
  <c r="O141" i="1"/>
  <c r="AA86" i="6"/>
  <c r="AA16" i="6"/>
  <c r="AA332" i="4"/>
  <c r="AA339" i="4" s="1"/>
  <c r="AD112" i="3"/>
  <c r="AE36" i="3"/>
  <c r="AE44" i="3"/>
  <c r="AD38" i="3"/>
  <c r="AD37" i="3" s="1"/>
  <c r="AE110" i="3"/>
  <c r="AD46" i="3"/>
  <c r="AD45" i="3" s="1"/>
  <c r="AE28" i="3"/>
  <c r="AD30" i="3"/>
  <c r="AD29" i="3" s="1"/>
  <c r="AS64" i="7"/>
  <c r="AD7" i="5"/>
  <c r="AE8" i="5"/>
  <c r="AD13" i="5"/>
  <c r="AD16" i="5"/>
  <c r="AD55" i="5" s="1"/>
  <c r="AD12" i="5"/>
  <c r="AD15" i="5"/>
  <c r="AD8" i="9"/>
  <c r="AK9" i="8"/>
  <c r="AK7" i="8" s="1"/>
  <c r="AD290" i="4"/>
  <c r="AD31" i="5" s="1"/>
  <c r="AD281" i="4"/>
  <c r="AC76" i="6"/>
  <c r="Q144" i="1"/>
  <c r="AB105" i="3"/>
  <c r="AB106" i="3" s="1"/>
  <c r="AB17" i="3" s="1"/>
  <c r="AB26" i="5" s="1"/>
  <c r="Z17" i="3"/>
  <c r="AD25" i="3"/>
  <c r="AD56" i="3" s="1"/>
  <c r="AD20" i="3" s="1"/>
  <c r="AD39" i="7" s="1"/>
  <c r="AD110" i="4"/>
  <c r="AD109" i="4"/>
  <c r="AB168" i="4"/>
  <c r="AB169" i="4" s="1"/>
  <c r="AF8" i="3"/>
  <c r="AE7" i="3"/>
  <c r="AE9" i="4"/>
  <c r="AE108" i="4" s="1"/>
  <c r="W23" i="4"/>
  <c r="AC33" i="3"/>
  <c r="AC16" i="3" s="1"/>
  <c r="AC25" i="5" s="1"/>
  <c r="AC351" i="4"/>
  <c r="Q143" i="1"/>
  <c r="Q162" i="1" s="1"/>
  <c r="AC89" i="6"/>
  <c r="AC355" i="4"/>
  <c r="W92" i="4"/>
  <c r="W93" i="4" s="1"/>
  <c r="W61" i="6" l="1"/>
  <c r="X88" i="4"/>
  <c r="AB170" i="4"/>
  <c r="AB188" i="4"/>
  <c r="AB56" i="4" s="1"/>
  <c r="Z26" i="5"/>
  <c r="AD208" i="4"/>
  <c r="AD115" i="4"/>
  <c r="AD15" i="4"/>
  <c r="AF9" i="3"/>
  <c r="AF8" i="4"/>
  <c r="AD327" i="4"/>
  <c r="AD44" i="6"/>
  <c r="AD80" i="6"/>
  <c r="AE23" i="5"/>
  <c r="AT64" i="7"/>
  <c r="AD111" i="3"/>
  <c r="AD115" i="3"/>
  <c r="AC168" i="4"/>
  <c r="AC169" i="4" s="1"/>
  <c r="AQ8" i="7"/>
  <c r="AQ9" i="7" s="1"/>
  <c r="AP7" i="7"/>
  <c r="AE82" i="4"/>
  <c r="AE172" i="4" s="1"/>
  <c r="AD12" i="4"/>
  <c r="AD347" i="4" s="1"/>
  <c r="AD56" i="7"/>
  <c r="AD33" i="3"/>
  <c r="AD16" i="3" s="1"/>
  <c r="AD25" i="5" s="1"/>
  <c r="AD32" i="5" s="1"/>
  <c r="X344" i="4"/>
  <c r="X18" i="6"/>
  <c r="AE24" i="3"/>
  <c r="AE53" i="3"/>
  <c r="AE52" i="3" s="1"/>
  <c r="AE7" i="4"/>
  <c r="AE6" i="3"/>
  <c r="AD282" i="4"/>
  <c r="AC152" i="4"/>
  <c r="AC74" i="6"/>
  <c r="AC61" i="3"/>
  <c r="AC62" i="3" s="1"/>
  <c r="Q140" i="1"/>
  <c r="AC32" i="5"/>
  <c r="AE299" i="4"/>
  <c r="AE9" i="5"/>
  <c r="AL8" i="8"/>
  <c r="AE7" i="9"/>
  <c r="AE14" i="5"/>
  <c r="C20" i="1"/>
  <c r="Y70" i="4"/>
  <c r="Z314" i="4"/>
  <c r="AD13" i="4"/>
  <c r="AD55" i="6"/>
  <c r="AD223" i="4"/>
  <c r="AD225" i="4" s="1"/>
  <c r="AD63" i="4" s="1"/>
  <c r="AE109" i="4"/>
  <c r="AD29" i="5"/>
  <c r="AD12" i="3"/>
  <c r="AD6" i="9"/>
  <c r="AD49" i="3"/>
  <c r="AA344" i="4"/>
  <c r="AA348" i="4" s="1"/>
  <c r="AA18" i="6"/>
  <c r="X339" i="4"/>
  <c r="W24" i="4"/>
  <c r="W182" i="4"/>
  <c r="W51" i="4" s="1"/>
  <c r="AE110" i="4"/>
  <c r="AC352" i="4"/>
  <c r="AC29" i="4"/>
  <c r="AE166" i="4"/>
  <c r="AE80" i="4" s="1"/>
  <c r="AE298" i="4"/>
  <c r="AE104" i="4"/>
  <c r="AE105" i="4"/>
  <c r="AE106" i="4"/>
  <c r="AE102" i="4"/>
  <c r="AE107" i="4" s="1"/>
  <c r="AE103" i="4"/>
  <c r="AB86" i="6"/>
  <c r="P141" i="1"/>
  <c r="AB16" i="6"/>
  <c r="AB332" i="4"/>
  <c r="AB339" i="4" s="1"/>
  <c r="W25" i="4"/>
  <c r="AD150" i="4"/>
  <c r="AD151" i="4" s="1"/>
  <c r="AE25" i="3"/>
  <c r="AD41" i="3"/>
  <c r="AD18" i="3" s="1"/>
  <c r="AD27" i="5" s="1"/>
  <c r="M147" i="1"/>
  <c r="Y94" i="6"/>
  <c r="L108" i="1"/>
  <c r="Y41" i="6"/>
  <c r="AP7" i="6"/>
  <c r="AQ8" i="6"/>
  <c r="AQ9" i="6" s="1"/>
  <c r="AD346" i="4" l="1"/>
  <c r="AD87" i="6"/>
  <c r="AD20" i="6"/>
  <c r="Q110" i="1"/>
  <c r="R146" i="1"/>
  <c r="R161" i="1" s="1"/>
  <c r="AC170" i="4"/>
  <c r="AC188" i="4"/>
  <c r="AC56" i="4" s="1"/>
  <c r="X348" i="4"/>
  <c r="AB344" i="4"/>
  <c r="AB348" i="4" s="1"/>
  <c r="AB18" i="6"/>
  <c r="AD355" i="4"/>
  <c r="AE56" i="3"/>
  <c r="AE20" i="3" s="1"/>
  <c r="AE39" i="7" s="1"/>
  <c r="Z86" i="6"/>
  <c r="N141" i="1"/>
  <c r="Z332" i="4"/>
  <c r="Z16" i="6"/>
  <c r="AE150" i="4"/>
  <c r="AE151" i="4" s="1"/>
  <c r="X20" i="4"/>
  <c r="AC96" i="3"/>
  <c r="AC97" i="3" s="1"/>
  <c r="AC91" i="3"/>
  <c r="AC92" i="3" s="1"/>
  <c r="AC81" i="3"/>
  <c r="AC82" i="3" s="1"/>
  <c r="AC101" i="3"/>
  <c r="AC102" i="3" s="1"/>
  <c r="AC105" i="3" s="1"/>
  <c r="AC106" i="3" s="1"/>
  <c r="AC17" i="3" s="1"/>
  <c r="AC86" i="3"/>
  <c r="AC87" i="3" s="1"/>
  <c r="AD312" i="4"/>
  <c r="AD14" i="4"/>
  <c r="AF7" i="3"/>
  <c r="AG8" i="3"/>
  <c r="AF9" i="4"/>
  <c r="AF299" i="4" s="1"/>
  <c r="R142" i="1"/>
  <c r="R160" i="1" s="1"/>
  <c r="AD88" i="6"/>
  <c r="AD17" i="6"/>
  <c r="AD345" i="4" s="1"/>
  <c r="Q109" i="1"/>
  <c r="AD76" i="6"/>
  <c r="R144" i="1"/>
  <c r="AQ7" i="6"/>
  <c r="AR8" i="6"/>
  <c r="AR9" i="6" s="1"/>
  <c r="AE223" i="4"/>
  <c r="AE225" i="4" s="1"/>
  <c r="AE63" i="4" s="1"/>
  <c r="AF8" i="5"/>
  <c r="AE7" i="5"/>
  <c r="AE13" i="5"/>
  <c r="AE8" i="9"/>
  <c r="AL9" i="8"/>
  <c r="AL7" i="8" s="1"/>
  <c r="AE12" i="5"/>
  <c r="AE13" i="4" s="1"/>
  <c r="AE16" i="5"/>
  <c r="AE55" i="5" s="1"/>
  <c r="AE15" i="5"/>
  <c r="Z316" i="4"/>
  <c r="Z33" i="5" s="1"/>
  <c r="AU64" i="7"/>
  <c r="X90" i="4"/>
  <c r="AE290" i="4"/>
  <c r="AE31" i="5" s="1"/>
  <c r="AE281" i="4"/>
  <c r="C21" i="1"/>
  <c r="AC87" i="6"/>
  <c r="Q146" i="1"/>
  <c r="Q161" i="1" s="1"/>
  <c r="AC346" i="4"/>
  <c r="AC20" i="6"/>
  <c r="P110" i="1"/>
  <c r="E25" i="1" s="1"/>
  <c r="AQ7" i="7"/>
  <c r="AR8" i="7"/>
  <c r="AR9" i="7" s="1"/>
  <c r="AF110" i="3"/>
  <c r="AF36" i="3"/>
  <c r="AF44" i="3"/>
  <c r="AE46" i="3"/>
  <c r="AE45" i="3" s="1"/>
  <c r="AE49" i="3" s="1"/>
  <c r="AE112" i="3"/>
  <c r="AE38" i="3"/>
  <c r="AE37" i="3" s="1"/>
  <c r="AF28" i="3"/>
  <c r="AE30" i="3"/>
  <c r="AE29" i="3" s="1"/>
  <c r="AD61" i="3"/>
  <c r="AD62" i="3" s="1"/>
  <c r="AD152" i="4"/>
  <c r="AD74" i="6"/>
  <c r="R140" i="1"/>
  <c r="AD203" i="4"/>
  <c r="AD285" i="4"/>
  <c r="AD19" i="3"/>
  <c r="AD28" i="5" s="1"/>
  <c r="AD38" i="7"/>
  <c r="AD86" i="3" l="1"/>
  <c r="AD87" i="3" s="1"/>
  <c r="AD91" i="3"/>
  <c r="AD92" i="3" s="1"/>
  <c r="AD81" i="3"/>
  <c r="AD82" i="3" s="1"/>
  <c r="AD96" i="3"/>
  <c r="AD97" i="3" s="1"/>
  <c r="AD101" i="3"/>
  <c r="AD102" i="3" s="1"/>
  <c r="AD105" i="3" s="1"/>
  <c r="AD106" i="3" s="1"/>
  <c r="AD17" i="3" s="1"/>
  <c r="AD26" i="5" s="1"/>
  <c r="AC26" i="5"/>
  <c r="AS8" i="7"/>
  <c r="AS9" i="7" s="1"/>
  <c r="AR7" i="7"/>
  <c r="X25" i="6"/>
  <c r="X91" i="4"/>
  <c r="X22" i="4"/>
  <c r="AE327" i="4"/>
  <c r="AF23" i="5"/>
  <c r="AE44" i="6"/>
  <c r="AE80" i="6"/>
  <c r="Z339" i="4"/>
  <c r="N147" i="1"/>
  <c r="Z94" i="6"/>
  <c r="Z317" i="4"/>
  <c r="AG9" i="3"/>
  <c r="AG8" i="4"/>
  <c r="AE312" i="4"/>
  <c r="AF166" i="4"/>
  <c r="AF80" i="4" s="1"/>
  <c r="AF298" i="4"/>
  <c r="AF103" i="4"/>
  <c r="AF104" i="4"/>
  <c r="AF102" i="4"/>
  <c r="AF107" i="4" s="1"/>
  <c r="AF105" i="4"/>
  <c r="AF106" i="4" s="1"/>
  <c r="Z41" i="6"/>
  <c r="AE41" i="3"/>
  <c r="AE18" i="3" s="1"/>
  <c r="AE27" i="5" s="1"/>
  <c r="AD59" i="7"/>
  <c r="AD48" i="7" s="1"/>
  <c r="AD41" i="7"/>
  <c r="AE115" i="3"/>
  <c r="AE111" i="3"/>
  <c r="AF24" i="3"/>
  <c r="AF6" i="3"/>
  <c r="AF53" i="3"/>
  <c r="AF52" i="3" s="1"/>
  <c r="AF7" i="4"/>
  <c r="AF82" i="4"/>
  <c r="AF172" i="4" s="1"/>
  <c r="R143" i="1"/>
  <c r="R162" i="1" s="1"/>
  <c r="AD89" i="6"/>
  <c r="AD351" i="4"/>
  <c r="AE285" i="4"/>
  <c r="AE203" i="4"/>
  <c r="AE19" i="3"/>
  <c r="AE28" i="5" s="1"/>
  <c r="AE12" i="4"/>
  <c r="AE347" i="4" s="1"/>
  <c r="AE56" i="7"/>
  <c r="AF108" i="4"/>
  <c r="AE55" i="6"/>
  <c r="AE115" i="4"/>
  <c r="AE208" i="4"/>
  <c r="AE15" i="4"/>
  <c r="AE282" i="4"/>
  <c r="AE29" i="5"/>
  <c r="AE6" i="9"/>
  <c r="AE12" i="3"/>
  <c r="AE33" i="3" s="1"/>
  <c r="AE16" i="3" s="1"/>
  <c r="AE25" i="5" s="1"/>
  <c r="AD167" i="4"/>
  <c r="AE14" i="4"/>
  <c r="M108" i="1"/>
  <c r="AE355" i="4"/>
  <c r="AR7" i="6"/>
  <c r="AS8" i="6"/>
  <c r="AS9" i="6" s="1"/>
  <c r="AD238" i="4"/>
  <c r="AD213" i="4"/>
  <c r="U205" i="4"/>
  <c r="AV64" i="7"/>
  <c r="AF9" i="5"/>
  <c r="AF14" i="5" s="1"/>
  <c r="AF7" i="9"/>
  <c r="AM8" i="8"/>
  <c r="Z344" i="4"/>
  <c r="Z18" i="6"/>
  <c r="AE152" i="4" l="1"/>
  <c r="S140" i="1"/>
  <c r="AE61" i="3"/>
  <c r="AE62" i="3" s="1"/>
  <c r="AE74" i="6"/>
  <c r="AE32" i="5"/>
  <c r="AH8" i="3"/>
  <c r="AG7" i="3"/>
  <c r="AG9" i="4"/>
  <c r="AC86" i="6"/>
  <c r="Q141" i="1"/>
  <c r="AC16" i="6"/>
  <c r="AC332" i="4"/>
  <c r="AF112" i="3"/>
  <c r="AG36" i="3"/>
  <c r="AG44" i="3"/>
  <c r="AF38" i="3"/>
  <c r="AF37" i="3" s="1"/>
  <c r="AF46" i="3"/>
  <c r="AF45" i="3" s="1"/>
  <c r="AG110" i="3"/>
  <c r="AF30" i="3"/>
  <c r="AF29" i="3" s="1"/>
  <c r="AG28" i="3"/>
  <c r="Z70" i="4"/>
  <c r="AA314" i="4"/>
  <c r="AE88" i="6"/>
  <c r="R109" i="1"/>
  <c r="AE17" i="6"/>
  <c r="AE345" i="4" s="1"/>
  <c r="S142" i="1"/>
  <c r="S160" i="1" s="1"/>
  <c r="R141" i="1"/>
  <c r="AD86" i="6"/>
  <c r="AD16" i="6"/>
  <c r="AD332" i="4"/>
  <c r="AD339" i="4" s="1"/>
  <c r="Z348" i="4"/>
  <c r="AF110" i="4"/>
  <c r="AF25" i="3"/>
  <c r="AF109" i="4"/>
  <c r="AD168" i="4"/>
  <c r="AD169" i="4"/>
  <c r="AF55" i="6"/>
  <c r="AW64" i="7"/>
  <c r="S144" i="1"/>
  <c r="AE76" i="6"/>
  <c r="AS7" i="7"/>
  <c r="AT8" i="7"/>
  <c r="AT9" i="7" s="1"/>
  <c r="U218" i="4"/>
  <c r="U219" i="4"/>
  <c r="V205" i="4"/>
  <c r="AF56" i="3"/>
  <c r="AF20" i="3" s="1"/>
  <c r="AF39" i="7" s="1"/>
  <c r="X23" i="4"/>
  <c r="X92" i="4"/>
  <c r="AD352" i="4"/>
  <c r="AD29" i="4"/>
  <c r="AS7" i="6"/>
  <c r="AT8" i="6"/>
  <c r="AT9" i="6" s="1"/>
  <c r="C22" i="1"/>
  <c r="AE351" i="4"/>
  <c r="S143" i="1"/>
  <c r="S162" i="1" s="1"/>
  <c r="AE89" i="6"/>
  <c r="AE213" i="4"/>
  <c r="AE238" i="4"/>
  <c r="AF290" i="4"/>
  <c r="AF31" i="5" s="1"/>
  <c r="AF281" i="4"/>
  <c r="AF282" i="4" s="1"/>
  <c r="AF7" i="5"/>
  <c r="AG8" i="5"/>
  <c r="AM9" i="8"/>
  <c r="AM7" i="8" s="1"/>
  <c r="AF8" i="9"/>
  <c r="AF13" i="5"/>
  <c r="AF15" i="5"/>
  <c r="AF12" i="5"/>
  <c r="AF13" i="4" s="1"/>
  <c r="AF16" i="5"/>
  <c r="AF55" i="5" s="1"/>
  <c r="AE167" i="4"/>
  <c r="AE38" i="7"/>
  <c r="AG108" i="4"/>
  <c r="AG82" i="4"/>
  <c r="AG172" i="4" s="1"/>
  <c r="AG299" i="4"/>
  <c r="AF312" i="4" l="1"/>
  <c r="AG102" i="4"/>
  <c r="AG107" i="4" s="1"/>
  <c r="AG166" i="4"/>
  <c r="AG80" i="4" s="1"/>
  <c r="AG298" i="4"/>
  <c r="AG103" i="4"/>
  <c r="AG105" i="4"/>
  <c r="AG106" i="4" s="1"/>
  <c r="AG104" i="4"/>
  <c r="AE86" i="3"/>
  <c r="AE87" i="3" s="1"/>
  <c r="AE91" i="3"/>
  <c r="AE92" i="3" s="1"/>
  <c r="AE81" i="3"/>
  <c r="AE82" i="3" s="1"/>
  <c r="AE96" i="3"/>
  <c r="AE97" i="3" s="1"/>
  <c r="AE101" i="3"/>
  <c r="AE102" i="3" s="1"/>
  <c r="X182" i="4"/>
  <c r="X51" i="4" s="1"/>
  <c r="X24" i="4"/>
  <c r="AG24" i="3"/>
  <c r="AG25" i="3" s="1"/>
  <c r="AG7" i="4"/>
  <c r="AG6" i="3"/>
  <c r="AG53" i="3"/>
  <c r="AG52" i="3" s="1"/>
  <c r="X93" i="4"/>
  <c r="AH9" i="3"/>
  <c r="AH8" i="4"/>
  <c r="AG23" i="5"/>
  <c r="AF44" i="6"/>
  <c r="AF80" i="6"/>
  <c r="AF327" i="4"/>
  <c r="AT7" i="6"/>
  <c r="AU8" i="6"/>
  <c r="AU9" i="6" s="1"/>
  <c r="AF12" i="4"/>
  <c r="AF347" i="4" s="1"/>
  <c r="AF56" i="7"/>
  <c r="AU8" i="7"/>
  <c r="AU9" i="7" s="1"/>
  <c r="AT7" i="7"/>
  <c r="AF49" i="3"/>
  <c r="AC339" i="4"/>
  <c r="X25" i="4"/>
  <c r="V219" i="4"/>
  <c r="V25" i="9" s="1"/>
  <c r="V218" i="4"/>
  <c r="V214" i="4"/>
  <c r="W205" i="4"/>
  <c r="AF115" i="3"/>
  <c r="AF111" i="3"/>
  <c r="U25" i="9"/>
  <c r="AE59" i="7"/>
  <c r="AE48" i="7" s="1"/>
  <c r="AE41" i="7"/>
  <c r="AE168" i="4"/>
  <c r="AE169" i="4" s="1"/>
  <c r="AF14" i="4"/>
  <c r="AF223" i="4"/>
  <c r="AF225" i="4" s="1"/>
  <c r="AF63" i="4" s="1"/>
  <c r="AF15" i="4"/>
  <c r="AF115" i="4"/>
  <c r="AF208" i="4"/>
  <c r="AD170" i="4"/>
  <c r="AD188" i="4"/>
  <c r="AD56" i="4" s="1"/>
  <c r="AE352" i="4"/>
  <c r="AE29" i="4"/>
  <c r="AG9" i="5"/>
  <c r="AG7" i="9"/>
  <c r="AN8" i="8"/>
  <c r="AG14" i="5"/>
  <c r="AX64" i="7"/>
  <c r="AF150" i="4"/>
  <c r="AF151" i="4" s="1"/>
  <c r="AC344" i="4"/>
  <c r="AC18" i="6"/>
  <c r="AF29" i="5"/>
  <c r="AF6" i="9"/>
  <c r="AF12" i="3"/>
  <c r="AF41" i="3" s="1"/>
  <c r="AF18" i="3" s="1"/>
  <c r="AF27" i="5" s="1"/>
  <c r="AG110" i="4"/>
  <c r="AD344" i="4"/>
  <c r="AD348" i="4" s="1"/>
  <c r="AD18" i="6"/>
  <c r="AA316" i="4"/>
  <c r="AA33" i="5" s="1"/>
  <c r="R110" i="1"/>
  <c r="S146" i="1"/>
  <c r="S161" i="1" s="1"/>
  <c r="AE87" i="6"/>
  <c r="AE346" i="4"/>
  <c r="AE20" i="6"/>
  <c r="S109" i="1" l="1"/>
  <c r="D28" i="1" s="1"/>
  <c r="AF88" i="6"/>
  <c r="T142" i="1"/>
  <c r="T160" i="1" s="1"/>
  <c r="AF17" i="6"/>
  <c r="AF345" i="4" s="1"/>
  <c r="AG150" i="4"/>
  <c r="AG151" i="4" s="1"/>
  <c r="AE170" i="4"/>
  <c r="AE188" i="4"/>
  <c r="AE56" i="4" s="1"/>
  <c r="AF355" i="4"/>
  <c r="AC348" i="4"/>
  <c r="AG109" i="4"/>
  <c r="AF167" i="4"/>
  <c r="AF285" i="4"/>
  <c r="AF38" i="7"/>
  <c r="AF203" i="4"/>
  <c r="AF19" i="3"/>
  <c r="AF28" i="5" s="1"/>
  <c r="AF33" i="3"/>
  <c r="AF16" i="3" s="1"/>
  <c r="AF25" i="5" s="1"/>
  <c r="Y88" i="4"/>
  <c r="X61" i="6"/>
  <c r="AE105" i="3"/>
  <c r="AE106" i="3" s="1"/>
  <c r="AE17" i="3" s="1"/>
  <c r="AE26" i="5" s="1"/>
  <c r="W218" i="4"/>
  <c r="W214" i="4"/>
  <c r="X205" i="4"/>
  <c r="AU7" i="6"/>
  <c r="AV8" i="6"/>
  <c r="AV9" i="6" s="1"/>
  <c r="O147" i="1"/>
  <c r="AA94" i="6"/>
  <c r="N108" i="1"/>
  <c r="AA41" i="6"/>
  <c r="AA317" i="4"/>
  <c r="T144" i="1"/>
  <c r="AF76" i="6"/>
  <c r="AH8" i="5"/>
  <c r="AG7" i="5"/>
  <c r="AG12" i="5"/>
  <c r="AG13" i="5"/>
  <c r="AG16" i="5"/>
  <c r="AG55" i="5" s="1"/>
  <c r="AG15" i="5"/>
  <c r="AN9" i="8"/>
  <c r="AN7" i="8" s="1"/>
  <c r="AG8" i="9"/>
  <c r="V32" i="4"/>
  <c r="V183" i="4"/>
  <c r="V209" i="4"/>
  <c r="V215" i="4"/>
  <c r="AU7" i="7"/>
  <c r="AV8" i="7"/>
  <c r="AV9" i="7" s="1"/>
  <c r="AG56" i="3"/>
  <c r="AG20" i="3" s="1"/>
  <c r="AG39" i="7" s="1"/>
  <c r="AH7" i="3"/>
  <c r="AI8" i="3"/>
  <c r="AH9" i="4"/>
  <c r="AH299" i="4" s="1"/>
  <c r="AH110" i="3"/>
  <c r="AH36" i="3"/>
  <c r="AG46" i="3"/>
  <c r="AG45" i="3" s="1"/>
  <c r="AG49" i="3" s="1"/>
  <c r="AH44" i="3"/>
  <c r="AG38" i="3"/>
  <c r="AG37" i="3" s="1"/>
  <c r="AG112" i="3"/>
  <c r="AH28" i="3"/>
  <c r="AG30" i="3"/>
  <c r="AG29" i="3" s="1"/>
  <c r="AY64" i="7"/>
  <c r="Y20" i="4"/>
  <c r="AG290" i="4"/>
  <c r="AG31" i="5" s="1"/>
  <c r="AG281" i="4"/>
  <c r="AG282" i="4" s="1"/>
  <c r="AG223" i="4" l="1"/>
  <c r="AG225" i="4" s="1"/>
  <c r="AG63" i="4" s="1"/>
  <c r="AW8" i="7"/>
  <c r="AW9" i="7" s="1"/>
  <c r="AV7" i="7"/>
  <c r="X218" i="4"/>
  <c r="X214" i="4"/>
  <c r="Y205" i="4"/>
  <c r="AE86" i="6"/>
  <c r="S141" i="1"/>
  <c r="AE16" i="6"/>
  <c r="AE332" i="4"/>
  <c r="AE339" i="4" s="1"/>
  <c r="AF168" i="4"/>
  <c r="AF169" i="4" s="1"/>
  <c r="AG19" i="3"/>
  <c r="AG28" i="5" s="1"/>
  <c r="AG285" i="4"/>
  <c r="AG203" i="4"/>
  <c r="V60" i="6"/>
  <c r="W212" i="4"/>
  <c r="AG327" i="4"/>
  <c r="AG44" i="6"/>
  <c r="AG80" i="6"/>
  <c r="AH23" i="5"/>
  <c r="Y90" i="4"/>
  <c r="AZ64" i="7"/>
  <c r="V30" i="4"/>
  <c r="V31" i="4"/>
  <c r="AG12" i="4"/>
  <c r="AG347" i="4" s="1"/>
  <c r="AG56" i="7"/>
  <c r="C23" i="1"/>
  <c r="AF74" i="6"/>
  <c r="AF152" i="4"/>
  <c r="AF61" i="3"/>
  <c r="AF62" i="3" s="1"/>
  <c r="T140" i="1"/>
  <c r="AF32" i="5"/>
  <c r="AG111" i="3"/>
  <c r="AG115" i="3"/>
  <c r="AG115" i="4"/>
  <c r="AG15" i="4"/>
  <c r="AG208" i="4"/>
  <c r="AG13" i="4"/>
  <c r="AG55" i="6"/>
  <c r="T143" i="1"/>
  <c r="T162" i="1" s="1"/>
  <c r="AF89" i="6"/>
  <c r="AF351" i="4"/>
  <c r="AH166" i="4"/>
  <c r="AH80" i="4" s="1"/>
  <c r="AH298" i="4"/>
  <c r="AH102" i="4"/>
  <c r="AH107" i="4" s="1"/>
  <c r="AH104" i="4"/>
  <c r="AH105" i="4"/>
  <c r="AH106" i="4" s="1"/>
  <c r="AH103" i="4"/>
  <c r="AH108" i="4"/>
  <c r="V50" i="4"/>
  <c r="AG29" i="5"/>
  <c r="AG38" i="7" s="1"/>
  <c r="AG12" i="3"/>
  <c r="AG41" i="3" s="1"/>
  <c r="AG18" i="3" s="1"/>
  <c r="AG27" i="5" s="1"/>
  <c r="AG6" i="9"/>
  <c r="AF213" i="4"/>
  <c r="AF238" i="4"/>
  <c r="AH24" i="3"/>
  <c r="AH53" i="3"/>
  <c r="AH52" i="3" s="1"/>
  <c r="AH6" i="3"/>
  <c r="AH7" i="4"/>
  <c r="AB314" i="4"/>
  <c r="AA70" i="4"/>
  <c r="W183" i="4"/>
  <c r="W50" i="4" s="1"/>
  <c r="W32" i="4"/>
  <c r="AI9" i="3"/>
  <c r="AI8" i="4"/>
  <c r="AH82" i="4"/>
  <c r="AH172" i="4" s="1"/>
  <c r="AH9" i="5"/>
  <c r="AH7" i="9"/>
  <c r="AO8" i="8"/>
  <c r="AH14" i="5"/>
  <c r="AW8" i="6"/>
  <c r="AW9" i="6" s="1"/>
  <c r="AV7" i="6"/>
  <c r="AF59" i="7"/>
  <c r="AF48" i="7" s="1"/>
  <c r="AF41" i="7"/>
  <c r="U142" i="1" l="1"/>
  <c r="U160" i="1" s="1"/>
  <c r="AG88" i="6"/>
  <c r="AG17" i="6"/>
  <c r="AG345" i="4" s="1"/>
  <c r="T109" i="1"/>
  <c r="D29" i="1" s="1"/>
  <c r="AF170" i="4"/>
  <c r="AF188" i="4"/>
  <c r="AF56" i="4" s="1"/>
  <c r="AG59" i="7"/>
  <c r="AG48" i="7" s="1"/>
  <c r="AG41" i="7"/>
  <c r="X183" i="4"/>
  <c r="X32" i="4"/>
  <c r="AH7" i="5"/>
  <c r="AI8" i="5"/>
  <c r="AH15" i="5"/>
  <c r="AH8" i="9"/>
  <c r="AH16" i="5"/>
  <c r="AH55" i="5" s="1"/>
  <c r="AH13" i="5"/>
  <c r="AO9" i="8"/>
  <c r="AO7" i="8" s="1"/>
  <c r="AH12" i="5"/>
  <c r="AH13" i="4" s="1"/>
  <c r="W357" i="4"/>
  <c r="V357" i="4"/>
  <c r="Y25" i="6"/>
  <c r="Y22" i="4"/>
  <c r="Y91" i="4"/>
  <c r="AG213" i="4"/>
  <c r="AG238" i="4"/>
  <c r="AB316" i="4"/>
  <c r="AB33" i="5" s="1"/>
  <c r="AF29" i="4"/>
  <c r="AF352" i="4"/>
  <c r="AG33" i="3"/>
  <c r="AG16" i="3" s="1"/>
  <c r="AG25" i="5" s="1"/>
  <c r="S110" i="1"/>
  <c r="AF20" i="6"/>
  <c r="AF87" i="6"/>
  <c r="AF346" i="4"/>
  <c r="T146" i="1"/>
  <c r="T161" i="1" s="1"/>
  <c r="V33" i="4"/>
  <c r="AE344" i="4"/>
  <c r="AE348" i="4" s="1"/>
  <c r="AE18" i="6"/>
  <c r="AH290" i="4"/>
  <c r="AH31" i="5" s="1"/>
  <c r="AH281" i="4"/>
  <c r="AH282" i="4" s="1"/>
  <c r="AH55" i="6"/>
  <c r="AX8" i="7"/>
  <c r="AX9" i="7" s="1"/>
  <c r="AW7" i="7"/>
  <c r="AW7" i="6"/>
  <c r="AX8" i="6"/>
  <c r="AX9" i="6" s="1"/>
  <c r="AI108" i="4"/>
  <c r="AI110" i="3"/>
  <c r="AH112" i="3"/>
  <c r="AI36" i="3"/>
  <c r="AI44" i="3"/>
  <c r="AH46" i="3"/>
  <c r="AH45" i="3" s="1"/>
  <c r="AH49" i="3" s="1"/>
  <c r="AH38" i="3"/>
  <c r="AH37" i="3" s="1"/>
  <c r="AH30" i="3"/>
  <c r="AH29" i="3" s="1"/>
  <c r="AI28" i="3"/>
  <c r="AG312" i="4"/>
  <c r="AG14" i="4"/>
  <c r="BA64" i="7"/>
  <c r="AG351" i="4"/>
  <c r="U143" i="1"/>
  <c r="U162" i="1" s="1"/>
  <c r="AG89" i="6"/>
  <c r="AH56" i="3"/>
  <c r="AH20" i="3" s="1"/>
  <c r="AH39" i="7" s="1"/>
  <c r="AG355" i="4"/>
  <c r="W215" i="4"/>
  <c r="W209" i="4"/>
  <c r="W219" i="4"/>
  <c r="AJ8" i="3"/>
  <c r="AI7" i="3"/>
  <c r="AI9" i="4"/>
  <c r="AH25" i="3"/>
  <c r="AH110" i="4"/>
  <c r="U144" i="1"/>
  <c r="AG76" i="6"/>
  <c r="AF96" i="3"/>
  <c r="AF97" i="3" s="1"/>
  <c r="AF86" i="3"/>
  <c r="AF87" i="3" s="1"/>
  <c r="AF91" i="3"/>
  <c r="AF92" i="3" s="1"/>
  <c r="AF81" i="3"/>
  <c r="AF82" i="3" s="1"/>
  <c r="AF101" i="3"/>
  <c r="AF102" i="3" s="1"/>
  <c r="Y218" i="4"/>
  <c r="Y214" i="4"/>
  <c r="Z205" i="4"/>
  <c r="AH109" i="4"/>
  <c r="AY8" i="6" l="1"/>
  <c r="AY9" i="6" s="1"/>
  <c r="AX7" i="6"/>
  <c r="AH29" i="5"/>
  <c r="AH12" i="3"/>
  <c r="AH41" i="3" s="1"/>
  <c r="AH18" i="3" s="1"/>
  <c r="AH27" i="5" s="1"/>
  <c r="AH6" i="9"/>
  <c r="AF105" i="3"/>
  <c r="AF106" i="3" s="1"/>
  <c r="AF17" i="3" s="1"/>
  <c r="AF26" i="5" s="1"/>
  <c r="BB64" i="7"/>
  <c r="AB317" i="4"/>
  <c r="AH312" i="4"/>
  <c r="AH38" i="7"/>
  <c r="AH285" i="4"/>
  <c r="AH19" i="3"/>
  <c r="AH28" i="5" s="1"/>
  <c r="AH203" i="4"/>
  <c r="AI109" i="4"/>
  <c r="AH223" i="4"/>
  <c r="AH225" i="4" s="1"/>
  <c r="AH63" i="4" s="1"/>
  <c r="AH150" i="4"/>
  <c r="AH151" i="4" s="1"/>
  <c r="AI25" i="3"/>
  <c r="AH14" i="4"/>
  <c r="AG167" i="4"/>
  <c r="X50" i="4"/>
  <c r="Z218" i="4"/>
  <c r="Z214" i="4"/>
  <c r="AA205" i="4"/>
  <c r="AI166" i="4"/>
  <c r="AI80" i="4" s="1"/>
  <c r="AI298" i="4"/>
  <c r="AI104" i="4"/>
  <c r="AI102" i="4"/>
  <c r="AI107" i="4" s="1"/>
  <c r="AI103" i="4"/>
  <c r="AI105" i="4"/>
  <c r="AI106" i="4" s="1"/>
  <c r="AH115" i="3"/>
  <c r="AH111" i="3"/>
  <c r="AH12" i="4"/>
  <c r="AH347" i="4" s="1"/>
  <c r="AH56" i="7"/>
  <c r="W30" i="4"/>
  <c r="W31" i="4"/>
  <c r="W28" i="4"/>
  <c r="AG74" i="6"/>
  <c r="U140" i="1"/>
  <c r="AG152" i="4"/>
  <c r="AG61" i="3"/>
  <c r="AG62" i="3" s="1"/>
  <c r="AG32" i="5"/>
  <c r="AG29" i="4"/>
  <c r="AG352" i="4"/>
  <c r="AI23" i="5"/>
  <c r="AH44" i="6"/>
  <c r="AH327" i="4"/>
  <c r="AH80" i="6"/>
  <c r="AI9" i="5"/>
  <c r="AI7" i="9"/>
  <c r="AP8" i="8"/>
  <c r="AI14" i="5"/>
  <c r="W60" i="6"/>
  <c r="X212" i="4"/>
  <c r="AB94" i="6"/>
  <c r="P147" i="1"/>
  <c r="O108" i="1"/>
  <c r="AB41" i="6"/>
  <c r="Y32" i="4"/>
  <c r="Y183" i="4"/>
  <c r="Y50" i="4" s="1"/>
  <c r="AI24" i="3"/>
  <c r="AI110" i="4" s="1"/>
  <c r="AI7" i="4"/>
  <c r="AI53" i="3"/>
  <c r="AI52" i="3" s="1"/>
  <c r="AI6" i="3"/>
  <c r="AJ9" i="3"/>
  <c r="AJ8" i="4"/>
  <c r="AI299" i="4"/>
  <c r="AY8" i="7"/>
  <c r="AY9" i="7" s="1"/>
  <c r="AX7" i="7"/>
  <c r="Y23" i="4"/>
  <c r="Y92" i="4"/>
  <c r="Y93" i="4"/>
  <c r="W25" i="9"/>
  <c r="AH33" i="3"/>
  <c r="AH16" i="3" s="1"/>
  <c r="AH25" i="5" s="1"/>
  <c r="AH32" i="5" s="1"/>
  <c r="AI82" i="4"/>
  <c r="AI172" i="4" s="1"/>
  <c r="AH115" i="4"/>
  <c r="AH208" i="4"/>
  <c r="AH15" i="4"/>
  <c r="AH17" i="6" l="1"/>
  <c r="AH345" i="4" s="1"/>
  <c r="V142" i="1"/>
  <c r="V160" i="1" s="1"/>
  <c r="U109" i="1"/>
  <c r="D30" i="1" s="1"/>
  <c r="AH88" i="6"/>
  <c r="U110" i="1"/>
  <c r="E30" i="1" s="1"/>
  <c r="AH20" i="6"/>
  <c r="AH87" i="6"/>
  <c r="AH346" i="4"/>
  <c r="V146" i="1"/>
  <c r="V161" i="1" s="1"/>
  <c r="Z183" i="4"/>
  <c r="Z50" i="4" s="1"/>
  <c r="Z32" i="4"/>
  <c r="AI150" i="4"/>
  <c r="AI151" i="4" s="1"/>
  <c r="AZ8" i="7"/>
  <c r="AZ9" i="7" s="1"/>
  <c r="AY7" i="7"/>
  <c r="AH59" i="7"/>
  <c r="AH48" i="7" s="1"/>
  <c r="AH41" i="7"/>
  <c r="AJ7" i="3"/>
  <c r="AK8" i="3"/>
  <c r="AJ9" i="4"/>
  <c r="C24" i="1"/>
  <c r="AJ8" i="5"/>
  <c r="AI7" i="5"/>
  <c r="AI15" i="5"/>
  <c r="AI8" i="9"/>
  <c r="AI16" i="5"/>
  <c r="AI55" i="5" s="1"/>
  <c r="AI12" i="5"/>
  <c r="AI13" i="5"/>
  <c r="AP9" i="8"/>
  <c r="AP7" i="8" s="1"/>
  <c r="AG346" i="4"/>
  <c r="AG20" i="6"/>
  <c r="AG87" i="6"/>
  <c r="T110" i="1"/>
  <c r="E29" i="1" s="1"/>
  <c r="U146" i="1"/>
  <c r="U161" i="1" s="1"/>
  <c r="V144" i="1"/>
  <c r="AH76" i="6"/>
  <c r="AH152" i="4"/>
  <c r="AH61" i="3"/>
  <c r="V140" i="1"/>
  <c r="AH74" i="6"/>
  <c r="AG168" i="4"/>
  <c r="AG169" i="4" s="1"/>
  <c r="AA218" i="4"/>
  <c r="AA214" i="4"/>
  <c r="AB205" i="4"/>
  <c r="Y182" i="4"/>
  <c r="Y51" i="4" s="1"/>
  <c r="Y24" i="4"/>
  <c r="AI223" i="4"/>
  <c r="AI225" i="4" s="1"/>
  <c r="AI63" i="4" s="1"/>
  <c r="AB70" i="4"/>
  <c r="AC314" i="4"/>
  <c r="AZ8" i="6"/>
  <c r="AZ9" i="6" s="1"/>
  <c r="AY7" i="6"/>
  <c r="AI38" i="3"/>
  <c r="AI37" i="3" s="1"/>
  <c r="AJ110" i="3"/>
  <c r="AI46" i="3"/>
  <c r="AI45" i="3" s="1"/>
  <c r="AI49" i="3" s="1"/>
  <c r="AJ36" i="3"/>
  <c r="AI112" i="3"/>
  <c r="AJ44" i="3"/>
  <c r="AI30" i="3"/>
  <c r="AI29" i="3" s="1"/>
  <c r="AJ28" i="3"/>
  <c r="AI290" i="4"/>
  <c r="AI31" i="5" s="1"/>
  <c r="AI281" i="4"/>
  <c r="AI282" i="4" s="1"/>
  <c r="X209" i="4"/>
  <c r="X215" i="4"/>
  <c r="X219" i="4"/>
  <c r="X357" i="4"/>
  <c r="AH213" i="4"/>
  <c r="AH238" i="4"/>
  <c r="AH167" i="4"/>
  <c r="AJ108" i="4"/>
  <c r="AJ82" i="4"/>
  <c r="AJ172" i="4" s="1"/>
  <c r="AJ299" i="4"/>
  <c r="Y61" i="6"/>
  <c r="Z88" i="4"/>
  <c r="AH355" i="4"/>
  <c r="BC64" i="7"/>
  <c r="AI56" i="3"/>
  <c r="AI20" i="3" s="1"/>
  <c r="AI39" i="7" s="1"/>
  <c r="W33" i="4"/>
  <c r="AG101" i="3"/>
  <c r="AG102" i="3" s="1"/>
  <c r="AG86" i="3"/>
  <c r="AG87" i="3" s="1"/>
  <c r="AG91" i="3"/>
  <c r="AG92" i="3" s="1"/>
  <c r="AG81" i="3"/>
  <c r="AG82" i="3" s="1"/>
  <c r="AG96" i="3"/>
  <c r="AG97" i="3" s="1"/>
  <c r="AH62" i="3"/>
  <c r="AH89" i="6"/>
  <c r="V143" i="1"/>
  <c r="V162" i="1" s="1"/>
  <c r="AH351" i="4"/>
  <c r="AF86" i="6"/>
  <c r="T141" i="1"/>
  <c r="AF16" i="6"/>
  <c r="AF332" i="4"/>
  <c r="AF339" i="4" s="1"/>
  <c r="AG170" i="4" l="1"/>
  <c r="AG188" i="4"/>
  <c r="AG56" i="4" s="1"/>
  <c r="AI19" i="3"/>
  <c r="AI28" i="5" s="1"/>
  <c r="AI203" i="4"/>
  <c r="AI285" i="4"/>
  <c r="AA183" i="4"/>
  <c r="AA32" i="4"/>
  <c r="AJ9" i="5"/>
  <c r="AJ7" i="9"/>
  <c r="AJ14" i="5"/>
  <c r="AQ8" i="8"/>
  <c r="Z90" i="4"/>
  <c r="AH29" i="4"/>
  <c r="AH352" i="4"/>
  <c r="AH86" i="3"/>
  <c r="AH87" i="3" s="1"/>
  <c r="AH81" i="3"/>
  <c r="AH82" i="3" s="1"/>
  <c r="AH91" i="3"/>
  <c r="AH92" i="3" s="1"/>
  <c r="AH96" i="3"/>
  <c r="AH97" i="3" s="1"/>
  <c r="AH101" i="3"/>
  <c r="AH102" i="3" s="1"/>
  <c r="AH105" i="3" s="1"/>
  <c r="AH106" i="3" s="1"/>
  <c r="AH17" i="3" s="1"/>
  <c r="AH26" i="5" s="1"/>
  <c r="AB218" i="4"/>
  <c r="AB214" i="4"/>
  <c r="AC205" i="4"/>
  <c r="AH168" i="4"/>
  <c r="AH169" i="4" s="1"/>
  <c r="AI41" i="3"/>
  <c r="AI18" i="3" s="1"/>
  <c r="AI27" i="5" s="1"/>
  <c r="Y357" i="4"/>
  <c r="Y25" i="4"/>
  <c r="AI12" i="4"/>
  <c r="AI347" i="4" s="1"/>
  <c r="AI56" i="7"/>
  <c r="AI115" i="3"/>
  <c r="AI111" i="3"/>
  <c r="AI29" i="5"/>
  <c r="AI12" i="3"/>
  <c r="AI6" i="9"/>
  <c r="AI13" i="4"/>
  <c r="AI55" i="6"/>
  <c r="AJ298" i="4"/>
  <c r="AJ102" i="4"/>
  <c r="AJ107" i="4" s="1"/>
  <c r="AJ103" i="4"/>
  <c r="AJ104" i="4"/>
  <c r="AJ105" i="4"/>
  <c r="AJ106" i="4" s="1"/>
  <c r="AJ166" i="4"/>
  <c r="AJ80" i="4" s="1"/>
  <c r="BA8" i="7"/>
  <c r="BA9" i="7" s="1"/>
  <c r="AZ7" i="7"/>
  <c r="Y212" i="4"/>
  <c r="X60" i="6"/>
  <c r="AG105" i="3"/>
  <c r="AG106" i="3" s="1"/>
  <c r="AG17" i="3" s="1"/>
  <c r="AG26" i="5" s="1"/>
  <c r="AI33" i="3"/>
  <c r="AI16" i="3" s="1"/>
  <c r="AI25" i="5" s="1"/>
  <c r="BA8" i="6"/>
  <c r="BA9" i="6" s="1"/>
  <c r="AZ7" i="6"/>
  <c r="AJ23" i="5"/>
  <c r="AI80" i="6"/>
  <c r="AI327" i="4"/>
  <c r="AI44" i="6"/>
  <c r="AK9" i="3"/>
  <c r="AK8" i="4"/>
  <c r="AI115" i="4"/>
  <c r="AI208" i="4"/>
  <c r="AI15" i="4"/>
  <c r="X28" i="4"/>
  <c r="X30" i="4"/>
  <c r="X31" i="4"/>
  <c r="AF18" i="6"/>
  <c r="AF344" i="4"/>
  <c r="AF348" i="4" s="1"/>
  <c r="BD64" i="7"/>
  <c r="X25" i="9"/>
  <c r="AC317" i="4"/>
  <c r="AC316" i="4"/>
  <c r="AC33" i="5" s="1"/>
  <c r="AJ24" i="3"/>
  <c r="AJ53" i="3"/>
  <c r="AJ52" i="3" s="1"/>
  <c r="AJ7" i="4"/>
  <c r="AJ6" i="3"/>
  <c r="AH170" i="4" l="1"/>
  <c r="AH188" i="4"/>
  <c r="AH56" i="4" s="1"/>
  <c r="BA7" i="6"/>
  <c r="BB8" i="6"/>
  <c r="BB9" i="6" s="1"/>
  <c r="AJ7" i="5"/>
  <c r="AK8" i="5"/>
  <c r="AJ8" i="9"/>
  <c r="AJ13" i="5"/>
  <c r="AJ16" i="5"/>
  <c r="AJ55" i="5" s="1"/>
  <c r="AJ15" i="5"/>
  <c r="AQ9" i="8"/>
  <c r="AQ7" i="8" s="1"/>
  <c r="AJ12" i="5"/>
  <c r="AJ13" i="4" s="1"/>
  <c r="AI351" i="4"/>
  <c r="W143" i="1"/>
  <c r="W162" i="1" s="1"/>
  <c r="AI89" i="6"/>
  <c r="AL8" i="3"/>
  <c r="AK7" i="3"/>
  <c r="AK9" i="4"/>
  <c r="V141" i="1"/>
  <c r="AH86" i="6"/>
  <c r="AH16" i="6"/>
  <c r="AH332" i="4"/>
  <c r="AH339" i="4" s="1"/>
  <c r="AI61" i="3"/>
  <c r="AI62" i="3" s="1"/>
  <c r="W140" i="1"/>
  <c r="AI152" i="4"/>
  <c r="AI74" i="6"/>
  <c r="Z25" i="6"/>
  <c r="Z91" i="4"/>
  <c r="Z22" i="4"/>
  <c r="AA50" i="4"/>
  <c r="BB8" i="7"/>
  <c r="BB9" i="7" s="1"/>
  <c r="BA7" i="7"/>
  <c r="AI213" i="4"/>
  <c r="AI238" i="4"/>
  <c r="AK110" i="3"/>
  <c r="AK36" i="3"/>
  <c r="AK44" i="3"/>
  <c r="AJ38" i="3"/>
  <c r="AJ37" i="3" s="1"/>
  <c r="AJ112" i="3"/>
  <c r="AJ46" i="3"/>
  <c r="AJ45" i="3" s="1"/>
  <c r="AK28" i="3"/>
  <c r="AJ30" i="3"/>
  <c r="AJ29" i="3" s="1"/>
  <c r="AI88" i="6"/>
  <c r="W142" i="1"/>
  <c r="W160" i="1" s="1"/>
  <c r="AI17" i="6"/>
  <c r="AI345" i="4" s="1"/>
  <c r="V109" i="1"/>
  <c r="D31" i="1" s="1"/>
  <c r="X33" i="4"/>
  <c r="AI32" i="5"/>
  <c r="AI76" i="6"/>
  <c r="W144" i="1"/>
  <c r="AI38" i="7"/>
  <c r="AK108" i="4"/>
  <c r="AK82" i="4"/>
  <c r="AK172" i="4" s="1"/>
  <c r="AI312" i="4"/>
  <c r="AI14" i="4"/>
  <c r="AJ290" i="4"/>
  <c r="AJ31" i="5" s="1"/>
  <c r="AJ281" i="4"/>
  <c r="AJ282" i="4"/>
  <c r="BE64" i="7"/>
  <c r="AC94" i="6"/>
  <c r="Q147" i="1"/>
  <c r="P108" i="1"/>
  <c r="AC41" i="6"/>
  <c r="Y215" i="4"/>
  <c r="Y209" i="4"/>
  <c r="Y219" i="4"/>
  <c r="AB32" i="4"/>
  <c r="AB183" i="4"/>
  <c r="AB50" i="4" s="1"/>
  <c r="AI355" i="4"/>
  <c r="AJ55" i="6"/>
  <c r="U141" i="1"/>
  <c r="AG86" i="6"/>
  <c r="AG16" i="6"/>
  <c r="AG332" i="4"/>
  <c r="AG339" i="4" s="1"/>
  <c r="AJ110" i="4"/>
  <c r="AJ109" i="4"/>
  <c r="AJ25" i="3"/>
  <c r="AC218" i="4"/>
  <c r="AC214" i="4"/>
  <c r="AD205" i="4"/>
  <c r="AC70" i="4"/>
  <c r="AD314" i="4"/>
  <c r="Z20" i="4"/>
  <c r="AD218" i="4" l="1"/>
  <c r="AD214" i="4"/>
  <c r="AJ312" i="4"/>
  <c r="AJ49" i="3"/>
  <c r="AK298" i="4"/>
  <c r="AK104" i="4"/>
  <c r="AK102" i="4"/>
  <c r="AK107" i="4" s="1"/>
  <c r="AK103" i="4"/>
  <c r="AK105" i="4"/>
  <c r="AK106" i="4" s="1"/>
  <c r="AK166" i="4"/>
  <c r="AK80" i="4" s="1"/>
  <c r="BB7" i="6"/>
  <c r="BC8" i="6"/>
  <c r="BC9" i="6" s="1"/>
  <c r="AC183" i="4"/>
  <c r="AC50" i="4" s="1"/>
  <c r="AC32" i="4"/>
  <c r="AG18" i="6"/>
  <c r="AG344" i="4"/>
  <c r="AG348" i="4" s="1"/>
  <c r="C25" i="1"/>
  <c r="AI167" i="4"/>
  <c r="AJ14" i="4"/>
  <c r="AI59" i="7"/>
  <c r="AI48" i="7" s="1"/>
  <c r="AI41" i="7"/>
  <c r="Y28" i="4"/>
  <c r="AJ115" i="3"/>
  <c r="AJ111" i="3"/>
  <c r="BC8" i="7"/>
  <c r="BC9" i="7" s="1"/>
  <c r="BB7" i="7"/>
  <c r="AK24" i="3"/>
  <c r="AK25" i="3" s="1"/>
  <c r="AK53" i="3"/>
  <c r="AK52" i="3" s="1"/>
  <c r="AK7" i="4"/>
  <c r="AK6" i="3"/>
  <c r="AJ115" i="4"/>
  <c r="AJ15" i="4"/>
  <c r="AJ208" i="4"/>
  <c r="W146" i="1"/>
  <c r="W161" i="1" s="1"/>
  <c r="AI346" i="4"/>
  <c r="AI87" i="6"/>
  <c r="V110" i="1"/>
  <c r="E31" i="1" s="1"/>
  <c r="AI20" i="6"/>
  <c r="AJ29" i="5"/>
  <c r="AJ6" i="9"/>
  <c r="AJ12" i="3"/>
  <c r="AJ32" i="5"/>
  <c r="AJ327" i="4"/>
  <c r="AJ44" i="6"/>
  <c r="AJ80" i="6"/>
  <c r="AK23" i="5"/>
  <c r="AJ33" i="3"/>
  <c r="AJ16" i="3" s="1"/>
  <c r="AJ25" i="5" s="1"/>
  <c r="AI96" i="3"/>
  <c r="AI97" i="3" s="1"/>
  <c r="AI101" i="3"/>
  <c r="AI102" i="3" s="1"/>
  <c r="AI105" i="3" s="1"/>
  <c r="AI106" i="3" s="1"/>
  <c r="AI17" i="3" s="1"/>
  <c r="AI26" i="5" s="1"/>
  <c r="AI86" i="3"/>
  <c r="AI87" i="3" s="1"/>
  <c r="AI91" i="3"/>
  <c r="AI92" i="3" s="1"/>
  <c r="AI81" i="3"/>
  <c r="AI82" i="3" s="1"/>
  <c r="AJ12" i="4"/>
  <c r="AJ347" i="4" s="1"/>
  <c r="AJ56" i="7"/>
  <c r="AI352" i="4"/>
  <c r="AI29" i="4"/>
  <c r="BF64" i="7"/>
  <c r="AJ41" i="3"/>
  <c r="AJ18" i="3" s="1"/>
  <c r="AJ27" i="5" s="1"/>
  <c r="AH344" i="4"/>
  <c r="AH348" i="4" s="1"/>
  <c r="AH18" i="6"/>
  <c r="Z212" i="4"/>
  <c r="Y60" i="6"/>
  <c r="AL9" i="3"/>
  <c r="AL8" i="4"/>
  <c r="AJ150" i="4"/>
  <c r="AJ151" i="4" s="1"/>
  <c r="AJ223" i="4"/>
  <c r="AJ225" i="4" s="1"/>
  <c r="AJ63" i="4" s="1"/>
  <c r="AJ56" i="3"/>
  <c r="AJ20" i="3" s="1"/>
  <c r="AJ39" i="7" s="1"/>
  <c r="Y25" i="9"/>
  <c r="AD316" i="4"/>
  <c r="AD33" i="5" s="1"/>
  <c r="Y30" i="4"/>
  <c r="Y31" i="4"/>
  <c r="AK299" i="4"/>
  <c r="Z23" i="4"/>
  <c r="Z92" i="4"/>
  <c r="AK9" i="5"/>
  <c r="AK7" i="9"/>
  <c r="AR8" i="8"/>
  <c r="AK14" i="5"/>
  <c r="AK150" i="4" l="1"/>
  <c r="AK151" i="4" s="1"/>
  <c r="AK109" i="4"/>
  <c r="AJ61" i="3"/>
  <c r="AJ62" i="3" s="1"/>
  <c r="AJ152" i="4"/>
  <c r="X140" i="1"/>
  <c r="AJ74" i="6"/>
  <c r="AJ167" i="4"/>
  <c r="AK56" i="3"/>
  <c r="AK20" i="3" s="1"/>
  <c r="AK39" i="7" s="1"/>
  <c r="W110" i="1"/>
  <c r="E32" i="1" s="1"/>
  <c r="X146" i="1"/>
  <c r="X161" i="1" s="1"/>
  <c r="AJ87" i="6"/>
  <c r="AJ20" i="6"/>
  <c r="AJ346" i="4"/>
  <c r="AL8" i="5"/>
  <c r="AK7" i="5"/>
  <c r="AK15" i="5"/>
  <c r="AK13" i="5"/>
  <c r="AK16" i="5"/>
  <c r="AK55" i="5" s="1"/>
  <c r="AK12" i="5"/>
  <c r="AK8" i="9"/>
  <c r="AR9" i="8"/>
  <c r="AR7" i="8" s="1"/>
  <c r="AK110" i="4"/>
  <c r="Z209" i="4"/>
  <c r="Z215" i="4"/>
  <c r="Z219" i="4"/>
  <c r="Z25" i="9" s="1"/>
  <c r="AJ88" i="6"/>
  <c r="W109" i="1"/>
  <c r="D32" i="1" s="1"/>
  <c r="AJ17" i="6"/>
  <c r="AJ345" i="4" s="1"/>
  <c r="X142" i="1"/>
  <c r="X160" i="1" s="1"/>
  <c r="BC7" i="7"/>
  <c r="BD8" i="7"/>
  <c r="BD9" i="7" s="1"/>
  <c r="AI168" i="4"/>
  <c r="AI169" i="4"/>
  <c r="AD183" i="4"/>
  <c r="AD50" i="4" s="1"/>
  <c r="AD32" i="4"/>
  <c r="W141" i="1"/>
  <c r="AI86" i="6"/>
  <c r="AI16" i="6"/>
  <c r="AI332" i="4"/>
  <c r="AI339" i="4" s="1"/>
  <c r="AJ38" i="7"/>
  <c r="AJ285" i="4"/>
  <c r="AJ19" i="3"/>
  <c r="AJ28" i="5" s="1"/>
  <c r="AJ203" i="4"/>
  <c r="AD94" i="6"/>
  <c r="R147" i="1"/>
  <c r="Q108" i="1"/>
  <c r="AJ76" i="6"/>
  <c r="X144" i="1"/>
  <c r="BD8" i="6"/>
  <c r="BD9" i="6" s="1"/>
  <c r="BC7" i="6"/>
  <c r="AJ355" i="4"/>
  <c r="Z182" i="4"/>
  <c r="Z51" i="4" s="1"/>
  <c r="Z24" i="4"/>
  <c r="AD317" i="4"/>
  <c r="BG64" i="7"/>
  <c r="Z93" i="4"/>
  <c r="AL7" i="3"/>
  <c r="AM8" i="3"/>
  <c r="AL9" i="4"/>
  <c r="AL36" i="3"/>
  <c r="AL110" i="3"/>
  <c r="AK112" i="3"/>
  <c r="AL44" i="3"/>
  <c r="AK38" i="3"/>
  <c r="AK37" i="3" s="1"/>
  <c r="AK46" i="3"/>
  <c r="AK45" i="3" s="1"/>
  <c r="AK49" i="3" s="1"/>
  <c r="AK30" i="3"/>
  <c r="AK29" i="3" s="1"/>
  <c r="AL28" i="3"/>
  <c r="AK290" i="4"/>
  <c r="AK31" i="5" s="1"/>
  <c r="AK281" i="4"/>
  <c r="AK282" i="4" s="1"/>
  <c r="Y33" i="4"/>
  <c r="AD41" i="6"/>
  <c r="AL9" i="5" l="1"/>
  <c r="AL7" i="9"/>
  <c r="AS8" i="8"/>
  <c r="AD70" i="4"/>
  <c r="AE314" i="4"/>
  <c r="Z357" i="4"/>
  <c r="Z25" i="4"/>
  <c r="Z31" i="4"/>
  <c r="Z30" i="4"/>
  <c r="AM9" i="3"/>
  <c r="AM8" i="4"/>
  <c r="AJ59" i="7"/>
  <c r="AJ48" i="7" s="1"/>
  <c r="AJ41" i="7"/>
  <c r="AJ168" i="4"/>
  <c r="AJ169" i="4" s="1"/>
  <c r="AJ213" i="4"/>
  <c r="AJ238" i="4"/>
  <c r="Z60" i="6"/>
  <c r="AA212" i="4"/>
  <c r="AL166" i="4"/>
  <c r="AL80" i="4" s="1"/>
  <c r="AL298" i="4"/>
  <c r="AL102" i="4"/>
  <c r="AL107" i="4" s="1"/>
  <c r="AL103" i="4"/>
  <c r="AL104" i="4"/>
  <c r="AL105" i="4"/>
  <c r="AL106" i="4"/>
  <c r="X143" i="1"/>
  <c r="X162" i="1" s="1"/>
  <c r="AJ89" i="6"/>
  <c r="AJ351" i="4"/>
  <c r="AK29" i="5"/>
  <c r="AK12" i="3"/>
  <c r="AK33" i="3" s="1"/>
  <c r="AK16" i="3" s="1"/>
  <c r="AK25" i="5" s="1"/>
  <c r="AK6" i="9"/>
  <c r="AA88" i="4"/>
  <c r="Z61" i="6"/>
  <c r="AJ96" i="3"/>
  <c r="AJ97" i="3" s="1"/>
  <c r="AJ101" i="3"/>
  <c r="AJ102" i="3" s="1"/>
  <c r="AJ81" i="3"/>
  <c r="AJ82" i="3" s="1"/>
  <c r="AJ86" i="3"/>
  <c r="AJ87" i="3" s="1"/>
  <c r="AJ91" i="3"/>
  <c r="AJ92" i="3" s="1"/>
  <c r="BD7" i="6"/>
  <c r="BE8" i="6"/>
  <c r="BE9" i="6" s="1"/>
  <c r="AK115" i="4"/>
  <c r="AK15" i="4"/>
  <c r="AK208" i="4"/>
  <c r="AL108" i="4"/>
  <c r="AI170" i="4"/>
  <c r="AI188" i="4"/>
  <c r="AI56" i="4" s="1"/>
  <c r="AK13" i="4"/>
  <c r="AK55" i="6"/>
  <c r="Z28" i="4"/>
  <c r="BH64" i="7"/>
  <c r="AK111" i="3"/>
  <c r="AK115" i="3"/>
  <c r="AL82" i="4"/>
  <c r="AL172" i="4" s="1"/>
  <c r="AL23" i="5"/>
  <c r="AK327" i="4"/>
  <c r="AK80" i="6"/>
  <c r="AK44" i="6"/>
  <c r="AK38" i="7"/>
  <c r="AK19" i="3"/>
  <c r="AK28" i="5" s="1"/>
  <c r="AK285" i="4"/>
  <c r="AK203" i="4"/>
  <c r="AL24" i="3"/>
  <c r="AL25" i="3" s="1"/>
  <c r="AL7" i="4"/>
  <c r="AL6" i="3"/>
  <c r="AL53" i="3"/>
  <c r="AL52" i="3" s="1"/>
  <c r="AL56" i="3" s="1"/>
  <c r="AL20" i="3" s="1"/>
  <c r="AL39" i="7" s="1"/>
  <c r="AL299" i="4"/>
  <c r="AI18" i="6"/>
  <c r="AI344" i="4"/>
  <c r="AI348" i="4" s="1"/>
  <c r="BE8" i="7"/>
  <c r="BE9" i="7" s="1"/>
  <c r="BD7" i="7"/>
  <c r="AK12" i="4"/>
  <c r="AK347" i="4" s="1"/>
  <c r="AK56" i="7"/>
  <c r="AK223" i="4"/>
  <c r="AK225" i="4" s="1"/>
  <c r="AK63" i="4" s="1"/>
  <c r="AL109" i="4"/>
  <c r="AJ170" i="4" l="1"/>
  <c r="AJ188" i="4"/>
  <c r="AJ56" i="4" s="1"/>
  <c r="AK152" i="4"/>
  <c r="Y140" i="1"/>
  <c r="AK61" i="3"/>
  <c r="AK62" i="3" s="1"/>
  <c r="AK74" i="6"/>
  <c r="AK32" i="5"/>
  <c r="AL110" i="4"/>
  <c r="AK59" i="7"/>
  <c r="AK48" i="7" s="1"/>
  <c r="AK41" i="7"/>
  <c r="BF8" i="7"/>
  <c r="BF9" i="7" s="1"/>
  <c r="BE7" i="7"/>
  <c r="AK76" i="6"/>
  <c r="Y144" i="1"/>
  <c r="AE316" i="4"/>
  <c r="AE33" i="5" s="1"/>
  <c r="AA90" i="4"/>
  <c r="AJ352" i="4"/>
  <c r="AJ29" i="4"/>
  <c r="AN8" i="3"/>
  <c r="AM7" i="3"/>
  <c r="AM9" i="4"/>
  <c r="AM108" i="4" s="1"/>
  <c r="AL112" i="3"/>
  <c r="AM36" i="3"/>
  <c r="AM110" i="3"/>
  <c r="AL46" i="3"/>
  <c r="AL45" i="3" s="1"/>
  <c r="AL49" i="3" s="1"/>
  <c r="AL38" i="3"/>
  <c r="AL37" i="3" s="1"/>
  <c r="AM44" i="3"/>
  <c r="AL30" i="3"/>
  <c r="AL29" i="3" s="1"/>
  <c r="AM28" i="3"/>
  <c r="BI64" i="7"/>
  <c r="AL290" i="4"/>
  <c r="AL31" i="5" s="1"/>
  <c r="AL281" i="4"/>
  <c r="AL223" i="4"/>
  <c r="AL225" i="4" s="1"/>
  <c r="AL63" i="4" s="1"/>
  <c r="AL150" i="4"/>
  <c r="AL151" i="4" s="1"/>
  <c r="AK41" i="3"/>
  <c r="AK18" i="3" s="1"/>
  <c r="AK27" i="5" s="1"/>
  <c r="AL7" i="5"/>
  <c r="AM8" i="5"/>
  <c r="AS9" i="8"/>
  <c r="AS7" i="8" s="1"/>
  <c r="AL16" i="5"/>
  <c r="AL55" i="5" s="1"/>
  <c r="AL8" i="9"/>
  <c r="AL12" i="5"/>
  <c r="AL13" i="4" s="1"/>
  <c r="AL13" i="5"/>
  <c r="AL15" i="5"/>
  <c r="AK355" i="4"/>
  <c r="AK213" i="4"/>
  <c r="AK238" i="4"/>
  <c r="Z33" i="4"/>
  <c r="AA28" i="4" s="1"/>
  <c r="AL55" i="6"/>
  <c r="AJ105" i="3"/>
  <c r="AJ106" i="3" s="1"/>
  <c r="AJ17" i="3" s="1"/>
  <c r="AJ26" i="5" s="1"/>
  <c r="AL14" i="5"/>
  <c r="AK89" i="6"/>
  <c r="Y143" i="1"/>
  <c r="Y162" i="1" s="1"/>
  <c r="AK351" i="4"/>
  <c r="AK312" i="4"/>
  <c r="AK14" i="4"/>
  <c r="BE7" i="6"/>
  <c r="BF8" i="6"/>
  <c r="BF9" i="6" s="1"/>
  <c r="AA209" i="4"/>
  <c r="AA215" i="4"/>
  <c r="AA219" i="4"/>
  <c r="AA25" i="9" s="1"/>
  <c r="AA20" i="4"/>
  <c r="AK29" i="4" l="1"/>
  <c r="AK352" i="4"/>
  <c r="BJ64" i="7"/>
  <c r="BI77" i="7" s="1"/>
  <c r="AM299" i="4"/>
  <c r="AL14" i="4"/>
  <c r="AK167" i="4"/>
  <c r="AM9" i="5"/>
  <c r="AM14" i="5" s="1"/>
  <c r="AT8" i="8"/>
  <c r="AM7" i="9"/>
  <c r="AL111" i="3"/>
  <c r="AL115" i="3"/>
  <c r="AA91" i="4"/>
  <c r="AA25" i="6"/>
  <c r="AA22" i="4"/>
  <c r="AK91" i="3"/>
  <c r="AK92" i="3" s="1"/>
  <c r="AK81" i="3"/>
  <c r="AK82" i="3" s="1"/>
  <c r="AK101" i="3"/>
  <c r="AK102" i="3" s="1"/>
  <c r="AK96" i="3"/>
  <c r="AK97" i="3" s="1"/>
  <c r="AK86" i="3"/>
  <c r="AK87" i="3" s="1"/>
  <c r="AM298" i="4"/>
  <c r="AM166" i="4"/>
  <c r="AM80" i="4" s="1"/>
  <c r="AM102" i="4"/>
  <c r="AM107" i="4" s="1"/>
  <c r="AM103" i="4"/>
  <c r="AM104" i="4"/>
  <c r="AM105" i="4"/>
  <c r="AM106" i="4" s="1"/>
  <c r="AL15" i="4"/>
  <c r="AL115" i="4"/>
  <c r="AL208" i="4"/>
  <c r="AK88" i="6"/>
  <c r="X109" i="1"/>
  <c r="D33" i="1" s="1"/>
  <c r="AK17" i="6"/>
  <c r="AK345" i="4" s="1"/>
  <c r="Y142" i="1"/>
  <c r="Y160" i="1" s="1"/>
  <c r="AM24" i="3"/>
  <c r="AM6" i="3"/>
  <c r="AM7" i="4"/>
  <c r="AM53" i="3"/>
  <c r="AM52" i="3" s="1"/>
  <c r="Y146" i="1"/>
  <c r="Y161" i="1" s="1"/>
  <c r="X110" i="1"/>
  <c r="E33" i="1" s="1"/>
  <c r="AK87" i="6"/>
  <c r="AK346" i="4"/>
  <c r="AK20" i="6"/>
  <c r="AL12" i="4"/>
  <c r="AL347" i="4" s="1"/>
  <c r="AL56" i="7"/>
  <c r="AN9" i="3"/>
  <c r="AN8" i="4"/>
  <c r="AJ86" i="6"/>
  <c r="X141" i="1"/>
  <c r="AJ332" i="4"/>
  <c r="AJ339" i="4" s="1"/>
  <c r="AJ16" i="6"/>
  <c r="AB212" i="4"/>
  <c r="AA60" i="6"/>
  <c r="AL312" i="4"/>
  <c r="AE94" i="6"/>
  <c r="S147" i="1"/>
  <c r="R108" i="1"/>
  <c r="AE41" i="6"/>
  <c r="AL29" i="5"/>
  <c r="AL6" i="9"/>
  <c r="AL12" i="3"/>
  <c r="AL41" i="3" s="1"/>
  <c r="AL18" i="3" s="1"/>
  <c r="AL27" i="5" s="1"/>
  <c r="AA31" i="4"/>
  <c r="AA30" i="4"/>
  <c r="AA33" i="4" s="1"/>
  <c r="AB28" i="4" s="1"/>
  <c r="AL282" i="4"/>
  <c r="AL19" i="3"/>
  <c r="AL28" i="5" s="1"/>
  <c r="AL203" i="4"/>
  <c r="AL285" i="4"/>
  <c r="AE317" i="4"/>
  <c r="BF7" i="7"/>
  <c r="BG8" i="7"/>
  <c r="BG9" i="7" s="1"/>
  <c r="BG8" i="6"/>
  <c r="BG9" i="6" s="1"/>
  <c r="BF7" i="6"/>
  <c r="AM23" i="5"/>
  <c r="AL327" i="4"/>
  <c r="AL44" i="6"/>
  <c r="AL80" i="6"/>
  <c r="AM82" i="4"/>
  <c r="AM172" i="4" s="1"/>
  <c r="Z142" i="1" l="1"/>
  <c r="Z160" i="1" s="1"/>
  <c r="AL88" i="6"/>
  <c r="AL17" i="6"/>
  <c r="AL345" i="4" s="1"/>
  <c r="Y109" i="1"/>
  <c r="D34" i="1" s="1"/>
  <c r="AM109" i="4"/>
  <c r="AM25" i="3"/>
  <c r="AK168" i="4"/>
  <c r="AK169" i="4"/>
  <c r="BH8" i="7"/>
  <c r="BH9" i="7" s="1"/>
  <c r="BG7" i="7"/>
  <c r="AL33" i="3"/>
  <c r="AL16" i="3" s="1"/>
  <c r="AL25" i="5" s="1"/>
  <c r="AA23" i="4"/>
  <c r="AL167" i="4"/>
  <c r="BJ77" i="7"/>
  <c r="V77" i="7"/>
  <c r="S77" i="7"/>
  <c r="U77" i="7"/>
  <c r="R77" i="7"/>
  <c r="T77" i="7"/>
  <c r="W77" i="7"/>
  <c r="Y77" i="7"/>
  <c r="X77" i="7"/>
  <c r="AA77" i="7"/>
  <c r="Z77" i="7"/>
  <c r="AB77" i="7"/>
  <c r="AC77" i="7"/>
  <c r="AH77" i="7"/>
  <c r="AE77" i="7"/>
  <c r="AD77" i="7"/>
  <c r="AG77" i="7"/>
  <c r="AF77" i="7"/>
  <c r="AI77" i="7"/>
  <c r="AL77" i="7"/>
  <c r="AK77" i="7"/>
  <c r="AJ77" i="7"/>
  <c r="AM77" i="7"/>
  <c r="AN77" i="7"/>
  <c r="AO77" i="7"/>
  <c r="AQ77" i="7"/>
  <c r="AP77" i="7"/>
  <c r="AU77" i="7"/>
  <c r="AS77" i="7"/>
  <c r="AR77" i="7"/>
  <c r="AT77" i="7"/>
  <c r="AX77" i="7"/>
  <c r="AW77" i="7"/>
  <c r="AY77" i="7"/>
  <c r="BA77" i="7"/>
  <c r="AV77" i="7"/>
  <c r="AZ77" i="7"/>
  <c r="BD77" i="7"/>
  <c r="BC77" i="7"/>
  <c r="BH77" i="7"/>
  <c r="Z144" i="1"/>
  <c r="AL76" i="6"/>
  <c r="AN82" i="4"/>
  <c r="AN172" i="4" s="1"/>
  <c r="AE70" i="4"/>
  <c r="AF314" i="4"/>
  <c r="AB209" i="4"/>
  <c r="AB215" i="4"/>
  <c r="AB219" i="4"/>
  <c r="AB25" i="9" s="1"/>
  <c r="AN7" i="3"/>
  <c r="AO8" i="3"/>
  <c r="AN9" i="4"/>
  <c r="AN108" i="4" s="1"/>
  <c r="AL355" i="4"/>
  <c r="AJ344" i="4"/>
  <c r="AJ348" i="4" s="1"/>
  <c r="AJ18" i="6"/>
  <c r="AK105" i="3"/>
  <c r="AK106" i="3" s="1"/>
  <c r="AK17" i="3" s="1"/>
  <c r="AK26" i="5" s="1"/>
  <c r="BE77" i="7"/>
  <c r="AL238" i="4"/>
  <c r="AL213" i="4"/>
  <c r="BG77" i="7"/>
  <c r="AM110" i="4"/>
  <c r="AL38" i="7"/>
  <c r="AM290" i="4"/>
  <c r="AM31" i="5" s="1"/>
  <c r="AM282" i="4"/>
  <c r="AM281" i="4"/>
  <c r="BB77" i="7"/>
  <c r="BH8" i="6"/>
  <c r="BH9" i="6" s="1"/>
  <c r="BG7" i="6"/>
  <c r="AL351" i="4"/>
  <c r="Z143" i="1"/>
  <c r="Z162" i="1" s="1"/>
  <c r="AL89" i="6"/>
  <c r="AN44" i="3"/>
  <c r="AM112" i="3"/>
  <c r="AM46" i="3"/>
  <c r="AM45" i="3" s="1"/>
  <c r="AN36" i="3"/>
  <c r="AM38" i="3"/>
  <c r="AM37" i="3" s="1"/>
  <c r="AN110" i="3"/>
  <c r="AM30" i="3"/>
  <c r="AM29" i="3" s="1"/>
  <c r="AN28" i="3"/>
  <c r="AN8" i="5"/>
  <c r="AM7" i="5"/>
  <c r="AT9" i="8"/>
  <c r="AT7" i="8" s="1"/>
  <c r="AM8" i="9"/>
  <c r="AM13" i="5"/>
  <c r="AM16" i="5"/>
  <c r="AM55" i="5" s="1"/>
  <c r="AM15" i="5"/>
  <c r="AM12" i="5"/>
  <c r="BF77" i="7"/>
  <c r="AA92" i="4"/>
  <c r="Y141" i="1" l="1"/>
  <c r="AK86" i="6"/>
  <c r="AK332" i="4"/>
  <c r="AK339" i="4" s="1"/>
  <c r="AK16" i="6"/>
  <c r="AF316" i="4"/>
  <c r="AF33" i="5" s="1"/>
  <c r="AB30" i="4"/>
  <c r="AB33" i="4" s="1"/>
  <c r="AC28" i="4" s="1"/>
  <c r="AB31" i="4"/>
  <c r="AM12" i="4"/>
  <c r="AM347" i="4" s="1"/>
  <c r="AM56" i="7"/>
  <c r="AA24" i="4"/>
  <c r="AA182" i="4"/>
  <c r="AA51" i="4" s="1"/>
  <c r="AL29" i="4"/>
  <c r="AL352" i="4"/>
  <c r="AO9" i="3"/>
  <c r="AO8" i="4"/>
  <c r="AM150" i="4"/>
  <c r="AM151" i="4" s="1"/>
  <c r="AN25" i="3"/>
  <c r="AM56" i="3"/>
  <c r="AM20" i="3" s="1"/>
  <c r="AM39" i="7" s="1"/>
  <c r="AL152" i="4"/>
  <c r="AL74" i="6"/>
  <c r="AL61" i="3"/>
  <c r="AL62" i="3" s="1"/>
  <c r="Z140" i="1"/>
  <c r="AL32" i="5"/>
  <c r="AN9" i="5"/>
  <c r="AN14" i="5" s="1"/>
  <c r="AU8" i="8"/>
  <c r="AN7" i="9"/>
  <c r="AM49" i="3"/>
  <c r="BH7" i="6"/>
  <c r="BI8" i="6"/>
  <c r="BI9" i="6" s="1"/>
  <c r="AL59" i="7"/>
  <c r="AL48" i="7" s="1"/>
  <c r="AL41" i="7"/>
  <c r="AN24" i="3"/>
  <c r="AN53" i="3"/>
  <c r="AN52" i="3" s="1"/>
  <c r="AN7" i="4"/>
  <c r="AN6" i="3"/>
  <c r="BI8" i="7"/>
  <c r="BI9" i="7" s="1"/>
  <c r="BH7" i="7"/>
  <c r="AM223" i="4"/>
  <c r="AM225" i="4" s="1"/>
  <c r="AM63" i="4" s="1"/>
  <c r="AN109" i="4"/>
  <c r="AM29" i="5"/>
  <c r="AM12" i="3"/>
  <c r="AM33" i="3" s="1"/>
  <c r="AM16" i="3" s="1"/>
  <c r="AM25" i="5" s="1"/>
  <c r="AM6" i="9"/>
  <c r="AL168" i="4"/>
  <c r="AL169" i="4" s="1"/>
  <c r="AK170" i="4"/>
  <c r="AK188" i="4"/>
  <c r="AK56" i="4" s="1"/>
  <c r="AN23" i="5"/>
  <c r="AM327" i="4"/>
  <c r="AM44" i="6"/>
  <c r="AM80" i="6"/>
  <c r="AN298" i="4"/>
  <c r="AN103" i="4"/>
  <c r="AN104" i="4"/>
  <c r="AN166" i="4"/>
  <c r="AN80" i="4" s="1"/>
  <c r="AN105" i="4"/>
  <c r="AN106" i="4" s="1"/>
  <c r="AN102" i="4"/>
  <c r="AN107" i="4" s="1"/>
  <c r="AM13" i="4"/>
  <c r="AM55" i="6"/>
  <c r="AM115" i="3"/>
  <c r="AM111" i="3"/>
  <c r="AM15" i="4"/>
  <c r="AM208" i="4"/>
  <c r="AM115" i="4"/>
  <c r="AN110" i="4"/>
  <c r="AB60" i="6"/>
  <c r="AC212" i="4"/>
  <c r="AN299" i="4"/>
  <c r="R76" i="7"/>
  <c r="N77" i="7"/>
  <c r="AA93" i="4"/>
  <c r="AL170" i="4" l="1"/>
  <c r="AL188" i="4"/>
  <c r="AL56" i="4" s="1"/>
  <c r="AM74" i="6"/>
  <c r="AA140" i="1"/>
  <c r="AM61" i="3"/>
  <c r="AM62" i="3" s="1"/>
  <c r="AM152" i="4"/>
  <c r="AM32" i="5"/>
  <c r="AO44" i="3"/>
  <c r="AN46" i="3"/>
  <c r="AN45" i="3" s="1"/>
  <c r="AN49" i="3" s="1"/>
  <c r="AO36" i="3"/>
  <c r="AN112" i="3"/>
  <c r="AO110" i="3"/>
  <c r="AN38" i="3"/>
  <c r="AN37" i="3" s="1"/>
  <c r="AO28" i="3"/>
  <c r="AN30" i="3"/>
  <c r="AN29" i="3" s="1"/>
  <c r="AN290" i="4"/>
  <c r="AN31" i="5" s="1"/>
  <c r="AN281" i="4"/>
  <c r="AN282" i="4"/>
  <c r="AM38" i="7"/>
  <c r="AM19" i="3"/>
  <c r="AM28" i="5" s="1"/>
  <c r="AM285" i="4"/>
  <c r="AM203" i="4"/>
  <c r="AN150" i="4"/>
  <c r="AN151" i="4" s="1"/>
  <c r="R78" i="7"/>
  <c r="S73" i="7" s="1"/>
  <c r="AA144" i="1"/>
  <c r="AM76" i="6"/>
  <c r="AN56" i="3"/>
  <c r="AN20" i="3" s="1"/>
  <c r="AN39" i="7" s="1"/>
  <c r="AA357" i="4"/>
  <c r="T147" i="1"/>
  <c r="AF94" i="6"/>
  <c r="S108" i="1"/>
  <c r="AF41" i="6"/>
  <c r="AK344" i="4"/>
  <c r="AK348" i="4" s="1"/>
  <c r="AK18" i="6"/>
  <c r="AM41" i="3"/>
  <c r="AM18" i="3" s="1"/>
  <c r="AM27" i="5" s="1"/>
  <c r="AF317" i="4"/>
  <c r="AA61" i="6"/>
  <c r="AB88" i="4"/>
  <c r="AC209" i="4"/>
  <c r="AC215" i="4"/>
  <c r="AC219" i="4"/>
  <c r="AC25" i="9" s="1"/>
  <c r="AN223" i="4"/>
  <c r="AN225" i="4" s="1"/>
  <c r="AN63" i="4" s="1"/>
  <c r="AL81" i="3"/>
  <c r="AL82" i="3" s="1"/>
  <c r="AL91" i="3"/>
  <c r="AL92" i="3" s="1"/>
  <c r="AL96" i="3"/>
  <c r="AL97" i="3" s="1"/>
  <c r="AL86" i="3"/>
  <c r="AL87" i="3" s="1"/>
  <c r="AL101" i="3"/>
  <c r="AL102" i="3" s="1"/>
  <c r="AP8" i="3"/>
  <c r="AO7" i="3"/>
  <c r="AO9" i="4"/>
  <c r="AO299" i="4" s="1"/>
  <c r="AM312" i="4"/>
  <c r="AM14" i="4"/>
  <c r="AM355" i="4"/>
  <c r="AN7" i="5"/>
  <c r="AO8" i="5"/>
  <c r="AN12" i="5"/>
  <c r="AN13" i="4" s="1"/>
  <c r="AN8" i="9"/>
  <c r="AN15" i="5"/>
  <c r="AU9" i="8"/>
  <c r="AU7" i="8" s="1"/>
  <c r="AN13" i="5"/>
  <c r="AN16" i="5"/>
  <c r="AN55" i="5" s="1"/>
  <c r="AL20" i="6"/>
  <c r="Y110" i="1"/>
  <c r="E34" i="1" s="1"/>
  <c r="AL87" i="6"/>
  <c r="Z146" i="1"/>
  <c r="Z161" i="1" s="1"/>
  <c r="AL346" i="4"/>
  <c r="AA25" i="4"/>
  <c r="BJ8" i="7"/>
  <c r="BJ9" i="7" s="1"/>
  <c r="BJ7" i="7" s="1"/>
  <c r="BI7" i="7"/>
  <c r="BI7" i="6"/>
  <c r="BJ8" i="6"/>
  <c r="BJ9" i="6" s="1"/>
  <c r="AM91" i="3" l="1"/>
  <c r="AM92" i="3" s="1"/>
  <c r="AM81" i="3"/>
  <c r="AM82" i="3" s="1"/>
  <c r="AM101" i="3"/>
  <c r="AM102" i="3" s="1"/>
  <c r="AM86" i="3"/>
  <c r="AM87" i="3" s="1"/>
  <c r="AM96" i="3"/>
  <c r="AM97" i="3" s="1"/>
  <c r="AM167" i="4"/>
  <c r="AN14" i="4"/>
  <c r="AN115" i="3"/>
  <c r="AN111" i="3"/>
  <c r="AL105" i="3"/>
  <c r="AL106" i="3" s="1"/>
  <c r="AL17" i="3" s="1"/>
  <c r="AL26" i="5" s="1"/>
  <c r="AM213" i="4"/>
  <c r="AM238" i="4"/>
  <c r="AN312" i="4"/>
  <c r="AN55" i="6"/>
  <c r="AB90" i="4"/>
  <c r="AN19" i="3"/>
  <c r="AN28" i="5" s="1"/>
  <c r="AN203" i="4"/>
  <c r="AN285" i="4"/>
  <c r="AA142" i="1"/>
  <c r="AA160" i="1" s="1"/>
  <c r="Z109" i="1"/>
  <c r="D35" i="1" s="1"/>
  <c r="AM17" i="6"/>
  <c r="AM345" i="4" s="1"/>
  <c r="AM88" i="6"/>
  <c r="AM351" i="4"/>
  <c r="AA143" i="1"/>
  <c r="AA162" i="1" s="1"/>
  <c r="AM89" i="6"/>
  <c r="BJ7" i="6"/>
  <c r="BK8" i="6"/>
  <c r="BK9" i="6" s="1"/>
  <c r="AO9" i="5"/>
  <c r="AO14" i="5" s="1"/>
  <c r="AO7" i="9"/>
  <c r="AV8" i="8"/>
  <c r="AB20" i="4"/>
  <c r="AN29" i="5"/>
  <c r="AN38" i="7" s="1"/>
  <c r="AN12" i="3"/>
  <c r="AN33" i="3" s="1"/>
  <c r="AN16" i="3" s="1"/>
  <c r="AN25" i="5" s="1"/>
  <c r="AN6" i="9"/>
  <c r="AD212" i="4"/>
  <c r="AC60" i="6"/>
  <c r="AF70" i="4"/>
  <c r="AG314" i="4"/>
  <c r="AM59" i="7"/>
  <c r="AM48" i="7" s="1"/>
  <c r="AM41" i="7"/>
  <c r="AM346" i="4"/>
  <c r="AM87" i="6"/>
  <c r="Z110" i="1"/>
  <c r="E35" i="1" s="1"/>
  <c r="AM20" i="6"/>
  <c r="AA146" i="1"/>
  <c r="AA161" i="1" s="1"/>
  <c r="AN208" i="4"/>
  <c r="AN15" i="4"/>
  <c r="AN115" i="4"/>
  <c r="AO23" i="5"/>
  <c r="AN44" i="6"/>
  <c r="AN327" i="4"/>
  <c r="AN80" i="6"/>
  <c r="AC31" i="4"/>
  <c r="AC30" i="4"/>
  <c r="AC33" i="4" s="1"/>
  <c r="AD28" i="4" s="1"/>
  <c r="AN12" i="4"/>
  <c r="AN347" i="4" s="1"/>
  <c r="AN56" i="7"/>
  <c r="AO105" i="4"/>
  <c r="AO106" i="4" s="1"/>
  <c r="AO166" i="4"/>
  <c r="AO80" i="4" s="1"/>
  <c r="AO102" i="4"/>
  <c r="AO107" i="4" s="1"/>
  <c r="AO103" i="4"/>
  <c r="AO298" i="4"/>
  <c r="AO104" i="4"/>
  <c r="AO82" i="4"/>
  <c r="AO172" i="4" s="1"/>
  <c r="AN41" i="3"/>
  <c r="AN18" i="3" s="1"/>
  <c r="AN27" i="5" s="1"/>
  <c r="AP9" i="3"/>
  <c r="AP8" i="4"/>
  <c r="AO24" i="3"/>
  <c r="AO53" i="3"/>
  <c r="AO52" i="3" s="1"/>
  <c r="AO7" i="4"/>
  <c r="AO6" i="3"/>
  <c r="AN355" i="4"/>
  <c r="AO108" i="4"/>
  <c r="AN59" i="7" l="1"/>
  <c r="AN48" i="7" s="1"/>
  <c r="AN41" i="7"/>
  <c r="AN152" i="4"/>
  <c r="AB140" i="1"/>
  <c r="AN61" i="3"/>
  <c r="AN62" i="3" s="1"/>
  <c r="AN74" i="6"/>
  <c r="AN32" i="5"/>
  <c r="AP7" i="3"/>
  <c r="AQ8" i="3"/>
  <c r="AP9" i="4"/>
  <c r="AM168" i="4"/>
  <c r="AM169" i="4" s="1"/>
  <c r="AP8" i="5"/>
  <c r="AO7" i="5"/>
  <c r="AO13" i="5"/>
  <c r="AO16" i="5"/>
  <c r="AO55" i="5" s="1"/>
  <c r="AO15" i="5"/>
  <c r="AO8" i="9"/>
  <c r="AV9" i="8"/>
  <c r="AV7" i="8" s="1"/>
  <c r="AO12" i="5"/>
  <c r="AO13" i="4" s="1"/>
  <c r="AB91" i="4"/>
  <c r="AB22" i="4"/>
  <c r="AB25" i="6"/>
  <c r="AB144" i="1"/>
  <c r="AN76" i="6"/>
  <c r="BL8" i="6"/>
  <c r="BL9" i="6" s="1"/>
  <c r="BK7" i="6"/>
  <c r="AN213" i="4"/>
  <c r="AN238" i="4"/>
  <c r="AE205" i="4"/>
  <c r="AM29" i="4"/>
  <c r="AM352" i="4"/>
  <c r="AB142" i="1"/>
  <c r="AB160" i="1" s="1"/>
  <c r="AN88" i="6"/>
  <c r="AN17" i="6"/>
  <c r="AN345" i="4" s="1"/>
  <c r="AA109" i="1"/>
  <c r="D36" i="1" s="1"/>
  <c r="AG317" i="4"/>
  <c r="AG316" i="4"/>
  <c r="AG33" i="5" s="1"/>
  <c r="AN351" i="4"/>
  <c r="AB143" i="1"/>
  <c r="AB162" i="1" s="1"/>
  <c r="AN89" i="6"/>
  <c r="AO55" i="6"/>
  <c r="AO282" i="4"/>
  <c r="AO290" i="4"/>
  <c r="AO31" i="5" s="1"/>
  <c r="AO281" i="4"/>
  <c r="Z141" i="1"/>
  <c r="AL86" i="6"/>
  <c r="AL332" i="4"/>
  <c r="AL339" i="4" s="1"/>
  <c r="AL16" i="6"/>
  <c r="AP44" i="3"/>
  <c r="AP36" i="3"/>
  <c r="AP110" i="3"/>
  <c r="AO112" i="3"/>
  <c r="AO38" i="3"/>
  <c r="AO37" i="3" s="1"/>
  <c r="AO46" i="3"/>
  <c r="AO45" i="3" s="1"/>
  <c r="AO30" i="3"/>
  <c r="AO29" i="3" s="1"/>
  <c r="AP28" i="3"/>
  <c r="AM105" i="3"/>
  <c r="AM106" i="3" s="1"/>
  <c r="AM17" i="3" s="1"/>
  <c r="AM26" i="5" s="1"/>
  <c r="AD209" i="4"/>
  <c r="AD215" i="4"/>
  <c r="AD219" i="4"/>
  <c r="AD25" i="9" s="1"/>
  <c r="AO25" i="3"/>
  <c r="AO109" i="4"/>
  <c r="AO110" i="4"/>
  <c r="AP108" i="4"/>
  <c r="AP299" i="4"/>
  <c r="AP82" i="4"/>
  <c r="AP172" i="4" s="1"/>
  <c r="AN167" i="4"/>
  <c r="AO14" i="4"/>
  <c r="AM170" i="4" l="1"/>
  <c r="AM188" i="4"/>
  <c r="AM56" i="4" s="1"/>
  <c r="AO49" i="3"/>
  <c r="AN352" i="4"/>
  <c r="AN29" i="4"/>
  <c r="AB23" i="4"/>
  <c r="AO29" i="5"/>
  <c r="AO12" i="3"/>
  <c r="AO41" i="3" s="1"/>
  <c r="AO18" i="3" s="1"/>
  <c r="AO27" i="5" s="1"/>
  <c r="AO6" i="9"/>
  <c r="AB146" i="1"/>
  <c r="AB161" i="1" s="1"/>
  <c r="AN346" i="4"/>
  <c r="AN87" i="6"/>
  <c r="AN20" i="6"/>
  <c r="AA110" i="1"/>
  <c r="E36" i="1" s="1"/>
  <c r="AQ9" i="3"/>
  <c r="AQ8" i="4"/>
  <c r="AO167" i="4"/>
  <c r="AO150" i="4"/>
  <c r="AO151" i="4" s="1"/>
  <c r="AN168" i="4"/>
  <c r="AN169" i="4" s="1"/>
  <c r="AO56" i="3"/>
  <c r="AO20" i="3" s="1"/>
  <c r="AO39" i="7" s="1"/>
  <c r="AP9" i="5"/>
  <c r="AP14" i="5" s="1"/>
  <c r="AW8" i="8"/>
  <c r="AP7" i="9"/>
  <c r="AD30" i="4"/>
  <c r="AD31" i="4"/>
  <c r="BL7" i="6"/>
  <c r="BM8" i="6"/>
  <c r="BM9" i="6" s="1"/>
  <c r="AO312" i="4"/>
  <c r="AN81" i="3"/>
  <c r="AN82" i="3" s="1"/>
  <c r="AN86" i="3"/>
  <c r="AN87" i="3" s="1"/>
  <c r="AN96" i="3"/>
  <c r="AN97" i="3" s="1"/>
  <c r="AN101" i="3"/>
  <c r="AN102" i="3" s="1"/>
  <c r="AN91" i="3"/>
  <c r="AN92" i="3" s="1"/>
  <c r="AB92" i="4"/>
  <c r="AP23" i="5"/>
  <c r="AO80" i="6"/>
  <c r="AO44" i="6"/>
  <c r="AO327" i="4"/>
  <c r="AL344" i="4"/>
  <c r="AL348" i="4" s="1"/>
  <c r="AL18" i="6"/>
  <c r="AP24" i="3"/>
  <c r="AP25" i="3" s="1"/>
  <c r="AP7" i="4"/>
  <c r="AP53" i="3"/>
  <c r="AP52" i="3" s="1"/>
  <c r="AP6" i="3"/>
  <c r="AA141" i="1"/>
  <c r="AM86" i="6"/>
  <c r="AM332" i="4"/>
  <c r="AM339" i="4" s="1"/>
  <c r="AM16" i="6"/>
  <c r="AE218" i="4"/>
  <c r="AE219" i="4"/>
  <c r="AE25" i="9" s="1"/>
  <c r="AF205" i="4"/>
  <c r="AO111" i="3"/>
  <c r="AO115" i="3"/>
  <c r="AP110" i="4"/>
  <c r="AH314" i="4"/>
  <c r="AG70" i="4"/>
  <c r="AO223" i="4"/>
  <c r="AO225" i="4" s="1"/>
  <c r="AO63" i="4" s="1"/>
  <c r="AP109" i="4"/>
  <c r="AO12" i="4"/>
  <c r="AO347" i="4" s="1"/>
  <c r="AO56" i="7"/>
  <c r="AD60" i="6"/>
  <c r="AE212" i="4"/>
  <c r="U147" i="1"/>
  <c r="AG94" i="6"/>
  <c r="T108" i="1"/>
  <c r="AG41" i="6"/>
  <c r="AO15" i="4"/>
  <c r="AO208" i="4"/>
  <c r="AO115" i="4"/>
  <c r="AP103" i="4"/>
  <c r="AP104" i="4"/>
  <c r="AP166" i="4"/>
  <c r="AP80" i="4" s="1"/>
  <c r="AP102" i="4"/>
  <c r="AP107" i="4" s="1"/>
  <c r="AP298" i="4"/>
  <c r="AP105" i="4"/>
  <c r="AP106" i="4" s="1"/>
  <c r="AO17" i="6" l="1"/>
  <c r="AO345" i="4" s="1"/>
  <c r="AB109" i="1"/>
  <c r="D37" i="1" s="1"/>
  <c r="AO88" i="6"/>
  <c r="AC142" i="1"/>
  <c r="AC160" i="1" s="1"/>
  <c r="AN170" i="4"/>
  <c r="AN188" i="4"/>
  <c r="AN56" i="4" s="1"/>
  <c r="AP150" i="4"/>
  <c r="AP151" i="4" s="1"/>
  <c r="AD33" i="4"/>
  <c r="AE28" i="4" s="1"/>
  <c r="AQ108" i="4"/>
  <c r="AQ82" i="4"/>
  <c r="AQ172" i="4" s="1"/>
  <c r="AO285" i="4"/>
  <c r="AO38" i="7"/>
  <c r="AO203" i="4"/>
  <c r="AO19" i="3"/>
  <c r="AO28" i="5" s="1"/>
  <c r="AR8" i="3"/>
  <c r="AQ7" i="3"/>
  <c r="AQ9" i="4"/>
  <c r="AP56" i="3"/>
  <c r="AP20" i="3" s="1"/>
  <c r="AP39" i="7" s="1"/>
  <c r="AO76" i="6"/>
  <c r="AC144" i="1"/>
  <c r="AP290" i="4"/>
  <c r="AP31" i="5" s="1"/>
  <c r="AP281" i="4"/>
  <c r="AB24" i="4"/>
  <c r="AB182" i="4"/>
  <c r="AB51" i="4" s="1"/>
  <c r="AB93" i="4"/>
  <c r="AO33" i="3"/>
  <c r="AO16" i="3" s="1"/>
  <c r="AO25" i="5" s="1"/>
  <c r="AH317" i="4"/>
  <c r="AH316" i="4"/>
  <c r="AH33" i="5" s="1"/>
  <c r="C29" i="1"/>
  <c r="AP223" i="4"/>
  <c r="AP225" i="4" s="1"/>
  <c r="AP63" i="4" s="1"/>
  <c r="AM344" i="4"/>
  <c r="AM348" i="4" s="1"/>
  <c r="AM18" i="6"/>
  <c r="BM7" i="6"/>
  <c r="BN8" i="6"/>
  <c r="BN9" i="6" s="1"/>
  <c r="AO168" i="4"/>
  <c r="AO169" i="4" s="1"/>
  <c r="AB25" i="4"/>
  <c r="AO355" i="4"/>
  <c r="AN105" i="3"/>
  <c r="AN106" i="3" s="1"/>
  <c r="AN17" i="3" s="1"/>
  <c r="AN26" i="5" s="1"/>
  <c r="AP7" i="5"/>
  <c r="AQ8" i="5"/>
  <c r="AP16" i="5"/>
  <c r="AP55" i="5" s="1"/>
  <c r="AP12" i="5"/>
  <c r="AP13" i="5"/>
  <c r="AP15" i="5"/>
  <c r="AW9" i="8"/>
  <c r="AW7" i="8" s="1"/>
  <c r="AP8" i="9"/>
  <c r="AP46" i="3"/>
  <c r="AP45" i="3" s="1"/>
  <c r="AP49" i="3" s="1"/>
  <c r="AQ36" i="3"/>
  <c r="AQ44" i="3"/>
  <c r="AQ110" i="3"/>
  <c r="AP38" i="3"/>
  <c r="AP37" i="3" s="1"/>
  <c r="AP112" i="3"/>
  <c r="AQ28" i="3"/>
  <c r="AP30" i="3"/>
  <c r="AP29" i="3" s="1"/>
  <c r="AF218" i="4"/>
  <c r="AF214" i="4"/>
  <c r="AG205" i="4"/>
  <c r="AE214" i="4"/>
  <c r="AO170" i="4" l="1"/>
  <c r="AO188" i="4"/>
  <c r="AO56" i="4" s="1"/>
  <c r="AE32" i="4"/>
  <c r="AE183" i="4"/>
  <c r="AE50" i="4" s="1"/>
  <c r="AP115" i="3"/>
  <c r="AP111" i="3"/>
  <c r="AP15" i="4"/>
  <c r="AP115" i="4"/>
  <c r="AP208" i="4"/>
  <c r="AB357" i="4"/>
  <c r="AQ24" i="3"/>
  <c r="AQ7" i="4"/>
  <c r="AQ6" i="3"/>
  <c r="AQ53" i="3"/>
  <c r="AQ52" i="3" s="1"/>
  <c r="AP12" i="4"/>
  <c r="AP347" i="4" s="1"/>
  <c r="AP56" i="7"/>
  <c r="AC20" i="4"/>
  <c r="AH94" i="6"/>
  <c r="V147" i="1"/>
  <c r="U108" i="1"/>
  <c r="AR9" i="3"/>
  <c r="AR8" i="4"/>
  <c r="AG218" i="4"/>
  <c r="AG214" i="4"/>
  <c r="AH205" i="4"/>
  <c r="AP13" i="4"/>
  <c r="AP55" i="6"/>
  <c r="AI314" i="4"/>
  <c r="AH70" i="4"/>
  <c r="AO351" i="4"/>
  <c r="AO89" i="6"/>
  <c r="AC143" i="1"/>
  <c r="AC162" i="1" s="1"/>
  <c r="AF32" i="4"/>
  <c r="AF183" i="4"/>
  <c r="AF50" i="4" s="1"/>
  <c r="AP327" i="4"/>
  <c r="AP44" i="6"/>
  <c r="AQ23" i="5"/>
  <c r="AP80" i="6"/>
  <c r="AP355" i="4"/>
  <c r="AC140" i="1"/>
  <c r="AO61" i="3"/>
  <c r="AO62" i="3" s="1"/>
  <c r="AO152" i="4"/>
  <c r="AO74" i="6"/>
  <c r="AO32" i="5"/>
  <c r="AO213" i="4"/>
  <c r="AO238" i="4"/>
  <c r="AQ9" i="5"/>
  <c r="AQ7" i="9"/>
  <c r="AX8" i="8"/>
  <c r="AB61" i="6"/>
  <c r="AC88" i="4"/>
  <c r="AO59" i="7"/>
  <c r="AO48" i="7" s="1"/>
  <c r="AO41" i="7"/>
  <c r="AP19" i="3"/>
  <c r="AP28" i="5" s="1"/>
  <c r="AP203" i="4"/>
  <c r="AP285" i="4"/>
  <c r="AP29" i="5"/>
  <c r="AP12" i="3"/>
  <c r="AP41" i="3" s="1"/>
  <c r="AP18" i="3" s="1"/>
  <c r="AP27" i="5" s="1"/>
  <c r="AP6" i="9"/>
  <c r="AP282" i="4"/>
  <c r="AE215" i="4"/>
  <c r="AB141" i="1"/>
  <c r="AN86" i="6"/>
  <c r="AN16" i="6"/>
  <c r="AN332" i="4"/>
  <c r="AN339" i="4" s="1"/>
  <c r="AE209" i="4"/>
  <c r="BO8" i="6"/>
  <c r="BO9" i="6" s="1"/>
  <c r="BN7" i="6"/>
  <c r="AH41" i="6"/>
  <c r="AQ166" i="4"/>
  <c r="AQ80" i="4" s="1"/>
  <c r="AQ298" i="4"/>
  <c r="AQ104" i="4"/>
  <c r="AQ102" i="4"/>
  <c r="AQ107" i="4" s="1"/>
  <c r="AQ103" i="4"/>
  <c r="AQ105" i="4"/>
  <c r="AQ106" i="4" s="1"/>
  <c r="AQ299" i="4"/>
  <c r="AP17" i="6" l="1"/>
  <c r="AP345" i="4" s="1"/>
  <c r="AP88" i="6"/>
  <c r="AC109" i="1"/>
  <c r="D38" i="1" s="1"/>
  <c r="AD142" i="1"/>
  <c r="AD160" i="1" s="1"/>
  <c r="AH218" i="4"/>
  <c r="AH214" i="4"/>
  <c r="AI205" i="4"/>
  <c r="AG183" i="4"/>
  <c r="AG50" i="4" s="1"/>
  <c r="AG32" i="4"/>
  <c r="AQ112" i="3"/>
  <c r="AR36" i="3"/>
  <c r="AR44" i="3"/>
  <c r="AR110" i="3"/>
  <c r="AQ46" i="3"/>
  <c r="AQ45" i="3" s="1"/>
  <c r="AQ38" i="3"/>
  <c r="AQ37" i="3" s="1"/>
  <c r="AR28" i="3"/>
  <c r="AQ30" i="3"/>
  <c r="AQ29" i="3" s="1"/>
  <c r="BP8" i="6"/>
  <c r="BP9" i="6" s="1"/>
  <c r="BO7" i="6"/>
  <c r="AP33" i="3"/>
  <c r="AP16" i="3" s="1"/>
  <c r="AP25" i="5" s="1"/>
  <c r="AR8" i="5"/>
  <c r="AQ7" i="5"/>
  <c r="AQ12" i="5"/>
  <c r="AQ13" i="4" s="1"/>
  <c r="AQ13" i="5"/>
  <c r="AQ15" i="5"/>
  <c r="AQ8" i="9"/>
  <c r="AQ16" i="5"/>
  <c r="AQ55" i="5" s="1"/>
  <c r="AX9" i="8"/>
  <c r="AX7" i="8" s="1"/>
  <c r="AQ290" i="4"/>
  <c r="AQ31" i="5" s="1"/>
  <c r="AQ281" i="4"/>
  <c r="AQ282" i="4"/>
  <c r="AO81" i="3"/>
  <c r="AO82" i="3" s="1"/>
  <c r="AO101" i="3"/>
  <c r="AO102" i="3" s="1"/>
  <c r="AO96" i="3"/>
  <c r="AO97" i="3" s="1"/>
  <c r="AO91" i="3"/>
  <c r="AO92" i="3" s="1"/>
  <c r="AO86" i="3"/>
  <c r="AO87" i="3" s="1"/>
  <c r="AQ25" i="3"/>
  <c r="AQ110" i="4"/>
  <c r="AQ109" i="4"/>
  <c r="AD144" i="1"/>
  <c r="AP76" i="6"/>
  <c r="AI317" i="4"/>
  <c r="AI316" i="4"/>
  <c r="AI33" i="5" s="1"/>
  <c r="AC90" i="4"/>
  <c r="AO352" i="4"/>
  <c r="AO29" i="4"/>
  <c r="AR82" i="4"/>
  <c r="AR172" i="4" s="1"/>
  <c r="AR108" i="4"/>
  <c r="AP213" i="4"/>
  <c r="AP238" i="4"/>
  <c r="AO346" i="4"/>
  <c r="AO87" i="6"/>
  <c r="AO20" i="6"/>
  <c r="AC146" i="1"/>
  <c r="AC161" i="1" s="1"/>
  <c r="AB110" i="1"/>
  <c r="E37" i="1" s="1"/>
  <c r="AQ55" i="6"/>
  <c r="AR7" i="3"/>
  <c r="AS8" i="3"/>
  <c r="AR9" i="4"/>
  <c r="AP351" i="4"/>
  <c r="AD143" i="1"/>
  <c r="AD162" i="1" s="1"/>
  <c r="AP89" i="6"/>
  <c r="AE30" i="4"/>
  <c r="AE31" i="4"/>
  <c r="AI41" i="6"/>
  <c r="AN344" i="4"/>
  <c r="AN348" i="4" s="1"/>
  <c r="AN18" i="6"/>
  <c r="AF212" i="4"/>
  <c r="AE60" i="6"/>
  <c r="AP38" i="7"/>
  <c r="AQ14" i="5"/>
  <c r="AP312" i="4"/>
  <c r="AP14" i="4"/>
  <c r="C30" i="1"/>
  <c r="AQ150" i="4" l="1"/>
  <c r="AQ151" i="4" s="1"/>
  <c r="BP7" i="6"/>
  <c r="BQ8" i="6"/>
  <c r="BQ9" i="6" s="1"/>
  <c r="AQ115" i="3"/>
  <c r="AQ111" i="3"/>
  <c r="AP59" i="7"/>
  <c r="AP48" i="7" s="1"/>
  <c r="AP41" i="7"/>
  <c r="AR166" i="4"/>
  <c r="AR80" i="4" s="1"/>
  <c r="AR298" i="4"/>
  <c r="AR104" i="4"/>
  <c r="AR105" i="4"/>
  <c r="AR106" i="4" s="1"/>
  <c r="AR102" i="4"/>
  <c r="AR107" i="4" s="1"/>
  <c r="AR103" i="4"/>
  <c r="AR299" i="4"/>
  <c r="AI94" i="6"/>
  <c r="W147" i="1"/>
  <c r="V108" i="1"/>
  <c r="AQ208" i="4"/>
  <c r="AQ115" i="4"/>
  <c r="AQ15" i="4"/>
  <c r="AS9" i="3"/>
  <c r="AS8" i="4"/>
  <c r="AI70" i="4"/>
  <c r="AJ314" i="4"/>
  <c r="AQ12" i="4"/>
  <c r="AQ347" i="4" s="1"/>
  <c r="AQ56" i="7"/>
  <c r="AQ14" i="4"/>
  <c r="AP167" i="4"/>
  <c r="AR24" i="3"/>
  <c r="AR25" i="3" s="1"/>
  <c r="AR7" i="4"/>
  <c r="AR53" i="3"/>
  <c r="AR52" i="3" s="1"/>
  <c r="AR6" i="3"/>
  <c r="AC22" i="4"/>
  <c r="AC91" i="4"/>
  <c r="AC23" i="4" s="1"/>
  <c r="AC25" i="6"/>
  <c r="AQ312" i="4"/>
  <c r="AF215" i="4"/>
  <c r="AF209" i="4"/>
  <c r="AF219" i="4"/>
  <c r="AF25" i="9" s="1"/>
  <c r="AE33" i="4"/>
  <c r="AF28" i="4" s="1"/>
  <c r="AP29" i="4"/>
  <c r="AP352" i="4"/>
  <c r="AQ29" i="5"/>
  <c r="AQ6" i="9"/>
  <c r="AQ12" i="3"/>
  <c r="AQ41" i="3" s="1"/>
  <c r="AQ18" i="3" s="1"/>
  <c r="AQ27" i="5" s="1"/>
  <c r="AQ49" i="3"/>
  <c r="AQ56" i="3"/>
  <c r="AQ20" i="3" s="1"/>
  <c r="AQ39" i="7" s="1"/>
  <c r="AR9" i="5"/>
  <c r="AR7" i="9"/>
  <c r="AR14" i="5"/>
  <c r="AY8" i="8"/>
  <c r="AI218" i="4"/>
  <c r="AI214" i="4"/>
  <c r="AJ205" i="4"/>
  <c r="AR109" i="4"/>
  <c r="AQ223" i="4"/>
  <c r="AQ225" i="4" s="1"/>
  <c r="AQ63" i="4" s="1"/>
  <c r="AO105" i="3"/>
  <c r="AO106" i="3" s="1"/>
  <c r="AO17" i="3" s="1"/>
  <c r="AO26" i="5" s="1"/>
  <c r="AP74" i="6"/>
  <c r="AP61" i="3"/>
  <c r="AP62" i="3" s="1"/>
  <c r="AD140" i="1"/>
  <c r="AP152" i="4"/>
  <c r="AP32" i="5"/>
  <c r="AH32" i="4"/>
  <c r="AH183" i="4"/>
  <c r="AH50" i="4" s="1"/>
  <c r="AR110" i="4"/>
  <c r="AQ327" i="4"/>
  <c r="AQ44" i="6"/>
  <c r="AQ80" i="6"/>
  <c r="AR23" i="5"/>
  <c r="AD109" i="1" l="1"/>
  <c r="D39" i="1" s="1"/>
  <c r="AQ88" i="6"/>
  <c r="AQ17" i="6"/>
  <c r="AQ345" i="4" s="1"/>
  <c r="AE142" i="1"/>
  <c r="AE160" i="1" s="1"/>
  <c r="AR150" i="4"/>
  <c r="AR151" i="4" s="1"/>
  <c r="AC141" i="1"/>
  <c r="AO86" i="6"/>
  <c r="AO16" i="6"/>
  <c r="AO332" i="4"/>
  <c r="AO339" i="4" s="1"/>
  <c r="AQ285" i="4"/>
  <c r="AQ38" i="7"/>
  <c r="AQ19" i="3"/>
  <c r="AQ28" i="5" s="1"/>
  <c r="AQ203" i="4"/>
  <c r="AS108" i="4"/>
  <c r="AR281" i="4"/>
  <c r="AR290" i="4"/>
  <c r="AR31" i="5" s="1"/>
  <c r="AP168" i="4"/>
  <c r="AP169" i="4"/>
  <c r="AT8" i="3"/>
  <c r="AS7" i="3"/>
  <c r="AS9" i="4"/>
  <c r="AS299" i="4" s="1"/>
  <c r="AC92" i="4"/>
  <c r="BR8" i="6"/>
  <c r="BR9" i="6" s="1"/>
  <c r="BQ7" i="6"/>
  <c r="AC110" i="1"/>
  <c r="E38" i="1" s="1"/>
  <c r="AP20" i="6"/>
  <c r="AP346" i="4"/>
  <c r="AP87" i="6"/>
  <c r="AD146" i="1"/>
  <c r="AD161" i="1" s="1"/>
  <c r="AQ167" i="4"/>
  <c r="AQ33" i="3"/>
  <c r="AQ16" i="3" s="1"/>
  <c r="AQ25" i="5" s="1"/>
  <c r="AR7" i="5"/>
  <c r="AS8" i="5"/>
  <c r="AR15" i="5"/>
  <c r="AR12" i="5"/>
  <c r="AR8" i="9"/>
  <c r="AR13" i="5"/>
  <c r="AR16" i="5"/>
  <c r="AR55" i="5" s="1"/>
  <c r="AY9" i="8"/>
  <c r="AY7" i="8" s="1"/>
  <c r="AR223" i="4"/>
  <c r="AR225" i="4" s="1"/>
  <c r="AR63" i="4" s="1"/>
  <c r="AP81" i="3"/>
  <c r="AP82" i="3" s="1"/>
  <c r="AP86" i="3"/>
  <c r="AP87" i="3" s="1"/>
  <c r="AP96" i="3"/>
  <c r="AP97" i="3" s="1"/>
  <c r="AP101" i="3"/>
  <c r="AP102" i="3" s="1"/>
  <c r="AP91" i="3"/>
  <c r="AP92" i="3" s="1"/>
  <c r="AJ218" i="4"/>
  <c r="AJ214" i="4"/>
  <c r="AK205" i="4"/>
  <c r="AE144" i="1"/>
  <c r="AQ76" i="6"/>
  <c r="AF30" i="4"/>
  <c r="AF33" i="4" s="1"/>
  <c r="AG28" i="4" s="1"/>
  <c r="AF31" i="4"/>
  <c r="AR46" i="3"/>
  <c r="AR45" i="3" s="1"/>
  <c r="AR49" i="3" s="1"/>
  <c r="AR38" i="3"/>
  <c r="AR37" i="3" s="1"/>
  <c r="AR112" i="3"/>
  <c r="AS110" i="3"/>
  <c r="AS44" i="3"/>
  <c r="AS36" i="3"/>
  <c r="AS28" i="3"/>
  <c r="AR30" i="3"/>
  <c r="AR29" i="3" s="1"/>
  <c r="AQ355" i="4"/>
  <c r="AI32" i="4"/>
  <c r="AI183" i="4"/>
  <c r="AI50" i="4" s="1"/>
  <c r="AG212" i="4"/>
  <c r="AF60" i="6"/>
  <c r="AR56" i="3"/>
  <c r="AR20" i="3" s="1"/>
  <c r="AR39" i="7" s="1"/>
  <c r="AJ316" i="4"/>
  <c r="AJ33" i="5" s="1"/>
  <c r="C31" i="1"/>
  <c r="AC93" i="4"/>
  <c r="AG209" i="4" l="1"/>
  <c r="AG215" i="4"/>
  <c r="AG219" i="4"/>
  <c r="AG25" i="9" s="1"/>
  <c r="AR115" i="4"/>
  <c r="AR208" i="4"/>
  <c r="AR15" i="4"/>
  <c r="AQ168" i="4"/>
  <c r="AQ169" i="4" s="1"/>
  <c r="AT9" i="3"/>
  <c r="AT8" i="4"/>
  <c r="AQ351" i="4"/>
  <c r="AQ89" i="6"/>
  <c r="AE143" i="1"/>
  <c r="AE162" i="1" s="1"/>
  <c r="AQ152" i="4"/>
  <c r="AQ74" i="6"/>
  <c r="AQ61" i="3"/>
  <c r="AQ62" i="3" s="1"/>
  <c r="AE140" i="1"/>
  <c r="AQ32" i="5"/>
  <c r="AP105" i="3"/>
  <c r="AP106" i="3" s="1"/>
  <c r="AP17" i="3" s="1"/>
  <c r="AP26" i="5" s="1"/>
  <c r="AS9" i="5"/>
  <c r="AS14" i="5" s="1"/>
  <c r="AS7" i="9"/>
  <c r="AZ8" i="8"/>
  <c r="AP170" i="4"/>
  <c r="AP188" i="4"/>
  <c r="AP56" i="4" s="1"/>
  <c r="AQ59" i="7"/>
  <c r="AQ48" i="7" s="1"/>
  <c r="AQ41" i="7"/>
  <c r="AJ317" i="4"/>
  <c r="AR111" i="3"/>
  <c r="AR115" i="3"/>
  <c r="AR29" i="5"/>
  <c r="AR6" i="9"/>
  <c r="AR12" i="3"/>
  <c r="AR282" i="4"/>
  <c r="AS24" i="3"/>
  <c r="AS53" i="3"/>
  <c r="AS52" i="3" s="1"/>
  <c r="AS7" i="4"/>
  <c r="AS6" i="3"/>
  <c r="AR41" i="3"/>
  <c r="AR18" i="3" s="1"/>
  <c r="AR27" i="5" s="1"/>
  <c r="BR7" i="6"/>
  <c r="BS8" i="6"/>
  <c r="BS9" i="6" s="1"/>
  <c r="AR13" i="4"/>
  <c r="AR55" i="6"/>
  <c r="AQ238" i="4"/>
  <c r="AQ213" i="4"/>
  <c r="AR38" i="7"/>
  <c r="AR19" i="3"/>
  <c r="AR28" i="5" s="1"/>
  <c r="AR203" i="4"/>
  <c r="AR285" i="4"/>
  <c r="AK218" i="4"/>
  <c r="AK214" i="4"/>
  <c r="AL205" i="4"/>
  <c r="AR327" i="4"/>
  <c r="AR80" i="6"/>
  <c r="AR44" i="6"/>
  <c r="AS23" i="5"/>
  <c r="AS82" i="4"/>
  <c r="AS172" i="4" s="1"/>
  <c r="AJ94" i="6"/>
  <c r="X147" i="1"/>
  <c r="W108" i="1"/>
  <c r="AJ41" i="6"/>
  <c r="AR33" i="3"/>
  <c r="AR16" i="3" s="1"/>
  <c r="AR25" i="5" s="1"/>
  <c r="AR32" i="5" s="1"/>
  <c r="AR12" i="4"/>
  <c r="AR347" i="4" s="1"/>
  <c r="AR56" i="7"/>
  <c r="AC182" i="4"/>
  <c r="AC51" i="4" s="1"/>
  <c r="AC24" i="4"/>
  <c r="AO18" i="6"/>
  <c r="AO344" i="4"/>
  <c r="AO348" i="4" s="1"/>
  <c r="AC61" i="6"/>
  <c r="AD88" i="4"/>
  <c r="AJ32" i="4"/>
  <c r="AJ183" i="4"/>
  <c r="AJ50" i="4" s="1"/>
  <c r="AS166" i="4"/>
  <c r="AS80" i="4" s="1"/>
  <c r="AS103" i="4"/>
  <c r="AS105" i="4"/>
  <c r="AS106" i="4" s="1"/>
  <c r="AS298" i="4"/>
  <c r="AS104" i="4"/>
  <c r="AS102" i="4"/>
  <c r="AS107" i="4" s="1"/>
  <c r="AQ170" i="4" l="1"/>
  <c r="AQ188" i="4"/>
  <c r="AQ56" i="4" s="1"/>
  <c r="AF146" i="1"/>
  <c r="AF161" i="1" s="1"/>
  <c r="AR346" i="4"/>
  <c r="AR87" i="6"/>
  <c r="AE110" i="1"/>
  <c r="E40" i="1" s="1"/>
  <c r="AR20" i="6"/>
  <c r="AL218" i="4"/>
  <c r="AL214" i="4"/>
  <c r="AM205" i="4"/>
  <c r="AR17" i="6"/>
  <c r="AR345" i="4" s="1"/>
  <c r="AE109" i="1"/>
  <c r="D40" i="1" s="1"/>
  <c r="AR88" i="6"/>
  <c r="AF142" i="1"/>
  <c r="AF160" i="1" s="1"/>
  <c r="AC357" i="4"/>
  <c r="AC25" i="4"/>
  <c r="AK32" i="4"/>
  <c r="AK183" i="4"/>
  <c r="AK50" i="4" s="1"/>
  <c r="AT36" i="3"/>
  <c r="AT44" i="3"/>
  <c r="AT110" i="3"/>
  <c r="AS46" i="3"/>
  <c r="AS45" i="3" s="1"/>
  <c r="AS112" i="3"/>
  <c r="AS38" i="3"/>
  <c r="AS37" i="3" s="1"/>
  <c r="AT28" i="3"/>
  <c r="AS30" i="3"/>
  <c r="AS29" i="3" s="1"/>
  <c r="AQ352" i="4"/>
  <c r="AQ29" i="4"/>
  <c r="AS290" i="4"/>
  <c r="AS31" i="5" s="1"/>
  <c r="AS282" i="4"/>
  <c r="AS281" i="4"/>
  <c r="AK314" i="4"/>
  <c r="AJ70" i="4"/>
  <c r="AQ81" i="3"/>
  <c r="AQ82" i="3" s="1"/>
  <c r="AQ101" i="3"/>
  <c r="AQ102" i="3" s="1"/>
  <c r="AQ105" i="3" s="1"/>
  <c r="AQ106" i="3" s="1"/>
  <c r="AQ17" i="3" s="1"/>
  <c r="AQ26" i="5" s="1"/>
  <c r="AQ86" i="3"/>
  <c r="AQ87" i="3" s="1"/>
  <c r="AQ96" i="3"/>
  <c r="AQ97" i="3" s="1"/>
  <c r="AQ91" i="3"/>
  <c r="AQ92" i="3" s="1"/>
  <c r="AS56" i="3"/>
  <c r="AS20" i="3" s="1"/>
  <c r="AS39" i="7" s="1"/>
  <c r="AT8" i="5"/>
  <c r="AS7" i="5"/>
  <c r="AS12" i="5"/>
  <c r="AS13" i="4" s="1"/>
  <c r="AS8" i="9"/>
  <c r="AS13" i="5"/>
  <c r="AS16" i="5"/>
  <c r="AS55" i="5" s="1"/>
  <c r="AS15" i="5"/>
  <c r="AZ9" i="8"/>
  <c r="AZ7" i="8" s="1"/>
  <c r="AD90" i="4"/>
  <c r="AS109" i="4"/>
  <c r="AS110" i="4"/>
  <c r="AS25" i="3"/>
  <c r="AD141" i="1"/>
  <c r="AP86" i="6"/>
  <c r="AP16" i="6"/>
  <c r="AP332" i="4"/>
  <c r="AP339" i="4" s="1"/>
  <c r="AT7" i="3"/>
  <c r="AU8" i="3"/>
  <c r="AT9" i="4"/>
  <c r="AT82" i="4" s="1"/>
  <c r="AT172" i="4" s="1"/>
  <c r="AH212" i="4"/>
  <c r="AG60" i="6"/>
  <c r="AF140" i="1"/>
  <c r="AR152" i="4"/>
  <c r="AR61" i="3"/>
  <c r="AR62" i="3" s="1"/>
  <c r="AR74" i="6"/>
  <c r="AR213" i="4"/>
  <c r="AR238" i="4"/>
  <c r="AR312" i="4"/>
  <c r="AR14" i="4"/>
  <c r="AD110" i="1"/>
  <c r="E39" i="1" s="1"/>
  <c r="AQ87" i="6"/>
  <c r="AQ20" i="6"/>
  <c r="AQ346" i="4"/>
  <c r="AE146" i="1"/>
  <c r="AE161" i="1" s="1"/>
  <c r="AG30" i="4"/>
  <c r="AG31" i="4"/>
  <c r="AR351" i="4"/>
  <c r="AF143" i="1"/>
  <c r="AF162" i="1" s="1"/>
  <c r="AR89" i="6"/>
  <c r="BT8" i="6"/>
  <c r="BT9" i="6" s="1"/>
  <c r="BS7" i="6"/>
  <c r="AR355" i="4"/>
  <c r="C32" i="1"/>
  <c r="AR59" i="7"/>
  <c r="AR48" i="7" s="1"/>
  <c r="AR41" i="7"/>
  <c r="AR76" i="6"/>
  <c r="AF144" i="1"/>
  <c r="AR86" i="3" l="1"/>
  <c r="AR87" i="3" s="1"/>
  <c r="AR101" i="3"/>
  <c r="AR102" i="3" s="1"/>
  <c r="AR81" i="3"/>
  <c r="AR82" i="3" s="1"/>
  <c r="AR91" i="3"/>
  <c r="AR92" i="3" s="1"/>
  <c r="AR96" i="3"/>
  <c r="AR97" i="3" s="1"/>
  <c r="AD25" i="6"/>
  <c r="AD22" i="4"/>
  <c r="AD91" i="4"/>
  <c r="AS208" i="4"/>
  <c r="AS115" i="4"/>
  <c r="AS15" i="4"/>
  <c r="AM218" i="4"/>
  <c r="AM214" i="4"/>
  <c r="AN205" i="4"/>
  <c r="AQ86" i="6"/>
  <c r="AE141" i="1"/>
  <c r="AQ16" i="6"/>
  <c r="AQ332" i="4"/>
  <c r="AQ339" i="4" s="1"/>
  <c r="AS327" i="4"/>
  <c r="AS80" i="6"/>
  <c r="AS44" i="6"/>
  <c r="AT23" i="5"/>
  <c r="AD20" i="4"/>
  <c r="AL32" i="4"/>
  <c r="AL183" i="4"/>
  <c r="AL50" i="4" s="1"/>
  <c r="AU9" i="3"/>
  <c r="AU8" i="4"/>
  <c r="AT24" i="3"/>
  <c r="AT110" i="4" s="1"/>
  <c r="AT53" i="3"/>
  <c r="AT52" i="3" s="1"/>
  <c r="AT7" i="4"/>
  <c r="AT6" i="3"/>
  <c r="AS12" i="4"/>
  <c r="AS347" i="4" s="1"/>
  <c r="AS56" i="7"/>
  <c r="AK316" i="4"/>
  <c r="AK33" i="5" s="1"/>
  <c r="AS115" i="3"/>
  <c r="AS111" i="3"/>
  <c r="AG33" i="4"/>
  <c r="AH28" i="4" s="1"/>
  <c r="AS150" i="4"/>
  <c r="AS151" i="4" s="1"/>
  <c r="AT109" i="4"/>
  <c r="AS223" i="4"/>
  <c r="AS225" i="4" s="1"/>
  <c r="AS63" i="4" s="1"/>
  <c r="AS49" i="3"/>
  <c r="BT7" i="6"/>
  <c r="BU8" i="6"/>
  <c r="BU9" i="6" s="1"/>
  <c r="AS312" i="4"/>
  <c r="AH209" i="4"/>
  <c r="AH215" i="4"/>
  <c r="AH219" i="4"/>
  <c r="AH25" i="9" s="1"/>
  <c r="AS14" i="4"/>
  <c r="AR167" i="4"/>
  <c r="AT166" i="4"/>
  <c r="AT80" i="4" s="1"/>
  <c r="AT298" i="4"/>
  <c r="AT103" i="4"/>
  <c r="AT104" i="4"/>
  <c r="AT105" i="4"/>
  <c r="AT106" i="4" s="1"/>
  <c r="AT102" i="4"/>
  <c r="AT107" i="4" s="1"/>
  <c r="AR29" i="4"/>
  <c r="AR352" i="4"/>
  <c r="AT299" i="4"/>
  <c r="AS55" i="6"/>
  <c r="AT108" i="4"/>
  <c r="AS29" i="5"/>
  <c r="AS12" i="3"/>
  <c r="AS33" i="3" s="1"/>
  <c r="AS16" i="3" s="1"/>
  <c r="AS25" i="5" s="1"/>
  <c r="AS6" i="9"/>
  <c r="AP18" i="6"/>
  <c r="AP344" i="4"/>
  <c r="AP348" i="4" s="1"/>
  <c r="AT9" i="5"/>
  <c r="AT14" i="5" s="1"/>
  <c r="AT7" i="9"/>
  <c r="BA8" i="8"/>
  <c r="AS74" i="6" l="1"/>
  <c r="AS152" i="4"/>
  <c r="AG140" i="1"/>
  <c r="AS61" i="3"/>
  <c r="AS62" i="3" s="1"/>
  <c r="AS32" i="5"/>
  <c r="AK94" i="6"/>
  <c r="Y147" i="1"/>
  <c r="X108" i="1"/>
  <c r="AK41" i="6"/>
  <c r="AT25" i="3"/>
  <c r="AK317" i="4"/>
  <c r="AR168" i="4"/>
  <c r="AR169" i="4"/>
  <c r="BV8" i="6"/>
  <c r="BV9" i="6" s="1"/>
  <c r="BU7" i="6"/>
  <c r="AS41" i="3"/>
  <c r="AS18" i="3" s="1"/>
  <c r="AS27" i="5" s="1"/>
  <c r="AQ18" i="6"/>
  <c r="AQ344" i="4"/>
  <c r="AQ348" i="4" s="1"/>
  <c r="AT7" i="5"/>
  <c r="AU8" i="5"/>
  <c r="AT16" i="5"/>
  <c r="AT55" i="5" s="1"/>
  <c r="AT15" i="5"/>
  <c r="AT12" i="5"/>
  <c r="AT13" i="4" s="1"/>
  <c r="AT8" i="9"/>
  <c r="BA9" i="8"/>
  <c r="BA7" i="8" s="1"/>
  <c r="AT13" i="5"/>
  <c r="AS167" i="4"/>
  <c r="AS38" i="7"/>
  <c r="AS19" i="3"/>
  <c r="AS28" i="5" s="1"/>
  <c r="AS285" i="4"/>
  <c r="AS203" i="4"/>
  <c r="AH60" i="6"/>
  <c r="AI212" i="4"/>
  <c r="AS355" i="4"/>
  <c r="AU36" i="3"/>
  <c r="AU44" i="3"/>
  <c r="AU110" i="3"/>
  <c r="AT38" i="3"/>
  <c r="AT37" i="3" s="1"/>
  <c r="AT46" i="3"/>
  <c r="AT45" i="3" s="1"/>
  <c r="AT49" i="3" s="1"/>
  <c r="AT112" i="3"/>
  <c r="AU28" i="3"/>
  <c r="AT30" i="3"/>
  <c r="AT29" i="3" s="1"/>
  <c r="AV8" i="3"/>
  <c r="AU7" i="3"/>
  <c r="AU9" i="4"/>
  <c r="AD23" i="4"/>
  <c r="AD92" i="4"/>
  <c r="AS76" i="6"/>
  <c r="AG144" i="1"/>
  <c r="AH30" i="4"/>
  <c r="AH33" i="4" s="1"/>
  <c r="AI28" i="4" s="1"/>
  <c r="AH31" i="4"/>
  <c r="AT223" i="4"/>
  <c r="AT225" i="4" s="1"/>
  <c r="AT63" i="4" s="1"/>
  <c r="AT281" i="4"/>
  <c r="AT290" i="4"/>
  <c r="AT31" i="5" s="1"/>
  <c r="AT282" i="4"/>
  <c r="AN218" i="4"/>
  <c r="AN214" i="4"/>
  <c r="AR105" i="3"/>
  <c r="AR106" i="3" s="1"/>
  <c r="AR17" i="3" s="1"/>
  <c r="AR26" i="5" s="1"/>
  <c r="AT56" i="3"/>
  <c r="AT20" i="3" s="1"/>
  <c r="AT39" i="7" s="1"/>
  <c r="AM32" i="4"/>
  <c r="AM183" i="4"/>
  <c r="AM50" i="4" s="1"/>
  <c r="AT312" i="4" l="1"/>
  <c r="AR170" i="4"/>
  <c r="AR188" i="4"/>
  <c r="AR56" i="4" s="1"/>
  <c r="C33" i="1"/>
  <c r="AS96" i="3"/>
  <c r="AS97" i="3" s="1"/>
  <c r="AS91" i="3"/>
  <c r="AS92" i="3" s="1"/>
  <c r="AS86" i="3"/>
  <c r="AS87" i="3" s="1"/>
  <c r="AS101" i="3"/>
  <c r="AS102" i="3" s="1"/>
  <c r="AS81" i="3"/>
  <c r="AS82" i="3" s="1"/>
  <c r="BW8" i="6"/>
  <c r="BW9" i="6" s="1"/>
  <c r="BV7" i="6"/>
  <c r="AU166" i="4"/>
  <c r="AU80" i="4" s="1"/>
  <c r="AU298" i="4"/>
  <c r="AU103" i="4"/>
  <c r="AU104" i="4"/>
  <c r="AU105" i="4"/>
  <c r="AU106" i="4" s="1"/>
  <c r="AU102" i="4"/>
  <c r="AU107" i="4" s="1"/>
  <c r="AU108" i="4"/>
  <c r="AT55" i="6"/>
  <c r="AT15" i="4"/>
  <c r="AT208" i="4"/>
  <c r="AT115" i="4"/>
  <c r="AF109" i="1"/>
  <c r="D41" i="1" s="1"/>
  <c r="AG142" i="1"/>
  <c r="AG160" i="1" s="1"/>
  <c r="AS17" i="6"/>
  <c r="AS345" i="4" s="1"/>
  <c r="AS88" i="6"/>
  <c r="AU24" i="3"/>
  <c r="AU7" i="4"/>
  <c r="AU53" i="3"/>
  <c r="AU52" i="3" s="1"/>
  <c r="AU6" i="3"/>
  <c r="AU82" i="4"/>
  <c r="AU172" i="4" s="1"/>
  <c r="AT44" i="6"/>
  <c r="AU23" i="5"/>
  <c r="AT327" i="4"/>
  <c r="AT80" i="6"/>
  <c r="AL314" i="4"/>
  <c r="AK70" i="4"/>
  <c r="AR86" i="6"/>
  <c r="AF141" i="1"/>
  <c r="AR332" i="4"/>
  <c r="AR339" i="4" s="1"/>
  <c r="AR16" i="6"/>
  <c r="AV9" i="3"/>
  <c r="AV8" i="4"/>
  <c r="AU299" i="4"/>
  <c r="AS168" i="4"/>
  <c r="AS169" i="4"/>
  <c r="AU9" i="5"/>
  <c r="AU14" i="5" s="1"/>
  <c r="BB8" i="8"/>
  <c r="AU7" i="9"/>
  <c r="AT150" i="4"/>
  <c r="AT151" i="4" s="1"/>
  <c r="AS59" i="7"/>
  <c r="AS48" i="7" s="1"/>
  <c r="AS41" i="7"/>
  <c r="AS213" i="4"/>
  <c r="AS238" i="4"/>
  <c r="AT14" i="4"/>
  <c r="AT29" i="5"/>
  <c r="AT38" i="7" s="1"/>
  <c r="AT12" i="3"/>
  <c r="AT33" i="3" s="1"/>
  <c r="AT16" i="3" s="1"/>
  <c r="AT25" i="5" s="1"/>
  <c r="AT6" i="9"/>
  <c r="AT285" i="4"/>
  <c r="AT203" i="4"/>
  <c r="AT19" i="3"/>
  <c r="AT28" i="5" s="1"/>
  <c r="AN32" i="4"/>
  <c r="AN183" i="4"/>
  <c r="AN50" i="4" s="1"/>
  <c r="AT12" i="4"/>
  <c r="AT347" i="4" s="1"/>
  <c r="AT56" i="7"/>
  <c r="AD182" i="4"/>
  <c r="AD51" i="4" s="1"/>
  <c r="AD24" i="4"/>
  <c r="AD93" i="4"/>
  <c r="AT115" i="3"/>
  <c r="AT111" i="3"/>
  <c r="AI209" i="4"/>
  <c r="AI215" i="4"/>
  <c r="AI219" i="4"/>
  <c r="AI25" i="9" s="1"/>
  <c r="AG143" i="1"/>
  <c r="AG162" i="1" s="1"/>
  <c r="AS89" i="6"/>
  <c r="AS351" i="4"/>
  <c r="AF110" i="1"/>
  <c r="E41" i="1" s="1"/>
  <c r="AS20" i="6"/>
  <c r="AS346" i="4"/>
  <c r="AG146" i="1"/>
  <c r="AG161" i="1" s="1"/>
  <c r="AS87" i="6"/>
  <c r="AT59" i="7" l="1"/>
  <c r="AT48" i="7" s="1"/>
  <c r="AT41" i="7"/>
  <c r="AH140" i="1"/>
  <c r="AT74" i="6"/>
  <c r="AT152" i="4"/>
  <c r="AT61" i="3"/>
  <c r="AT62" i="3" s="1"/>
  <c r="AT32" i="5"/>
  <c r="AR18" i="6"/>
  <c r="AR344" i="4"/>
  <c r="AR348" i="4" s="1"/>
  <c r="AL316" i="4"/>
  <c r="AL33" i="5" s="1"/>
  <c r="AU290" i="4"/>
  <c r="AU31" i="5" s="1"/>
  <c r="AU281" i="4"/>
  <c r="AU282" i="4" s="1"/>
  <c r="AT41" i="3"/>
  <c r="AT18" i="3" s="1"/>
  <c r="AT27" i="5" s="1"/>
  <c r="AT167" i="4"/>
  <c r="AS170" i="4"/>
  <c r="AS188" i="4"/>
  <c r="AS56" i="4" s="1"/>
  <c r="AI31" i="4"/>
  <c r="AI30" i="4"/>
  <c r="AU109" i="4"/>
  <c r="AU110" i="4"/>
  <c r="AE88" i="4"/>
  <c r="AD61" i="6"/>
  <c r="AT351" i="4"/>
  <c r="AH143" i="1"/>
  <c r="AH162" i="1" s="1"/>
  <c r="AT89" i="6"/>
  <c r="AD357" i="4"/>
  <c r="AV8" i="5"/>
  <c r="AU7" i="5"/>
  <c r="AU15" i="5"/>
  <c r="BB9" i="8"/>
  <c r="BB7" i="8" s="1"/>
  <c r="AU13" i="5"/>
  <c r="AU8" i="9"/>
  <c r="AU16" i="5"/>
  <c r="AU55" i="5" s="1"/>
  <c r="AU12" i="5"/>
  <c r="AU13" i="4" s="1"/>
  <c r="AU14" i="4" s="1"/>
  <c r="AT213" i="4"/>
  <c r="AT238" i="4"/>
  <c r="AS29" i="4"/>
  <c r="AS352" i="4"/>
  <c r="BW7" i="6"/>
  <c r="BX8" i="6"/>
  <c r="BX9" i="6" s="1"/>
  <c r="AT355" i="4"/>
  <c r="AT76" i="6"/>
  <c r="AH144" i="1"/>
  <c r="AU25" i="3"/>
  <c r="AU56" i="3" s="1"/>
  <c r="AU20" i="3" s="1"/>
  <c r="AU39" i="7" s="1"/>
  <c r="AV108" i="4"/>
  <c r="AV299" i="4"/>
  <c r="AJ212" i="4"/>
  <c r="AI60" i="6"/>
  <c r="AV7" i="3"/>
  <c r="AW8" i="3"/>
  <c r="AV9" i="4"/>
  <c r="AV82" i="4" s="1"/>
  <c r="AV172" i="4" s="1"/>
  <c r="AV44" i="3"/>
  <c r="AU38" i="3"/>
  <c r="AU37" i="3" s="1"/>
  <c r="AU46" i="3"/>
  <c r="AU45" i="3" s="1"/>
  <c r="AU49" i="3" s="1"/>
  <c r="AU112" i="3"/>
  <c r="AV110" i="3"/>
  <c r="AV36" i="3"/>
  <c r="AU30" i="3"/>
  <c r="AU29" i="3" s="1"/>
  <c r="AV28" i="3"/>
  <c r="AS105" i="3"/>
  <c r="AS106" i="3" s="1"/>
  <c r="AS17" i="3" s="1"/>
  <c r="AS26" i="5" s="1"/>
  <c r="AD25" i="4"/>
  <c r="AU167" i="4" l="1"/>
  <c r="AU115" i="4"/>
  <c r="AU208" i="4"/>
  <c r="AU15" i="4"/>
  <c r="AU19" i="3"/>
  <c r="AU28" i="5" s="1"/>
  <c r="AU203" i="4"/>
  <c r="AU285" i="4"/>
  <c r="AU38" i="7"/>
  <c r="BY8" i="6"/>
  <c r="BY9" i="6" s="1"/>
  <c r="BX7" i="6"/>
  <c r="AT352" i="4"/>
  <c r="AT29" i="4"/>
  <c r="AU29" i="5"/>
  <c r="AU12" i="3"/>
  <c r="AU6" i="9"/>
  <c r="AT169" i="4"/>
  <c r="AT168" i="4"/>
  <c r="AJ215" i="4"/>
  <c r="AJ209" i="4"/>
  <c r="AJ219" i="4"/>
  <c r="AJ25" i="9" s="1"/>
  <c r="AV9" i="5"/>
  <c r="BC8" i="8"/>
  <c r="AV7" i="9"/>
  <c r="AV14" i="5"/>
  <c r="AH142" i="1"/>
  <c r="AH160" i="1" s="1"/>
  <c r="AT17" i="6"/>
  <c r="AT345" i="4" s="1"/>
  <c r="AT88" i="6"/>
  <c r="AG109" i="1"/>
  <c r="D42" i="1" s="1"/>
  <c r="AU111" i="3"/>
  <c r="AU115" i="3"/>
  <c r="AS86" i="6"/>
  <c r="AG141" i="1"/>
  <c r="AS16" i="6"/>
  <c r="AS332" i="4"/>
  <c r="AS339" i="4" s="1"/>
  <c r="AU312" i="4"/>
  <c r="AI33" i="4"/>
  <c r="AJ28" i="4" s="1"/>
  <c r="AV104" i="4"/>
  <c r="AV105" i="4"/>
  <c r="AV106" i="4"/>
  <c r="AV166" i="4"/>
  <c r="AV80" i="4" s="1"/>
  <c r="AV298" i="4"/>
  <c r="AV102" i="4"/>
  <c r="AV107" i="4" s="1"/>
  <c r="AV103" i="4"/>
  <c r="AU150" i="4"/>
  <c r="AU151" i="4" s="1"/>
  <c r="AV23" i="5"/>
  <c r="AU327" i="4"/>
  <c r="AU44" i="6"/>
  <c r="AU80" i="6"/>
  <c r="AH146" i="1"/>
  <c r="AH161" i="1" s="1"/>
  <c r="AT346" i="4"/>
  <c r="AT87" i="6"/>
  <c r="AG110" i="1"/>
  <c r="E42" i="1" s="1"/>
  <c r="AT20" i="6"/>
  <c r="AU41" i="3"/>
  <c r="AU18" i="3" s="1"/>
  <c r="AU27" i="5" s="1"/>
  <c r="AU33" i="3"/>
  <c r="AU16" i="3" s="1"/>
  <c r="AU25" i="5" s="1"/>
  <c r="AW9" i="3"/>
  <c r="AW8" i="4"/>
  <c r="AE90" i="4"/>
  <c r="AU55" i="6"/>
  <c r="AV24" i="3"/>
  <c r="AV25" i="3" s="1"/>
  <c r="AV6" i="3"/>
  <c r="AV53" i="3"/>
  <c r="AV52" i="3" s="1"/>
  <c r="AV7" i="4"/>
  <c r="AU12" i="4"/>
  <c r="AU347" i="4" s="1"/>
  <c r="AU56" i="7"/>
  <c r="AL94" i="6"/>
  <c r="Z147" i="1"/>
  <c r="Y108" i="1"/>
  <c r="AL41" i="6"/>
  <c r="AT96" i="3"/>
  <c r="AT97" i="3" s="1"/>
  <c r="AT91" i="3"/>
  <c r="AT92" i="3" s="1"/>
  <c r="AT81" i="3"/>
  <c r="AT82" i="3" s="1"/>
  <c r="AT101" i="3"/>
  <c r="AT102" i="3" s="1"/>
  <c r="AT86" i="3"/>
  <c r="AT87" i="3" s="1"/>
  <c r="AE20" i="4"/>
  <c r="AV109" i="4"/>
  <c r="AU223" i="4"/>
  <c r="AU225" i="4" s="1"/>
  <c r="AU63" i="4" s="1"/>
  <c r="AL317" i="4"/>
  <c r="AV150" i="4" l="1"/>
  <c r="AV151" i="4" s="1"/>
  <c r="AV56" i="3"/>
  <c r="AV20" i="3" s="1"/>
  <c r="AV39" i="7" s="1"/>
  <c r="C34" i="1"/>
  <c r="AW36" i="3"/>
  <c r="AV112" i="3"/>
  <c r="AW44" i="3"/>
  <c r="AV38" i="3"/>
  <c r="AV37" i="3" s="1"/>
  <c r="AW110" i="3"/>
  <c r="AV46" i="3"/>
  <c r="AV45" i="3" s="1"/>
  <c r="AV49" i="3" s="1"/>
  <c r="AW28" i="3"/>
  <c r="AV30" i="3"/>
  <c r="AV29" i="3" s="1"/>
  <c r="AU74" i="6"/>
  <c r="AU61" i="3"/>
  <c r="AU62" i="3" s="1"/>
  <c r="AI140" i="1"/>
  <c r="AU152" i="4"/>
  <c r="AX8" i="3"/>
  <c r="AW7" i="3"/>
  <c r="AW9" i="4"/>
  <c r="AI142" i="1"/>
  <c r="AI160" i="1" s="1"/>
  <c r="AU17" i="6"/>
  <c r="AU345" i="4" s="1"/>
  <c r="AU88" i="6"/>
  <c r="AH109" i="1"/>
  <c r="D43" i="1" s="1"/>
  <c r="AT170" i="4"/>
  <c r="AT188" i="4"/>
  <c r="AT56" i="4" s="1"/>
  <c r="AM314" i="4"/>
  <c r="AL70" i="4"/>
  <c r="AV7" i="5"/>
  <c r="AW8" i="5"/>
  <c r="AV15" i="5"/>
  <c r="AV13" i="5"/>
  <c r="AV16" i="5"/>
  <c r="AV55" i="5" s="1"/>
  <c r="AV8" i="9"/>
  <c r="AV12" i="5"/>
  <c r="AV13" i="4" s="1"/>
  <c r="BC9" i="8"/>
  <c r="BC7" i="8" s="1"/>
  <c r="AU32" i="5"/>
  <c r="BZ8" i="6"/>
  <c r="BZ9" i="6" s="1"/>
  <c r="BY7" i="6"/>
  <c r="AU355" i="4"/>
  <c r="AT105" i="3"/>
  <c r="AT106" i="3" s="1"/>
  <c r="AT17" i="3" s="1"/>
  <c r="AT26" i="5" s="1"/>
  <c r="AV110" i="4"/>
  <c r="AU59" i="7"/>
  <c r="AU48" i="7" s="1"/>
  <c r="AU41" i="7"/>
  <c r="AV223" i="4"/>
  <c r="AV225" i="4" s="1"/>
  <c r="AV63" i="4" s="1"/>
  <c r="AJ31" i="4"/>
  <c r="AJ30" i="4"/>
  <c r="AJ33" i="4" s="1"/>
  <c r="AK28" i="4" s="1"/>
  <c r="AE91" i="4"/>
  <c r="AE25" i="6"/>
  <c r="AE22" i="4"/>
  <c r="AK212" i="4"/>
  <c r="AJ60" i="6"/>
  <c r="AI144" i="1"/>
  <c r="AU76" i="6"/>
  <c r="AU213" i="4"/>
  <c r="AU238" i="4"/>
  <c r="AV290" i="4"/>
  <c r="AV31" i="5" s="1"/>
  <c r="AV281" i="4"/>
  <c r="AV282" i="4" s="1"/>
  <c r="AW82" i="4"/>
  <c r="AW172" i="4" s="1"/>
  <c r="AW299" i="4"/>
  <c r="AW108" i="4"/>
  <c r="AS18" i="6"/>
  <c r="AS344" i="4"/>
  <c r="AS348" i="4" s="1"/>
  <c r="AU89" i="6"/>
  <c r="AU351" i="4"/>
  <c r="AI143" i="1"/>
  <c r="AI162" i="1" s="1"/>
  <c r="AU168" i="4"/>
  <c r="AU169" i="4"/>
  <c r="AV312" i="4" l="1"/>
  <c r="AV14" i="4"/>
  <c r="AU86" i="3"/>
  <c r="AU87" i="3" s="1"/>
  <c r="AU81" i="3"/>
  <c r="AU82" i="3" s="1"/>
  <c r="AU91" i="3"/>
  <c r="AU92" i="3" s="1"/>
  <c r="AU96" i="3"/>
  <c r="AU97" i="3" s="1"/>
  <c r="AU101" i="3"/>
  <c r="AU102" i="3" s="1"/>
  <c r="AU105" i="3" s="1"/>
  <c r="AU106" i="3" s="1"/>
  <c r="AU17" i="3" s="1"/>
  <c r="AU26" i="5" s="1"/>
  <c r="AV111" i="3"/>
  <c r="AV115" i="3"/>
  <c r="AX9" i="3"/>
  <c r="AX8" i="4"/>
  <c r="AK209" i="4"/>
  <c r="AK215" i="4"/>
  <c r="AK219" i="4"/>
  <c r="AK25" i="9" s="1"/>
  <c r="AV327" i="4"/>
  <c r="AW23" i="5"/>
  <c r="AV44" i="6"/>
  <c r="AV80" i="6"/>
  <c r="AV33" i="3"/>
  <c r="AV16" i="3" s="1"/>
  <c r="AV25" i="5" s="1"/>
  <c r="AV32" i="5" s="1"/>
  <c r="AU170" i="4"/>
  <c r="AV12" i="4"/>
  <c r="AV347" i="4" s="1"/>
  <c r="AV56" i="7"/>
  <c r="AV55" i="6"/>
  <c r="AE23" i="4"/>
  <c r="AE92" i="4"/>
  <c r="AV115" i="4"/>
  <c r="AV15" i="4"/>
  <c r="AV208" i="4"/>
  <c r="AV38" i="7"/>
  <c r="AV19" i="3"/>
  <c r="AV28" i="5" s="1"/>
  <c r="AV203" i="4"/>
  <c r="AV285" i="4"/>
  <c r="AU29" i="4"/>
  <c r="AU352" i="4"/>
  <c r="BZ7" i="6"/>
  <c r="CA8" i="6"/>
  <c r="CA9" i="6" s="1"/>
  <c r="AW9" i="5"/>
  <c r="AW7" i="9"/>
  <c r="BD8" i="8"/>
  <c r="AW14" i="5"/>
  <c r="AM316" i="4"/>
  <c r="AM33" i="5" s="1"/>
  <c r="AW166" i="4"/>
  <c r="AW80" i="4" s="1"/>
  <c r="AW106" i="4"/>
  <c r="AW102" i="4"/>
  <c r="AW107" i="4" s="1"/>
  <c r="AW298" i="4"/>
  <c r="AW103" i="4"/>
  <c r="AW104" i="4"/>
  <c r="AW105" i="4"/>
  <c r="AH141" i="1"/>
  <c r="AT86" i="6"/>
  <c r="AT332" i="4"/>
  <c r="AT339" i="4" s="1"/>
  <c r="AT16" i="6"/>
  <c r="AU346" i="4"/>
  <c r="AI146" i="1"/>
  <c r="AI161" i="1" s="1"/>
  <c r="AH110" i="1"/>
  <c r="E43" i="1" s="1"/>
  <c r="AU87" i="6"/>
  <c r="AU20" i="6"/>
  <c r="AV29" i="5"/>
  <c r="AV6" i="9"/>
  <c r="AV12" i="3"/>
  <c r="AV41" i="3" s="1"/>
  <c r="AV18" i="3" s="1"/>
  <c r="AV27" i="5" s="1"/>
  <c r="AW24" i="3"/>
  <c r="AW7" i="4"/>
  <c r="AW6" i="3"/>
  <c r="AW53" i="3"/>
  <c r="AW52" i="3" s="1"/>
  <c r="AV20" i="6" l="1"/>
  <c r="AJ146" i="1"/>
  <c r="AJ161" i="1" s="1"/>
  <c r="AI110" i="1"/>
  <c r="E44" i="1" s="1"/>
  <c r="AV87" i="6"/>
  <c r="AV346" i="4"/>
  <c r="AI109" i="1"/>
  <c r="D44" i="1" s="1"/>
  <c r="AV88" i="6"/>
  <c r="AV17" i="6"/>
  <c r="AV345" i="4" s="1"/>
  <c r="AJ142" i="1"/>
  <c r="AJ160" i="1" s="1"/>
  <c r="AX36" i="3"/>
  <c r="AW112" i="3"/>
  <c r="AW46" i="3"/>
  <c r="AW45" i="3" s="1"/>
  <c r="AW38" i="3"/>
  <c r="AW37" i="3" s="1"/>
  <c r="AX44" i="3"/>
  <c r="AX110" i="3"/>
  <c r="AW30" i="3"/>
  <c r="AW29" i="3" s="1"/>
  <c r="AX28" i="3"/>
  <c r="AI141" i="1"/>
  <c r="AU86" i="6"/>
  <c r="AU16" i="6"/>
  <c r="AU332" i="4"/>
  <c r="AU339" i="4" s="1"/>
  <c r="AL212" i="4"/>
  <c r="AK60" i="6"/>
  <c r="AJ143" i="1"/>
  <c r="AJ162" i="1" s="1"/>
  <c r="AV351" i="4"/>
  <c r="AV89" i="6"/>
  <c r="AV167" i="4"/>
  <c r="AW290" i="4"/>
  <c r="AW31" i="5" s="1"/>
  <c r="AW282" i="4"/>
  <c r="AW281" i="4"/>
  <c r="AV59" i="7"/>
  <c r="AV48" i="7" s="1"/>
  <c r="AV41" i="7"/>
  <c r="AW25" i="3"/>
  <c r="AW109" i="4"/>
  <c r="AK30" i="4"/>
  <c r="AK31" i="4"/>
  <c r="AV152" i="4"/>
  <c r="AV74" i="6"/>
  <c r="AV61" i="3"/>
  <c r="AV62" i="3" s="1"/>
  <c r="AJ140" i="1"/>
  <c r="AA147" i="1"/>
  <c r="AM94" i="6"/>
  <c r="Z108" i="1"/>
  <c r="AM41" i="6"/>
  <c r="AW110" i="4"/>
  <c r="AM317" i="4"/>
  <c r="AE182" i="4"/>
  <c r="AE51" i="4" s="1"/>
  <c r="AE24" i="4"/>
  <c r="AE25" i="4" s="1"/>
  <c r="AV355" i="4"/>
  <c r="AJ144" i="1"/>
  <c r="AV76" i="6"/>
  <c r="AT18" i="6"/>
  <c r="AT344" i="4"/>
  <c r="AT348" i="4" s="1"/>
  <c r="AE93" i="4"/>
  <c r="CB8" i="6"/>
  <c r="CB9" i="6" s="1"/>
  <c r="CA7" i="6"/>
  <c r="AW56" i="3"/>
  <c r="AW20" i="3" s="1"/>
  <c r="AW39" i="7" s="1"/>
  <c r="AX8" i="5"/>
  <c r="AW7" i="5"/>
  <c r="AW12" i="5"/>
  <c r="AW13" i="4" s="1"/>
  <c r="AW16" i="5"/>
  <c r="AW55" i="5" s="1"/>
  <c r="AW15" i="5"/>
  <c r="AW8" i="9"/>
  <c r="BD9" i="8"/>
  <c r="BD7" i="8" s="1"/>
  <c r="AW13" i="5"/>
  <c r="AV238" i="4"/>
  <c r="AV213" i="4"/>
  <c r="AX7" i="3"/>
  <c r="AY8" i="3"/>
  <c r="AX9" i="4"/>
  <c r="AX108" i="4" s="1"/>
  <c r="AF20" i="4" l="1"/>
  <c r="AW15" i="4"/>
  <c r="AW208" i="4"/>
  <c r="AW115" i="4"/>
  <c r="CC8" i="6"/>
  <c r="CC9" i="6" s="1"/>
  <c r="CB7" i="6"/>
  <c r="AW55" i="6"/>
  <c r="AW44" i="6"/>
  <c r="AW80" i="6"/>
  <c r="AW327" i="4"/>
  <c r="AX23" i="5"/>
  <c r="AX299" i="4"/>
  <c r="AE357" i="4"/>
  <c r="AW223" i="4"/>
  <c r="AW225" i="4" s="1"/>
  <c r="AW63" i="4" s="1"/>
  <c r="AU18" i="6"/>
  <c r="AU344" i="4"/>
  <c r="AU348" i="4" s="1"/>
  <c r="AW312" i="4"/>
  <c r="AX82" i="4"/>
  <c r="AX172" i="4" s="1"/>
  <c r="AW150" i="4"/>
  <c r="AW151" i="4" s="1"/>
  <c r="AL215" i="4"/>
  <c r="AL209" i="4"/>
  <c r="AL219" i="4"/>
  <c r="AL25" i="9" s="1"/>
  <c r="AW49" i="3"/>
  <c r="AV352" i="4"/>
  <c r="AV29" i="4"/>
  <c r="AW29" i="5"/>
  <c r="AW12" i="3"/>
  <c r="AW41" i="3" s="1"/>
  <c r="AW18" i="3" s="1"/>
  <c r="AW27" i="5" s="1"/>
  <c r="AW6" i="9"/>
  <c r="AN314" i="4"/>
  <c r="AM70" i="4"/>
  <c r="AV168" i="4"/>
  <c r="AV169" i="4"/>
  <c r="AW111" i="3"/>
  <c r="AW115" i="3"/>
  <c r="AX9" i="5"/>
  <c r="AX7" i="9"/>
  <c r="AX14" i="5"/>
  <c r="BE8" i="8"/>
  <c r="AF88" i="4"/>
  <c r="AE61" i="6"/>
  <c r="AV86" i="3"/>
  <c r="AV87" i="3" s="1"/>
  <c r="AV91" i="3"/>
  <c r="AV92" i="3" s="1"/>
  <c r="AV96" i="3"/>
  <c r="AV97" i="3" s="1"/>
  <c r="AV101" i="3"/>
  <c r="AV102" i="3" s="1"/>
  <c r="AV81" i="3"/>
  <c r="AV82" i="3" s="1"/>
  <c r="AW14" i="4"/>
  <c r="AX298" i="4"/>
  <c r="AX166" i="4"/>
  <c r="AX80" i="4" s="1"/>
  <c r="AX102" i="4"/>
  <c r="AX107" i="4" s="1"/>
  <c r="AX103" i="4"/>
  <c r="AX104" i="4"/>
  <c r="AX105" i="4"/>
  <c r="AX106" i="4" s="1"/>
  <c r="AW12" i="4"/>
  <c r="AW347" i="4" s="1"/>
  <c r="AW56" i="7"/>
  <c r="AK33" i="4"/>
  <c r="AL28" i="4" s="1"/>
  <c r="AY9" i="3"/>
  <c r="AY8" i="4"/>
  <c r="C35" i="1"/>
  <c r="AW33" i="3"/>
  <c r="AW16" i="3" s="1"/>
  <c r="AW25" i="5" s="1"/>
  <c r="AX24" i="3"/>
  <c r="AX110" i="4" s="1"/>
  <c r="AX7" i="4"/>
  <c r="AX53" i="3"/>
  <c r="AX52" i="3" s="1"/>
  <c r="AX6" i="3"/>
  <c r="AJ109" i="1" l="1"/>
  <c r="D45" i="1" s="1"/>
  <c r="AW17" i="6"/>
  <c r="AW345" i="4" s="1"/>
  <c r="AK142" i="1"/>
  <c r="AK160" i="1" s="1"/>
  <c r="AW88" i="6"/>
  <c r="AX112" i="3"/>
  <c r="AY36" i="3"/>
  <c r="AY44" i="3"/>
  <c r="AY110" i="3"/>
  <c r="AX38" i="3"/>
  <c r="AX37" i="3" s="1"/>
  <c r="AX46" i="3"/>
  <c r="AX45" i="3" s="1"/>
  <c r="AX30" i="3"/>
  <c r="AX29" i="3" s="1"/>
  <c r="AY28" i="3"/>
  <c r="AY108" i="4"/>
  <c r="AY299" i="4"/>
  <c r="AY82" i="4"/>
  <c r="AY172" i="4" s="1"/>
  <c r="AF90" i="4"/>
  <c r="AL60" i="6"/>
  <c r="AM212" i="4"/>
  <c r="AZ8" i="3"/>
  <c r="AY7" i="3"/>
  <c r="AY9" i="4"/>
  <c r="AV170" i="4"/>
  <c r="AK144" i="1"/>
  <c r="AW76" i="6"/>
  <c r="AX25" i="3"/>
  <c r="CD8" i="6"/>
  <c r="CD9" i="6" s="1"/>
  <c r="CC7" i="6"/>
  <c r="AW167" i="4"/>
  <c r="AX290" i="4"/>
  <c r="AX31" i="5" s="1"/>
  <c r="AX281" i="4"/>
  <c r="AX282" i="4"/>
  <c r="AV105" i="3"/>
  <c r="AV106" i="3" s="1"/>
  <c r="AV17" i="3" s="1"/>
  <c r="AV26" i="5" s="1"/>
  <c r="AL31" i="4"/>
  <c r="AL30" i="4"/>
  <c r="AL33" i="4" s="1"/>
  <c r="AM28" i="4" s="1"/>
  <c r="AK140" i="1"/>
  <c r="AW74" i="6"/>
  <c r="AW61" i="3"/>
  <c r="AW62" i="3" s="1"/>
  <c r="AW152" i="4"/>
  <c r="AX7" i="5"/>
  <c r="AY8" i="5"/>
  <c r="AX15" i="5"/>
  <c r="AX13" i="5"/>
  <c r="AX16" i="5"/>
  <c r="AX55" i="5" s="1"/>
  <c r="AX8" i="9"/>
  <c r="BE9" i="8"/>
  <c r="BE7" i="8" s="1"/>
  <c r="AX12" i="5"/>
  <c r="AX13" i="4" s="1"/>
  <c r="AN316" i="4"/>
  <c r="AN33" i="5" s="1"/>
  <c r="AX109" i="4"/>
  <c r="AW38" i="7"/>
  <c r="AW19" i="3"/>
  <c r="AW28" i="5" s="1"/>
  <c r="AW285" i="4"/>
  <c r="AW203" i="4"/>
  <c r="AW355" i="4"/>
  <c r="AW32" i="5"/>
  <c r="AN94" i="6" l="1"/>
  <c r="AB147" i="1"/>
  <c r="AA108" i="1"/>
  <c r="AN41" i="6"/>
  <c r="AY9" i="5"/>
  <c r="BF8" i="8"/>
  <c r="AY7" i="9"/>
  <c r="AW81" i="3"/>
  <c r="AW82" i="3" s="1"/>
  <c r="AW96" i="3"/>
  <c r="AW97" i="3" s="1"/>
  <c r="AW86" i="3"/>
  <c r="AW87" i="3" s="1"/>
  <c r="AW101" i="3"/>
  <c r="AW102" i="3" s="1"/>
  <c r="AW91" i="3"/>
  <c r="AW92" i="3" s="1"/>
  <c r="AZ9" i="3"/>
  <c r="AZ8" i="4"/>
  <c r="AN317" i="4"/>
  <c r="AX29" i="5"/>
  <c r="AX12" i="3"/>
  <c r="AX41" i="3" s="1"/>
  <c r="AX18" i="3" s="1"/>
  <c r="AX27" i="5" s="1"/>
  <c r="AX6" i="9"/>
  <c r="AX32" i="5"/>
  <c r="AX150" i="4"/>
  <c r="AX151" i="4" s="1"/>
  <c r="AX56" i="3"/>
  <c r="AX20" i="3" s="1"/>
  <c r="AX39" i="7" s="1"/>
  <c r="AX115" i="3"/>
  <c r="AX111" i="3"/>
  <c r="AX223" i="4"/>
  <c r="AX225" i="4" s="1"/>
  <c r="AX63" i="4" s="1"/>
  <c r="AX312" i="4"/>
  <c r="AM209" i="4"/>
  <c r="AM215" i="4"/>
  <c r="AM219" i="4"/>
  <c r="AM25" i="9" s="1"/>
  <c r="AK146" i="1"/>
  <c r="AK161" i="1" s="1"/>
  <c r="AW20" i="6"/>
  <c r="AW346" i="4"/>
  <c r="AJ110" i="1"/>
  <c r="E45" i="1" s="1"/>
  <c r="AW87" i="6"/>
  <c r="AW59" i="7"/>
  <c r="AW48" i="7" s="1"/>
  <c r="AW41" i="7"/>
  <c r="AJ141" i="1"/>
  <c r="AV86" i="6"/>
  <c r="AV16" i="6"/>
  <c r="AV332" i="4"/>
  <c r="AV339" i="4" s="1"/>
  <c r="AX14" i="4"/>
  <c r="AX33" i="3"/>
  <c r="AX16" i="3" s="1"/>
  <c r="AX25" i="5" s="1"/>
  <c r="AX115" i="4"/>
  <c r="AX15" i="4"/>
  <c r="AX208" i="4"/>
  <c r="AY24" i="3"/>
  <c r="AY110" i="4" s="1"/>
  <c r="AY53" i="3"/>
  <c r="AY52" i="3" s="1"/>
  <c r="AY7" i="4"/>
  <c r="AY6" i="3"/>
  <c r="AW213" i="4"/>
  <c r="AW238" i="4"/>
  <c r="AK143" i="1"/>
  <c r="AK162" i="1" s="1"/>
  <c r="AW351" i="4"/>
  <c r="AW89" i="6"/>
  <c r="AW168" i="4"/>
  <c r="AW169" i="4" s="1"/>
  <c r="AX49" i="3"/>
  <c r="AY23" i="5"/>
  <c r="AX327" i="4"/>
  <c r="AX80" i="6"/>
  <c r="AX44" i="6"/>
  <c r="AX55" i="6"/>
  <c r="AX12" i="4"/>
  <c r="AX347" i="4" s="1"/>
  <c r="AX56" i="7"/>
  <c r="CD7" i="6"/>
  <c r="CE8" i="6"/>
  <c r="CE9" i="6" s="1"/>
  <c r="AY298" i="4"/>
  <c r="AY166" i="4"/>
  <c r="AY80" i="4" s="1"/>
  <c r="AY103" i="4"/>
  <c r="AY105" i="4"/>
  <c r="AY106" i="4"/>
  <c r="AY104" i="4"/>
  <c r="AY102" i="4"/>
  <c r="AY107" i="4" s="1"/>
  <c r="AF25" i="6"/>
  <c r="AF91" i="4"/>
  <c r="AF22" i="4"/>
  <c r="AW170" i="4" l="1"/>
  <c r="AL142" i="1"/>
  <c r="AL160" i="1" s="1"/>
  <c r="AX88" i="6"/>
  <c r="AX17" i="6"/>
  <c r="AX345" i="4" s="1"/>
  <c r="AK109" i="1"/>
  <c r="D46" i="1" s="1"/>
  <c r="CF8" i="6"/>
  <c r="CF9" i="6" s="1"/>
  <c r="CE7" i="6"/>
  <c r="AM60" i="6"/>
  <c r="AN212" i="4"/>
  <c r="AW105" i="3"/>
  <c r="AW106" i="3" s="1"/>
  <c r="AW17" i="3" s="1"/>
  <c r="AW26" i="5" s="1"/>
  <c r="AZ8" i="5"/>
  <c r="AY7" i="5"/>
  <c r="AY12" i="5"/>
  <c r="AY13" i="4" s="1"/>
  <c r="AY15" i="5"/>
  <c r="AY13" i="5"/>
  <c r="AY8" i="9"/>
  <c r="BF9" i="8"/>
  <c r="BF7" i="8" s="1"/>
  <c r="AY16" i="5"/>
  <c r="AY55" i="5" s="1"/>
  <c r="AM31" i="4"/>
  <c r="AM30" i="4"/>
  <c r="AM33" i="4" s="1"/>
  <c r="AN28" i="4" s="1"/>
  <c r="AX61" i="3"/>
  <c r="AX62" i="3" s="1"/>
  <c r="AX152" i="4"/>
  <c r="AL140" i="1"/>
  <c r="AX74" i="6"/>
  <c r="AX76" i="6"/>
  <c r="AL144" i="1"/>
  <c r="C36" i="1"/>
  <c r="AZ36" i="3"/>
  <c r="AZ44" i="3"/>
  <c r="AY46" i="3"/>
  <c r="AY45" i="3" s="1"/>
  <c r="AY49" i="3" s="1"/>
  <c r="AZ110" i="3"/>
  <c r="AY38" i="3"/>
  <c r="AY37" i="3" s="1"/>
  <c r="AY112" i="3"/>
  <c r="AZ28" i="3"/>
  <c r="AY30" i="3"/>
  <c r="AY29" i="3" s="1"/>
  <c r="AY25" i="3"/>
  <c r="AN70" i="4"/>
  <c r="AO314" i="4"/>
  <c r="AX38" i="7"/>
  <c r="AX203" i="4"/>
  <c r="AX285" i="4"/>
  <c r="AX19" i="3"/>
  <c r="AX28" i="5" s="1"/>
  <c r="AY281" i="4"/>
  <c r="AY282" i="4" s="1"/>
  <c r="AY290" i="4"/>
  <c r="AY31" i="5" s="1"/>
  <c r="AX167" i="4"/>
  <c r="AY14" i="4"/>
  <c r="AX20" i="6"/>
  <c r="AX87" i="6"/>
  <c r="AK110" i="1"/>
  <c r="E46" i="1" s="1"/>
  <c r="AL146" i="1"/>
  <c r="AL161" i="1" s="1"/>
  <c r="AX346" i="4"/>
  <c r="AW29" i="4"/>
  <c r="AW352" i="4"/>
  <c r="AY56" i="3"/>
  <c r="AY20" i="3" s="1"/>
  <c r="AY39" i="7" s="1"/>
  <c r="AY109" i="4"/>
  <c r="AZ82" i="4"/>
  <c r="AZ172" i="4" s="1"/>
  <c r="AZ299" i="4"/>
  <c r="AY14" i="5"/>
  <c r="AF23" i="4"/>
  <c r="AF92" i="4"/>
  <c r="AV344" i="4"/>
  <c r="AV348" i="4" s="1"/>
  <c r="AV18" i="6"/>
  <c r="AX355" i="4"/>
  <c r="AZ7" i="3"/>
  <c r="BA8" i="3"/>
  <c r="AZ9" i="4"/>
  <c r="AZ108" i="4" s="1"/>
  <c r="BA9" i="3" l="1"/>
  <c r="BA8" i="4"/>
  <c r="AZ24" i="3"/>
  <c r="AZ110" i="4" s="1"/>
  <c r="AZ53" i="3"/>
  <c r="AZ52" i="3" s="1"/>
  <c r="AZ7" i="4"/>
  <c r="AZ6" i="3"/>
  <c r="AX213" i="4"/>
  <c r="AX238" i="4"/>
  <c r="AX59" i="7"/>
  <c r="AX48" i="7" s="1"/>
  <c r="AX41" i="7"/>
  <c r="AY111" i="3"/>
  <c r="AY115" i="3"/>
  <c r="AX91" i="3"/>
  <c r="AX92" i="3" s="1"/>
  <c r="AX96" i="3"/>
  <c r="AX97" i="3" s="1"/>
  <c r="AX101" i="3"/>
  <c r="AX102" i="3" s="1"/>
  <c r="AX81" i="3"/>
  <c r="AX82" i="3" s="1"/>
  <c r="AX86" i="3"/>
  <c r="AX87" i="3" s="1"/>
  <c r="AY312" i="4"/>
  <c r="AY41" i="3"/>
  <c r="AY18" i="3" s="1"/>
  <c r="AY27" i="5" s="1"/>
  <c r="AY29" i="5"/>
  <c r="AY12" i="3"/>
  <c r="AY33" i="3" s="1"/>
  <c r="AY16" i="3" s="1"/>
  <c r="AY25" i="5" s="1"/>
  <c r="AY6" i="9"/>
  <c r="AF182" i="4"/>
  <c r="AF51" i="4" s="1"/>
  <c r="AF24" i="4"/>
  <c r="AY12" i="4"/>
  <c r="AY347" i="4" s="1"/>
  <c r="AY56" i="7"/>
  <c r="CG8" i="6"/>
  <c r="CG9" i="6" s="1"/>
  <c r="CF7" i="6"/>
  <c r="AZ9" i="5"/>
  <c r="AZ7" i="9"/>
  <c r="BG8" i="8"/>
  <c r="AZ14" i="5"/>
  <c r="AF93" i="4"/>
  <c r="AY167" i="4"/>
  <c r="AO317" i="4"/>
  <c r="AO316" i="4"/>
  <c r="AO33" i="5" s="1"/>
  <c r="AY285" i="4"/>
  <c r="AY203" i="4"/>
  <c r="AY38" i="7"/>
  <c r="AY19" i="3"/>
  <c r="AY28" i="5" s="1"/>
  <c r="AY44" i="6"/>
  <c r="AY327" i="4"/>
  <c r="AY80" i="6"/>
  <c r="AZ23" i="5"/>
  <c r="AW86" i="6"/>
  <c r="AK141" i="1"/>
  <c r="AW16" i="6"/>
  <c r="AW332" i="4"/>
  <c r="AW339" i="4" s="1"/>
  <c r="AY115" i="4"/>
  <c r="AY15" i="4"/>
  <c r="AY208" i="4"/>
  <c r="AX168" i="4"/>
  <c r="AX169" i="4" s="1"/>
  <c r="AY55" i="6"/>
  <c r="AN215" i="4"/>
  <c r="AN209" i="4"/>
  <c r="AN219" i="4"/>
  <c r="AN25" i="9" s="1"/>
  <c r="AZ166" i="4"/>
  <c r="AZ80" i="4" s="1"/>
  <c r="AZ102" i="4"/>
  <c r="AZ107" i="4" s="1"/>
  <c r="AZ103" i="4"/>
  <c r="AZ298" i="4"/>
  <c r="AZ104" i="4"/>
  <c r="AZ105" i="4"/>
  <c r="AZ106" i="4" s="1"/>
  <c r="AZ109" i="4"/>
  <c r="AY223" i="4"/>
  <c r="AY225" i="4" s="1"/>
  <c r="AY63" i="4" s="1"/>
  <c r="AL143" i="1"/>
  <c r="AL162" i="1" s="1"/>
  <c r="AX89" i="6"/>
  <c r="AX351" i="4"/>
  <c r="AY150" i="4"/>
  <c r="AY151" i="4" s="1"/>
  <c r="AZ25" i="3"/>
  <c r="AY152" i="4" l="1"/>
  <c r="AM140" i="1"/>
  <c r="AY74" i="6"/>
  <c r="AY61" i="3"/>
  <c r="AY62" i="3" s="1"/>
  <c r="AY32" i="5"/>
  <c r="AX170" i="4"/>
  <c r="AZ7" i="5"/>
  <c r="BA8" i="5"/>
  <c r="AZ16" i="5"/>
  <c r="AZ55" i="5" s="1"/>
  <c r="AZ12" i="5"/>
  <c r="AZ13" i="4" s="1"/>
  <c r="BG9" i="8"/>
  <c r="BG7" i="8" s="1"/>
  <c r="AZ13" i="5"/>
  <c r="AZ8" i="9"/>
  <c r="AZ15" i="5"/>
  <c r="AZ290" i="4"/>
  <c r="AZ31" i="5" s="1"/>
  <c r="AZ281" i="4"/>
  <c r="AZ282" i="4"/>
  <c r="AZ112" i="3"/>
  <c r="BA36" i="3"/>
  <c r="BA44" i="3"/>
  <c r="AZ38" i="3"/>
  <c r="AZ37" i="3" s="1"/>
  <c r="BA110" i="3"/>
  <c r="AZ46" i="3"/>
  <c r="AZ45" i="3" s="1"/>
  <c r="AZ49" i="3" s="1"/>
  <c r="AZ30" i="3"/>
  <c r="AZ29" i="3" s="1"/>
  <c r="BA28" i="3"/>
  <c r="AO94" i="6"/>
  <c r="AC147" i="1"/>
  <c r="AB108" i="1"/>
  <c r="AO41" i="6"/>
  <c r="AF357" i="4"/>
  <c r="AF25" i="4"/>
  <c r="AZ56" i="3"/>
  <c r="AZ20" i="3" s="1"/>
  <c r="AZ39" i="7" s="1"/>
  <c r="AY17" i="6"/>
  <c r="AY345" i="4" s="1"/>
  <c r="AM142" i="1"/>
  <c r="AM160" i="1" s="1"/>
  <c r="AY88" i="6"/>
  <c r="AL109" i="1"/>
  <c r="D47" i="1" s="1"/>
  <c r="AO212" i="4"/>
  <c r="AN60" i="6"/>
  <c r="AZ55" i="6"/>
  <c r="AZ223" i="4"/>
  <c r="AZ225" i="4" s="1"/>
  <c r="AZ63" i="4" s="1"/>
  <c r="AY213" i="4"/>
  <c r="AY238" i="4"/>
  <c r="AO205" i="4"/>
  <c r="AY355" i="4"/>
  <c r="AO70" i="4"/>
  <c r="AP314" i="4"/>
  <c r="AZ150" i="4"/>
  <c r="AZ151" i="4" s="1"/>
  <c r="AY168" i="4"/>
  <c r="AY169" i="4"/>
  <c r="BA299" i="4"/>
  <c r="BA82" i="4"/>
  <c r="BA172" i="4" s="1"/>
  <c r="AN31" i="4"/>
  <c r="AN30" i="4"/>
  <c r="AN33" i="4" s="1"/>
  <c r="AO28" i="4" s="1"/>
  <c r="AF61" i="6"/>
  <c r="AG88" i="4"/>
  <c r="AW18" i="6"/>
  <c r="AW344" i="4"/>
  <c r="AW348" i="4" s="1"/>
  <c r="BB8" i="3"/>
  <c r="BA7" i="3"/>
  <c r="BA9" i="4"/>
  <c r="BA108" i="4" s="1"/>
  <c r="AY351" i="4"/>
  <c r="AM143" i="1"/>
  <c r="AM162" i="1" s="1"/>
  <c r="AY89" i="6"/>
  <c r="AY59" i="7"/>
  <c r="AY48" i="7" s="1"/>
  <c r="AY41" i="7"/>
  <c r="CH8" i="6"/>
  <c r="CH9" i="6" s="1"/>
  <c r="CG7" i="6"/>
  <c r="AM144" i="1"/>
  <c r="AY76" i="6"/>
  <c r="AX105" i="3"/>
  <c r="AX106" i="3" s="1"/>
  <c r="AX17" i="3" s="1"/>
  <c r="AX26" i="5" s="1"/>
  <c r="AX29" i="4"/>
  <c r="AX352" i="4"/>
  <c r="AL141" i="1" l="1"/>
  <c r="AX86" i="6"/>
  <c r="AX16" i="6"/>
  <c r="AX332" i="4"/>
  <c r="AX339" i="4" s="1"/>
  <c r="AP317" i="4"/>
  <c r="AP316" i="4"/>
  <c r="AP33" i="5" s="1"/>
  <c r="AP41" i="6"/>
  <c r="BA9" i="5"/>
  <c r="BA7" i="9"/>
  <c r="BH8" i="8"/>
  <c r="C37" i="1"/>
  <c r="AZ29" i="5"/>
  <c r="AZ12" i="3"/>
  <c r="AZ33" i="3" s="1"/>
  <c r="AZ16" i="3" s="1"/>
  <c r="AZ25" i="5" s="1"/>
  <c r="AZ6" i="9"/>
  <c r="AY81" i="3"/>
  <c r="AY82" i="3" s="1"/>
  <c r="AY101" i="3"/>
  <c r="AY102" i="3" s="1"/>
  <c r="AY86" i="3"/>
  <c r="AY87" i="3" s="1"/>
  <c r="AY91" i="3"/>
  <c r="AY92" i="3" s="1"/>
  <c r="AY96" i="3"/>
  <c r="AY97" i="3" s="1"/>
  <c r="BB9" i="3"/>
  <c r="BB8" i="4"/>
  <c r="AZ208" i="4"/>
  <c r="AZ115" i="4"/>
  <c r="AZ15" i="4"/>
  <c r="AZ355" i="4"/>
  <c r="AZ115" i="3"/>
  <c r="AZ111" i="3"/>
  <c r="CI8" i="6"/>
  <c r="CI9" i="6" s="1"/>
  <c r="CH7" i="6"/>
  <c r="AG90" i="4"/>
  <c r="AY170" i="4"/>
  <c r="AO219" i="4"/>
  <c r="AO25" i="9" s="1"/>
  <c r="AO218" i="4"/>
  <c r="AO214" i="4"/>
  <c r="AP205" i="4"/>
  <c r="AG20" i="4"/>
  <c r="AZ12" i="4"/>
  <c r="AZ347" i="4" s="1"/>
  <c r="AZ56" i="7"/>
  <c r="BA166" i="4"/>
  <c r="BA80" i="4" s="1"/>
  <c r="BA298" i="4"/>
  <c r="BA102" i="4"/>
  <c r="BA107" i="4" s="1"/>
  <c r="BA103" i="4"/>
  <c r="BA105" i="4"/>
  <c r="BA106" i="4"/>
  <c r="BA104" i="4"/>
  <c r="BA23" i="5"/>
  <c r="AZ327" i="4"/>
  <c r="AZ44" i="6"/>
  <c r="AZ80" i="6"/>
  <c r="BA24" i="3"/>
  <c r="BA53" i="3"/>
  <c r="BA52" i="3" s="1"/>
  <c r="BA7" i="4"/>
  <c r="BA6" i="3"/>
  <c r="AY29" i="4"/>
  <c r="AY352" i="4"/>
  <c r="AZ203" i="4"/>
  <c r="AZ19" i="3"/>
  <c r="AZ28" i="5" s="1"/>
  <c r="AZ285" i="4"/>
  <c r="AZ38" i="7"/>
  <c r="AZ312" i="4"/>
  <c r="AZ14" i="4"/>
  <c r="AL110" i="1"/>
  <c r="E47" i="1" s="1"/>
  <c r="AY20" i="6"/>
  <c r="AY87" i="6"/>
  <c r="AM146" i="1"/>
  <c r="AM161" i="1" s="1"/>
  <c r="AY346" i="4"/>
  <c r="AZ61" i="3" l="1"/>
  <c r="AZ62" i="3" s="1"/>
  <c r="AZ152" i="4"/>
  <c r="AN140" i="1"/>
  <c r="AZ74" i="6"/>
  <c r="AZ32" i="5"/>
  <c r="BB7" i="3"/>
  <c r="BC8" i="3"/>
  <c r="BB9" i="4"/>
  <c r="AO183" i="4"/>
  <c r="AO50" i="4" s="1"/>
  <c r="AO32" i="4"/>
  <c r="BB8" i="5"/>
  <c r="BA7" i="5"/>
  <c r="BA12" i="5"/>
  <c r="BA13" i="5"/>
  <c r="BA8" i="9"/>
  <c r="BA16" i="5"/>
  <c r="BA55" i="5" s="1"/>
  <c r="BA15" i="5"/>
  <c r="BH9" i="8"/>
  <c r="BH7" i="8" s="1"/>
  <c r="BA110" i="4"/>
  <c r="BA109" i="4"/>
  <c r="BA25" i="3"/>
  <c r="AQ314" i="4"/>
  <c r="AP70" i="4"/>
  <c r="CJ8" i="6"/>
  <c r="CJ9" i="6" s="1"/>
  <c r="CI7" i="6"/>
  <c r="AZ76" i="6"/>
  <c r="AN144" i="1"/>
  <c r="AP218" i="4"/>
  <c r="AP214" i="4"/>
  <c r="AQ205" i="4"/>
  <c r="AZ167" i="4"/>
  <c r="AZ41" i="3"/>
  <c r="AZ18" i="3" s="1"/>
  <c r="AZ27" i="5" s="1"/>
  <c r="AX18" i="6"/>
  <c r="AX344" i="4"/>
  <c r="AX348" i="4" s="1"/>
  <c r="AZ213" i="4"/>
  <c r="AZ238" i="4"/>
  <c r="BA38" i="3"/>
  <c r="BA37" i="3" s="1"/>
  <c r="BB36" i="3"/>
  <c r="BB44" i="3"/>
  <c r="BA112" i="3"/>
  <c r="BA46" i="3"/>
  <c r="BA45" i="3" s="1"/>
  <c r="BA49" i="3" s="1"/>
  <c r="BB110" i="3"/>
  <c r="BB28" i="3"/>
  <c r="BA30" i="3"/>
  <c r="BA29" i="3" s="1"/>
  <c r="AY105" i="3"/>
  <c r="AY106" i="3" s="1"/>
  <c r="AY17" i="3" s="1"/>
  <c r="AY26" i="5" s="1"/>
  <c r="AO209" i="4"/>
  <c r="AZ89" i="6"/>
  <c r="AZ351" i="4"/>
  <c r="AN143" i="1"/>
  <c r="AN162" i="1" s="1"/>
  <c r="AZ59" i="7"/>
  <c r="AZ48" i="7" s="1"/>
  <c r="AZ41" i="7"/>
  <c r="AO215" i="4"/>
  <c r="AG91" i="4"/>
  <c r="AG23" i="4" s="1"/>
  <c r="AG25" i="6"/>
  <c r="AG22" i="4"/>
  <c r="BA290" i="4"/>
  <c r="BA31" i="5" s="1"/>
  <c r="BA281" i="4"/>
  <c r="BA282" i="4"/>
  <c r="BA56" i="3"/>
  <c r="BA20" i="3" s="1"/>
  <c r="BA39" i="7" s="1"/>
  <c r="BB82" i="4"/>
  <c r="BB172" i="4" s="1"/>
  <c r="BB299" i="4"/>
  <c r="BB108" i="4"/>
  <c r="BA14" i="5"/>
  <c r="AD147" i="1"/>
  <c r="AP94" i="6"/>
  <c r="AC108" i="1"/>
  <c r="BA115" i="3" l="1"/>
  <c r="BA111" i="3"/>
  <c r="AO30" i="4"/>
  <c r="AO33" i="4" s="1"/>
  <c r="AP28" i="4" s="1"/>
  <c r="AO31" i="4"/>
  <c r="AQ218" i="4"/>
  <c r="AQ214" i="4"/>
  <c r="AR205" i="4"/>
  <c r="BA15" i="4"/>
  <c r="BA115" i="4"/>
  <c r="BA208" i="4"/>
  <c r="AP212" i="4"/>
  <c r="AO60" i="6"/>
  <c r="AZ168" i="4"/>
  <c r="AZ169" i="4"/>
  <c r="AY86" i="6"/>
  <c r="AM141" i="1"/>
  <c r="AY332" i="4"/>
  <c r="AY339" i="4" s="1"/>
  <c r="AY16" i="6"/>
  <c r="AZ352" i="4"/>
  <c r="AZ29" i="4"/>
  <c r="AP32" i="4"/>
  <c r="AP183" i="4"/>
  <c r="AP50" i="4" s="1"/>
  <c r="BA44" i="6"/>
  <c r="BB23" i="5"/>
  <c r="BA327" i="4"/>
  <c r="BA80" i="6"/>
  <c r="BB166" i="4"/>
  <c r="BB80" i="4" s="1"/>
  <c r="BB298" i="4"/>
  <c r="BB105" i="4"/>
  <c r="BB106" i="4" s="1"/>
  <c r="BB104" i="4"/>
  <c r="BB102" i="4"/>
  <c r="BB107" i="4" s="1"/>
  <c r="BB103" i="4"/>
  <c r="CJ7" i="6"/>
  <c r="CK8" i="6"/>
  <c r="CK9" i="6" s="1"/>
  <c r="BC9" i="3"/>
  <c r="BC8" i="4"/>
  <c r="AQ316" i="4"/>
  <c r="AQ33" i="5" s="1"/>
  <c r="BA12" i="4"/>
  <c r="BA347" i="4" s="1"/>
  <c r="BA56" i="7"/>
  <c r="BB24" i="3"/>
  <c r="BB6" i="3"/>
  <c r="BB53" i="3"/>
  <c r="BB52" i="3" s="1"/>
  <c r="BB7" i="4"/>
  <c r="AN142" i="1"/>
  <c r="AN160" i="1" s="1"/>
  <c r="AZ17" i="6"/>
  <c r="AZ345" i="4" s="1"/>
  <c r="AZ88" i="6"/>
  <c r="AM109" i="1"/>
  <c r="D48" i="1" s="1"/>
  <c r="BA150" i="4"/>
  <c r="BA151" i="4" s="1"/>
  <c r="BB25" i="3"/>
  <c r="BA13" i="4"/>
  <c r="BA55" i="6"/>
  <c r="BA223" i="4"/>
  <c r="BA225" i="4" s="1"/>
  <c r="BA63" i="4" s="1"/>
  <c r="BB109" i="4"/>
  <c r="BA29" i="5"/>
  <c r="BA12" i="3"/>
  <c r="BA41" i="3" s="1"/>
  <c r="BA18" i="3" s="1"/>
  <c r="BA27" i="5" s="1"/>
  <c r="BA6" i="9"/>
  <c r="AZ346" i="4"/>
  <c r="AN146" i="1"/>
  <c r="AN161" i="1" s="1"/>
  <c r="AM110" i="1"/>
  <c r="E48" i="1" s="1"/>
  <c r="AZ87" i="6"/>
  <c r="AZ20" i="6"/>
  <c r="AZ96" i="3"/>
  <c r="AZ97" i="3" s="1"/>
  <c r="AZ91" i="3"/>
  <c r="AZ92" i="3" s="1"/>
  <c r="AZ81" i="3"/>
  <c r="AZ82" i="3" s="1"/>
  <c r="AZ86" i="3"/>
  <c r="AZ87" i="3" s="1"/>
  <c r="AZ101" i="3"/>
  <c r="AZ102" i="3" s="1"/>
  <c r="C38" i="1"/>
  <c r="BA203" i="4"/>
  <c r="BA285" i="4"/>
  <c r="BA19" i="3"/>
  <c r="BA28" i="5" s="1"/>
  <c r="BB110" i="4"/>
  <c r="BB9" i="5"/>
  <c r="BB14" i="5" s="1"/>
  <c r="BI8" i="8"/>
  <c r="BB7" i="9"/>
  <c r="AG92" i="4"/>
  <c r="BA17" i="6" l="1"/>
  <c r="BA345" i="4" s="1"/>
  <c r="AO142" i="1"/>
  <c r="AO160" i="1" s="1"/>
  <c r="BA88" i="6"/>
  <c r="AN109" i="1"/>
  <c r="D49" i="1" s="1"/>
  <c r="AO144" i="1"/>
  <c r="BA76" i="6"/>
  <c r="BB150" i="4"/>
  <c r="BB151" i="4" s="1"/>
  <c r="AQ317" i="4"/>
  <c r="AY18" i="6"/>
  <c r="AY344" i="4"/>
  <c r="AY348" i="4" s="1"/>
  <c r="AP215" i="4"/>
  <c r="AP209" i="4"/>
  <c r="AP219" i="4"/>
  <c r="AP25" i="9" s="1"/>
  <c r="BB282" i="4"/>
  <c r="BB281" i="4"/>
  <c r="BB290" i="4"/>
  <c r="BB31" i="5" s="1"/>
  <c r="BD8" i="3"/>
  <c r="BC7" i="3"/>
  <c r="BC9" i="4"/>
  <c r="BC299" i="4" s="1"/>
  <c r="BA312" i="4"/>
  <c r="BA14" i="4"/>
  <c r="AZ105" i="3"/>
  <c r="AZ106" i="3" s="1"/>
  <c r="AZ17" i="3" s="1"/>
  <c r="AZ26" i="5" s="1"/>
  <c r="BA355" i="4"/>
  <c r="BB56" i="3"/>
  <c r="BB20" i="3" s="1"/>
  <c r="BB39" i="7" s="1"/>
  <c r="AE147" i="1"/>
  <c r="AQ94" i="6"/>
  <c r="AD108" i="1"/>
  <c r="AQ41" i="6"/>
  <c r="BC110" i="3"/>
  <c r="BC36" i="3"/>
  <c r="BB112" i="3"/>
  <c r="BC44" i="3"/>
  <c r="BB46" i="3"/>
  <c r="BB45" i="3" s="1"/>
  <c r="BB49" i="3" s="1"/>
  <c r="BB38" i="3"/>
  <c r="BB37" i="3" s="1"/>
  <c r="BC28" i="3"/>
  <c r="BB30" i="3"/>
  <c r="BB29" i="3" s="1"/>
  <c r="BA33" i="3"/>
  <c r="BA16" i="3" s="1"/>
  <c r="BA25" i="5" s="1"/>
  <c r="AO143" i="1"/>
  <c r="AO162" i="1" s="1"/>
  <c r="BA351" i="4"/>
  <c r="BA89" i="6"/>
  <c r="CL8" i="6"/>
  <c r="CL9" i="6" s="1"/>
  <c r="CK7" i="6"/>
  <c r="BB7" i="5"/>
  <c r="BC8" i="5"/>
  <c r="BB15" i="5"/>
  <c r="BB12" i="5"/>
  <c r="BB13" i="4" s="1"/>
  <c r="BB8" i="9"/>
  <c r="BI9" i="8"/>
  <c r="BI7" i="8" s="1"/>
  <c r="BB13" i="5"/>
  <c r="BB16" i="5"/>
  <c r="BB55" i="5" s="1"/>
  <c r="AZ170" i="4"/>
  <c r="AR218" i="4"/>
  <c r="AR214" i="4"/>
  <c r="AS205" i="4"/>
  <c r="BA213" i="4"/>
  <c r="BA238" i="4"/>
  <c r="BB223" i="4"/>
  <c r="BB225" i="4" s="1"/>
  <c r="BB63" i="4" s="1"/>
  <c r="AG182" i="4"/>
  <c r="AG51" i="4" s="1"/>
  <c r="AG24" i="4"/>
  <c r="AG93" i="4"/>
  <c r="BA38" i="7"/>
  <c r="AQ183" i="4"/>
  <c r="AQ50" i="4" s="1"/>
  <c r="AQ32" i="4"/>
  <c r="BB312" i="4" l="1"/>
  <c r="CM8" i="6"/>
  <c r="CM9" i="6" s="1"/>
  <c r="CL7" i="6"/>
  <c r="C39" i="1"/>
  <c r="BA167" i="4"/>
  <c r="BB14" i="4"/>
  <c r="BA29" i="4"/>
  <c r="BA352" i="4"/>
  <c r="BB15" i="4"/>
  <c r="BB208" i="4"/>
  <c r="BB115" i="4"/>
  <c r="AS218" i="4"/>
  <c r="AS214" i="4"/>
  <c r="AT205" i="4"/>
  <c r="BC9" i="5"/>
  <c r="BJ8" i="8"/>
  <c r="BC7" i="9"/>
  <c r="BB285" i="4"/>
  <c r="BB203" i="4"/>
  <c r="BB19" i="3"/>
  <c r="BB28" i="5" s="1"/>
  <c r="AG357" i="4"/>
  <c r="AG25" i="4"/>
  <c r="AR183" i="4"/>
  <c r="AR50" i="4" s="1"/>
  <c r="AR32" i="4"/>
  <c r="BB29" i="5"/>
  <c r="BB12" i="3"/>
  <c r="BB41" i="3" s="1"/>
  <c r="BB18" i="3" s="1"/>
  <c r="BB27" i="5" s="1"/>
  <c r="BB6" i="9"/>
  <c r="BC298" i="4"/>
  <c r="BC104" i="4"/>
  <c r="BC102" i="4"/>
  <c r="BC107" i="4" s="1"/>
  <c r="BC103" i="4"/>
  <c r="BC166" i="4"/>
  <c r="BC80" i="4" s="1"/>
  <c r="BC105" i="4"/>
  <c r="BC106" i="4" s="1"/>
  <c r="BC82" i="4"/>
  <c r="BC172" i="4" s="1"/>
  <c r="BB327" i="4"/>
  <c r="BB80" i="6"/>
  <c r="BC23" i="5"/>
  <c r="BB44" i="6"/>
  <c r="BB115" i="3"/>
  <c r="BB111" i="3"/>
  <c r="BC24" i="3"/>
  <c r="BC6" i="3"/>
  <c r="BC53" i="3"/>
  <c r="BC52" i="3" s="1"/>
  <c r="BC7" i="4"/>
  <c r="BC108" i="4"/>
  <c r="BB55" i="6"/>
  <c r="BB12" i="4"/>
  <c r="BB347" i="4" s="1"/>
  <c r="BB56" i="7"/>
  <c r="BD9" i="3"/>
  <c r="BD8" i="4"/>
  <c r="AR314" i="4"/>
  <c r="AQ70" i="4"/>
  <c r="BB355" i="4"/>
  <c r="AO140" i="1"/>
  <c r="BA152" i="4"/>
  <c r="BA61" i="3"/>
  <c r="BA62" i="3" s="1"/>
  <c r="BA74" i="6"/>
  <c r="BA32" i="5"/>
  <c r="AP31" i="4"/>
  <c r="AP30" i="4"/>
  <c r="BA59" i="7"/>
  <c r="BA48" i="7" s="1"/>
  <c r="BA41" i="7"/>
  <c r="AH88" i="4"/>
  <c r="AG61" i="6"/>
  <c r="BB33" i="3"/>
  <c r="BB16" i="3" s="1"/>
  <c r="BB25" i="5" s="1"/>
  <c r="AN141" i="1"/>
  <c r="AZ86" i="6"/>
  <c r="AZ16" i="6"/>
  <c r="AZ332" i="4"/>
  <c r="AZ339" i="4" s="1"/>
  <c r="AP60" i="6"/>
  <c r="AQ212" i="4"/>
  <c r="AP142" i="1" l="1"/>
  <c r="AP160" i="1" s="1"/>
  <c r="BB17" i="6"/>
  <c r="BB345" i="4" s="1"/>
  <c r="AO109" i="1"/>
  <c r="D50" i="1" s="1"/>
  <c r="BB88" i="6"/>
  <c r="BB76" i="6"/>
  <c r="AP144" i="1"/>
  <c r="AQ209" i="4"/>
  <c r="AQ215" i="4"/>
  <c r="AQ219" i="4"/>
  <c r="AQ25" i="9" s="1"/>
  <c r="AP33" i="4"/>
  <c r="AQ28" i="4" s="1"/>
  <c r="BA96" i="3"/>
  <c r="BA97" i="3" s="1"/>
  <c r="BA91" i="3"/>
  <c r="BA92" i="3" s="1"/>
  <c r="BA101" i="3"/>
  <c r="BA102" i="3" s="1"/>
  <c r="BA81" i="3"/>
  <c r="BA82" i="3" s="1"/>
  <c r="BA86" i="3"/>
  <c r="BA87" i="3" s="1"/>
  <c r="AR317" i="4"/>
  <c r="AR316" i="4"/>
  <c r="AR33" i="5" s="1"/>
  <c r="BC282" i="4"/>
  <c r="BC290" i="4"/>
  <c r="BC31" i="5" s="1"/>
  <c r="BC281" i="4"/>
  <c r="BB213" i="4"/>
  <c r="BB238" i="4"/>
  <c r="AS32" i="4"/>
  <c r="AS183" i="4"/>
  <c r="AS50" i="4" s="1"/>
  <c r="BB152" i="4"/>
  <c r="BB74" i="6"/>
  <c r="AP140" i="1"/>
  <c r="BB61" i="3"/>
  <c r="BB62" i="3" s="1"/>
  <c r="BD108" i="4"/>
  <c r="AH20" i="4"/>
  <c r="AT218" i="4"/>
  <c r="AT214" i="4"/>
  <c r="AU205" i="4"/>
  <c r="BD7" i="3"/>
  <c r="BE8" i="3"/>
  <c r="BD9" i="4"/>
  <c r="BD110" i="3"/>
  <c r="BC112" i="3"/>
  <c r="BD36" i="3"/>
  <c r="BC38" i="3"/>
  <c r="BC37" i="3" s="1"/>
  <c r="BD44" i="3"/>
  <c r="BC46" i="3"/>
  <c r="BC45" i="3" s="1"/>
  <c r="BC30" i="3"/>
  <c r="BC29" i="3" s="1"/>
  <c r="BD28" i="3"/>
  <c r="BB38" i="7"/>
  <c r="CN8" i="6"/>
  <c r="CN9" i="6" s="1"/>
  <c r="CM7" i="6"/>
  <c r="BD8" i="5"/>
  <c r="BC7" i="5"/>
  <c r="BC16" i="5"/>
  <c r="BC55" i="5" s="1"/>
  <c r="BC12" i="5"/>
  <c r="BC13" i="4" s="1"/>
  <c r="BC8" i="9"/>
  <c r="BC15" i="5"/>
  <c r="BC13" i="5"/>
  <c r="BJ9" i="8"/>
  <c r="BJ7" i="8" s="1"/>
  <c r="AH90" i="4"/>
  <c r="BA20" i="6"/>
  <c r="AN110" i="1"/>
  <c r="E49" i="1" s="1"/>
  <c r="BA346" i="4"/>
  <c r="AO146" i="1"/>
  <c r="AO161" i="1" s="1"/>
  <c r="BA87" i="6"/>
  <c r="BC25" i="3"/>
  <c r="BC109" i="4"/>
  <c r="BC110" i="4"/>
  <c r="BB32" i="5"/>
  <c r="BB89" i="6"/>
  <c r="BB351" i="4"/>
  <c r="AP143" i="1"/>
  <c r="AP162" i="1" s="1"/>
  <c r="BA168" i="4"/>
  <c r="BA169" i="4"/>
  <c r="AZ344" i="4"/>
  <c r="AZ348" i="4" s="1"/>
  <c r="AZ18" i="6"/>
  <c r="BC14" i="5"/>
  <c r="BB167" i="4"/>
  <c r="BB91" i="3" l="1"/>
  <c r="BB92" i="3" s="1"/>
  <c r="BB81" i="3"/>
  <c r="BB82" i="3" s="1"/>
  <c r="BB86" i="3"/>
  <c r="BB87" i="3" s="1"/>
  <c r="BB101" i="3"/>
  <c r="BB102" i="3" s="1"/>
  <c r="BB96" i="3"/>
  <c r="BB97" i="3" s="1"/>
  <c r="BC312" i="4"/>
  <c r="BD105" i="4"/>
  <c r="BD106" i="4" s="1"/>
  <c r="BD298" i="4"/>
  <c r="BD102" i="4"/>
  <c r="BD107" i="4" s="1"/>
  <c r="BD166" i="4"/>
  <c r="BD80" i="4" s="1"/>
  <c r="BD103" i="4"/>
  <c r="BD104" i="4"/>
  <c r="AQ31" i="4"/>
  <c r="AQ30" i="4"/>
  <c r="BC14" i="4"/>
  <c r="BD23" i="5"/>
  <c r="BC327" i="4"/>
  <c r="BC44" i="6"/>
  <c r="BC80" i="6"/>
  <c r="BB168" i="4"/>
  <c r="BB169" i="4"/>
  <c r="AH91" i="4"/>
  <c r="AH25" i="6"/>
  <c r="AH22" i="4"/>
  <c r="BC29" i="5"/>
  <c r="BC12" i="3"/>
  <c r="BC33" i="3" s="1"/>
  <c r="BC16" i="3" s="1"/>
  <c r="BC25" i="5" s="1"/>
  <c r="BC6" i="9"/>
  <c r="BE9" i="3"/>
  <c r="BE8" i="4"/>
  <c r="BD9" i="5"/>
  <c r="BD14" i="5"/>
  <c r="BD7" i="9"/>
  <c r="BK8" i="8"/>
  <c r="BC49" i="3"/>
  <c r="BD24" i="3"/>
  <c r="BD25" i="3" s="1"/>
  <c r="BD53" i="3"/>
  <c r="BD52" i="3" s="1"/>
  <c r="BD7" i="4"/>
  <c r="BD6" i="3"/>
  <c r="BA105" i="3"/>
  <c r="BA106" i="3" s="1"/>
  <c r="BA17" i="3" s="1"/>
  <c r="BA26" i="5" s="1"/>
  <c r="BA170" i="4"/>
  <c r="BC150" i="4"/>
  <c r="BC151" i="4" s="1"/>
  <c r="AU218" i="4"/>
  <c r="AU214" i="4"/>
  <c r="AV205" i="4"/>
  <c r="BC56" i="3"/>
  <c r="BC20" i="3" s="1"/>
  <c r="BC39" i="7" s="1"/>
  <c r="BC55" i="6"/>
  <c r="CN7" i="6"/>
  <c r="CO8" i="6"/>
  <c r="CO9" i="6" s="1"/>
  <c r="BD110" i="4"/>
  <c r="BC15" i="4"/>
  <c r="BC115" i="4"/>
  <c r="BC208" i="4"/>
  <c r="AT183" i="4"/>
  <c r="AT50" i="4" s="1"/>
  <c r="AT32" i="4"/>
  <c r="BD299" i="4"/>
  <c r="BB29" i="4"/>
  <c r="BB352" i="4"/>
  <c r="AR94" i="6"/>
  <c r="AF147" i="1"/>
  <c r="AE108" i="1"/>
  <c r="AR41" i="6"/>
  <c r="AQ33" i="4"/>
  <c r="AR28" i="4" s="1"/>
  <c r="AQ60" i="6"/>
  <c r="AR212" i="4"/>
  <c r="AO110" i="1"/>
  <c r="E50" i="1" s="1"/>
  <c r="AP146" i="1"/>
  <c r="AP161" i="1" s="1"/>
  <c r="BB346" i="4"/>
  <c r="BB87" i="6"/>
  <c r="BB20" i="6"/>
  <c r="BC12" i="4"/>
  <c r="BC347" i="4" s="1"/>
  <c r="BC56" i="7"/>
  <c r="BD109" i="4"/>
  <c r="BC223" i="4"/>
  <c r="BC225" i="4" s="1"/>
  <c r="BC63" i="4" s="1"/>
  <c r="BB59" i="7"/>
  <c r="BB48" i="7" s="1"/>
  <c r="BB41" i="7"/>
  <c r="BC115" i="3"/>
  <c r="BC111" i="3"/>
  <c r="BD82" i="4"/>
  <c r="BD172" i="4" s="1"/>
  <c r="AS314" i="4"/>
  <c r="AR70" i="4"/>
  <c r="BD150" i="4" l="1"/>
  <c r="BD151" i="4" s="1"/>
  <c r="BC61" i="3"/>
  <c r="BC62" i="3" s="1"/>
  <c r="BC152" i="4"/>
  <c r="AQ140" i="1"/>
  <c r="BC74" i="6"/>
  <c r="BC32" i="5"/>
  <c r="CO7" i="6"/>
  <c r="CP8" i="6"/>
  <c r="CP9" i="6" s="1"/>
  <c r="BD282" i="4"/>
  <c r="BD281" i="4"/>
  <c r="BD290" i="4"/>
  <c r="BD31" i="5" s="1"/>
  <c r="AS41" i="6"/>
  <c r="BC41" i="3"/>
  <c r="BC18" i="3" s="1"/>
  <c r="BC27" i="5" s="1"/>
  <c r="BD56" i="3"/>
  <c r="BD20" i="3" s="1"/>
  <c r="BD39" i="7" s="1"/>
  <c r="BD14" i="4"/>
  <c r="BC167" i="4"/>
  <c r="BD7" i="5"/>
  <c r="BE8" i="5"/>
  <c r="BK9" i="8"/>
  <c r="BK7" i="8" s="1"/>
  <c r="BD8" i="9"/>
  <c r="BD13" i="5"/>
  <c r="BD16" i="5"/>
  <c r="BD55" i="5" s="1"/>
  <c r="BD15" i="5"/>
  <c r="BD12" i="5"/>
  <c r="BD13" i="4" s="1"/>
  <c r="BF8" i="3"/>
  <c r="BE7" i="3"/>
  <c r="BE9" i="4"/>
  <c r="BE299" i="4" s="1"/>
  <c r="AH23" i="4"/>
  <c r="AH93" i="4"/>
  <c r="AH92" i="4"/>
  <c r="BB105" i="3"/>
  <c r="BB106" i="3" s="1"/>
  <c r="BB17" i="3" s="1"/>
  <c r="BB26" i="5" s="1"/>
  <c r="AR209" i="4"/>
  <c r="AR215" i="4"/>
  <c r="AR219" i="4"/>
  <c r="AR25" i="9" s="1"/>
  <c r="BE44" i="3"/>
  <c r="BE110" i="3"/>
  <c r="BD112" i="3"/>
  <c r="BE36" i="3"/>
  <c r="BD38" i="3"/>
  <c r="BD37" i="3" s="1"/>
  <c r="BD46" i="3"/>
  <c r="BD45" i="3" s="1"/>
  <c r="BD49" i="3" s="1"/>
  <c r="BE28" i="3"/>
  <c r="BD30" i="3"/>
  <c r="BD29" i="3" s="1"/>
  <c r="BC19" i="3"/>
  <c r="BC28" i="5" s="1"/>
  <c r="BC285" i="4"/>
  <c r="BC38" i="7"/>
  <c r="BC203" i="4"/>
  <c r="BB170" i="4"/>
  <c r="BD223" i="4"/>
  <c r="BD225" i="4" s="1"/>
  <c r="BD63" i="4" s="1"/>
  <c r="AU32" i="4"/>
  <c r="AU183" i="4"/>
  <c r="AU50" i="4" s="1"/>
  <c r="AQ144" i="1"/>
  <c r="BC76" i="6"/>
  <c r="C40" i="1"/>
  <c r="AO141" i="1"/>
  <c r="BA86" i="6"/>
  <c r="BA16" i="6"/>
  <c r="BA332" i="4"/>
  <c r="BA339" i="4" s="1"/>
  <c r="AS316" i="4"/>
  <c r="AS33" i="5" s="1"/>
  <c r="BC355" i="4"/>
  <c r="AV218" i="4"/>
  <c r="AV214" i="4"/>
  <c r="AW205" i="4"/>
  <c r="BC59" i="7" l="1"/>
  <c r="BC48" i="7" s="1"/>
  <c r="BC41" i="7"/>
  <c r="BD285" i="4"/>
  <c r="BD203" i="4"/>
  <c r="BD19" i="3"/>
  <c r="BD28" i="5" s="1"/>
  <c r="AR30" i="4"/>
  <c r="AR31" i="4"/>
  <c r="AP141" i="1"/>
  <c r="BB86" i="6"/>
  <c r="BB16" i="6"/>
  <c r="BB332" i="4"/>
  <c r="BB339" i="4" s="1"/>
  <c r="BD55" i="6"/>
  <c r="BE9" i="5"/>
  <c r="BE14" i="5" s="1"/>
  <c r="BL8" i="8"/>
  <c r="BE7" i="9"/>
  <c r="BE82" i="4"/>
  <c r="BE172" i="4" s="1"/>
  <c r="CP7" i="6"/>
  <c r="CQ8" i="6"/>
  <c r="CQ9" i="6" s="1"/>
  <c r="BC89" i="6"/>
  <c r="AQ143" i="1"/>
  <c r="AQ162" i="1" s="1"/>
  <c r="BC351" i="4"/>
  <c r="AH24" i="4"/>
  <c r="AH182" i="4"/>
  <c r="AH51" i="4" s="1"/>
  <c r="BD29" i="5"/>
  <c r="BD38" i="7" s="1"/>
  <c r="BD12" i="3"/>
  <c r="BD41" i="3" s="1"/>
  <c r="BD18" i="3" s="1"/>
  <c r="BD27" i="5" s="1"/>
  <c r="BD6" i="9"/>
  <c r="BE108" i="4"/>
  <c r="BC81" i="3"/>
  <c r="BC82" i="3" s="1"/>
  <c r="BC101" i="3"/>
  <c r="BC102" i="3" s="1"/>
  <c r="BC91" i="3"/>
  <c r="BC92" i="3" s="1"/>
  <c r="BC96" i="3"/>
  <c r="BC97" i="3" s="1"/>
  <c r="BC86" i="3"/>
  <c r="BC87" i="3" s="1"/>
  <c r="BC213" i="4"/>
  <c r="BC238" i="4"/>
  <c r="BD167" i="4"/>
  <c r="BD115" i="3"/>
  <c r="BD111" i="3"/>
  <c r="AI88" i="4"/>
  <c r="AH61" i="6"/>
  <c r="BD312" i="4"/>
  <c r="BA18" i="6"/>
  <c r="BA344" i="4"/>
  <c r="BA348" i="4" s="1"/>
  <c r="BF9" i="3"/>
  <c r="BF8" i="4"/>
  <c r="AG147" i="1"/>
  <c r="AS94" i="6"/>
  <c r="AF108" i="1"/>
  <c r="AS317" i="4"/>
  <c r="AH25" i="4"/>
  <c r="BD15" i="4"/>
  <c r="BD208" i="4"/>
  <c r="BD115" i="4"/>
  <c r="BC346" i="4"/>
  <c r="BC20" i="6"/>
  <c r="AP110" i="1"/>
  <c r="E51" i="1" s="1"/>
  <c r="AQ146" i="1"/>
  <c r="AQ161" i="1" s="1"/>
  <c r="BC87" i="6"/>
  <c r="BE103" i="4"/>
  <c r="BE298" i="4"/>
  <c r="BE105" i="4"/>
  <c r="BE106" i="4" s="1"/>
  <c r="BE104" i="4"/>
  <c r="BE166" i="4"/>
  <c r="BE80" i="4" s="1"/>
  <c r="BE102" i="4"/>
  <c r="BE107" i="4" s="1"/>
  <c r="BD44" i="6"/>
  <c r="BE23" i="5"/>
  <c r="BD327" i="4"/>
  <c r="BD80" i="6"/>
  <c r="AQ142" i="1"/>
  <c r="AQ160" i="1" s="1"/>
  <c r="AP109" i="1"/>
  <c r="D51" i="1" s="1"/>
  <c r="BC88" i="6"/>
  <c r="BC17" i="6"/>
  <c r="BC345" i="4" s="1"/>
  <c r="AS212" i="4"/>
  <c r="AR60" i="6"/>
  <c r="AW218" i="4"/>
  <c r="AW214" i="4"/>
  <c r="AX205" i="4"/>
  <c r="AV32" i="4"/>
  <c r="AV183" i="4"/>
  <c r="AV50" i="4" s="1"/>
  <c r="BD33" i="3"/>
  <c r="BD16" i="3" s="1"/>
  <c r="BD25" i="5" s="1"/>
  <c r="BE24" i="3"/>
  <c r="BE53" i="3"/>
  <c r="BE52" i="3" s="1"/>
  <c r="BE7" i="4"/>
  <c r="BE6" i="3"/>
  <c r="BD12" i="4"/>
  <c r="BD347" i="4" s="1"/>
  <c r="BD56" i="7"/>
  <c r="BC168" i="4"/>
  <c r="BC169" i="4" s="1"/>
  <c r="BD59" i="7" l="1"/>
  <c r="BD48" i="7" s="1"/>
  <c r="BD41" i="7"/>
  <c r="BC170" i="4"/>
  <c r="BD17" i="6"/>
  <c r="BD345" i="4" s="1"/>
  <c r="AR142" i="1"/>
  <c r="AR160" i="1" s="1"/>
  <c r="AQ109" i="1"/>
  <c r="D52" i="1" s="1"/>
  <c r="BD88" i="6"/>
  <c r="CQ7" i="6"/>
  <c r="CR8" i="6"/>
  <c r="CR9" i="6" s="1"/>
  <c r="BD74" i="6"/>
  <c r="BD61" i="3"/>
  <c r="BD62" i="3" s="1"/>
  <c r="BD152" i="4"/>
  <c r="AR140" i="1"/>
  <c r="AS209" i="4"/>
  <c r="AS215" i="4"/>
  <c r="AS219" i="4"/>
  <c r="AS25" i="9" s="1"/>
  <c r="BD355" i="4"/>
  <c r="BD168" i="4"/>
  <c r="BD169" i="4"/>
  <c r="BC105" i="3"/>
  <c r="BC106" i="3" s="1"/>
  <c r="BC17" i="3" s="1"/>
  <c r="BC26" i="5" s="1"/>
  <c r="AH357" i="4"/>
  <c r="BE25" i="3"/>
  <c r="BE109" i="4"/>
  <c r="BE110" i="4"/>
  <c r="AS70" i="4"/>
  <c r="AT314" i="4"/>
  <c r="BB344" i="4"/>
  <c r="BB348" i="4" s="1"/>
  <c r="BB18" i="6"/>
  <c r="C41" i="1"/>
  <c r="AX218" i="4"/>
  <c r="AX214" i="4"/>
  <c r="AY205" i="4"/>
  <c r="AI20" i="4"/>
  <c r="BC29" i="4"/>
  <c r="BC352" i="4"/>
  <c r="BD32" i="5"/>
  <c r="BE38" i="3"/>
  <c r="BE37" i="3" s="1"/>
  <c r="BF44" i="3"/>
  <c r="BE46" i="3"/>
  <c r="BE45" i="3" s="1"/>
  <c r="BE49" i="3" s="1"/>
  <c r="BF36" i="3"/>
  <c r="BE112" i="3"/>
  <c r="BF110" i="3"/>
  <c r="BE30" i="3"/>
  <c r="BE29" i="3" s="1"/>
  <c r="BF28" i="3"/>
  <c r="AW183" i="4"/>
  <c r="AW50" i="4" s="1"/>
  <c r="AW32" i="4"/>
  <c r="AI90" i="4"/>
  <c r="AR33" i="4"/>
  <c r="AS28" i="4" s="1"/>
  <c r="BF82" i="4"/>
  <c r="BF172" i="4" s="1"/>
  <c r="BF8" i="5"/>
  <c r="BE7" i="5"/>
  <c r="BE8" i="9"/>
  <c r="BE13" i="5"/>
  <c r="BE15" i="5"/>
  <c r="BE16" i="5"/>
  <c r="BE55" i="5" s="1"/>
  <c r="BL9" i="8"/>
  <c r="BL7" i="8" s="1"/>
  <c r="BE12" i="5"/>
  <c r="BE13" i="4" s="1"/>
  <c r="BD89" i="6"/>
  <c r="BD351" i="4"/>
  <c r="AR143" i="1"/>
  <c r="AR162" i="1" s="1"/>
  <c r="BE290" i="4"/>
  <c r="BE31" i="5" s="1"/>
  <c r="BE281" i="4"/>
  <c r="BE56" i="3"/>
  <c r="BE20" i="3" s="1"/>
  <c r="BE39" i="7" s="1"/>
  <c r="BF7" i="3"/>
  <c r="BG8" i="3"/>
  <c r="BF9" i="4"/>
  <c r="BF299" i="4" s="1"/>
  <c r="BD76" i="6"/>
  <c r="AR144" i="1"/>
  <c r="BD213" i="4"/>
  <c r="BD238" i="4"/>
  <c r="AT316" i="4" l="1"/>
  <c r="AT33" i="5" s="1"/>
  <c r="BD170" i="4"/>
  <c r="BG9" i="3"/>
  <c r="BG8" i="4"/>
  <c r="BF23" i="5"/>
  <c r="BE327" i="4"/>
  <c r="BE44" i="6"/>
  <c r="BE80" i="6"/>
  <c r="BE312" i="4"/>
  <c r="BE14" i="4"/>
  <c r="AS30" i="4"/>
  <c r="AS33" i="4" s="1"/>
  <c r="AT28" i="4" s="1"/>
  <c r="AS31" i="4"/>
  <c r="BF103" i="4"/>
  <c r="BF105" i="4"/>
  <c r="BF106" i="4" s="1"/>
  <c r="BF104" i="4"/>
  <c r="BF166" i="4"/>
  <c r="BF80" i="4" s="1"/>
  <c r="BF298" i="4"/>
  <c r="BF102" i="4"/>
  <c r="BF107" i="4" s="1"/>
  <c r="BF108" i="4"/>
  <c r="BE115" i="4"/>
  <c r="BE208" i="4"/>
  <c r="BE15" i="4"/>
  <c r="AY218" i="4"/>
  <c r="AY219" i="4"/>
  <c r="AY25" i="9" s="1"/>
  <c r="AZ205" i="4"/>
  <c r="CS8" i="6"/>
  <c r="CS9" i="6" s="1"/>
  <c r="CR7" i="6"/>
  <c r="BE285" i="4"/>
  <c r="BE19" i="3"/>
  <c r="BE28" i="5" s="1"/>
  <c r="BE38" i="7"/>
  <c r="BE203" i="4"/>
  <c r="AX32" i="4"/>
  <c r="AX183" i="4"/>
  <c r="AX50" i="4" s="1"/>
  <c r="BE223" i="4"/>
  <c r="BE225" i="4" s="1"/>
  <c r="BE63" i="4" s="1"/>
  <c r="BD29" i="4"/>
  <c r="BD352" i="4"/>
  <c r="BE150" i="4"/>
  <c r="BE151" i="4" s="1"/>
  <c r="BD81" i="3"/>
  <c r="BD82" i="3" s="1"/>
  <c r="BD101" i="3"/>
  <c r="BD102" i="3" s="1"/>
  <c r="BD96" i="3"/>
  <c r="BD97" i="3" s="1"/>
  <c r="BD91" i="3"/>
  <c r="BD92" i="3" s="1"/>
  <c r="BD86" i="3"/>
  <c r="BD87" i="3" s="1"/>
  <c r="AQ141" i="1"/>
  <c r="BC86" i="6"/>
  <c r="BC16" i="6"/>
  <c r="BC332" i="4"/>
  <c r="BC339" i="4" s="1"/>
  <c r="BF24" i="3"/>
  <c r="BF110" i="4" s="1"/>
  <c r="BF53" i="3"/>
  <c r="BF52" i="3" s="1"/>
  <c r="BF7" i="4"/>
  <c r="BF6" i="3"/>
  <c r="BE12" i="4"/>
  <c r="BE347" i="4" s="1"/>
  <c r="BE56" i="7"/>
  <c r="BD346" i="4"/>
  <c r="BD87" i="6"/>
  <c r="AR146" i="1"/>
  <c r="AR161" i="1" s="1"/>
  <c r="BD20" i="6"/>
  <c r="AQ110" i="1"/>
  <c r="E52" i="1" s="1"/>
  <c r="BE55" i="6"/>
  <c r="BE29" i="5"/>
  <c r="BE12" i="3"/>
  <c r="BE41" i="3" s="1"/>
  <c r="BE18" i="3" s="1"/>
  <c r="BE27" i="5" s="1"/>
  <c r="BE6" i="9"/>
  <c r="AI25" i="6"/>
  <c r="AI91" i="4"/>
  <c r="AI22" i="4"/>
  <c r="BE115" i="3"/>
  <c r="BE111" i="3"/>
  <c r="BE282" i="4"/>
  <c r="BF9" i="5"/>
  <c r="BF14" i="5"/>
  <c r="BF7" i="9"/>
  <c r="BM8" i="8"/>
  <c r="AT212" i="4"/>
  <c r="AS60" i="6"/>
  <c r="BE17" i="6" l="1"/>
  <c r="BE345" i="4" s="1"/>
  <c r="AR109" i="1"/>
  <c r="D53" i="1" s="1"/>
  <c r="BE88" i="6"/>
  <c r="AS142" i="1"/>
  <c r="AS160" i="1" s="1"/>
  <c r="BF112" i="3"/>
  <c r="BG44" i="3"/>
  <c r="BG36" i="3"/>
  <c r="BG110" i="3"/>
  <c r="BF46" i="3"/>
  <c r="BF45" i="3" s="1"/>
  <c r="BF38" i="3"/>
  <c r="BF37" i="3" s="1"/>
  <c r="BF30" i="3"/>
  <c r="BF29" i="3" s="1"/>
  <c r="BG28" i="3"/>
  <c r="BE355" i="4"/>
  <c r="BE167" i="4"/>
  <c r="BF14" i="4"/>
  <c r="BF109" i="4"/>
  <c r="BH8" i="3"/>
  <c r="BG7" i="3"/>
  <c r="BG9" i="4"/>
  <c r="BC344" i="4"/>
  <c r="BC348" i="4" s="1"/>
  <c r="BC18" i="6"/>
  <c r="BF281" i="4"/>
  <c r="BF282" i="4"/>
  <c r="BF290" i="4"/>
  <c r="BF31" i="5" s="1"/>
  <c r="AI23" i="4"/>
  <c r="AI92" i="4"/>
  <c r="BF56" i="3"/>
  <c r="BF20" i="3" s="1"/>
  <c r="BF39" i="7" s="1"/>
  <c r="BF25" i="3"/>
  <c r="CT8" i="6"/>
  <c r="CT9" i="6" s="1"/>
  <c r="CS7" i="6"/>
  <c r="AT94" i="6"/>
  <c r="AH147" i="1"/>
  <c r="AG108" i="1"/>
  <c r="AT41" i="6"/>
  <c r="AT209" i="4"/>
  <c r="AT215" i="4"/>
  <c r="AT219" i="4"/>
  <c r="AT25" i="9" s="1"/>
  <c r="BE33" i="3"/>
  <c r="BE16" i="3" s="1"/>
  <c r="BE25" i="5" s="1"/>
  <c r="AT317" i="4"/>
  <c r="BE59" i="7"/>
  <c r="BE48" i="7" s="1"/>
  <c r="BE41" i="7"/>
  <c r="AS144" i="1"/>
  <c r="BE76" i="6"/>
  <c r="AS143" i="1"/>
  <c r="AS162" i="1" s="1"/>
  <c r="BE89" i="6"/>
  <c r="BE351" i="4"/>
  <c r="AZ218" i="4"/>
  <c r="AZ214" i="4"/>
  <c r="BA205" i="4"/>
  <c r="BD105" i="3"/>
  <c r="BD106" i="3" s="1"/>
  <c r="BD17" i="3" s="1"/>
  <c r="BD26" i="5" s="1"/>
  <c r="BF7" i="5"/>
  <c r="BG8" i="5"/>
  <c r="BF8" i="9"/>
  <c r="BF13" i="5"/>
  <c r="BF15" i="5"/>
  <c r="BF12" i="5"/>
  <c r="BF13" i="4" s="1"/>
  <c r="BF16" i="5"/>
  <c r="BF55" i="5" s="1"/>
  <c r="BM9" i="8"/>
  <c r="BM7" i="8" s="1"/>
  <c r="BE213" i="4"/>
  <c r="BE238" i="4"/>
  <c r="BG299" i="4"/>
  <c r="BG82" i="4"/>
  <c r="BG172" i="4" s="1"/>
  <c r="BG108" i="4"/>
  <c r="BF29" i="5" l="1"/>
  <c r="BF12" i="3"/>
  <c r="BF6" i="9"/>
  <c r="BE168" i="4"/>
  <c r="BE169" i="4"/>
  <c r="BE170" i="4" s="1"/>
  <c r="BF115" i="3"/>
  <c r="BF111" i="3"/>
  <c r="BF44" i="6"/>
  <c r="BF327" i="4"/>
  <c r="BF80" i="6"/>
  <c r="BG23" i="5"/>
  <c r="BF55" i="6"/>
  <c r="C42" i="1"/>
  <c r="BF150" i="4"/>
  <c r="BF151" i="4" s="1"/>
  <c r="BG298" i="4"/>
  <c r="BG104" i="4"/>
  <c r="BG102" i="4"/>
  <c r="BG107" i="4" s="1"/>
  <c r="BG166" i="4"/>
  <c r="BG80" i="4" s="1"/>
  <c r="BG103" i="4"/>
  <c r="BG105" i="4"/>
  <c r="BG106" i="4" s="1"/>
  <c r="BF33" i="3"/>
  <c r="BF16" i="3" s="1"/>
  <c r="BF25" i="5" s="1"/>
  <c r="BF32" i="5" s="1"/>
  <c r="AT31" i="4"/>
  <c r="AT30" i="4"/>
  <c r="AT33" i="4" s="1"/>
  <c r="AU28" i="4" s="1"/>
  <c r="AR141" i="1"/>
  <c r="BD86" i="6"/>
  <c r="BD16" i="6"/>
  <c r="BD332" i="4"/>
  <c r="BD339" i="4" s="1"/>
  <c r="AT70" i="4"/>
  <c r="AU314" i="4"/>
  <c r="BG24" i="3"/>
  <c r="BG110" i="4" s="1"/>
  <c r="BG7" i="4"/>
  <c r="BG6" i="3"/>
  <c r="BG53" i="3"/>
  <c r="BG52" i="3" s="1"/>
  <c r="BF41" i="3"/>
  <c r="BF18" i="3" s="1"/>
  <c r="BF27" i="5" s="1"/>
  <c r="BE29" i="4"/>
  <c r="BE352" i="4"/>
  <c r="BA218" i="4"/>
  <c r="BA214" i="4"/>
  <c r="BB205" i="4"/>
  <c r="AS140" i="1"/>
  <c r="BE61" i="3"/>
  <c r="BE62" i="3" s="1"/>
  <c r="BE74" i="6"/>
  <c r="BE152" i="4"/>
  <c r="BE32" i="5"/>
  <c r="BH9" i="3"/>
  <c r="BH8" i="4"/>
  <c r="BF49" i="3"/>
  <c r="BF167" i="4"/>
  <c r="BF312" i="4"/>
  <c r="BF12" i="4"/>
  <c r="BF347" i="4" s="1"/>
  <c r="BF56" i="7"/>
  <c r="AI182" i="4"/>
  <c r="AI51" i="4" s="1"/>
  <c r="AI24" i="4"/>
  <c r="BF223" i="4"/>
  <c r="BF225" i="4" s="1"/>
  <c r="BF63" i="4" s="1"/>
  <c r="BF115" i="4"/>
  <c r="BF15" i="4"/>
  <c r="BF208" i="4"/>
  <c r="AI93" i="4"/>
  <c r="CU8" i="6"/>
  <c r="CU9" i="6" s="1"/>
  <c r="CT7" i="6"/>
  <c r="AZ32" i="4"/>
  <c r="AZ183" i="4"/>
  <c r="AZ50" i="4" s="1"/>
  <c r="BG9" i="5"/>
  <c r="BG7" i="9"/>
  <c r="BN8" i="8"/>
  <c r="BG14" i="5"/>
  <c r="AU212" i="4"/>
  <c r="AT60" i="6"/>
  <c r="AS110" i="1" l="1"/>
  <c r="E54" i="1" s="1"/>
  <c r="BF346" i="4"/>
  <c r="BF87" i="6"/>
  <c r="BF20" i="6"/>
  <c r="AT146" i="1"/>
  <c r="AT161" i="1" s="1"/>
  <c r="AI357" i="4"/>
  <c r="BH8" i="5"/>
  <c r="BG7" i="5"/>
  <c r="BG12" i="5"/>
  <c r="BG13" i="4" s="1"/>
  <c r="BN9" i="8"/>
  <c r="BN7" i="8" s="1"/>
  <c r="BG8" i="9"/>
  <c r="BG16" i="5"/>
  <c r="BG55" i="5" s="1"/>
  <c r="BG13" i="5"/>
  <c r="BG15" i="5"/>
  <c r="AU316" i="4"/>
  <c r="AU33" i="5" s="1"/>
  <c r="BG55" i="6"/>
  <c r="BF285" i="4"/>
  <c r="BF19" i="3"/>
  <c r="BF28" i="5" s="1"/>
  <c r="BF203" i="4"/>
  <c r="BF38" i="7"/>
  <c r="BH7" i="3"/>
  <c r="BI8" i="3"/>
  <c r="BH9" i="4"/>
  <c r="BH82" i="4" s="1"/>
  <c r="BH172" i="4" s="1"/>
  <c r="BE346" i="4"/>
  <c r="BE20" i="6"/>
  <c r="AS146" i="1"/>
  <c r="AS161" i="1" s="1"/>
  <c r="BE87" i="6"/>
  <c r="AR110" i="1"/>
  <c r="E53" i="1" s="1"/>
  <c r="BB218" i="4"/>
  <c r="BB214" i="4"/>
  <c r="BC205" i="4"/>
  <c r="BF88" i="6"/>
  <c r="AS109" i="1"/>
  <c r="D54" i="1" s="1"/>
  <c r="BF17" i="6"/>
  <c r="BF345" i="4" s="1"/>
  <c r="AT142" i="1"/>
  <c r="AT160" i="1" s="1"/>
  <c r="BF74" i="6"/>
  <c r="BF152" i="4"/>
  <c r="AT140" i="1"/>
  <c r="BF61" i="3"/>
  <c r="AU209" i="4"/>
  <c r="AU215" i="4"/>
  <c r="AU219" i="4"/>
  <c r="AU25" i="9" s="1"/>
  <c r="BG109" i="4"/>
  <c r="BA32" i="4"/>
  <c r="BA183" i="4"/>
  <c r="BA50" i="4" s="1"/>
  <c r="BG25" i="3"/>
  <c r="CU7" i="6"/>
  <c r="CV8" i="6"/>
  <c r="CV9" i="6" s="1"/>
  <c r="BF355" i="4"/>
  <c r="BF168" i="4"/>
  <c r="BF169" i="4" s="1"/>
  <c r="BF170" i="4" s="1"/>
  <c r="BG112" i="3"/>
  <c r="BH44" i="3"/>
  <c r="BH36" i="3"/>
  <c r="BH110" i="3"/>
  <c r="BG46" i="3"/>
  <c r="BG45" i="3" s="1"/>
  <c r="BG49" i="3" s="1"/>
  <c r="BG38" i="3"/>
  <c r="BG37" i="3" s="1"/>
  <c r="BG30" i="3"/>
  <c r="BG29" i="3" s="1"/>
  <c r="BH28" i="3"/>
  <c r="BD18" i="6"/>
  <c r="BD344" i="4"/>
  <c r="BD348" i="4" s="1"/>
  <c r="BF76" i="6"/>
  <c r="AT144" i="1"/>
  <c r="AI25" i="4"/>
  <c r="AI61" i="6"/>
  <c r="AJ88" i="4"/>
  <c r="BE86" i="3"/>
  <c r="BE87" i="3" s="1"/>
  <c r="BE101" i="3"/>
  <c r="BE102" i="3" s="1"/>
  <c r="BE105" i="3" s="1"/>
  <c r="BE106" i="3" s="1"/>
  <c r="BE17" i="3" s="1"/>
  <c r="BE26" i="5" s="1"/>
  <c r="BE96" i="3"/>
  <c r="BE97" i="3" s="1"/>
  <c r="BE81" i="3"/>
  <c r="BE82" i="3" s="1"/>
  <c r="BF62" i="3"/>
  <c r="BE91" i="3"/>
  <c r="BE92" i="3" s="1"/>
  <c r="BG281" i="4"/>
  <c r="BG282" i="4"/>
  <c r="BG290" i="4"/>
  <c r="BG31" i="5" s="1"/>
  <c r="BE86" i="6" l="1"/>
  <c r="AS141" i="1"/>
  <c r="BE16" i="6"/>
  <c r="BE332" i="4"/>
  <c r="BE339" i="4" s="1"/>
  <c r="BG115" i="3"/>
  <c r="BG111" i="3"/>
  <c r="BC218" i="4"/>
  <c r="BC214" i="4"/>
  <c r="BD205" i="4"/>
  <c r="BI9" i="3"/>
  <c r="BI8" i="4"/>
  <c r="BG12" i="4"/>
  <c r="BG347" i="4" s="1"/>
  <c r="BG56" i="7"/>
  <c r="AU60" i="6"/>
  <c r="AV212" i="4"/>
  <c r="BB32" i="4"/>
  <c r="BB183" i="4"/>
  <c r="BB50" i="4" s="1"/>
  <c r="BH24" i="3"/>
  <c r="BH110" i="4" s="1"/>
  <c r="BH6" i="3"/>
  <c r="BH53" i="3"/>
  <c r="BH52" i="3" s="1"/>
  <c r="BH7" i="4"/>
  <c r="AU94" i="6"/>
  <c r="AI147" i="1"/>
  <c r="AH108" i="1"/>
  <c r="AU41" i="6"/>
  <c r="BG44" i="6"/>
  <c r="BG80" i="6"/>
  <c r="BH23" i="5"/>
  <c r="BG327" i="4"/>
  <c r="BG150" i="4"/>
  <c r="BG151" i="4" s="1"/>
  <c r="AJ90" i="4"/>
  <c r="BG56" i="3"/>
  <c r="BG20" i="3" s="1"/>
  <c r="BG39" i="7" s="1"/>
  <c r="AU31" i="4"/>
  <c r="AU30" i="4"/>
  <c r="AU33" i="4" s="1"/>
  <c r="AV28" i="4" s="1"/>
  <c r="BF59" i="7"/>
  <c r="BF48" i="7" s="1"/>
  <c r="BF41" i="7"/>
  <c r="AU317" i="4"/>
  <c r="BF213" i="4"/>
  <c r="BF238" i="4"/>
  <c r="BH299" i="4"/>
  <c r="AJ20" i="4"/>
  <c r="BG19" i="3"/>
  <c r="BG28" i="5" s="1"/>
  <c r="BG203" i="4"/>
  <c r="BG285" i="4"/>
  <c r="BG38" i="7"/>
  <c r="AT143" i="1"/>
  <c r="AT162" i="1" s="1"/>
  <c r="BF89" i="6"/>
  <c r="BF351" i="4"/>
  <c r="BH108" i="4"/>
  <c r="BG312" i="4"/>
  <c r="BG14" i="4"/>
  <c r="BG29" i="5"/>
  <c r="BG6" i="9"/>
  <c r="BG12" i="3"/>
  <c r="BG41" i="3" s="1"/>
  <c r="BG18" i="3" s="1"/>
  <c r="BG27" i="5" s="1"/>
  <c r="BF91" i="3"/>
  <c r="BF92" i="3" s="1"/>
  <c r="BF101" i="3"/>
  <c r="BF102" i="3" s="1"/>
  <c r="BF86" i="3"/>
  <c r="BF87" i="3" s="1"/>
  <c r="BF81" i="3"/>
  <c r="BF82" i="3" s="1"/>
  <c r="BF96" i="3"/>
  <c r="BF97" i="3" s="1"/>
  <c r="CV7" i="6"/>
  <c r="CW8" i="6"/>
  <c r="CW9" i="6" s="1"/>
  <c r="BH9" i="5"/>
  <c r="BH14" i="5" s="1"/>
  <c r="BO8" i="8"/>
  <c r="BH7" i="9"/>
  <c r="BG223" i="4"/>
  <c r="BG225" i="4" s="1"/>
  <c r="BG63" i="4" s="1"/>
  <c r="BH109" i="4"/>
  <c r="BH105" i="4"/>
  <c r="BH106" i="4" s="1"/>
  <c r="BH166" i="4"/>
  <c r="BH80" i="4" s="1"/>
  <c r="BH298" i="4"/>
  <c r="BH104" i="4"/>
  <c r="BH102" i="4"/>
  <c r="BH107" i="4" s="1"/>
  <c r="BH103" i="4"/>
  <c r="BG115" i="4"/>
  <c r="BG208" i="4"/>
  <c r="BG15" i="4"/>
  <c r="AT109" i="1" l="1"/>
  <c r="D55" i="1" s="1"/>
  <c r="BG17" i="6"/>
  <c r="BG345" i="4" s="1"/>
  <c r="AU142" i="1"/>
  <c r="AU160" i="1" s="1"/>
  <c r="BG88" i="6"/>
  <c r="BG33" i="3"/>
  <c r="BG16" i="3" s="1"/>
  <c r="BG25" i="5" s="1"/>
  <c r="BH46" i="3"/>
  <c r="BH45" i="3" s="1"/>
  <c r="BH112" i="3"/>
  <c r="BH38" i="3"/>
  <c r="BH37" i="3" s="1"/>
  <c r="BI44" i="3"/>
  <c r="BI36" i="3"/>
  <c r="BI110" i="3"/>
  <c r="BI28" i="3"/>
  <c r="BH30" i="3"/>
  <c r="BH29" i="3" s="1"/>
  <c r="CX8" i="6"/>
  <c r="CX9" i="6" s="1"/>
  <c r="CW7" i="6"/>
  <c r="AV314" i="4"/>
  <c r="AU70" i="4"/>
  <c r="BG167" i="4"/>
  <c r="BG59" i="7"/>
  <c r="BG48" i="7" s="1"/>
  <c r="BG41" i="7"/>
  <c r="BF352" i="4"/>
  <c r="BF29" i="4"/>
  <c r="AJ91" i="4"/>
  <c r="AJ23" i="4" s="1"/>
  <c r="AJ25" i="6"/>
  <c r="AJ22" i="4"/>
  <c r="BJ8" i="3"/>
  <c r="BI7" i="3"/>
  <c r="BI9" i="4"/>
  <c r="BI82" i="4" s="1"/>
  <c r="BI172" i="4" s="1"/>
  <c r="BH223" i="4"/>
  <c r="BH225" i="4" s="1"/>
  <c r="BH63" i="4" s="1"/>
  <c r="BG355" i="4"/>
  <c r="C43" i="1"/>
  <c r="BD218" i="4"/>
  <c r="BD214" i="4"/>
  <c r="BE205" i="4"/>
  <c r="BG76" i="6"/>
  <c r="AU144" i="1"/>
  <c r="BG213" i="4"/>
  <c r="BG238" i="4"/>
  <c r="BH25" i="3"/>
  <c r="BC32" i="4"/>
  <c r="BC183" i="4"/>
  <c r="BC50" i="4" s="1"/>
  <c r="AU143" i="1"/>
  <c r="AU162" i="1" s="1"/>
  <c r="BG89" i="6"/>
  <c r="BG351" i="4"/>
  <c r="AV209" i="4"/>
  <c r="AV215" i="4"/>
  <c r="AV219" i="4"/>
  <c r="AV25" i="9" s="1"/>
  <c r="BE344" i="4"/>
  <c r="BE348" i="4" s="1"/>
  <c r="BE18" i="6"/>
  <c r="BH7" i="5"/>
  <c r="BI8" i="5"/>
  <c r="BH13" i="5"/>
  <c r="BH15" i="5"/>
  <c r="BH16" i="5"/>
  <c r="BH55" i="5" s="1"/>
  <c r="BH8" i="9"/>
  <c r="BO9" i="8"/>
  <c r="BO7" i="8" s="1"/>
  <c r="BH12" i="5"/>
  <c r="BH281" i="4"/>
  <c r="BH290" i="4"/>
  <c r="BH31" i="5" s="1"/>
  <c r="BF105" i="3"/>
  <c r="BF106" i="3" s="1"/>
  <c r="BF17" i="3" s="1"/>
  <c r="BF26" i="5" s="1"/>
  <c r="BH56" i="3"/>
  <c r="BH20" i="3" s="1"/>
  <c r="BH39" i="7" s="1"/>
  <c r="BG152" i="4" l="1"/>
  <c r="BG74" i="6"/>
  <c r="AU140" i="1"/>
  <c r="BG61" i="3"/>
  <c r="BG62" i="3" s="1"/>
  <c r="BG32" i="5"/>
  <c r="BH13" i="4"/>
  <c r="BH55" i="6"/>
  <c r="BI24" i="3"/>
  <c r="BI53" i="3"/>
  <c r="BI52" i="3" s="1"/>
  <c r="BI7" i="4"/>
  <c r="BI6" i="3"/>
  <c r="BJ9" i="3"/>
  <c r="BJ8" i="4"/>
  <c r="AJ92" i="4"/>
  <c r="BH29" i="5"/>
  <c r="BH12" i="3"/>
  <c r="BH41" i="3" s="1"/>
  <c r="BH18" i="3" s="1"/>
  <c r="BH27" i="5" s="1"/>
  <c r="BH6" i="9"/>
  <c r="BI102" i="4"/>
  <c r="BI107" i="4" s="1"/>
  <c r="BI298" i="4"/>
  <c r="BI103" i="4"/>
  <c r="BI105" i="4"/>
  <c r="BI166" i="4"/>
  <c r="BI80" i="4" s="1"/>
  <c r="BI106" i="4"/>
  <c r="BI104" i="4"/>
  <c r="BH44" i="6"/>
  <c r="BH80" i="6"/>
  <c r="BH327" i="4"/>
  <c r="BI23" i="5"/>
  <c r="AW212" i="4"/>
  <c r="AV60" i="6"/>
  <c r="BE218" i="4"/>
  <c r="BE214" i="4"/>
  <c r="BF205" i="4"/>
  <c r="AV317" i="4"/>
  <c r="AV316" i="4"/>
  <c r="AV33" i="5" s="1"/>
  <c r="BH15" i="4"/>
  <c r="BH208" i="4"/>
  <c r="BH115" i="4"/>
  <c r="AV30" i="4"/>
  <c r="AV31" i="4"/>
  <c r="BH150" i="4"/>
  <c r="BH151" i="4" s="1"/>
  <c r="BI25" i="3"/>
  <c r="BD183" i="4"/>
  <c r="BD50" i="4" s="1"/>
  <c r="BD32" i="4"/>
  <c r="BG168" i="4"/>
  <c r="BG169" i="4" s="1"/>
  <c r="BG170" i="4" s="1"/>
  <c r="BI108" i="4"/>
  <c r="AT141" i="1"/>
  <c r="BF86" i="6"/>
  <c r="BF332" i="4"/>
  <c r="BF339" i="4" s="1"/>
  <c r="BF16" i="6"/>
  <c r="BH282" i="4"/>
  <c r="BH12" i="4"/>
  <c r="BH347" i="4" s="1"/>
  <c r="BH56" i="7"/>
  <c r="BH115" i="3"/>
  <c r="BH111" i="3"/>
  <c r="BH33" i="3"/>
  <c r="BH16" i="3" s="1"/>
  <c r="BH25" i="5" s="1"/>
  <c r="BH32" i="5" s="1"/>
  <c r="BI9" i="5"/>
  <c r="BP8" i="8"/>
  <c r="BI7" i="9"/>
  <c r="BI14" i="5"/>
  <c r="BG29" i="4"/>
  <c r="BG352" i="4"/>
  <c r="BI299" i="4"/>
  <c r="CY8" i="6"/>
  <c r="CY9" i="6" s="1"/>
  <c r="CX7" i="6"/>
  <c r="BH49" i="3"/>
  <c r="AU109" i="1" l="1"/>
  <c r="D56" i="1" s="1"/>
  <c r="BH17" i="6"/>
  <c r="BH345" i="4" s="1"/>
  <c r="BH88" i="6"/>
  <c r="AV142" i="1"/>
  <c r="AV160" i="1" s="1"/>
  <c r="BH346" i="4"/>
  <c r="AV146" i="1"/>
  <c r="AV161" i="1" s="1"/>
  <c r="BH87" i="6"/>
  <c r="BH20" i="6"/>
  <c r="AU110" i="1"/>
  <c r="E56" i="1" s="1"/>
  <c r="BJ44" i="3"/>
  <c r="BJ36" i="3"/>
  <c r="BI46" i="3"/>
  <c r="BI45" i="3" s="1"/>
  <c r="BI49" i="3" s="1"/>
  <c r="BI38" i="3"/>
  <c r="BI37" i="3" s="1"/>
  <c r="BJ110" i="3"/>
  <c r="BI112" i="3"/>
  <c r="BJ28" i="3"/>
  <c r="BI30" i="3"/>
  <c r="BI29" i="3" s="1"/>
  <c r="BI281" i="4"/>
  <c r="BI282" i="4"/>
  <c r="BI290" i="4"/>
  <c r="BI31" i="5" s="1"/>
  <c r="BI150" i="4"/>
  <c r="BI151" i="4" s="1"/>
  <c r="AW215" i="4"/>
  <c r="AW209" i="4"/>
  <c r="AW219" i="4"/>
  <c r="AW25" i="9" s="1"/>
  <c r="BI56" i="3"/>
  <c r="BI20" i="3" s="1"/>
  <c r="BI39" i="7" s="1"/>
  <c r="BG96" i="3"/>
  <c r="BG97" i="3" s="1"/>
  <c r="BG81" i="3"/>
  <c r="BG82" i="3" s="1"/>
  <c r="BG91" i="3"/>
  <c r="BG92" i="3" s="1"/>
  <c r="BG101" i="3"/>
  <c r="BG102" i="3" s="1"/>
  <c r="BG86" i="3"/>
  <c r="BG87" i="3" s="1"/>
  <c r="BH355" i="4"/>
  <c r="BJ8" i="5"/>
  <c r="BI7" i="5"/>
  <c r="BI8" i="9"/>
  <c r="BI13" i="5"/>
  <c r="BI12" i="5"/>
  <c r="BI13" i="4" s="1"/>
  <c r="BI15" i="5"/>
  <c r="BI16" i="5"/>
  <c r="BI55" i="5" s="1"/>
  <c r="BP9" i="8"/>
  <c r="BP7" i="8" s="1"/>
  <c r="AV94" i="6"/>
  <c r="AJ147" i="1"/>
  <c r="AI108" i="1"/>
  <c r="AV41" i="6"/>
  <c r="BH76" i="6"/>
  <c r="AV144" i="1"/>
  <c r="BI109" i="4"/>
  <c r="BI110" i="4"/>
  <c r="BH285" i="4"/>
  <c r="BH203" i="4"/>
  <c r="BH19" i="3"/>
  <c r="BH28" i="5" s="1"/>
  <c r="BH38" i="7"/>
  <c r="AV140" i="1"/>
  <c r="BH152" i="4"/>
  <c r="BH61" i="3"/>
  <c r="BH62" i="3" s="1"/>
  <c r="BH74" i="6"/>
  <c r="BF344" i="4"/>
  <c r="BF348" i="4" s="1"/>
  <c r="BF18" i="6"/>
  <c r="AW314" i="4"/>
  <c r="AV70" i="4"/>
  <c r="AJ182" i="4"/>
  <c r="AJ51" i="4" s="1"/>
  <c r="AJ24" i="4"/>
  <c r="AJ93" i="4"/>
  <c r="BF218" i="4"/>
  <c r="BF214" i="4"/>
  <c r="BG205" i="4"/>
  <c r="BJ299" i="4"/>
  <c r="BJ82" i="4"/>
  <c r="BJ172" i="4" s="1"/>
  <c r="BI55" i="6"/>
  <c r="CY7" i="6"/>
  <c r="CZ8" i="6"/>
  <c r="CZ9" i="6" s="1"/>
  <c r="AV33" i="4"/>
  <c r="AW28" i="4" s="1"/>
  <c r="BE183" i="4"/>
  <c r="BE50" i="4" s="1"/>
  <c r="BE32" i="4"/>
  <c r="BJ7" i="3"/>
  <c r="BJ9" i="4"/>
  <c r="BJ108" i="4" s="1"/>
  <c r="BK8" i="3"/>
  <c r="BH312" i="4"/>
  <c r="BH14" i="4"/>
  <c r="BG346" i="4"/>
  <c r="BG20" i="6"/>
  <c r="AU146" i="1"/>
  <c r="AU161" i="1" s="1"/>
  <c r="AT110" i="1"/>
  <c r="E55" i="1" s="1"/>
  <c r="BG87" i="6"/>
  <c r="BH91" i="3" l="1"/>
  <c r="BH92" i="3" s="1"/>
  <c r="BH81" i="3"/>
  <c r="BH82" i="3" s="1"/>
  <c r="BH96" i="3"/>
  <c r="BH97" i="3" s="1"/>
  <c r="BH86" i="3"/>
  <c r="BH87" i="3" s="1"/>
  <c r="BH101" i="3"/>
  <c r="BH102" i="3" s="1"/>
  <c r="BI14" i="4"/>
  <c r="BH167" i="4"/>
  <c r="AJ357" i="4"/>
  <c r="AJ25" i="4"/>
  <c r="BH213" i="4"/>
  <c r="BH238" i="4"/>
  <c r="C44" i="1"/>
  <c r="BI19" i="3"/>
  <c r="BI28" i="5" s="1"/>
  <c r="BI203" i="4"/>
  <c r="BI285" i="4"/>
  <c r="BH89" i="6"/>
  <c r="BH351" i="4"/>
  <c r="AV143" i="1"/>
  <c r="AV162" i="1" s="1"/>
  <c r="BI29" i="5"/>
  <c r="BI38" i="7" s="1"/>
  <c r="BI12" i="3"/>
  <c r="BI41" i="3" s="1"/>
  <c r="BI18" i="3" s="1"/>
  <c r="BI27" i="5" s="1"/>
  <c r="BI6" i="9"/>
  <c r="BI12" i="4"/>
  <c r="BI347" i="4" s="1"/>
  <c r="BI56" i="7"/>
  <c r="BJ9" i="5"/>
  <c r="BJ7" i="9"/>
  <c r="BJ14" i="5"/>
  <c r="BQ8" i="8"/>
  <c r="AJ61" i="6"/>
  <c r="AK88" i="4"/>
  <c r="BK9" i="3"/>
  <c r="BK8" i="4"/>
  <c r="BG218" i="4"/>
  <c r="BG214" i="4"/>
  <c r="BH205" i="4"/>
  <c r="AW316" i="4"/>
  <c r="AW33" i="5" s="1"/>
  <c r="BI223" i="4"/>
  <c r="BI225" i="4" s="1"/>
  <c r="BI63" i="4" s="1"/>
  <c r="BI33" i="3"/>
  <c r="BI16" i="3" s="1"/>
  <c r="BI25" i="5" s="1"/>
  <c r="BI32" i="5" s="1"/>
  <c r="BJ104" i="4"/>
  <c r="BJ298" i="4"/>
  <c r="BJ102" i="4"/>
  <c r="BJ107" i="4" s="1"/>
  <c r="BJ103" i="4"/>
  <c r="BJ105" i="4"/>
  <c r="BJ106" i="4" s="1"/>
  <c r="BJ166" i="4"/>
  <c r="BJ80" i="4" s="1"/>
  <c r="BF32" i="4"/>
  <c r="BF183" i="4"/>
  <c r="BF50" i="4" s="1"/>
  <c r="BJ23" i="5"/>
  <c r="BI44" i="6"/>
  <c r="BI327" i="4"/>
  <c r="BI80" i="6"/>
  <c r="AW30" i="4"/>
  <c r="AW33" i="4" s="1"/>
  <c r="AX28" i="4" s="1"/>
  <c r="AW31" i="4"/>
  <c r="CZ7" i="6"/>
  <c r="DA8" i="6"/>
  <c r="DA9" i="6" s="1"/>
  <c r="BJ24" i="3"/>
  <c r="BJ25" i="3" s="1"/>
  <c r="BJ6" i="3"/>
  <c r="BJ53" i="3"/>
  <c r="BJ52" i="3" s="1"/>
  <c r="BJ7" i="4"/>
  <c r="BI115" i="4"/>
  <c r="BI208" i="4"/>
  <c r="BI15" i="4"/>
  <c r="BG105" i="3"/>
  <c r="BG106" i="3" s="1"/>
  <c r="BG17" i="3" s="1"/>
  <c r="BG26" i="5" s="1"/>
  <c r="AX212" i="4"/>
  <c r="AW60" i="6"/>
  <c r="BI115" i="3"/>
  <c r="BI111" i="3"/>
  <c r="BH59" i="7"/>
  <c r="BH48" i="7" s="1"/>
  <c r="BH41" i="7"/>
  <c r="BI312" i="4"/>
  <c r="BI20" i="6" l="1"/>
  <c r="BI346" i="4"/>
  <c r="BI87" i="6"/>
  <c r="AW146" i="1"/>
  <c r="AW161" i="1" s="1"/>
  <c r="AV110" i="1"/>
  <c r="E57" i="1" s="1"/>
  <c r="AV109" i="1"/>
  <c r="BI88" i="6"/>
  <c r="AW142" i="1"/>
  <c r="AW160" i="1" s="1"/>
  <c r="BI17" i="6"/>
  <c r="BI345" i="4" s="1"/>
  <c r="BI59" i="7"/>
  <c r="BI48" i="7" s="1"/>
  <c r="BI41" i="7"/>
  <c r="BI355" i="4"/>
  <c r="BK9" i="4"/>
  <c r="BK7" i="3"/>
  <c r="BL8" i="3"/>
  <c r="BJ110" i="4"/>
  <c r="BK110" i="4" s="1"/>
  <c r="BL110" i="4" s="1"/>
  <c r="BM110" i="4" s="1"/>
  <c r="BN110" i="4" s="1"/>
  <c r="BO110" i="4" s="1"/>
  <c r="BP110" i="4" s="1"/>
  <c r="BQ110" i="4" s="1"/>
  <c r="BR110" i="4" s="1"/>
  <c r="BS110" i="4" s="1"/>
  <c r="BT110" i="4" s="1"/>
  <c r="BU110" i="4" s="1"/>
  <c r="AW94" i="6"/>
  <c r="AK147" i="1"/>
  <c r="AJ108" i="1"/>
  <c r="BH29" i="4"/>
  <c r="BH352" i="4"/>
  <c r="AW41" i="6"/>
  <c r="AW317" i="4"/>
  <c r="AK90" i="4"/>
  <c r="AK20" i="4"/>
  <c r="BH105" i="3"/>
  <c r="BH106" i="3" s="1"/>
  <c r="BH17" i="3" s="1"/>
  <c r="BH26" i="5" s="1"/>
  <c r="BG86" i="6"/>
  <c r="AU141" i="1"/>
  <c r="BG16" i="6"/>
  <c r="BG332" i="4"/>
  <c r="BG339" i="4" s="1"/>
  <c r="BH218" i="4"/>
  <c r="BH214" i="4"/>
  <c r="BI205" i="4"/>
  <c r="BI213" i="4"/>
  <c r="BI238" i="4"/>
  <c r="BJ290" i="4"/>
  <c r="BJ31" i="5" s="1"/>
  <c r="BJ281" i="4"/>
  <c r="BJ282" i="4"/>
  <c r="BJ205" i="4"/>
  <c r="BJ214" i="4"/>
  <c r="AX215" i="4"/>
  <c r="AX209" i="4"/>
  <c r="AX219" i="4"/>
  <c r="AX25" i="9" s="1"/>
  <c r="BJ56" i="3"/>
  <c r="BJ20" i="3" s="1"/>
  <c r="N52" i="3"/>
  <c r="BG32" i="4"/>
  <c r="BG183" i="4"/>
  <c r="BG50" i="4" s="1"/>
  <c r="BJ38" i="3"/>
  <c r="BJ37" i="3" s="1"/>
  <c r="BJ112" i="3"/>
  <c r="BJ46" i="3"/>
  <c r="BJ45" i="3" s="1"/>
  <c r="BJ30" i="3"/>
  <c r="BJ29" i="3" s="1"/>
  <c r="BI61" i="3"/>
  <c r="BI62" i="3" s="1"/>
  <c r="BI152" i="4"/>
  <c r="BI74" i="6"/>
  <c r="AW140" i="1"/>
  <c r="BI351" i="4"/>
  <c r="AW143" i="1"/>
  <c r="AW162" i="1" s="1"/>
  <c r="BI89" i="6"/>
  <c r="BJ150" i="4"/>
  <c r="BJ151" i="4" s="1"/>
  <c r="BK25" i="3"/>
  <c r="BH168" i="4"/>
  <c r="BH169" i="4"/>
  <c r="BH170" i="4" s="1"/>
  <c r="DB8" i="6"/>
  <c r="DB9" i="6" s="1"/>
  <c r="DA7" i="6"/>
  <c r="BJ109" i="4"/>
  <c r="BK108" i="4"/>
  <c r="BK299" i="4"/>
  <c r="BK82" i="4"/>
  <c r="BK172" i="4" s="1"/>
  <c r="BJ7" i="5"/>
  <c r="BJ16" i="5"/>
  <c r="BJ55" i="5" s="1"/>
  <c r="BJ13" i="5"/>
  <c r="BJ8" i="9"/>
  <c r="BQ9" i="8"/>
  <c r="BQ7" i="8" s="1"/>
  <c r="BJ12" i="5"/>
  <c r="BJ15" i="5"/>
  <c r="BK8" i="5"/>
  <c r="BI76" i="6"/>
  <c r="AW144" i="1"/>
  <c r="BI167" i="4"/>
  <c r="BK7" i="9" l="1"/>
  <c r="BK9" i="5"/>
  <c r="BH32" i="4"/>
  <c r="BH183" i="4"/>
  <c r="BH50" i="4" s="1"/>
  <c r="BJ208" i="4"/>
  <c r="BJ115" i="4"/>
  <c r="BJ15" i="4"/>
  <c r="BI86" i="3"/>
  <c r="BI87" i="3" s="1"/>
  <c r="BI91" i="3"/>
  <c r="BI92" i="3" s="1"/>
  <c r="BI96" i="3"/>
  <c r="BI97" i="3" s="1"/>
  <c r="BI101" i="3"/>
  <c r="BI102" i="3" s="1"/>
  <c r="BI81" i="3"/>
  <c r="BI82" i="3" s="1"/>
  <c r="BJ39" i="7"/>
  <c r="N39" i="7" s="1"/>
  <c r="N20" i="3"/>
  <c r="BK105" i="4"/>
  <c r="BK106" i="4" s="1"/>
  <c r="BK298" i="4"/>
  <c r="BK166" i="4"/>
  <c r="BK80" i="4" s="1"/>
  <c r="BK104" i="4"/>
  <c r="BK102" i="4"/>
  <c r="BK107" i="4" s="1"/>
  <c r="BK103" i="4"/>
  <c r="BG18" i="6"/>
  <c r="BG344" i="4"/>
  <c r="BG348" i="4" s="1"/>
  <c r="N29" i="3"/>
  <c r="AK25" i="6"/>
  <c r="AK22" i="4"/>
  <c r="AK91" i="4"/>
  <c r="C45" i="1"/>
  <c r="BK109" i="4"/>
  <c r="BJ223" i="4"/>
  <c r="BJ225" i="4" s="1"/>
  <c r="BJ63" i="4" s="1"/>
  <c r="BL25" i="3"/>
  <c r="BK49" i="3"/>
  <c r="BK150" i="4"/>
  <c r="BK151" i="4" s="1"/>
  <c r="BJ49" i="3"/>
  <c r="N45" i="3"/>
  <c r="AX30" i="4"/>
  <c r="AX33" i="4" s="1"/>
  <c r="AY28" i="4" s="1"/>
  <c r="AX31" i="4"/>
  <c r="BH86" i="6"/>
  <c r="AV141" i="1"/>
  <c r="BH16" i="6"/>
  <c r="BH332" i="4"/>
  <c r="BH339" i="4" s="1"/>
  <c r="BJ13" i="4"/>
  <c r="BJ55" i="6"/>
  <c r="BJ115" i="3"/>
  <c r="N115" i="3" s="1"/>
  <c r="BJ111" i="3"/>
  <c r="N111" i="3" s="1"/>
  <c r="AY212" i="4"/>
  <c r="AX60" i="6"/>
  <c r="AX314" i="4"/>
  <c r="AW70" i="4"/>
  <c r="BK7" i="4"/>
  <c r="BK6" i="3"/>
  <c r="BK53" i="3"/>
  <c r="BK52" i="3" s="1"/>
  <c r="BK56" i="3" s="1"/>
  <c r="BK20" i="3" s="1"/>
  <c r="BI168" i="4"/>
  <c r="BI169" i="4"/>
  <c r="BI170" i="4" s="1"/>
  <c r="BJ12" i="4"/>
  <c r="BJ347" i="4" s="1"/>
  <c r="BJ56" i="7"/>
  <c r="N37" i="3"/>
  <c r="BI29" i="4"/>
  <c r="BI352" i="4"/>
  <c r="BJ80" i="6"/>
  <c r="BJ327" i="4"/>
  <c r="BK23" i="5"/>
  <c r="BJ44" i="6"/>
  <c r="BJ32" i="4"/>
  <c r="BJ183" i="4"/>
  <c r="BJ50" i="4" s="1"/>
  <c r="DC8" i="6"/>
  <c r="DC9" i="6" s="1"/>
  <c r="DB7" i="6"/>
  <c r="BJ29" i="5"/>
  <c r="BJ12" i="3"/>
  <c r="BJ41" i="3" s="1"/>
  <c r="BJ6" i="9"/>
  <c r="BJ218" i="4"/>
  <c r="BI218" i="4"/>
  <c r="BI214" i="4"/>
  <c r="BL8" i="4"/>
  <c r="BL9" i="3"/>
  <c r="BJ18" i="3" l="1"/>
  <c r="N41" i="3"/>
  <c r="BL109" i="4"/>
  <c r="BK223" i="4"/>
  <c r="BI183" i="4"/>
  <c r="BI50" i="4" s="1"/>
  <c r="BI32" i="4"/>
  <c r="BJ76" i="6"/>
  <c r="N76" i="6" s="1"/>
  <c r="AX144" i="1"/>
  <c r="N29" i="5"/>
  <c r="AY214" i="4"/>
  <c r="BH344" i="4"/>
  <c r="BH348" i="4" s="1"/>
  <c r="BH18" i="6"/>
  <c r="BJ203" i="4"/>
  <c r="BJ38" i="7"/>
  <c r="BJ19" i="3"/>
  <c r="BJ285" i="4"/>
  <c r="N49" i="3"/>
  <c r="BJ33" i="3"/>
  <c r="AK23" i="4"/>
  <c r="AK92" i="4"/>
  <c r="BI105" i="3"/>
  <c r="BI106" i="3" s="1"/>
  <c r="BI17" i="3" s="1"/>
  <c r="BI26" i="5" s="1"/>
  <c r="BL108" i="4"/>
  <c r="BK281" i="4"/>
  <c r="BK282" i="4"/>
  <c r="BK205" i="4"/>
  <c r="BK214" i="4" s="1"/>
  <c r="BK55" i="6"/>
  <c r="DD8" i="6"/>
  <c r="DD9" i="6" s="1"/>
  <c r="DC7" i="6"/>
  <c r="BJ312" i="4"/>
  <c r="BJ14" i="4"/>
  <c r="BK19" i="3"/>
  <c r="BK28" i="5" s="1"/>
  <c r="BK203" i="4"/>
  <c r="BK285" i="4"/>
  <c r="BK15" i="5"/>
  <c r="BK13" i="5"/>
  <c r="BK12" i="4" s="1"/>
  <c r="BK347" i="4" s="1"/>
  <c r="BL8" i="5"/>
  <c r="BK8" i="9"/>
  <c r="BK7" i="5"/>
  <c r="BK12" i="5"/>
  <c r="BK16" i="5"/>
  <c r="Q55" i="7"/>
  <c r="R55" i="7"/>
  <c r="S55" i="7"/>
  <c r="BJ55" i="7"/>
  <c r="T55" i="7"/>
  <c r="U55" i="7"/>
  <c r="V55" i="7"/>
  <c r="W55" i="7"/>
  <c r="X55" i="7"/>
  <c r="Y55" i="7"/>
  <c r="Z55" i="7"/>
  <c r="AA55" i="7"/>
  <c r="AB55" i="7"/>
  <c r="AC55" i="7"/>
  <c r="AD55" i="7"/>
  <c r="AE55" i="7"/>
  <c r="AF55" i="7"/>
  <c r="AG55" i="7"/>
  <c r="AH55" i="7"/>
  <c r="AI55" i="7"/>
  <c r="AJ55" i="7"/>
  <c r="AK55" i="7"/>
  <c r="AL55" i="7"/>
  <c r="AM55" i="7"/>
  <c r="AN55" i="7"/>
  <c r="AO55" i="7"/>
  <c r="AP55" i="7"/>
  <c r="AQ55" i="7"/>
  <c r="AR55" i="7"/>
  <c r="AS55" i="7"/>
  <c r="AT55" i="7"/>
  <c r="AU55" i="7"/>
  <c r="AV55" i="7"/>
  <c r="AW55" i="7"/>
  <c r="AX55" i="7"/>
  <c r="AY55" i="7"/>
  <c r="AZ55" i="7"/>
  <c r="BA55" i="7"/>
  <c r="BB55" i="7"/>
  <c r="BC55" i="7"/>
  <c r="BD55" i="7"/>
  <c r="BE55" i="7"/>
  <c r="BF55" i="7"/>
  <c r="BG55" i="7"/>
  <c r="BH55" i="7"/>
  <c r="S60" i="7" s="1"/>
  <c r="BI55" i="7"/>
  <c r="AX317" i="4"/>
  <c r="AX316" i="4"/>
  <c r="AX33" i="5" s="1"/>
  <c r="BL49" i="3"/>
  <c r="BL150" i="4"/>
  <c r="BL151" i="4" s="1"/>
  <c r="BM25" i="3"/>
  <c r="BL7" i="3"/>
  <c r="BM8" i="3"/>
  <c r="BL9" i="4"/>
  <c r="BJ355" i="4"/>
  <c r="BK14" i="5"/>
  <c r="BK183" i="4" l="1"/>
  <c r="BK32" i="4"/>
  <c r="BJ238" i="4"/>
  <c r="BJ213" i="4"/>
  <c r="BL203" i="4"/>
  <c r="BL19" i="3"/>
  <c r="BL285" i="4"/>
  <c r="BK15" i="4"/>
  <c r="BK208" i="4"/>
  <c r="BK115" i="4"/>
  <c r="BL298" i="4"/>
  <c r="BL104" i="4"/>
  <c r="BL102" i="4"/>
  <c r="BL107" i="4" s="1"/>
  <c r="BL103" i="4"/>
  <c r="BL166" i="4"/>
  <c r="BL80" i="4" s="1"/>
  <c r="BL105" i="4"/>
  <c r="BL106" i="4" s="1"/>
  <c r="AX94" i="6"/>
  <c r="AL147" i="1"/>
  <c r="AK108" i="1"/>
  <c r="AX41" i="6"/>
  <c r="BI86" i="6"/>
  <c r="AW141" i="1"/>
  <c r="BI332" i="4"/>
  <c r="BI339" i="4" s="1"/>
  <c r="BI16" i="6"/>
  <c r="DD7" i="6"/>
  <c r="DE8" i="6"/>
  <c r="DE9" i="6" s="1"/>
  <c r="BK218" i="4"/>
  <c r="BJ16" i="3"/>
  <c r="N33" i="3"/>
  <c r="AY183" i="4"/>
  <c r="AY50" i="4" s="1"/>
  <c r="AY32" i="4"/>
  <c r="N214" i="4"/>
  <c r="BL6" i="3"/>
  <c r="BL53" i="3"/>
  <c r="BL52" i="3" s="1"/>
  <c r="BL56" i="3" s="1"/>
  <c r="BL20" i="3" s="1"/>
  <c r="BL7" i="4"/>
  <c r="BK13" i="4"/>
  <c r="BK48" i="6"/>
  <c r="BK47" i="6" s="1"/>
  <c r="BK213" i="4"/>
  <c r="BK238" i="4"/>
  <c r="AY215" i="4"/>
  <c r="BM109" i="4"/>
  <c r="BL223" i="4"/>
  <c r="AX70" i="4"/>
  <c r="AY314" i="4"/>
  <c r="S61" i="7"/>
  <c r="S62" i="7" s="1"/>
  <c r="T58" i="7" s="1"/>
  <c r="BK6" i="9"/>
  <c r="BK12" i="3"/>
  <c r="BK89" i="6"/>
  <c r="BK351" i="4"/>
  <c r="AK182" i="4"/>
  <c r="AK51" i="4" s="1"/>
  <c r="AK24" i="4"/>
  <c r="AY209" i="4"/>
  <c r="BJ167" i="4"/>
  <c r="BK14" i="4"/>
  <c r="BL82" i="4"/>
  <c r="BL172" i="4" s="1"/>
  <c r="AK93" i="4"/>
  <c r="BJ28" i="5"/>
  <c r="N19" i="3"/>
  <c r="BM9" i="3"/>
  <c r="BM8" i="4"/>
  <c r="BM49" i="3"/>
  <c r="BN25" i="3"/>
  <c r="BM150" i="4"/>
  <c r="BM151" i="4" s="1"/>
  <c r="BL7" i="9"/>
  <c r="BL9" i="5"/>
  <c r="BL14" i="5"/>
  <c r="BL299" i="4"/>
  <c r="AK25" i="4"/>
  <c r="BJ59" i="7"/>
  <c r="BJ41" i="7"/>
  <c r="N41" i="7" s="1"/>
  <c r="N38" i="7"/>
  <c r="BJ27" i="5"/>
  <c r="N18" i="3"/>
  <c r="T60" i="7" l="1"/>
  <c r="BN8" i="3"/>
  <c r="BM7" i="3"/>
  <c r="BM9" i="4"/>
  <c r="BK41" i="3"/>
  <c r="BK18" i="3" s="1"/>
  <c r="BK27" i="5" s="1"/>
  <c r="BK33" i="3"/>
  <c r="BK16" i="3" s="1"/>
  <c r="BK25" i="5" s="1"/>
  <c r="BJ29" i="4"/>
  <c r="BJ352" i="4"/>
  <c r="N213" i="4"/>
  <c r="N215" i="4" s="1"/>
  <c r="BK29" i="4"/>
  <c r="BK352" i="4"/>
  <c r="BK312" i="4"/>
  <c r="AL20" i="4"/>
  <c r="AY317" i="4"/>
  <c r="AY316" i="4"/>
  <c r="AY33" i="5" s="1"/>
  <c r="BJ89" i="6"/>
  <c r="AX143" i="1"/>
  <c r="AX162" i="1" s="1"/>
  <c r="BJ351" i="4"/>
  <c r="AK61" i="6"/>
  <c r="AL88" i="4"/>
  <c r="AK357" i="4"/>
  <c r="BN109" i="4"/>
  <c r="BM223" i="4"/>
  <c r="BL281" i="4"/>
  <c r="BL282" i="4"/>
  <c r="BL205" i="4"/>
  <c r="BJ25" i="5"/>
  <c r="N16" i="3"/>
  <c r="BM108" i="4"/>
  <c r="BM299" i="4"/>
  <c r="BM82" i="4"/>
  <c r="BM172" i="4" s="1"/>
  <c r="AW109" i="1"/>
  <c r="AX142" i="1"/>
  <c r="AX160" i="1" s="1"/>
  <c r="BJ17" i="6"/>
  <c r="BJ345" i="4" s="1"/>
  <c r="BJ88" i="6"/>
  <c r="AY31" i="4"/>
  <c r="AY30" i="4"/>
  <c r="AY60" i="6"/>
  <c r="AZ212" i="4"/>
  <c r="AY41" i="6"/>
  <c r="BL213" i="4"/>
  <c r="BL238" i="4"/>
  <c r="BK167" i="4"/>
  <c r="BI18" i="6"/>
  <c r="BI344" i="4"/>
  <c r="BI348" i="4" s="1"/>
  <c r="C46" i="1"/>
  <c r="BJ48" i="7"/>
  <c r="N48" i="7" s="1"/>
  <c r="N59" i="7"/>
  <c r="BN49" i="3"/>
  <c r="BN150" i="4"/>
  <c r="BN151" i="4" s="1"/>
  <c r="BO25" i="3"/>
  <c r="BM8" i="5"/>
  <c r="BL15" i="5"/>
  <c r="BL13" i="5"/>
  <c r="BL12" i="4" s="1"/>
  <c r="BL347" i="4" s="1"/>
  <c r="BL8" i="9"/>
  <c r="BL16" i="5"/>
  <c r="BL7" i="5"/>
  <c r="BL12" i="5"/>
  <c r="BM19" i="3"/>
  <c r="BM203" i="4"/>
  <c r="BM285" i="4"/>
  <c r="BJ168" i="4"/>
  <c r="BJ169" i="4" s="1"/>
  <c r="BJ170" i="4" s="1"/>
  <c r="S49" i="7"/>
  <c r="DE7" i="6"/>
  <c r="DF8" i="6"/>
  <c r="DF9" i="6" s="1"/>
  <c r="BL28" i="5"/>
  <c r="BK50" i="4"/>
  <c r="BM238" i="4" l="1"/>
  <c r="BK152" i="4"/>
  <c r="BK32" i="5"/>
  <c r="BK61" i="3"/>
  <c r="BK74" i="6"/>
  <c r="DG8" i="6"/>
  <c r="DG9" i="6" s="1"/>
  <c r="DF7" i="6"/>
  <c r="BO49" i="3"/>
  <c r="BP25" i="3"/>
  <c r="BO150" i="4"/>
  <c r="BO151" i="4" s="1"/>
  <c r="BK88" i="6"/>
  <c r="BK168" i="4"/>
  <c r="BK169" i="4" s="1"/>
  <c r="BK170" i="4" s="1"/>
  <c r="BL13" i="4"/>
  <c r="BL48" i="6"/>
  <c r="BL47" i="6" s="1"/>
  <c r="BL55" i="6"/>
  <c r="AY33" i="4"/>
  <c r="AZ28" i="4" s="1"/>
  <c r="BM106" i="4"/>
  <c r="BM104" i="4"/>
  <c r="BM298" i="4"/>
  <c r="BM102" i="4"/>
  <c r="BM107" i="4" s="1"/>
  <c r="BM103" i="4"/>
  <c r="BM166" i="4"/>
  <c r="BM80" i="4" s="1"/>
  <c r="BM105" i="4"/>
  <c r="BL12" i="3"/>
  <c r="BL6" i="9"/>
  <c r="BL29" i="4"/>
  <c r="BL352" i="4"/>
  <c r="BO109" i="4"/>
  <c r="BN223" i="4"/>
  <c r="BM53" i="3"/>
  <c r="BM52" i="3" s="1"/>
  <c r="BM56" i="3" s="1"/>
  <c r="BM20" i="3" s="1"/>
  <c r="BM28" i="5" s="1"/>
  <c r="BM6" i="3"/>
  <c r="BM7" i="4"/>
  <c r="BL351" i="4"/>
  <c r="BL89" i="6"/>
  <c r="S21" i="6"/>
  <c r="S50" i="7"/>
  <c r="AX140" i="1"/>
  <c r="BJ61" i="3"/>
  <c r="BJ74" i="6"/>
  <c r="BJ152" i="4"/>
  <c r="BJ32" i="5"/>
  <c r="AY94" i="6"/>
  <c r="AM147" i="1"/>
  <c r="AL108" i="1"/>
  <c r="BN9" i="3"/>
  <c r="BN8" i="4"/>
  <c r="BN19" i="3"/>
  <c r="BN285" i="4"/>
  <c r="BN203" i="4"/>
  <c r="AZ215" i="4"/>
  <c r="AZ209" i="4"/>
  <c r="AZ219" i="4"/>
  <c r="AZ25" i="9" s="1"/>
  <c r="AZ314" i="4"/>
  <c r="AY70" i="4"/>
  <c r="BL218" i="4"/>
  <c r="AL90" i="4"/>
  <c r="T61" i="7"/>
  <c r="T62" i="7" s="1"/>
  <c r="U58" i="7" s="1"/>
  <c r="BM9" i="5"/>
  <c r="BM7" i="9"/>
  <c r="BL115" i="4"/>
  <c r="BL15" i="4"/>
  <c r="BL208" i="4"/>
  <c r="D26" i="1"/>
  <c r="D27" i="1"/>
  <c r="D57" i="1"/>
  <c r="D58" i="1"/>
  <c r="BL214" i="4"/>
  <c r="T49" i="7" l="1"/>
  <c r="T21" i="6" s="1"/>
  <c r="T22" i="6" s="1"/>
  <c r="AA47" i="8" s="1"/>
  <c r="BM89" i="6"/>
  <c r="D59" i="1"/>
  <c r="BA212" i="4"/>
  <c r="AZ60" i="6"/>
  <c r="BP49" i="3"/>
  <c r="BQ25" i="3"/>
  <c r="BP150" i="4"/>
  <c r="BP151" i="4" s="1"/>
  <c r="N61" i="3"/>
  <c r="BJ62" i="3"/>
  <c r="BO19" i="3"/>
  <c r="BO285" i="4"/>
  <c r="BO203" i="4"/>
  <c r="BK20" i="6"/>
  <c r="BK346" i="4"/>
  <c r="BK87" i="6"/>
  <c r="AZ30" i="4"/>
  <c r="AZ33" i="4" s="1"/>
  <c r="BA28" i="4" s="1"/>
  <c r="AZ31" i="4"/>
  <c r="S22" i="6"/>
  <c r="BN238" i="4"/>
  <c r="AX146" i="1"/>
  <c r="AX161" i="1" s="1"/>
  <c r="AW110" i="1"/>
  <c r="BJ20" i="6"/>
  <c r="BJ346" i="4"/>
  <c r="BJ87" i="6"/>
  <c r="BM281" i="4"/>
  <c r="BM205" i="4"/>
  <c r="BN8" i="5"/>
  <c r="BM7" i="5"/>
  <c r="BM12" i="5"/>
  <c r="BM13" i="5"/>
  <c r="BM12" i="4" s="1"/>
  <c r="BM347" i="4" s="1"/>
  <c r="BM16" i="5"/>
  <c r="BM8" i="9"/>
  <c r="BM15" i="5"/>
  <c r="AL91" i="4"/>
  <c r="AL23" i="4" s="1"/>
  <c r="AL25" i="6"/>
  <c r="AL22" i="4"/>
  <c r="BL33" i="3"/>
  <c r="BL16" i="3" s="1"/>
  <c r="BL25" i="5" s="1"/>
  <c r="BL41" i="3"/>
  <c r="BL18" i="3" s="1"/>
  <c r="BL27" i="5" s="1"/>
  <c r="BM55" i="6"/>
  <c r="C47" i="1"/>
  <c r="DG7" i="6"/>
  <c r="DH8" i="6"/>
  <c r="DH9" i="6" s="1"/>
  <c r="U60" i="7"/>
  <c r="AZ316" i="4"/>
  <c r="AZ33" i="5" s="1"/>
  <c r="BN108" i="4"/>
  <c r="BN299" i="4"/>
  <c r="S48" i="6"/>
  <c r="S47" i="6" s="1"/>
  <c r="T47" i="7"/>
  <c r="T50" i="7" s="1"/>
  <c r="BL312" i="4"/>
  <c r="BL14" i="4"/>
  <c r="BM213" i="4"/>
  <c r="BL183" i="4"/>
  <c r="BL32" i="4"/>
  <c r="BM14" i="5"/>
  <c r="BO8" i="3"/>
  <c r="BN9" i="4"/>
  <c r="BN7" i="3"/>
  <c r="BP109" i="4"/>
  <c r="BO223" i="4"/>
  <c r="BL167" i="4" l="1"/>
  <c r="DH7" i="6"/>
  <c r="DI8" i="6"/>
  <c r="DI9" i="6" s="1"/>
  <c r="BL88" i="6"/>
  <c r="BM29" i="4"/>
  <c r="BM352" i="4"/>
  <c r="BO238" i="4"/>
  <c r="BN6" i="3"/>
  <c r="BN53" i="3"/>
  <c r="BN52" i="3" s="1"/>
  <c r="BN56" i="3" s="1"/>
  <c r="BN20" i="3" s="1"/>
  <c r="BN28" i="5" s="1"/>
  <c r="BN7" i="4"/>
  <c r="AN147" i="1"/>
  <c r="AZ94" i="6"/>
  <c r="AM108" i="1"/>
  <c r="AZ41" i="6"/>
  <c r="BL61" i="3"/>
  <c r="BL152" i="4"/>
  <c r="BL74" i="6"/>
  <c r="BL32" i="5"/>
  <c r="BM115" i="4"/>
  <c r="BM15" i="4"/>
  <c r="BM208" i="4"/>
  <c r="BN9" i="5"/>
  <c r="BN14" i="5" s="1"/>
  <c r="BN7" i="9"/>
  <c r="BN298" i="4"/>
  <c r="BN102" i="4"/>
  <c r="BN107" i="4" s="1"/>
  <c r="BN166" i="4"/>
  <c r="BN80" i="4" s="1"/>
  <c r="BN103" i="4"/>
  <c r="BN105" i="4"/>
  <c r="BN106" i="4"/>
  <c r="BN104" i="4"/>
  <c r="AZ317" i="4"/>
  <c r="BM218" i="4"/>
  <c r="E26" i="1"/>
  <c r="E27" i="1"/>
  <c r="E28" i="1"/>
  <c r="E58" i="1"/>
  <c r="BP223" i="4"/>
  <c r="BQ109" i="4"/>
  <c r="Z47" i="8"/>
  <c r="BO9" i="3"/>
  <c r="BO8" i="4"/>
  <c r="BM214" i="4"/>
  <c r="BK62" i="3"/>
  <c r="BJ96" i="3"/>
  <c r="BJ97" i="3" s="1"/>
  <c r="BJ101" i="3"/>
  <c r="BJ102" i="3" s="1"/>
  <c r="BJ105" i="3" s="1"/>
  <c r="BJ106" i="3" s="1"/>
  <c r="BJ17" i="3" s="1"/>
  <c r="BJ86" i="3"/>
  <c r="BJ87" i="3" s="1"/>
  <c r="BJ91" i="3"/>
  <c r="BJ92" i="3" s="1"/>
  <c r="BJ81" i="3"/>
  <c r="BJ82" i="3" s="1"/>
  <c r="BQ49" i="3"/>
  <c r="BR25" i="3"/>
  <c r="BQ150" i="4"/>
  <c r="BQ151" i="4" s="1"/>
  <c r="AL93" i="4"/>
  <c r="BP19" i="3"/>
  <c r="BP203" i="4"/>
  <c r="BP285" i="4"/>
  <c r="BM351" i="4"/>
  <c r="U61" i="7"/>
  <c r="U49" i="7" s="1"/>
  <c r="BM13" i="4"/>
  <c r="BM14" i="4" s="1"/>
  <c r="BM48" i="6"/>
  <c r="BM47" i="6" s="1"/>
  <c r="BM282" i="4"/>
  <c r="AL92" i="4"/>
  <c r="T48" i="6"/>
  <c r="T47" i="6" s="1"/>
  <c r="U47" i="7"/>
  <c r="BL50" i="4"/>
  <c r="BN82" i="4"/>
  <c r="BN172" i="4" s="1"/>
  <c r="BM12" i="3"/>
  <c r="BM6" i="9"/>
  <c r="BA209" i="4"/>
  <c r="BA215" i="4"/>
  <c r="BA219" i="4"/>
  <c r="BA25" i="9" s="1"/>
  <c r="U62" i="7" l="1"/>
  <c r="V58" i="7" s="1"/>
  <c r="BM167" i="4"/>
  <c r="U21" i="6"/>
  <c r="BO9" i="4"/>
  <c r="BO7" i="3"/>
  <c r="BP8" i="3"/>
  <c r="C48" i="1"/>
  <c r="AL61" i="6"/>
  <c r="AM88" i="4"/>
  <c r="BL20" i="6"/>
  <c r="BL87" i="6"/>
  <c r="BL346" i="4"/>
  <c r="DJ8" i="6"/>
  <c r="DJ9" i="6" s="1"/>
  <c r="DI7" i="6"/>
  <c r="BJ26" i="5"/>
  <c r="N17" i="3"/>
  <c r="BN7" i="5"/>
  <c r="BN12" i="5"/>
  <c r="BN8" i="9"/>
  <c r="BN16" i="5"/>
  <c r="BN15" i="5"/>
  <c r="BN13" i="5"/>
  <c r="BN12" i="4" s="1"/>
  <c r="BN347" i="4" s="1"/>
  <c r="BO8" i="5"/>
  <c r="BB212" i="4"/>
  <c r="BA60" i="6"/>
  <c r="AL182" i="4"/>
  <c r="AL51" i="4" s="1"/>
  <c r="AL24" i="4"/>
  <c r="BP238" i="4"/>
  <c r="BN281" i="4"/>
  <c r="BN205" i="4"/>
  <c r="BN214" i="4" s="1"/>
  <c r="BN213" i="4"/>
  <c r="BL168" i="4"/>
  <c r="BL169" i="4"/>
  <c r="BL170" i="4" s="1"/>
  <c r="BA30" i="4"/>
  <c r="BA31" i="4"/>
  <c r="BK86" i="3"/>
  <c r="BK87" i="3" s="1"/>
  <c r="BK81" i="3"/>
  <c r="BK82" i="3" s="1"/>
  <c r="BK101" i="3"/>
  <c r="BK102" i="3" s="1"/>
  <c r="BL62" i="3"/>
  <c r="BK96" i="3"/>
  <c r="BK97" i="3" s="1"/>
  <c r="BK91" i="3"/>
  <c r="BK92" i="3" s="1"/>
  <c r="BN89" i="6"/>
  <c r="BN351" i="4"/>
  <c r="BS25" i="3"/>
  <c r="BR49" i="3"/>
  <c r="BR150" i="4"/>
  <c r="BR151" i="4" s="1"/>
  <c r="BM183" i="4"/>
  <c r="BM32" i="4"/>
  <c r="BR109" i="4"/>
  <c r="BQ223" i="4"/>
  <c r="BA314" i="4"/>
  <c r="AZ70" i="4"/>
  <c r="V60" i="7"/>
  <c r="BM312" i="4"/>
  <c r="BQ19" i="3"/>
  <c r="BQ203" i="4"/>
  <c r="BQ285" i="4"/>
  <c r="BM41" i="3"/>
  <c r="BM18" i="3" s="1"/>
  <c r="BM27" i="5" s="1"/>
  <c r="BM33" i="3"/>
  <c r="BM16" i="3" s="1"/>
  <c r="BM25" i="5" s="1"/>
  <c r="U50" i="7"/>
  <c r="BO108" i="4"/>
  <c r="BO82" i="4"/>
  <c r="BO172" i="4" s="1"/>
  <c r="BO299" i="4"/>
  <c r="E59" i="1"/>
  <c r="BN183" i="4" l="1"/>
  <c r="BN32" i="4"/>
  <c r="BQ238" i="4"/>
  <c r="BN29" i="4"/>
  <c r="BN352" i="4"/>
  <c r="DJ7" i="6"/>
  <c r="DK8" i="6"/>
  <c r="DK9" i="6" s="1"/>
  <c r="BP9" i="3"/>
  <c r="BP8" i="4"/>
  <c r="AL357" i="4"/>
  <c r="AL25" i="4"/>
  <c r="BO6" i="3"/>
  <c r="BO53" i="3"/>
  <c r="BO52" i="3" s="1"/>
  <c r="BO56" i="3" s="1"/>
  <c r="BO20" i="3" s="1"/>
  <c r="BO28" i="5" s="1"/>
  <c r="BO7" i="4"/>
  <c r="U48" i="6"/>
  <c r="U47" i="6" s="1"/>
  <c r="V47" i="7"/>
  <c r="BA316" i="4"/>
  <c r="BA33" i="5" s="1"/>
  <c r="BR19" i="3"/>
  <c r="BR285" i="4"/>
  <c r="BR203" i="4"/>
  <c r="BN13" i="4"/>
  <c r="BN48" i="6"/>
  <c r="BN47" i="6" s="1"/>
  <c r="BN55" i="6"/>
  <c r="BO298" i="4"/>
  <c r="BO102" i="4"/>
  <c r="BO107" i="4" s="1"/>
  <c r="BO103" i="4"/>
  <c r="BO166" i="4"/>
  <c r="BO80" i="4" s="1"/>
  <c r="BO105" i="4"/>
  <c r="BO106" i="4" s="1"/>
  <c r="BO104" i="4"/>
  <c r="BS49" i="3"/>
  <c r="BS150" i="4"/>
  <c r="BS151" i="4" s="1"/>
  <c r="BT25" i="3"/>
  <c r="BL101" i="3"/>
  <c r="BL102" i="3" s="1"/>
  <c r="BL91" i="3"/>
  <c r="BL92" i="3" s="1"/>
  <c r="BL96" i="3"/>
  <c r="BL97" i="3" s="1"/>
  <c r="BM62" i="3"/>
  <c r="BL86" i="3"/>
  <c r="BL87" i="3" s="1"/>
  <c r="BL81" i="3"/>
  <c r="BL82" i="3" s="1"/>
  <c r="BN218" i="4"/>
  <c r="BN12" i="3"/>
  <c r="BN6" i="9"/>
  <c r="BM74" i="6"/>
  <c r="BM32" i="5"/>
  <c r="BM61" i="3"/>
  <c r="BM152" i="4"/>
  <c r="BM88" i="6"/>
  <c r="BS109" i="4"/>
  <c r="BR223" i="4"/>
  <c r="BK105" i="3"/>
  <c r="BK106" i="3" s="1"/>
  <c r="BK17" i="3" s="1"/>
  <c r="BK26" i="5" s="1"/>
  <c r="BB209" i="4"/>
  <c r="BB215" i="4"/>
  <c r="BB219" i="4"/>
  <c r="BB25" i="9" s="1"/>
  <c r="AM90" i="4"/>
  <c r="U22" i="6"/>
  <c r="BA33" i="4"/>
  <c r="BB28" i="4" s="1"/>
  <c r="BN282" i="4"/>
  <c r="BO7" i="9"/>
  <c r="BO9" i="5"/>
  <c r="AX141" i="1"/>
  <c r="BJ86" i="6"/>
  <c r="BJ16" i="6"/>
  <c r="BJ332" i="4"/>
  <c r="BJ339" i="4" s="1"/>
  <c r="V61" i="7"/>
  <c r="V62" i="7" s="1"/>
  <c r="W58" i="7" s="1"/>
  <c r="BM50" i="4"/>
  <c r="BM168" i="4"/>
  <c r="BM169" i="4" s="1"/>
  <c r="BM170" i="4" s="1"/>
  <c r="BN208" i="4"/>
  <c r="BN15" i="4"/>
  <c r="BN115" i="4"/>
  <c r="W60" i="7" l="1"/>
  <c r="BB60" i="6"/>
  <c r="BC212" i="4"/>
  <c r="BM81" i="3"/>
  <c r="BM82" i="3" s="1"/>
  <c r="BM86" i="3"/>
  <c r="BM87" i="3" s="1"/>
  <c r="BM91" i="3"/>
  <c r="BM92" i="3" s="1"/>
  <c r="BM101" i="3"/>
  <c r="BM102" i="3" s="1"/>
  <c r="BM96" i="3"/>
  <c r="BM97" i="3" s="1"/>
  <c r="BS203" i="4"/>
  <c r="BS19" i="3"/>
  <c r="BS285" i="4"/>
  <c r="AM20" i="4"/>
  <c r="V49" i="7"/>
  <c r="V50" i="7" s="1"/>
  <c r="BB31" i="4"/>
  <c r="BB33" i="4" s="1"/>
  <c r="BC28" i="4" s="1"/>
  <c r="BB30" i="4"/>
  <c r="BA94" i="6"/>
  <c r="AO147" i="1"/>
  <c r="AN108" i="1"/>
  <c r="BA41" i="6"/>
  <c r="BN41" i="3"/>
  <c r="BN18" i="3" s="1"/>
  <c r="BN27" i="5" s="1"/>
  <c r="BN33" i="3"/>
  <c r="BN16" i="3" s="1"/>
  <c r="BN25" i="5" s="1"/>
  <c r="BA317" i="4"/>
  <c r="BP8" i="5"/>
  <c r="BO8" i="9"/>
  <c r="BO13" i="5"/>
  <c r="BO12" i="4" s="1"/>
  <c r="BO16" i="5"/>
  <c r="BO15" i="5"/>
  <c r="BO12" i="5"/>
  <c r="BO7" i="5"/>
  <c r="AB47" i="8"/>
  <c r="BK86" i="6"/>
  <c r="BK332" i="4"/>
  <c r="BK339" i="4" s="1"/>
  <c r="BK16" i="6"/>
  <c r="BL105" i="3"/>
  <c r="BL106" i="3" s="1"/>
  <c r="BL17" i="3" s="1"/>
  <c r="BL26" i="5" s="1"/>
  <c r="BO14" i="5"/>
  <c r="BN312" i="4"/>
  <c r="BN14" i="4"/>
  <c r="BP108" i="4"/>
  <c r="BP299" i="4"/>
  <c r="AM25" i="6"/>
  <c r="AM22" i="4"/>
  <c r="AM91" i="4"/>
  <c r="AM92" i="4" s="1"/>
  <c r="BT109" i="4"/>
  <c r="BS223" i="4"/>
  <c r="BO281" i="4"/>
  <c r="BO282" i="4"/>
  <c r="BO205" i="4"/>
  <c r="BO213" i="4"/>
  <c r="BP7" i="3"/>
  <c r="BQ8" i="3"/>
  <c r="BP9" i="4"/>
  <c r="BM20" i="6"/>
  <c r="BM346" i="4"/>
  <c r="BM87" i="6"/>
  <c r="BU25" i="3"/>
  <c r="BT49" i="3"/>
  <c r="BT150" i="4"/>
  <c r="BT151" i="4" s="1"/>
  <c r="BR238" i="4"/>
  <c r="BO89" i="6"/>
  <c r="BO351" i="4"/>
  <c r="DL8" i="6"/>
  <c r="DL9" i="6" s="1"/>
  <c r="DK7" i="6"/>
  <c r="BJ344" i="4"/>
  <c r="BJ348" i="4" s="1"/>
  <c r="BJ18" i="6"/>
  <c r="BN50" i="4"/>
  <c r="AM182" i="4" l="1"/>
  <c r="AM51" i="4" s="1"/>
  <c r="AM24" i="4"/>
  <c r="BN88" i="6"/>
  <c r="BT203" i="4"/>
  <c r="BT285" i="4"/>
  <c r="BT19" i="3"/>
  <c r="BP104" i="4"/>
  <c r="BP102" i="4"/>
  <c r="BP107" i="4" s="1"/>
  <c r="BP166" i="4"/>
  <c r="BP80" i="4" s="1"/>
  <c r="BP298" i="4"/>
  <c r="BP103" i="4"/>
  <c r="BP105" i="4"/>
  <c r="BP106" i="4" s="1"/>
  <c r="BP82" i="4"/>
  <c r="BP172" i="4" s="1"/>
  <c r="BO347" i="4"/>
  <c r="BQ8" i="4"/>
  <c r="BQ9" i="3"/>
  <c r="BP14" i="5"/>
  <c r="BP7" i="9"/>
  <c r="BP9" i="5"/>
  <c r="V21" i="6"/>
  <c r="BV25" i="3"/>
  <c r="BU49" i="3"/>
  <c r="BU150" i="4"/>
  <c r="BU151" i="4" s="1"/>
  <c r="N151" i="4" s="1"/>
  <c r="W47" i="7"/>
  <c r="V48" i="6"/>
  <c r="V47" i="6" s="1"/>
  <c r="BS238" i="4"/>
  <c r="BO29" i="4"/>
  <c r="BO352" i="4"/>
  <c r="BT223" i="4"/>
  <c r="BU109" i="4"/>
  <c r="BU223" i="4" s="1"/>
  <c r="BL86" i="6"/>
  <c r="BL332" i="4"/>
  <c r="BL339" i="4" s="1"/>
  <c r="BL16" i="6"/>
  <c r="BB314" i="4"/>
  <c r="BA70" i="4"/>
  <c r="C49" i="1"/>
  <c r="BM105" i="3"/>
  <c r="BM106" i="3" s="1"/>
  <c r="BM17" i="3" s="1"/>
  <c r="BM26" i="5" s="1"/>
  <c r="BC215" i="4"/>
  <c r="BC209" i="4"/>
  <c r="BC219" i="4"/>
  <c r="BC25" i="9" s="1"/>
  <c r="BP6" i="3"/>
  <c r="BP7" i="4"/>
  <c r="BP53" i="3"/>
  <c r="BP52" i="3" s="1"/>
  <c r="BP56" i="3" s="1"/>
  <c r="BP20" i="3" s="1"/>
  <c r="BP28" i="5" s="1"/>
  <c r="AM23" i="4"/>
  <c r="AM93" i="4"/>
  <c r="BN167" i="4"/>
  <c r="BO14" i="4"/>
  <c r="BK344" i="4"/>
  <c r="BO12" i="3"/>
  <c r="BO6" i="9"/>
  <c r="DL7" i="6"/>
  <c r="DM8" i="6"/>
  <c r="DM9" i="6" s="1"/>
  <c r="BO218" i="4"/>
  <c r="BO13" i="4"/>
  <c r="BO48" i="6"/>
  <c r="BO47" i="6" s="1"/>
  <c r="BO55" i="6"/>
  <c r="AM25" i="4"/>
  <c r="W61" i="7"/>
  <c r="W49" i="7" s="1"/>
  <c r="BO214" i="4"/>
  <c r="BO15" i="4"/>
  <c r="BO208" i="4"/>
  <c r="BO115" i="4"/>
  <c r="BN61" i="3"/>
  <c r="BN62" i="3" s="1"/>
  <c r="BN74" i="6"/>
  <c r="BN32" i="5"/>
  <c r="BN152" i="4"/>
  <c r="W62" i="7" l="1"/>
  <c r="X58" i="7" s="1"/>
  <c r="W21" i="6"/>
  <c r="W22" i="6" s="1"/>
  <c r="BN20" i="6"/>
  <c r="BN346" i="4"/>
  <c r="BN87" i="6"/>
  <c r="BN168" i="4"/>
  <c r="BN169" i="4"/>
  <c r="BN170" i="4" s="1"/>
  <c r="BC31" i="4"/>
  <c r="BC30" i="4"/>
  <c r="BC33" i="4" s="1"/>
  <c r="BD28" i="4" s="1"/>
  <c r="BL344" i="4"/>
  <c r="BW25" i="3"/>
  <c r="BV49" i="3"/>
  <c r="BV19" i="3" s="1"/>
  <c r="AM61" i="6"/>
  <c r="AN88" i="4"/>
  <c r="BC60" i="6"/>
  <c r="BD212" i="4"/>
  <c r="BO167" i="4"/>
  <c r="BO312" i="4"/>
  <c r="BN101" i="3"/>
  <c r="BN102" i="3" s="1"/>
  <c r="BN105" i="3" s="1"/>
  <c r="BN106" i="3" s="1"/>
  <c r="BN17" i="3" s="1"/>
  <c r="BN26" i="5" s="1"/>
  <c r="BN91" i="3"/>
  <c r="BN92" i="3" s="1"/>
  <c r="BN86" i="3"/>
  <c r="BN87" i="3" s="1"/>
  <c r="BN81" i="3"/>
  <c r="BN82" i="3" s="1"/>
  <c r="BN96" i="3"/>
  <c r="BN97" i="3" s="1"/>
  <c r="BM86" i="6"/>
  <c r="BM332" i="4"/>
  <c r="BM339" i="4" s="1"/>
  <c r="BM16" i="6"/>
  <c r="BQ9" i="4"/>
  <c r="BQ7" i="3"/>
  <c r="BR8" i="3"/>
  <c r="X60" i="7"/>
  <c r="W50" i="7"/>
  <c r="BQ108" i="4"/>
  <c r="BQ299" i="4"/>
  <c r="BQ82" i="4"/>
  <c r="BQ172" i="4" s="1"/>
  <c r="BO33" i="3"/>
  <c r="BO16" i="3" s="1"/>
  <c r="BO25" i="5" s="1"/>
  <c r="BO41" i="3"/>
  <c r="BO18" i="3" s="1"/>
  <c r="BO27" i="5" s="1"/>
  <c r="BP89" i="6"/>
  <c r="V22" i="6"/>
  <c r="AM357" i="4"/>
  <c r="DM7" i="6"/>
  <c r="DN8" i="6"/>
  <c r="DN9" i="6" s="1"/>
  <c r="BU19" i="3"/>
  <c r="BU203" i="4"/>
  <c r="BU285" i="4"/>
  <c r="BP281" i="4"/>
  <c r="BP282" i="4"/>
  <c r="BP205" i="4"/>
  <c r="BP213" i="4"/>
  <c r="BT238" i="4"/>
  <c r="BO183" i="4"/>
  <c r="BO32" i="4"/>
  <c r="AN20" i="4"/>
  <c r="BB317" i="4"/>
  <c r="BB316" i="4"/>
  <c r="BB33" i="5" s="1"/>
  <c r="BQ8" i="5"/>
  <c r="BP15" i="5"/>
  <c r="BP8" i="9"/>
  <c r="BP13" i="5"/>
  <c r="BP12" i="4" s="1"/>
  <c r="BP16" i="5"/>
  <c r="BP7" i="5"/>
  <c r="BP12" i="5"/>
  <c r="BC314" i="4" l="1"/>
  <c r="BB70" i="4"/>
  <c r="T288" i="4"/>
  <c r="U288" i="4"/>
  <c r="S288" i="4"/>
  <c r="R288" i="4"/>
  <c r="V288" i="4"/>
  <c r="W288" i="4"/>
  <c r="X288" i="4"/>
  <c r="N285" i="4"/>
  <c r="Y288" i="4"/>
  <c r="Z288" i="4"/>
  <c r="AA288" i="4"/>
  <c r="AB288" i="4"/>
  <c r="AC288" i="4"/>
  <c r="AE288" i="4"/>
  <c r="AD288" i="4"/>
  <c r="AF288" i="4"/>
  <c r="AH288" i="4"/>
  <c r="AG288" i="4"/>
  <c r="AI288" i="4"/>
  <c r="AJ288" i="4"/>
  <c r="AL288" i="4"/>
  <c r="AK288" i="4"/>
  <c r="AM288" i="4"/>
  <c r="AN288" i="4"/>
  <c r="AP288" i="4"/>
  <c r="AO288" i="4"/>
  <c r="AQ288" i="4"/>
  <c r="AR288" i="4"/>
  <c r="AS288" i="4"/>
  <c r="AT288" i="4"/>
  <c r="AU288" i="4"/>
  <c r="AV288" i="4"/>
  <c r="AW288" i="4"/>
  <c r="AX288" i="4"/>
  <c r="AZ288" i="4"/>
  <c r="AY288" i="4"/>
  <c r="BA288" i="4"/>
  <c r="BB288" i="4"/>
  <c r="BC288" i="4"/>
  <c r="BD288" i="4"/>
  <c r="BE288" i="4"/>
  <c r="BF288" i="4"/>
  <c r="BG288" i="4"/>
  <c r="BH288" i="4"/>
  <c r="BJ288" i="4"/>
  <c r="BI288" i="4"/>
  <c r="BK288" i="4"/>
  <c r="BL288" i="4"/>
  <c r="BO288" i="4"/>
  <c r="BN288" i="4"/>
  <c r="BO168" i="4"/>
  <c r="BO169" i="4" s="1"/>
  <c r="BO170" i="4" s="1"/>
  <c r="BP13" i="4"/>
  <c r="BP48" i="6"/>
  <c r="BP47" i="6" s="1"/>
  <c r="BP6" i="9"/>
  <c r="BP12" i="3"/>
  <c r="BP29" i="4"/>
  <c r="BP352" i="4"/>
  <c r="BU238" i="4"/>
  <c r="N238" i="4" s="1"/>
  <c r="N203" i="4"/>
  <c r="X61" i="7"/>
  <c r="X49" i="7" s="1"/>
  <c r="X21" i="6" s="1"/>
  <c r="BM344" i="4"/>
  <c r="BD209" i="4"/>
  <c r="BD215" i="4"/>
  <c r="BD219" i="4"/>
  <c r="BD25" i="9" s="1"/>
  <c r="AC47" i="8"/>
  <c r="BP347" i="4"/>
  <c r="DN7" i="6"/>
  <c r="DO8" i="6"/>
  <c r="DO9" i="6" s="1"/>
  <c r="BR9" i="3"/>
  <c r="BR8" i="4"/>
  <c r="AN90" i="4"/>
  <c r="BQ6" i="3"/>
  <c r="BQ53" i="3"/>
  <c r="BQ52" i="3" s="1"/>
  <c r="BQ56" i="3" s="1"/>
  <c r="BQ20" i="3" s="1"/>
  <c r="BQ28" i="5" s="1"/>
  <c r="BQ7" i="4"/>
  <c r="BN86" i="6"/>
  <c r="BN16" i="6"/>
  <c r="BN332" i="4"/>
  <c r="BN339" i="4" s="1"/>
  <c r="BP15" i="4"/>
  <c r="BP208" i="4"/>
  <c r="BP115" i="4"/>
  <c r="BO50" i="4"/>
  <c r="BP351" i="4"/>
  <c r="X47" i="7"/>
  <c r="W48" i="6"/>
  <c r="W47" i="6" s="1"/>
  <c r="BQ166" i="4"/>
  <c r="BQ80" i="4" s="1"/>
  <c r="BQ104" i="4"/>
  <c r="BQ102" i="4"/>
  <c r="BQ107" i="4" s="1"/>
  <c r="BQ298" i="4"/>
  <c r="BQ103" i="4"/>
  <c r="BQ105" i="4"/>
  <c r="BQ106" i="4" s="1"/>
  <c r="BP55" i="6"/>
  <c r="BP218" i="4"/>
  <c r="BQ9" i="5"/>
  <c r="BQ7" i="9"/>
  <c r="BP288" i="4"/>
  <c r="BO88" i="6"/>
  <c r="BP214" i="4"/>
  <c r="BB94" i="6"/>
  <c r="AP147" i="1"/>
  <c r="AO108" i="1"/>
  <c r="BB41" i="6"/>
  <c r="BM288" i="4"/>
  <c r="BO61" i="3"/>
  <c r="BO62" i="3" s="1"/>
  <c r="BO152" i="4"/>
  <c r="BO74" i="6"/>
  <c r="BO32" i="5"/>
  <c r="BW49" i="3"/>
  <c r="BW19" i="3" s="1"/>
  <c r="BX25" i="3"/>
  <c r="AD47" i="8"/>
  <c r="W67" i="7"/>
  <c r="W68" i="7" s="1"/>
  <c r="X62" i="7" l="1"/>
  <c r="Y58" i="7" s="1"/>
  <c r="Y60" i="7" s="1"/>
  <c r="Y61" i="7" s="1"/>
  <c r="X22" i="6"/>
  <c r="BP183" i="4"/>
  <c r="BP32" i="4"/>
  <c r="BQ13" i="5"/>
  <c r="BQ12" i="4" s="1"/>
  <c r="BQ12" i="5"/>
  <c r="BQ16" i="5"/>
  <c r="BQ8" i="9"/>
  <c r="BR8" i="5"/>
  <c r="BQ15" i="5"/>
  <c r="BQ7" i="5"/>
  <c r="DP8" i="6"/>
  <c r="DP9" i="6" s="1"/>
  <c r="DP7" i="6" s="1"/>
  <c r="DO7" i="6"/>
  <c r="BP33" i="3"/>
  <c r="BP16" i="3" s="1"/>
  <c r="BP25" i="5" s="1"/>
  <c r="BP41" i="3"/>
  <c r="BP18" i="3" s="1"/>
  <c r="BP27" i="5" s="1"/>
  <c r="BY25" i="3"/>
  <c r="BX49" i="3"/>
  <c r="BX19" i="3" s="1"/>
  <c r="BO96" i="3"/>
  <c r="BO97" i="3" s="1"/>
  <c r="BO101" i="3"/>
  <c r="BO102" i="3" s="1"/>
  <c r="BO91" i="3"/>
  <c r="BO92" i="3" s="1"/>
  <c r="BO81" i="3"/>
  <c r="BO82" i="3" s="1"/>
  <c r="BO86" i="3"/>
  <c r="BO87" i="3" s="1"/>
  <c r="AN25" i="6"/>
  <c r="AN22" i="4"/>
  <c r="AN91" i="4"/>
  <c r="BN344" i="4"/>
  <c r="BP312" i="4"/>
  <c r="BP14" i="4"/>
  <c r="BC316" i="4"/>
  <c r="BC33" i="5" s="1"/>
  <c r="C50" i="1"/>
  <c r="BR82" i="4"/>
  <c r="BR172" i="4" s="1"/>
  <c r="BR299" i="4"/>
  <c r="BR108" i="4"/>
  <c r="BO87" i="6"/>
  <c r="BO346" i="4"/>
  <c r="BO20" i="6"/>
  <c r="BQ14" i="5"/>
  <c r="X50" i="7"/>
  <c r="BQ281" i="4"/>
  <c r="BQ288" i="4" s="1"/>
  <c r="BQ282" i="4"/>
  <c r="BQ205" i="4"/>
  <c r="BQ213" i="4"/>
  <c r="BR7" i="3"/>
  <c r="BS8" i="3"/>
  <c r="BR9" i="4"/>
  <c r="BE212" i="4"/>
  <c r="BD60" i="6"/>
  <c r="R291" i="4"/>
  <c r="R289" i="4"/>
  <c r="BQ89" i="6"/>
  <c r="BQ351" i="4"/>
  <c r="BD30" i="4"/>
  <c r="BD31" i="4"/>
  <c r="AQ147" i="1" l="1"/>
  <c r="BC94" i="6"/>
  <c r="AP108" i="1"/>
  <c r="BP167" i="4"/>
  <c r="BP61" i="3"/>
  <c r="BP62" i="3" s="1"/>
  <c r="BP74" i="6"/>
  <c r="BP152" i="4"/>
  <c r="BP32" i="5"/>
  <c r="BQ218" i="4"/>
  <c r="BC317" i="4"/>
  <c r="BO105" i="3"/>
  <c r="BO106" i="3" s="1"/>
  <c r="BO17" i="3" s="1"/>
  <c r="BO26" i="5" s="1"/>
  <c r="BQ13" i="4"/>
  <c r="BQ48" i="6"/>
  <c r="BQ47" i="6" s="1"/>
  <c r="BQ347" i="4"/>
  <c r="BE209" i="4"/>
  <c r="BE215" i="4"/>
  <c r="BE219" i="4"/>
  <c r="BE25" i="9" s="1"/>
  <c r="BQ214" i="4"/>
  <c r="Y62" i="7"/>
  <c r="Z58" i="7" s="1"/>
  <c r="S287" i="4"/>
  <c r="R71" i="4"/>
  <c r="R72" i="4" s="1"/>
  <c r="BD33" i="4"/>
  <c r="BE28" i="4" s="1"/>
  <c r="BR102" i="4"/>
  <c r="BR107" i="4" s="1"/>
  <c r="BR103" i="4"/>
  <c r="BR105" i="4"/>
  <c r="BR106" i="4" s="1"/>
  <c r="BR166" i="4"/>
  <c r="BR80" i="4" s="1"/>
  <c r="BR104" i="4"/>
  <c r="BR298" i="4"/>
  <c r="BQ55" i="6"/>
  <c r="BQ12" i="3"/>
  <c r="BQ6" i="9"/>
  <c r="BP50" i="4"/>
  <c r="BS9" i="3"/>
  <c r="BS8" i="4"/>
  <c r="X48" i="6"/>
  <c r="X47" i="6" s="1"/>
  <c r="Y47" i="7"/>
  <c r="BQ208" i="4"/>
  <c r="BQ115" i="4"/>
  <c r="BQ15" i="4"/>
  <c r="BR6" i="3"/>
  <c r="BR53" i="3"/>
  <c r="BR52" i="3" s="1"/>
  <c r="BR56" i="3" s="1"/>
  <c r="BR20" i="3" s="1"/>
  <c r="BR28" i="5" s="1"/>
  <c r="BR7" i="4"/>
  <c r="BC41" i="6"/>
  <c r="BR9" i="5"/>
  <c r="BR14" i="5" s="1"/>
  <c r="BR7" i="9"/>
  <c r="Y49" i="7"/>
  <c r="Y21" i="6" s="1"/>
  <c r="BQ29" i="4"/>
  <c r="BQ352" i="4"/>
  <c r="AN23" i="4"/>
  <c r="AN92" i="4"/>
  <c r="BY49" i="3"/>
  <c r="BY19" i="3" s="1"/>
  <c r="BZ25" i="3"/>
  <c r="BP88" i="6"/>
  <c r="AE47" i="8"/>
  <c r="X67" i="7"/>
  <c r="X68" i="7" s="1"/>
  <c r="Y50" i="7" l="1"/>
  <c r="Z47" i="7" s="1"/>
  <c r="BR282" i="4"/>
  <c r="BR281" i="4"/>
  <c r="BR288" i="4" s="1"/>
  <c r="BR205" i="4"/>
  <c r="BR213" i="4"/>
  <c r="BR351" i="4"/>
  <c r="BR89" i="6"/>
  <c r="BQ183" i="4"/>
  <c r="BQ32" i="4"/>
  <c r="AN25" i="4"/>
  <c r="BP86" i="3"/>
  <c r="BP87" i="3" s="1"/>
  <c r="BP81" i="3"/>
  <c r="BP82" i="3" s="1"/>
  <c r="BP91" i="3"/>
  <c r="BP92" i="3" s="1"/>
  <c r="BP101" i="3"/>
  <c r="BP102" i="3" s="1"/>
  <c r="BP105" i="3" s="1"/>
  <c r="BP106" i="3" s="1"/>
  <c r="BP17" i="3" s="1"/>
  <c r="BP26" i="5" s="1"/>
  <c r="BP96" i="3"/>
  <c r="BP97" i="3" s="1"/>
  <c r="BS7" i="3"/>
  <c r="BT8" i="3"/>
  <c r="BS9" i="4"/>
  <c r="BS108" i="4" s="1"/>
  <c r="BQ312" i="4"/>
  <c r="Z60" i="7"/>
  <c r="Y22" i="6"/>
  <c r="BE60" i="6"/>
  <c r="BF212" i="4"/>
  <c r="BO86" i="6"/>
  <c r="BO332" i="4"/>
  <c r="BO339" i="4" s="1"/>
  <c r="BO16" i="6"/>
  <c r="BP168" i="4"/>
  <c r="BP169" i="4" s="1"/>
  <c r="BP170" i="4" s="1"/>
  <c r="AN24" i="4"/>
  <c r="AN182" i="4"/>
  <c r="AN51" i="4" s="1"/>
  <c r="S326" i="4"/>
  <c r="S291" i="4"/>
  <c r="S289" i="4"/>
  <c r="BE31" i="4"/>
  <c r="BE33" i="4" s="1"/>
  <c r="BF28" i="4" s="1"/>
  <c r="BE30" i="4"/>
  <c r="BP346" i="4"/>
  <c r="BP20" i="6"/>
  <c r="BP87" i="6"/>
  <c r="BQ14" i="4"/>
  <c r="CA25" i="3"/>
  <c r="BZ49" i="3"/>
  <c r="BZ19" i="3" s="1"/>
  <c r="BD314" i="4"/>
  <c r="BC70" i="4"/>
  <c r="C51" i="1"/>
  <c r="BR15" i="5"/>
  <c r="BR12" i="5"/>
  <c r="BR55" i="6" s="1"/>
  <c r="BS8" i="5"/>
  <c r="BR8" i="9"/>
  <c r="BR7" i="5"/>
  <c r="BR13" i="5"/>
  <c r="BR12" i="4" s="1"/>
  <c r="BR16" i="5"/>
  <c r="BQ33" i="3"/>
  <c r="BQ16" i="3" s="1"/>
  <c r="BQ25" i="5" s="1"/>
  <c r="BQ41" i="3"/>
  <c r="BQ18" i="3" s="1"/>
  <c r="BQ27" i="5" s="1"/>
  <c r="AN93" i="4"/>
  <c r="Y48" i="6" l="1"/>
  <c r="Y47" i="6" s="1"/>
  <c r="S71" i="4"/>
  <c r="T287" i="4"/>
  <c r="AO88" i="4"/>
  <c r="AN61" i="6"/>
  <c r="S330" i="4"/>
  <c r="S329" i="4"/>
  <c r="BS6" i="3"/>
  <c r="BS53" i="3"/>
  <c r="BS52" i="3" s="1"/>
  <c r="BS56" i="3" s="1"/>
  <c r="BS20" i="3" s="1"/>
  <c r="BS28" i="5" s="1"/>
  <c r="BS7" i="4"/>
  <c r="BR29" i="4"/>
  <c r="BR352" i="4"/>
  <c r="AO20" i="4"/>
  <c r="BQ88" i="6"/>
  <c r="BR15" i="4"/>
  <c r="BR115" i="4"/>
  <c r="BR208" i="4"/>
  <c r="Z61" i="7"/>
  <c r="Z49" i="7" s="1"/>
  <c r="BS7" i="9"/>
  <c r="BS9" i="5"/>
  <c r="BS14" i="5" s="1"/>
  <c r="BF209" i="4"/>
  <c r="BF215" i="4"/>
  <c r="BF219" i="4"/>
  <c r="BF25" i="9" s="1"/>
  <c r="BP86" i="6"/>
  <c r="BP332" i="4"/>
  <c r="BP339" i="4" s="1"/>
  <c r="BP16" i="6"/>
  <c r="BQ50" i="4"/>
  <c r="BR218" i="4"/>
  <c r="BQ167" i="4"/>
  <c r="BT9" i="3"/>
  <c r="BT8" i="4"/>
  <c r="BQ152" i="4"/>
  <c r="BQ74" i="6"/>
  <c r="BQ61" i="3"/>
  <c r="BQ62" i="3" s="1"/>
  <c r="BQ32" i="5"/>
  <c r="AN357" i="4"/>
  <c r="BS299" i="4"/>
  <c r="BR214" i="4"/>
  <c r="BR347" i="4"/>
  <c r="CA49" i="3"/>
  <c r="CA19" i="3" s="1"/>
  <c r="CB25" i="3"/>
  <c r="BS82" i="4"/>
  <c r="BS172" i="4" s="1"/>
  <c r="BR13" i="4"/>
  <c r="BR48" i="6"/>
  <c r="BR47" i="6" s="1"/>
  <c r="BR12" i="3"/>
  <c r="BR6" i="9"/>
  <c r="BD317" i="4"/>
  <c r="BD316" i="4"/>
  <c r="BD33" i="5" s="1"/>
  <c r="S30" i="5"/>
  <c r="BO344" i="4"/>
  <c r="AF47" i="8"/>
  <c r="Y67" i="7"/>
  <c r="Y68" i="7" s="1"/>
  <c r="BS103" i="4"/>
  <c r="BS166" i="4"/>
  <c r="BS80" i="4" s="1"/>
  <c r="BS105" i="4"/>
  <c r="BS106" i="4" s="1"/>
  <c r="BS298" i="4"/>
  <c r="BS104" i="4"/>
  <c r="BS102" i="4"/>
  <c r="BS107" i="4" s="1"/>
  <c r="Z62" i="7" l="1"/>
  <c r="AA58" i="7" s="1"/>
  <c r="Z21" i="6"/>
  <c r="Z22" i="6" s="1"/>
  <c r="Z50" i="7"/>
  <c r="BQ101" i="3"/>
  <c r="BQ102" i="3" s="1"/>
  <c r="BQ86" i="3"/>
  <c r="BQ87" i="3" s="1"/>
  <c r="BQ91" i="3"/>
  <c r="BQ92" i="3" s="1"/>
  <c r="BQ81" i="3"/>
  <c r="BQ82" i="3" s="1"/>
  <c r="BQ96" i="3"/>
  <c r="BQ97" i="3" s="1"/>
  <c r="BR33" i="3"/>
  <c r="BR16" i="3" s="1"/>
  <c r="BR25" i="5" s="1"/>
  <c r="BR41" i="3"/>
  <c r="BR18" i="3" s="1"/>
  <c r="BR27" i="5" s="1"/>
  <c r="BG212" i="4"/>
  <c r="BF60" i="6"/>
  <c r="AO90" i="4"/>
  <c r="BQ346" i="4"/>
  <c r="BQ20" i="6"/>
  <c r="BQ87" i="6"/>
  <c r="BF31" i="4"/>
  <c r="BF30" i="4"/>
  <c r="BF33" i="4" s="1"/>
  <c r="BG28" i="4" s="1"/>
  <c r="BS281" i="4"/>
  <c r="BS288" i="4" s="1"/>
  <c r="BS282" i="4"/>
  <c r="BS205" i="4"/>
  <c r="BS213" i="4"/>
  <c r="T326" i="4"/>
  <c r="T289" i="4"/>
  <c r="BD70" i="4"/>
  <c r="BE314" i="4"/>
  <c r="AA60" i="7"/>
  <c r="BR312" i="4"/>
  <c r="BT82" i="4"/>
  <c r="BT172" i="4" s="1"/>
  <c r="BS351" i="4"/>
  <c r="BS89" i="6"/>
  <c r="CC25" i="3"/>
  <c r="CB49" i="3"/>
  <c r="CB19" i="3" s="1"/>
  <c r="BU8" i="3"/>
  <c r="BT7" i="3"/>
  <c r="BT9" i="4"/>
  <c r="BP344" i="4"/>
  <c r="BS8" i="9"/>
  <c r="BS15" i="5"/>
  <c r="BS16" i="5"/>
  <c r="BS13" i="5"/>
  <c r="BS12" i="4" s="1"/>
  <c r="BS12" i="5"/>
  <c r="BT8" i="5"/>
  <c r="BS7" i="5"/>
  <c r="G145" i="1"/>
  <c r="S96" i="6"/>
  <c r="S42" i="6"/>
  <c r="F111" i="1"/>
  <c r="S35" i="5"/>
  <c r="BQ168" i="4"/>
  <c r="BQ169" i="4" s="1"/>
  <c r="BQ170" i="4" s="1"/>
  <c r="AR147" i="1"/>
  <c r="BD94" i="6"/>
  <c r="AQ108" i="1"/>
  <c r="BD41" i="6"/>
  <c r="BR183" i="4"/>
  <c r="BR32" i="4"/>
  <c r="BR14" i="4"/>
  <c r="S338" i="4"/>
  <c r="BS218" i="4" l="1"/>
  <c r="BR88" i="6"/>
  <c r="BQ105" i="3"/>
  <c r="BQ106" i="3" s="1"/>
  <c r="BQ17" i="3" s="1"/>
  <c r="BQ26" i="5" s="1"/>
  <c r="BS15" i="4"/>
  <c r="BS115" i="4"/>
  <c r="BS208" i="4"/>
  <c r="T30" i="5"/>
  <c r="BR74" i="6"/>
  <c r="BR152" i="4"/>
  <c r="BR32" i="5"/>
  <c r="BR61" i="3"/>
  <c r="BR62" i="3" s="1"/>
  <c r="CD25" i="3"/>
  <c r="CC49" i="3"/>
  <c r="CC19" i="3" s="1"/>
  <c r="T291" i="4"/>
  <c r="BE317" i="4"/>
  <c r="BE316" i="4"/>
  <c r="BE33" i="5" s="1"/>
  <c r="BR167" i="4"/>
  <c r="BS12" i="3"/>
  <c r="BS6" i="9"/>
  <c r="Z46" i="8"/>
  <c r="Z48" i="8" s="1"/>
  <c r="BT7" i="9"/>
  <c r="BT9" i="5"/>
  <c r="BT14" i="5" s="1"/>
  <c r="BT166" i="4"/>
  <c r="BT80" i="4" s="1"/>
  <c r="BT104" i="4"/>
  <c r="BT298" i="4"/>
  <c r="BT105" i="4"/>
  <c r="BT106" i="4"/>
  <c r="BT102" i="4"/>
  <c r="BT107" i="4" s="1"/>
  <c r="BT103" i="4"/>
  <c r="BS29" i="4"/>
  <c r="BS352" i="4"/>
  <c r="AO25" i="6"/>
  <c r="AO91" i="4"/>
  <c r="AO22" i="4"/>
  <c r="T42" i="6"/>
  <c r="S340" i="4"/>
  <c r="F15" i="1"/>
  <c r="F112" i="1"/>
  <c r="BS13" i="4"/>
  <c r="BS14" i="4" s="1"/>
  <c r="BS48" i="6"/>
  <c r="BS47" i="6" s="1"/>
  <c r="BS55" i="6"/>
  <c r="BT6" i="3"/>
  <c r="BT53" i="3"/>
  <c r="BT52" i="3" s="1"/>
  <c r="BT56" i="3" s="1"/>
  <c r="BT20" i="3" s="1"/>
  <c r="BT28" i="5" s="1"/>
  <c r="BT7" i="4"/>
  <c r="BT299" i="4"/>
  <c r="AA61" i="7"/>
  <c r="AA62" i="7" s="1"/>
  <c r="AB58" i="7" s="1"/>
  <c r="AA47" i="7"/>
  <c r="Z48" i="6"/>
  <c r="Z47" i="6" s="1"/>
  <c r="BR50" i="4"/>
  <c r="BE41" i="6"/>
  <c r="C52" i="1"/>
  <c r="BS347" i="4"/>
  <c r="BU9" i="3"/>
  <c r="BU8" i="4"/>
  <c r="BT108" i="4"/>
  <c r="BS214" i="4"/>
  <c r="BG215" i="4"/>
  <c r="BG209" i="4"/>
  <c r="BG219" i="4"/>
  <c r="BG25" i="9" s="1"/>
  <c r="AG47" i="8"/>
  <c r="Z67" i="7"/>
  <c r="Z68" i="7" s="1"/>
  <c r="BS167" i="4" l="1"/>
  <c r="AB60" i="7"/>
  <c r="BT89" i="6"/>
  <c r="S74" i="4"/>
  <c r="S24" i="9"/>
  <c r="AA49" i="7"/>
  <c r="AA21" i="6" s="1"/>
  <c r="AA22" i="6" s="1"/>
  <c r="BR20" i="6"/>
  <c r="BR346" i="4"/>
  <c r="BR87" i="6"/>
  <c r="BU299" i="4"/>
  <c r="BU7" i="3"/>
  <c r="BV8" i="3"/>
  <c r="BV9" i="3" s="1"/>
  <c r="BU9" i="4"/>
  <c r="BT55" i="6"/>
  <c r="BT7" i="5"/>
  <c r="BT8" i="9"/>
  <c r="BT12" i="5"/>
  <c r="BT13" i="5"/>
  <c r="BT12" i="4" s="1"/>
  <c r="BT16" i="5"/>
  <c r="BU8" i="5"/>
  <c r="BT15" i="5"/>
  <c r="BS41" i="3"/>
  <c r="BS18" i="3" s="1"/>
  <c r="BS27" i="5" s="1"/>
  <c r="BS33" i="3"/>
  <c r="BS16" i="3" s="1"/>
  <c r="BS25" i="5" s="1"/>
  <c r="AO23" i="4"/>
  <c r="AO92" i="4"/>
  <c r="CE25" i="3"/>
  <c r="CD49" i="3"/>
  <c r="CD19" i="3" s="1"/>
  <c r="BG31" i="4"/>
  <c r="BG30" i="4"/>
  <c r="BS312" i="4"/>
  <c r="BR168" i="4"/>
  <c r="BR169" i="4" s="1"/>
  <c r="BR170" i="4" s="1"/>
  <c r="BH212" i="4"/>
  <c r="BG60" i="6"/>
  <c r="G15" i="1"/>
  <c r="BE94" i="6"/>
  <c r="AS147" i="1"/>
  <c r="AR108" i="1"/>
  <c r="BS183" i="4"/>
  <c r="BS32" i="4"/>
  <c r="BF314" i="4"/>
  <c r="BE70" i="4"/>
  <c r="BQ86" i="6"/>
  <c r="BQ332" i="4"/>
  <c r="BQ339" i="4" s="1"/>
  <c r="BQ16" i="6"/>
  <c r="BT281" i="4"/>
  <c r="BT288" i="4" s="1"/>
  <c r="BT205" i="4"/>
  <c r="BT213" i="4"/>
  <c r="U287" i="4"/>
  <c r="T71" i="4"/>
  <c r="BR81" i="3"/>
  <c r="BR82" i="3" s="1"/>
  <c r="BR96" i="3"/>
  <c r="BR97" i="3" s="1"/>
  <c r="BR101" i="3"/>
  <c r="BR102" i="3" s="1"/>
  <c r="BR91" i="3"/>
  <c r="BR92" i="3" s="1"/>
  <c r="BR86" i="3"/>
  <c r="BR87" i="3" s="1"/>
  <c r="T96" i="6"/>
  <c r="H145" i="1"/>
  <c r="G111" i="1"/>
  <c r="T35" i="5"/>
  <c r="AO93" i="4"/>
  <c r="AA50" i="7" l="1"/>
  <c r="AB47" i="7" s="1"/>
  <c r="BT282" i="4"/>
  <c r="BS50" i="4"/>
  <c r="BT347" i="4"/>
  <c r="BU102" i="4"/>
  <c r="BU103" i="4"/>
  <c r="BU105" i="4"/>
  <c r="BU106" i="4" s="1"/>
  <c r="BU166" i="4"/>
  <c r="BU80" i="4" s="1"/>
  <c r="BU104" i="4"/>
  <c r="BU298" i="4"/>
  <c r="BT218" i="4"/>
  <c r="C53" i="1"/>
  <c r="BT13" i="4"/>
  <c r="BT48" i="6"/>
  <c r="BT47" i="6" s="1"/>
  <c r="BV7" i="3"/>
  <c r="BW8" i="3"/>
  <c r="BW9" i="3" s="1"/>
  <c r="BT351" i="4"/>
  <c r="BH215" i="4"/>
  <c r="BH209" i="4"/>
  <c r="BH219" i="4"/>
  <c r="BH25" i="9" s="1"/>
  <c r="BF316" i="4"/>
  <c r="BF33" i="5" s="1"/>
  <c r="BU53" i="3"/>
  <c r="BU52" i="3" s="1"/>
  <c r="BU56" i="3" s="1"/>
  <c r="BU20" i="3" s="1"/>
  <c r="BU28" i="5" s="1"/>
  <c r="BU7" i="4"/>
  <c r="BU6" i="3"/>
  <c r="BS152" i="4"/>
  <c r="BS74" i="6"/>
  <c r="BS61" i="3"/>
  <c r="BS62" i="3" s="1"/>
  <c r="BS32" i="5"/>
  <c r="BT12" i="3"/>
  <c r="BT6" i="9"/>
  <c r="AB61" i="7"/>
  <c r="AB62" i="7" s="1"/>
  <c r="AC58" i="7" s="1"/>
  <c r="AA46" i="8"/>
  <c r="AA48" i="8" s="1"/>
  <c r="F16" i="1"/>
  <c r="G112" i="1"/>
  <c r="BT29" i="4"/>
  <c r="BT352" i="4"/>
  <c r="CF25" i="3"/>
  <c r="CE49" i="3"/>
  <c r="CE19" i="3" s="1"/>
  <c r="BS88" i="6"/>
  <c r="AO25" i="4"/>
  <c r="AH47" i="8"/>
  <c r="AA67" i="7"/>
  <c r="AA68" i="7" s="1"/>
  <c r="AO182" i="4"/>
  <c r="AO51" i="4" s="1"/>
  <c r="AO24" i="4"/>
  <c r="BT15" i="4"/>
  <c r="BT208" i="4"/>
  <c r="BT115" i="4"/>
  <c r="BU82" i="4"/>
  <c r="BU172" i="4" s="1"/>
  <c r="U326" i="4"/>
  <c r="U289" i="4"/>
  <c r="U291" i="4" s="1"/>
  <c r="AP88" i="4"/>
  <c r="AO61" i="6"/>
  <c r="BR105" i="3"/>
  <c r="BR106" i="3" s="1"/>
  <c r="BR17" i="3" s="1"/>
  <c r="BR26" i="5" s="1"/>
  <c r="BT214" i="4"/>
  <c r="BQ344" i="4"/>
  <c r="BG33" i="4"/>
  <c r="BH28" i="4" s="1"/>
  <c r="BU7" i="9"/>
  <c r="BU9" i="5"/>
  <c r="BU108" i="4"/>
  <c r="BS168" i="4"/>
  <c r="BS169" i="4"/>
  <c r="BS170" i="4" s="1"/>
  <c r="AA48" i="6" l="1"/>
  <c r="AA47" i="6" s="1"/>
  <c r="AC60" i="7"/>
  <c r="U71" i="4"/>
  <c r="V287" i="4"/>
  <c r="BS20" i="6"/>
  <c r="BS87" i="6"/>
  <c r="BS346" i="4"/>
  <c r="BH30" i="4"/>
  <c r="BH31" i="4"/>
  <c r="AP90" i="4"/>
  <c r="AO357" i="4"/>
  <c r="CF49" i="3"/>
  <c r="CF19" i="3" s="1"/>
  <c r="CG25" i="3"/>
  <c r="BS91" i="3"/>
  <c r="BS92" i="3" s="1"/>
  <c r="BS101" i="3"/>
  <c r="BS102" i="3" s="1"/>
  <c r="BS81" i="3"/>
  <c r="BS82" i="3" s="1"/>
  <c r="BS86" i="3"/>
  <c r="BS87" i="3" s="1"/>
  <c r="BS96" i="3"/>
  <c r="BS97" i="3" s="1"/>
  <c r="AB49" i="7"/>
  <c r="AB21" i="6" s="1"/>
  <c r="AB22" i="6" s="1"/>
  <c r="BI212" i="4"/>
  <c r="BH60" i="6"/>
  <c r="G16" i="1"/>
  <c r="AP20" i="4"/>
  <c r="BU281" i="4"/>
  <c r="BU288" i="4" s="1"/>
  <c r="BU205" i="4"/>
  <c r="BU214" i="4" s="1"/>
  <c r="BU213" i="4"/>
  <c r="BX8" i="3"/>
  <c r="BX9" i="3" s="1"/>
  <c r="BW7" i="3"/>
  <c r="BV8" i="5"/>
  <c r="BU16" i="5"/>
  <c r="BU15" i="5"/>
  <c r="BU8" i="9"/>
  <c r="BU13" i="5"/>
  <c r="BU12" i="4" s="1"/>
  <c r="BU12" i="5"/>
  <c r="BU7" i="5"/>
  <c r="BU351" i="4"/>
  <c r="N351" i="4" s="1"/>
  <c r="BU89" i="6"/>
  <c r="BV53" i="3"/>
  <c r="BV52" i="3" s="1"/>
  <c r="BV56" i="3" s="1"/>
  <c r="BV20" i="3" s="1"/>
  <c r="BV28" i="5" s="1"/>
  <c r="BV89" i="6" s="1"/>
  <c r="BV6" i="3"/>
  <c r="BU107" i="4"/>
  <c r="N102" i="4"/>
  <c r="BH33" i="4"/>
  <c r="BI28" i="4" s="1"/>
  <c r="BF94" i="6"/>
  <c r="AT147" i="1"/>
  <c r="AS108" i="1"/>
  <c r="BF41" i="6"/>
  <c r="BR86" i="6"/>
  <c r="BR16" i="6"/>
  <c r="BR332" i="4"/>
  <c r="BR339" i="4" s="1"/>
  <c r="U30" i="5"/>
  <c r="BU14" i="5"/>
  <c r="BT183" i="4"/>
  <c r="BT32" i="4"/>
  <c r="BT41" i="3"/>
  <c r="BT18" i="3" s="1"/>
  <c r="BT27" i="5" s="1"/>
  <c r="BT33" i="3"/>
  <c r="BT16" i="3" s="1"/>
  <c r="BT25" i="5" s="1"/>
  <c r="BF317" i="4"/>
  <c r="BT312" i="4"/>
  <c r="BT14" i="4"/>
  <c r="AB50" i="7" l="1"/>
  <c r="AC47" i="7" s="1"/>
  <c r="BU183" i="4"/>
  <c r="BU32" i="4"/>
  <c r="N32" i="4" s="1"/>
  <c r="BG314" i="4"/>
  <c r="BF70" i="4"/>
  <c r="BU208" i="4"/>
  <c r="BU115" i="4"/>
  <c r="BU15" i="4"/>
  <c r="BR344" i="4"/>
  <c r="BU218" i="4"/>
  <c r="N205" i="4"/>
  <c r="BV9" i="5"/>
  <c r="BV7" i="9"/>
  <c r="BV14" i="5"/>
  <c r="BU282" i="4"/>
  <c r="V326" i="4"/>
  <c r="V289" i="4"/>
  <c r="V30" i="5" s="1"/>
  <c r="BT50" i="4"/>
  <c r="N288" i="4"/>
  <c r="BS105" i="3"/>
  <c r="BS106" i="3" s="1"/>
  <c r="BS17" i="3" s="1"/>
  <c r="BS26" i="5" s="1"/>
  <c r="BU6" i="9"/>
  <c r="BU12" i="3"/>
  <c r="BW6" i="3"/>
  <c r="BW53" i="3"/>
  <c r="BW52" i="3" s="1"/>
  <c r="BW56" i="3" s="1"/>
  <c r="BW20" i="3" s="1"/>
  <c r="BW28" i="5" s="1"/>
  <c r="BW89" i="6" s="1"/>
  <c r="BT88" i="6"/>
  <c r="BT167" i="4"/>
  <c r="C54" i="1"/>
  <c r="R133" i="4"/>
  <c r="BU13" i="4"/>
  <c r="BU48" i="6"/>
  <c r="BU47" i="6" s="1"/>
  <c r="BU55" i="6"/>
  <c r="BY8" i="3"/>
  <c r="BY9" i="3" s="1"/>
  <c r="BX7" i="3"/>
  <c r="BI209" i="4"/>
  <c r="BI215" i="4"/>
  <c r="BI219" i="4"/>
  <c r="BI25" i="9" s="1"/>
  <c r="AP91" i="4"/>
  <c r="AP25" i="6"/>
  <c r="AP22" i="4"/>
  <c r="AC61" i="7"/>
  <c r="AC49" i="7" s="1"/>
  <c r="AC21" i="6" s="1"/>
  <c r="AC22" i="6" s="1"/>
  <c r="BT32" i="5"/>
  <c r="BT61" i="3"/>
  <c r="BT62" i="3" s="1"/>
  <c r="BT74" i="6"/>
  <c r="BT152" i="4"/>
  <c r="I145" i="1"/>
  <c r="U96" i="6"/>
  <c r="H111" i="1"/>
  <c r="U35" i="5"/>
  <c r="U42" i="6"/>
  <c r="V42" i="6" s="1"/>
  <c r="BU347" i="4"/>
  <c r="N347" i="4" s="1"/>
  <c r="BU352" i="4"/>
  <c r="N352" i="4" s="1"/>
  <c r="BU29" i="4"/>
  <c r="N29" i="4" s="1"/>
  <c r="AI47" i="8"/>
  <c r="AB67" i="7"/>
  <c r="AB68" i="7" s="1"/>
  <c r="CH25" i="3"/>
  <c r="CG49" i="3"/>
  <c r="CG19" i="3" s="1"/>
  <c r="AB48" i="6" l="1"/>
  <c r="AB47" i="6" s="1"/>
  <c r="AC62" i="7"/>
  <c r="AD58" i="7" s="1"/>
  <c r="AJ47" i="8"/>
  <c r="AC67" i="7"/>
  <c r="AC68" i="7" s="1"/>
  <c r="BS86" i="6"/>
  <c r="BS332" i="4"/>
  <c r="BS339" i="4" s="1"/>
  <c r="BS16" i="6"/>
  <c r="N218" i="4"/>
  <c r="AC50" i="7"/>
  <c r="R42" i="4"/>
  <c r="R134" i="4"/>
  <c r="CH49" i="3"/>
  <c r="CH19" i="3" s="1"/>
  <c r="CI25" i="3"/>
  <c r="F17" i="1"/>
  <c r="H112" i="1"/>
  <c r="BG316" i="4"/>
  <c r="BG33" i="5" s="1"/>
  <c r="BU312" i="4"/>
  <c r="BJ212" i="4"/>
  <c r="BI60" i="6"/>
  <c r="BV16" i="5"/>
  <c r="BV12" i="5"/>
  <c r="BV48" i="6" s="1"/>
  <c r="BV47" i="6" s="1"/>
  <c r="BV8" i="9"/>
  <c r="BV7" i="5"/>
  <c r="BW8" i="5"/>
  <c r="BV15" i="5"/>
  <c r="BV13" i="5"/>
  <c r="BV24" i="6" s="1"/>
  <c r="BT101" i="3"/>
  <c r="BT102" i="3" s="1"/>
  <c r="BT105" i="3" s="1"/>
  <c r="BT106" i="3" s="1"/>
  <c r="BT17" i="3" s="1"/>
  <c r="BT26" i="5" s="1"/>
  <c r="BT81" i="3"/>
  <c r="BT82" i="3" s="1"/>
  <c r="BT91" i="3"/>
  <c r="BT92" i="3" s="1"/>
  <c r="BT96" i="3"/>
  <c r="BT97" i="3" s="1"/>
  <c r="BT86" i="3"/>
  <c r="BT87" i="3" s="1"/>
  <c r="BI30" i="4"/>
  <c r="BI31" i="4"/>
  <c r="BT168" i="4"/>
  <c r="BT169" i="4" s="1"/>
  <c r="BT170" i="4" s="1"/>
  <c r="BU33" i="3"/>
  <c r="BU16" i="3" s="1"/>
  <c r="BU25" i="5" s="1"/>
  <c r="BU41" i="3"/>
  <c r="BU18" i="3" s="1"/>
  <c r="BU27" i="5" s="1"/>
  <c r="AP23" i="4"/>
  <c r="AP93" i="4"/>
  <c r="BT20" i="6"/>
  <c r="BT87" i="6"/>
  <c r="BT346" i="4"/>
  <c r="BX53" i="3"/>
  <c r="BX52" i="3" s="1"/>
  <c r="BX56" i="3" s="1"/>
  <c r="BX20" i="3" s="1"/>
  <c r="BX28" i="5" s="1"/>
  <c r="BX89" i="6" s="1"/>
  <c r="BX6" i="3"/>
  <c r="BU14" i="4"/>
  <c r="BU167" i="4" s="1"/>
  <c r="V96" i="6"/>
  <c r="J145" i="1"/>
  <c r="I111" i="1"/>
  <c r="V35" i="5"/>
  <c r="BU50" i="4"/>
  <c r="N183" i="4"/>
  <c r="AB46" i="8"/>
  <c r="AB48" i="8" s="1"/>
  <c r="AD60" i="7"/>
  <c r="BY7" i="3"/>
  <c r="BZ8" i="3"/>
  <c r="BZ9" i="3" s="1"/>
  <c r="V291" i="4"/>
  <c r="AP92" i="4"/>
  <c r="R260" i="4" l="1"/>
  <c r="AD61" i="7"/>
  <c r="AD62" i="7" s="1"/>
  <c r="AE58" i="7" s="1"/>
  <c r="AC46" i="8"/>
  <c r="AC48" i="8" s="1"/>
  <c r="BV12" i="3"/>
  <c r="BV6" i="9"/>
  <c r="BT86" i="6"/>
  <c r="BT16" i="6"/>
  <c r="BT332" i="4"/>
  <c r="BT339" i="4" s="1"/>
  <c r="R43" i="4"/>
  <c r="AD47" i="7"/>
  <c r="AC48" i="6"/>
  <c r="AC47" i="6" s="1"/>
  <c r="BV55" i="6"/>
  <c r="AP24" i="4"/>
  <c r="AP182" i="4"/>
  <c r="AP51" i="4" s="1"/>
  <c r="AP25" i="4"/>
  <c r="BI33" i="4"/>
  <c r="BJ28" i="4" s="1"/>
  <c r="AU147" i="1"/>
  <c r="BG94" i="6"/>
  <c r="AT108" i="1"/>
  <c r="BG41" i="6"/>
  <c r="V71" i="4"/>
  <c r="W287" i="4"/>
  <c r="BU168" i="4"/>
  <c r="BU169" i="4" s="1"/>
  <c r="BG317" i="4"/>
  <c r="BZ7" i="3"/>
  <c r="CA8" i="3"/>
  <c r="CA9" i="3" s="1"/>
  <c r="BU88" i="6"/>
  <c r="BJ209" i="4"/>
  <c r="BJ215" i="4"/>
  <c r="BJ219" i="4"/>
  <c r="BJ25" i="9" s="1"/>
  <c r="BS344" i="4"/>
  <c r="F18" i="1"/>
  <c r="I112" i="1"/>
  <c r="AP61" i="6"/>
  <c r="AQ88" i="4"/>
  <c r="CI49" i="3"/>
  <c r="CI19" i="3" s="1"/>
  <c r="CJ25" i="3"/>
  <c r="BY6" i="3"/>
  <c r="BY53" i="3"/>
  <c r="BY52" i="3" s="1"/>
  <c r="BY56" i="3" s="1"/>
  <c r="BY20" i="3" s="1"/>
  <c r="BY28" i="5" s="1"/>
  <c r="BY89" i="6" s="1"/>
  <c r="BU61" i="3"/>
  <c r="BU62" i="3" s="1"/>
  <c r="BU74" i="6"/>
  <c r="BU152" i="4"/>
  <c r="N152" i="4" s="1"/>
  <c r="BU32" i="5"/>
  <c r="G17" i="1"/>
  <c r="R184" i="4"/>
  <c r="N50" i="4"/>
  <c r="BW7" i="9"/>
  <c r="BW9" i="5"/>
  <c r="BW14" i="5"/>
  <c r="AD49" i="7" l="1"/>
  <c r="AD21" i="6" s="1"/>
  <c r="AD22" i="6" s="1"/>
  <c r="AK47" i="8" s="1"/>
  <c r="AE60" i="7"/>
  <c r="BU170" i="4"/>
  <c r="N169" i="4"/>
  <c r="BU91" i="3"/>
  <c r="BU92" i="3" s="1"/>
  <c r="BU96" i="3"/>
  <c r="BU97" i="3" s="1"/>
  <c r="BU81" i="3"/>
  <c r="BU82" i="3" s="1"/>
  <c r="BU86" i="3"/>
  <c r="BU87" i="3" s="1"/>
  <c r="BU101" i="3"/>
  <c r="BU102" i="3" s="1"/>
  <c r="AQ20" i="4"/>
  <c r="BV27" i="6"/>
  <c r="BV41" i="3"/>
  <c r="BV18" i="3" s="1"/>
  <c r="BV27" i="5" s="1"/>
  <c r="BV33" i="3"/>
  <c r="BV16" i="3" s="1"/>
  <c r="BV25" i="5" s="1"/>
  <c r="AQ90" i="4"/>
  <c r="BK212" i="4"/>
  <c r="BJ60" i="6"/>
  <c r="BG70" i="4"/>
  <c r="BH314" i="4"/>
  <c r="BX8" i="5"/>
  <c r="BW8" i="9"/>
  <c r="BW13" i="5"/>
  <c r="BW24" i="6" s="1"/>
  <c r="BW12" i="5"/>
  <c r="BW48" i="6" s="1"/>
  <c r="BW47" i="6" s="1"/>
  <c r="BW15" i="5"/>
  <c r="BW16" i="5"/>
  <c r="BW7" i="5"/>
  <c r="BU346" i="4"/>
  <c r="N346" i="4" s="1"/>
  <c r="BU87" i="6"/>
  <c r="BU20" i="6"/>
  <c r="BJ31" i="4"/>
  <c r="BJ30" i="4"/>
  <c r="G18" i="1"/>
  <c r="C55" i="1"/>
  <c r="CA7" i="3"/>
  <c r="CB8" i="3"/>
  <c r="CB9" i="3" s="1"/>
  <c r="AP357" i="4"/>
  <c r="BT344" i="4"/>
  <c r="CJ49" i="3"/>
  <c r="CJ19" i="3" s="1"/>
  <c r="CK25" i="3"/>
  <c r="BZ6" i="3"/>
  <c r="BZ53" i="3"/>
  <c r="BZ52" i="3" s="1"/>
  <c r="BZ56" i="3" s="1"/>
  <c r="BZ20" i="3" s="1"/>
  <c r="BZ28" i="5" s="1"/>
  <c r="BZ89" i="6" s="1"/>
  <c r="W326" i="4"/>
  <c r="W289" i="4"/>
  <c r="W30" i="5" s="1"/>
  <c r="BW55" i="6"/>
  <c r="R52" i="4"/>
  <c r="R136" i="4"/>
  <c r="BJ33" i="4"/>
  <c r="BK28" i="4" s="1"/>
  <c r="AD50" i="7" l="1"/>
  <c r="AE47" i="7" s="1"/>
  <c r="AD67" i="7"/>
  <c r="AD68" i="7" s="1"/>
  <c r="CA6" i="3"/>
  <c r="CA53" i="3"/>
  <c r="CA52" i="3" s="1"/>
  <c r="CA56" i="3" s="1"/>
  <c r="CA20" i="3" s="1"/>
  <c r="CA28" i="5" s="1"/>
  <c r="CA89" i="6" s="1"/>
  <c r="BW12" i="3"/>
  <c r="BW6" i="9"/>
  <c r="K145" i="1"/>
  <c r="W96" i="6"/>
  <c r="J111" i="1"/>
  <c r="W35" i="5"/>
  <c r="W42" i="6"/>
  <c r="BK215" i="4"/>
  <c r="BK209" i="4"/>
  <c r="BK219" i="4"/>
  <c r="BK25" i="9" s="1"/>
  <c r="W291" i="4"/>
  <c r="AQ25" i="6"/>
  <c r="AQ22" i="4"/>
  <c r="AQ91" i="4"/>
  <c r="BU105" i="3"/>
  <c r="BU106" i="3" s="1"/>
  <c r="BU17" i="3" s="1"/>
  <c r="BU26" i="5" s="1"/>
  <c r="BX9" i="5"/>
  <c r="BX14" i="5"/>
  <c r="BX7" i="9"/>
  <c r="BV61" i="3"/>
  <c r="BV62" i="3" s="1"/>
  <c r="BV32" i="5"/>
  <c r="BV74" i="6"/>
  <c r="AE61" i="7"/>
  <c r="AE49" i="7" s="1"/>
  <c r="R44" i="4"/>
  <c r="R138" i="4"/>
  <c r="CK49" i="3"/>
  <c r="CK19" i="3" s="1"/>
  <c r="CL25" i="3"/>
  <c r="CB7" i="3"/>
  <c r="CC8" i="3"/>
  <c r="CC9" i="3" s="1"/>
  <c r="BH316" i="4"/>
  <c r="BH33" i="5" s="1"/>
  <c r="BV17" i="6"/>
  <c r="BV88" i="6"/>
  <c r="AD48" i="6" l="1"/>
  <c r="AD47" i="6" s="1"/>
  <c r="AE62" i="7"/>
  <c r="AF58" i="7" s="1"/>
  <c r="AF60" i="7" s="1"/>
  <c r="AE21" i="6"/>
  <c r="AE22" i="6" s="1"/>
  <c r="AE50" i="7"/>
  <c r="CB53" i="3"/>
  <c r="CB52" i="3" s="1"/>
  <c r="CB56" i="3" s="1"/>
  <c r="CB20" i="3" s="1"/>
  <c r="CB28" i="5" s="1"/>
  <c r="CB89" i="6" s="1"/>
  <c r="CB6" i="3"/>
  <c r="R41" i="4"/>
  <c r="BV86" i="3"/>
  <c r="BV87" i="3" s="1"/>
  <c r="BV101" i="3"/>
  <c r="BV102" i="3" s="1"/>
  <c r="BV91" i="3"/>
  <c r="BV92" i="3" s="1"/>
  <c r="BV81" i="3"/>
  <c r="BV82" i="3" s="1"/>
  <c r="BV96" i="3"/>
  <c r="BV97" i="3" s="1"/>
  <c r="BK31" i="4"/>
  <c r="BK30" i="4"/>
  <c r="BK33" i="4" s="1"/>
  <c r="BL28" i="4" s="1"/>
  <c r="BL212" i="4"/>
  <c r="BK60" i="6"/>
  <c r="CM25" i="3"/>
  <c r="CL49" i="3"/>
  <c r="CL19" i="3" s="1"/>
  <c r="BX7" i="5"/>
  <c r="BX12" i="5"/>
  <c r="BX15" i="5"/>
  <c r="BX13" i="5"/>
  <c r="BX24" i="6" s="1"/>
  <c r="BX8" i="9"/>
  <c r="BX16" i="5"/>
  <c r="BY8" i="5"/>
  <c r="AQ23" i="4"/>
  <c r="AQ93" i="4"/>
  <c r="AQ92" i="4"/>
  <c r="AD46" i="8"/>
  <c r="AD48" i="8" s="1"/>
  <c r="F19" i="1"/>
  <c r="J112" i="1"/>
  <c r="BW27" i="6"/>
  <c r="BW33" i="3"/>
  <c r="BW16" i="3" s="1"/>
  <c r="BW25" i="5" s="1"/>
  <c r="BW41" i="3"/>
  <c r="BW18" i="3" s="1"/>
  <c r="BW27" i="5" s="1"/>
  <c r="BV87" i="6"/>
  <c r="BV20" i="6"/>
  <c r="BH94" i="6"/>
  <c r="AV147" i="1"/>
  <c r="AU108" i="1"/>
  <c r="BH41" i="6"/>
  <c r="BH317" i="4"/>
  <c r="R139" i="4"/>
  <c r="R185" i="4" s="1"/>
  <c r="CD8" i="3"/>
  <c r="CD9" i="3" s="1"/>
  <c r="CC7" i="3"/>
  <c r="R140" i="4"/>
  <c r="BU86" i="6"/>
  <c r="BU332" i="4"/>
  <c r="BU16" i="6"/>
  <c r="W71" i="4"/>
  <c r="X287" i="4"/>
  <c r="R53" i="4" l="1"/>
  <c r="R192" i="4"/>
  <c r="R186" i="4"/>
  <c r="CN25" i="3"/>
  <c r="CM49" i="3"/>
  <c r="CM19" i="3" s="1"/>
  <c r="BU339" i="4"/>
  <c r="N339" i="4" s="1"/>
  <c r="N332" i="4"/>
  <c r="C56" i="1"/>
  <c r="AF61" i="7"/>
  <c r="AF62" i="7" s="1"/>
  <c r="AG58" i="7" s="1"/>
  <c r="G19" i="1"/>
  <c r="AQ182" i="4"/>
  <c r="AQ51" i="4" s="1"/>
  <c r="AQ24" i="4"/>
  <c r="BX48" i="6"/>
  <c r="BX47" i="6" s="1"/>
  <c r="BX55" i="6"/>
  <c r="BW88" i="6"/>
  <c r="BW17" i="6"/>
  <c r="BU344" i="4"/>
  <c r="R142" i="4"/>
  <c r="R157" i="4" s="1"/>
  <c r="S126" i="4"/>
  <c r="AQ61" i="6"/>
  <c r="AR88" i="4"/>
  <c r="BX12" i="3"/>
  <c r="BX6" i="9"/>
  <c r="CC6" i="3"/>
  <c r="CC53" i="3"/>
  <c r="CC52" i="3" s="1"/>
  <c r="CC56" i="3" s="1"/>
  <c r="CC20" i="3" s="1"/>
  <c r="CC28" i="5" s="1"/>
  <c r="CC89" i="6" s="1"/>
  <c r="BL209" i="4"/>
  <c r="BL215" i="4"/>
  <c r="BL219" i="4"/>
  <c r="BL25" i="9" s="1"/>
  <c r="X326" i="4"/>
  <c r="X289" i="4"/>
  <c r="X30" i="5" s="1"/>
  <c r="CD7" i="3"/>
  <c r="CE8" i="3"/>
  <c r="CE9" i="3" s="1"/>
  <c r="BY7" i="9"/>
  <c r="BY9" i="5"/>
  <c r="BY14" i="5" s="1"/>
  <c r="AE48" i="6"/>
  <c r="AE47" i="6" s="1"/>
  <c r="AF47" i="7"/>
  <c r="BI314" i="4"/>
  <c r="BH70" i="4"/>
  <c r="BW74" i="6"/>
  <c r="BW32" i="5"/>
  <c r="BW61" i="3"/>
  <c r="BW62" i="3" s="1"/>
  <c r="R45" i="4"/>
  <c r="R46" i="4" s="1"/>
  <c r="BV105" i="3"/>
  <c r="BV106" i="3" s="1"/>
  <c r="BV17" i="3" s="1"/>
  <c r="BV26" i="5" s="1"/>
  <c r="AL47" i="8"/>
  <c r="AE67" i="7"/>
  <c r="AE68" i="7" s="1"/>
  <c r="AF49" i="7" l="1"/>
  <c r="AF21" i="6" s="1"/>
  <c r="AF22" i="6" s="1"/>
  <c r="S36" i="4"/>
  <c r="AG60" i="7"/>
  <c r="R54" i="4"/>
  <c r="R187" i="4"/>
  <c r="AM47" i="8"/>
  <c r="AF67" i="7"/>
  <c r="AF68" i="7" s="1"/>
  <c r="S129" i="4"/>
  <c r="R158" i="4"/>
  <c r="CE7" i="3"/>
  <c r="CF8" i="3"/>
  <c r="CF9" i="3" s="1"/>
  <c r="BX27" i="6"/>
  <c r="BX41" i="3"/>
  <c r="BX18" i="3" s="1"/>
  <c r="BX27" i="5" s="1"/>
  <c r="BX33" i="3"/>
  <c r="BX16" i="3" s="1"/>
  <c r="BX25" i="5" s="1"/>
  <c r="R26" i="9"/>
  <c r="AQ357" i="4"/>
  <c r="BW87" i="6"/>
  <c r="BW20" i="6"/>
  <c r="AQ25" i="4"/>
  <c r="BI316" i="4"/>
  <c r="BI33" i="5" s="1"/>
  <c r="L145" i="1"/>
  <c r="X96" i="6"/>
  <c r="K111" i="1"/>
  <c r="X35" i="5"/>
  <c r="X42" i="6"/>
  <c r="AR90" i="4"/>
  <c r="BY7" i="5"/>
  <c r="BY8" i="9"/>
  <c r="BY13" i="5"/>
  <c r="BY24" i="6" s="1"/>
  <c r="BY12" i="5"/>
  <c r="BY48" i="6" s="1"/>
  <c r="BY47" i="6" s="1"/>
  <c r="BY16" i="5"/>
  <c r="BZ8" i="5"/>
  <c r="BY15" i="5"/>
  <c r="CO25" i="3"/>
  <c r="CN49" i="3"/>
  <c r="CN19" i="3" s="1"/>
  <c r="BL60" i="6"/>
  <c r="BM212" i="4"/>
  <c r="AF50" i="7"/>
  <c r="BY55" i="6"/>
  <c r="BW96" i="3"/>
  <c r="BW97" i="3" s="1"/>
  <c r="BW91" i="3"/>
  <c r="BW92" i="3" s="1"/>
  <c r="BW81" i="3"/>
  <c r="BW82" i="3" s="1"/>
  <c r="BW101" i="3"/>
  <c r="BW102" i="3" s="1"/>
  <c r="BW105" i="3" s="1"/>
  <c r="BW106" i="3" s="1"/>
  <c r="BW17" i="3" s="1"/>
  <c r="BW26" i="5" s="1"/>
  <c r="BW86" i="3"/>
  <c r="BW87" i="3" s="1"/>
  <c r="BV86" i="6"/>
  <c r="BV16" i="6"/>
  <c r="BV18" i="6" s="1"/>
  <c r="BV22" i="6" s="1"/>
  <c r="BV29" i="6" s="1"/>
  <c r="BV32" i="6" s="1"/>
  <c r="BV35" i="5"/>
  <c r="BL30" i="4"/>
  <c r="BL31" i="4"/>
  <c r="N344" i="4"/>
  <c r="CD6" i="3"/>
  <c r="CD53" i="3"/>
  <c r="CD52" i="3" s="1"/>
  <c r="CD56" i="3" s="1"/>
  <c r="CD20" i="3" s="1"/>
  <c r="CD28" i="5" s="1"/>
  <c r="CD89" i="6" s="1"/>
  <c r="X291" i="4"/>
  <c r="BY12" i="3" l="1"/>
  <c r="BY6" i="9"/>
  <c r="CF7" i="3"/>
  <c r="CG8" i="3"/>
  <c r="CG9" i="3" s="1"/>
  <c r="R55" i="4"/>
  <c r="BW86" i="6"/>
  <c r="BW35" i="5"/>
  <c r="BW16" i="6"/>
  <c r="BW18" i="6" s="1"/>
  <c r="BW22" i="6" s="1"/>
  <c r="BW29" i="6" s="1"/>
  <c r="BW32" i="6" s="1"/>
  <c r="F20" i="1"/>
  <c r="K112" i="1"/>
  <c r="X71" i="4"/>
  <c r="Y287" i="4"/>
  <c r="BL33" i="4"/>
  <c r="BM28" i="4" s="1"/>
  <c r="AG47" i="7"/>
  <c r="AF48" i="6"/>
  <c r="AF47" i="6" s="1"/>
  <c r="CO49" i="3"/>
  <c r="CO19" i="3" s="1"/>
  <c r="CP25" i="3"/>
  <c r="CE6" i="3"/>
  <c r="CE53" i="3"/>
  <c r="CE52" i="3" s="1"/>
  <c r="CE56" i="3" s="1"/>
  <c r="CE20" i="3" s="1"/>
  <c r="CE28" i="5" s="1"/>
  <c r="CE89" i="6" s="1"/>
  <c r="E119" i="1"/>
  <c r="S131" i="4"/>
  <c r="S117" i="4"/>
  <c r="S118" i="4"/>
  <c r="S26" i="6"/>
  <c r="S38" i="4"/>
  <c r="S130" i="4"/>
  <c r="BZ7" i="9"/>
  <c r="BZ9" i="5"/>
  <c r="BZ14" i="5"/>
  <c r="AR25" i="6"/>
  <c r="AR22" i="4"/>
  <c r="AR91" i="4"/>
  <c r="BI317" i="4"/>
  <c r="R23" i="9"/>
  <c r="AG61" i="7"/>
  <c r="AG49" i="7" s="1"/>
  <c r="AG21" i="6" s="1"/>
  <c r="AG22" i="6" s="1"/>
  <c r="BM215" i="4"/>
  <c r="BM209" i="4"/>
  <c r="BM219" i="4"/>
  <c r="BM25" i="9" s="1"/>
  <c r="AR20" i="4"/>
  <c r="R189" i="4"/>
  <c r="S181" i="4" s="1"/>
  <c r="BX61" i="3"/>
  <c r="BX62" i="3" s="1"/>
  <c r="BX74" i="6"/>
  <c r="BX32" i="5"/>
  <c r="S133" i="4"/>
  <c r="AW147" i="1"/>
  <c r="BI94" i="6"/>
  <c r="AV108" i="1"/>
  <c r="BI41" i="6"/>
  <c r="AE46" i="8"/>
  <c r="AE48" i="8" s="1"/>
  <c r="BX17" i="6"/>
  <c r="BX88" i="6"/>
  <c r="AG62" i="7" l="1"/>
  <c r="AH58" i="7" s="1"/>
  <c r="BZ7" i="5"/>
  <c r="BZ16" i="5"/>
  <c r="CA8" i="5"/>
  <c r="BZ12" i="5"/>
  <c r="BZ13" i="5"/>
  <c r="BZ24" i="6" s="1"/>
  <c r="BZ8" i="9"/>
  <c r="BZ15" i="5"/>
  <c r="G20" i="1"/>
  <c r="CH8" i="3"/>
  <c r="CH9" i="3" s="1"/>
  <c r="CG7" i="3"/>
  <c r="BM31" i="4"/>
  <c r="BM30" i="4"/>
  <c r="CQ25" i="3"/>
  <c r="CP49" i="3"/>
  <c r="CP19" i="3" s="1"/>
  <c r="CF6" i="3"/>
  <c r="CF53" i="3"/>
  <c r="CF52" i="3" s="1"/>
  <c r="CF56" i="3" s="1"/>
  <c r="CF20" i="3" s="1"/>
  <c r="CF28" i="5" s="1"/>
  <c r="CF89" i="6" s="1"/>
  <c r="BN212" i="4"/>
  <c r="BM60" i="6"/>
  <c r="S40" i="4"/>
  <c r="BX86" i="3"/>
  <c r="BX87" i="3" s="1"/>
  <c r="BX81" i="3"/>
  <c r="BX82" i="3" s="1"/>
  <c r="BX96" i="3"/>
  <c r="BX97" i="3" s="1"/>
  <c r="BX101" i="3"/>
  <c r="BX102" i="3" s="1"/>
  <c r="BX105" i="3" s="1"/>
  <c r="BX106" i="3" s="1"/>
  <c r="BX17" i="3" s="1"/>
  <c r="BX26" i="5" s="1"/>
  <c r="BX91" i="3"/>
  <c r="BX92" i="3" s="1"/>
  <c r="BI70" i="4"/>
  <c r="BJ314" i="4"/>
  <c r="BY27" i="6"/>
  <c r="BY33" i="3"/>
  <c r="BY16" i="3" s="1"/>
  <c r="BY25" i="5" s="1"/>
  <c r="BY41" i="3"/>
  <c r="BY18" i="3" s="1"/>
  <c r="BY27" i="5" s="1"/>
  <c r="S42" i="4"/>
  <c r="AN47" i="8"/>
  <c r="AG67" i="7"/>
  <c r="AG68" i="7" s="1"/>
  <c r="BX87" i="6"/>
  <c r="BX20" i="6"/>
  <c r="AR23" i="4"/>
  <c r="AR93" i="4"/>
  <c r="AG50" i="7"/>
  <c r="AH60" i="7"/>
  <c r="S134" i="4"/>
  <c r="S39" i="4"/>
  <c r="S361" i="4"/>
  <c r="S119" i="4"/>
  <c r="BM33" i="4"/>
  <c r="BN28" i="4" s="1"/>
  <c r="AR92" i="4"/>
  <c r="Z52" i="8"/>
  <c r="Y326" i="4"/>
  <c r="Y289" i="4"/>
  <c r="Y30" i="5" s="1"/>
  <c r="R259" i="4"/>
  <c r="R57" i="4"/>
  <c r="AS88" i="4" l="1"/>
  <c r="AR61" i="6"/>
  <c r="AR182" i="4"/>
  <c r="AR51" i="4" s="1"/>
  <c r="AR24" i="4"/>
  <c r="S43" i="4"/>
  <c r="BJ316" i="4"/>
  <c r="BJ33" i="5" s="1"/>
  <c r="S184" i="4"/>
  <c r="S49" i="4"/>
  <c r="E120" i="1"/>
  <c r="AH61" i="7"/>
  <c r="AH62" i="7" s="1"/>
  <c r="AI58" i="7" s="1"/>
  <c r="S260" i="4"/>
  <c r="CG6" i="3"/>
  <c r="CG53" i="3"/>
  <c r="CG52" i="3" s="1"/>
  <c r="CG56" i="3" s="1"/>
  <c r="CG20" i="3" s="1"/>
  <c r="CG28" i="5" s="1"/>
  <c r="CG89" i="6" s="1"/>
  <c r="BZ48" i="6"/>
  <c r="BZ47" i="6" s="1"/>
  <c r="BZ55" i="6"/>
  <c r="BN215" i="4"/>
  <c r="BN209" i="4"/>
  <c r="BN219" i="4"/>
  <c r="BN25" i="9" s="1"/>
  <c r="Y96" i="6"/>
  <c r="M145" i="1"/>
  <c r="L111" i="1"/>
  <c r="Y35" i="5"/>
  <c r="Y42" i="6"/>
  <c r="AR25" i="4"/>
  <c r="BY88" i="6"/>
  <c r="BY17" i="6"/>
  <c r="CI8" i="3"/>
  <c r="CI9" i="3" s="1"/>
  <c r="CH7" i="3"/>
  <c r="CA7" i="9"/>
  <c r="CA9" i="5"/>
  <c r="CA14" i="5"/>
  <c r="BX86" i="6"/>
  <c r="BX16" i="6"/>
  <c r="BX18" i="6" s="1"/>
  <c r="BX22" i="6" s="1"/>
  <c r="BX29" i="6" s="1"/>
  <c r="BX32" i="6" s="1"/>
  <c r="BX35" i="5"/>
  <c r="BY61" i="3"/>
  <c r="BY62" i="3" s="1"/>
  <c r="BY74" i="6"/>
  <c r="BY32" i="5"/>
  <c r="CQ49" i="3"/>
  <c r="CQ19" i="3" s="1"/>
  <c r="CR25" i="3"/>
  <c r="Y291" i="4"/>
  <c r="AH47" i="7"/>
  <c r="AG48" i="6"/>
  <c r="AG47" i="6" s="1"/>
  <c r="BZ12" i="3"/>
  <c r="BZ6" i="9"/>
  <c r="AH49" i="7" l="1"/>
  <c r="AH21" i="6" s="1"/>
  <c r="AH22" i="6" s="1"/>
  <c r="AO47" i="8" s="1"/>
  <c r="CB8" i="5"/>
  <c r="CA8" i="9"/>
  <c r="CA12" i="5"/>
  <c r="CA48" i="6" s="1"/>
  <c r="CA47" i="6" s="1"/>
  <c r="CA7" i="5"/>
  <c r="CA16" i="5"/>
  <c r="CA13" i="5"/>
  <c r="CA24" i="6" s="1"/>
  <c r="CA15" i="5"/>
  <c r="AI60" i="7"/>
  <c r="AX147" i="1"/>
  <c r="BJ94" i="6"/>
  <c r="AW108" i="1"/>
  <c r="BJ41" i="6"/>
  <c r="BY87" i="6"/>
  <c r="BY20" i="6"/>
  <c r="AH67" i="7"/>
  <c r="AH68" i="7" s="1"/>
  <c r="AH50" i="7"/>
  <c r="BY96" i="3"/>
  <c r="BY97" i="3" s="1"/>
  <c r="BY86" i="3"/>
  <c r="BY87" i="3" s="1"/>
  <c r="BY101" i="3"/>
  <c r="BY102" i="3" s="1"/>
  <c r="BY81" i="3"/>
  <c r="BY82" i="3" s="1"/>
  <c r="BY91" i="3"/>
  <c r="BY92" i="3" s="1"/>
  <c r="BN31" i="4"/>
  <c r="BN30" i="4"/>
  <c r="BN33" i="4" s="1"/>
  <c r="BO28" i="4" s="1"/>
  <c r="BJ317" i="4"/>
  <c r="CS25" i="3"/>
  <c r="CR49" i="3"/>
  <c r="CR19" i="3" s="1"/>
  <c r="CH53" i="3"/>
  <c r="CH52" i="3" s="1"/>
  <c r="CH56" i="3" s="1"/>
  <c r="CH20" i="3" s="1"/>
  <c r="CH28" i="5" s="1"/>
  <c r="CH89" i="6" s="1"/>
  <c r="CH6" i="3"/>
  <c r="AS20" i="4"/>
  <c r="BO212" i="4"/>
  <c r="BN60" i="6"/>
  <c r="AR357" i="4"/>
  <c r="Y71" i="4"/>
  <c r="Z287" i="4"/>
  <c r="CI7" i="3"/>
  <c r="CJ8" i="3"/>
  <c r="CJ9" i="3" s="1"/>
  <c r="CA55" i="6"/>
  <c r="AF46" i="8"/>
  <c r="AF48" i="8" s="1"/>
  <c r="BZ27" i="6"/>
  <c r="BZ33" i="3"/>
  <c r="BZ16" i="3" s="1"/>
  <c r="BZ25" i="5" s="1"/>
  <c r="BZ41" i="3"/>
  <c r="BZ18" i="3" s="1"/>
  <c r="BZ27" i="5" s="1"/>
  <c r="S136" i="4"/>
  <c r="S52" i="4"/>
  <c r="F21" i="1"/>
  <c r="L112" i="1"/>
  <c r="Y58" i="8"/>
  <c r="Y60" i="8" s="1"/>
  <c r="AS90" i="4"/>
  <c r="BZ61" i="3" l="1"/>
  <c r="BZ62" i="3" s="1"/>
  <c r="BZ74" i="6"/>
  <c r="BZ32" i="5"/>
  <c r="AI47" i="7"/>
  <c r="AH48" i="6"/>
  <c r="AH47" i="6" s="1"/>
  <c r="C27" i="1"/>
  <c r="C26" i="1"/>
  <c r="C28" i="1"/>
  <c r="C57" i="1"/>
  <c r="C58" i="1"/>
  <c r="BZ17" i="6"/>
  <c r="BZ88" i="6"/>
  <c r="AS91" i="4"/>
  <c r="AS25" i="6"/>
  <c r="AS22" i="4"/>
  <c r="CA12" i="3"/>
  <c r="CA6" i="9"/>
  <c r="G21" i="1"/>
  <c r="CJ7" i="3"/>
  <c r="CK8" i="3"/>
  <c r="CK9" i="3" s="1"/>
  <c r="BO209" i="4"/>
  <c r="BO215" i="4"/>
  <c r="BO219" i="4"/>
  <c r="BO25" i="9" s="1"/>
  <c r="CS49" i="3"/>
  <c r="CS19" i="3" s="1"/>
  <c r="CT25" i="3"/>
  <c r="Z326" i="4"/>
  <c r="Z289" i="4"/>
  <c r="Z30" i="5" s="1"/>
  <c r="CI53" i="3"/>
  <c r="CI52" i="3" s="1"/>
  <c r="CI56" i="3" s="1"/>
  <c r="CI20" i="3" s="1"/>
  <c r="CI28" i="5" s="1"/>
  <c r="CI89" i="6" s="1"/>
  <c r="CI6" i="3"/>
  <c r="BY105" i="3"/>
  <c r="BY106" i="3" s="1"/>
  <c r="BY17" i="3" s="1"/>
  <c r="BY26" i="5" s="1"/>
  <c r="AI61" i="7"/>
  <c r="AI49" i="7" s="1"/>
  <c r="AI21" i="6" s="1"/>
  <c r="AI22" i="6" s="1"/>
  <c r="CB7" i="9"/>
  <c r="CB9" i="5"/>
  <c r="S44" i="4"/>
  <c r="S138" i="4"/>
  <c r="BK314" i="4"/>
  <c r="BJ70" i="4"/>
  <c r="AI62" i="7" l="1"/>
  <c r="AJ58" i="7" s="1"/>
  <c r="AP47" i="8"/>
  <c r="AI67" i="7"/>
  <c r="AI68" i="7" s="1"/>
  <c r="AI50" i="7"/>
  <c r="C59" i="1"/>
  <c r="Z96" i="6"/>
  <c r="N145" i="1"/>
  <c r="M111" i="1"/>
  <c r="Z35" i="5"/>
  <c r="Z42" i="6"/>
  <c r="BK317" i="4"/>
  <c r="BK316" i="4"/>
  <c r="BK33" i="5" s="1"/>
  <c r="CU25" i="3"/>
  <c r="CT49" i="3"/>
  <c r="CT19" i="3" s="1"/>
  <c r="CB12" i="5"/>
  <c r="CB16" i="5"/>
  <c r="CC8" i="5"/>
  <c r="CB15" i="5"/>
  <c r="CB7" i="5"/>
  <c r="CB8" i="9"/>
  <c r="CB13" i="5"/>
  <c r="CB24" i="6" s="1"/>
  <c r="Z291" i="4"/>
  <c r="BO60" i="6"/>
  <c r="BP212" i="4"/>
  <c r="BZ87" i="6"/>
  <c r="BZ20" i="6"/>
  <c r="BO30" i="4"/>
  <c r="BO31" i="4"/>
  <c r="CB14" i="5"/>
  <c r="CL8" i="3"/>
  <c r="CL9" i="3" s="1"/>
  <c r="CK7" i="3"/>
  <c r="AS23" i="4"/>
  <c r="AS92" i="4"/>
  <c r="AS93" i="4" s="1"/>
  <c r="AJ60" i="7"/>
  <c r="AJ61" i="7" s="1"/>
  <c r="AJ62" i="7" s="1"/>
  <c r="AK58" i="7" s="1"/>
  <c r="S41" i="4"/>
  <c r="CJ6" i="3"/>
  <c r="CJ53" i="3"/>
  <c r="CJ52" i="3" s="1"/>
  <c r="CJ56" i="3" s="1"/>
  <c r="CJ20" i="3" s="1"/>
  <c r="CJ28" i="5" s="1"/>
  <c r="CJ89" i="6" s="1"/>
  <c r="S139" i="4"/>
  <c r="BY86" i="6"/>
  <c r="BY35" i="5"/>
  <c r="BY16" i="6"/>
  <c r="BY18" i="6" s="1"/>
  <c r="BY22" i="6" s="1"/>
  <c r="BY29" i="6" s="1"/>
  <c r="BY32" i="6" s="1"/>
  <c r="CA27" i="6"/>
  <c r="CA33" i="3"/>
  <c r="CA16" i="3" s="1"/>
  <c r="CA25" i="5" s="1"/>
  <c r="CA41" i="3"/>
  <c r="CA18" i="3" s="1"/>
  <c r="CA27" i="5" s="1"/>
  <c r="BZ86" i="3"/>
  <c r="BZ87" i="3" s="1"/>
  <c r="BZ81" i="3"/>
  <c r="BZ82" i="3" s="1"/>
  <c r="BZ101" i="3"/>
  <c r="BZ102" i="3" s="1"/>
  <c r="BZ96" i="3"/>
  <c r="BZ97" i="3" s="1"/>
  <c r="BZ91" i="3"/>
  <c r="BZ92" i="3" s="1"/>
  <c r="AT88" i="4" l="1"/>
  <c r="AS61" i="6"/>
  <c r="AK60" i="7"/>
  <c r="CC7" i="9"/>
  <c r="CC9" i="5"/>
  <c r="CC14" i="5" s="1"/>
  <c r="S45" i="4"/>
  <c r="BP215" i="4"/>
  <c r="BP209" i="4"/>
  <c r="BP219" i="4"/>
  <c r="BP25" i="9" s="1"/>
  <c r="BL314" i="4"/>
  <c r="BK70" i="4"/>
  <c r="CB48" i="6"/>
  <c r="CB47" i="6" s="1"/>
  <c r="CB55" i="6"/>
  <c r="AG46" i="8"/>
  <c r="AG48" i="8" s="1"/>
  <c r="AJ47" i="7"/>
  <c r="AI48" i="6"/>
  <c r="AI47" i="6" s="1"/>
  <c r="S140" i="4"/>
  <c r="CA88" i="6"/>
  <c r="CA17" i="6"/>
  <c r="F22" i="1"/>
  <c r="M112" i="1"/>
  <c r="CA61" i="3"/>
  <c r="CA62" i="3" s="1"/>
  <c r="CA74" i="6"/>
  <c r="CA32" i="5"/>
  <c r="BO33" i="4"/>
  <c r="BP28" i="4" s="1"/>
  <c r="S185" i="4"/>
  <c r="S362" i="4"/>
  <c r="AS24" i="4"/>
  <c r="AS182" i="4"/>
  <c r="AS51" i="4" s="1"/>
  <c r="Z71" i="4"/>
  <c r="AA287" i="4"/>
  <c r="BZ105" i="3"/>
  <c r="BZ106" i="3" s="1"/>
  <c r="BZ17" i="3" s="1"/>
  <c r="BZ26" i="5" s="1"/>
  <c r="S46" i="4"/>
  <c r="CK6" i="3"/>
  <c r="CK53" i="3"/>
  <c r="CK52" i="3" s="1"/>
  <c r="CK56" i="3" s="1"/>
  <c r="CK20" i="3" s="1"/>
  <c r="CK28" i="5" s="1"/>
  <c r="CK89" i="6" s="1"/>
  <c r="CB6" i="9"/>
  <c r="CB12" i="3"/>
  <c r="CU49" i="3"/>
  <c r="CU19" i="3" s="1"/>
  <c r="CV25" i="3"/>
  <c r="AJ49" i="7"/>
  <c r="AJ21" i="6" s="1"/>
  <c r="AJ22" i="6" s="1"/>
  <c r="CL7" i="3"/>
  <c r="CM8" i="3"/>
  <c r="CM9" i="3" s="1"/>
  <c r="BK94" i="6"/>
  <c r="BK41" i="6"/>
  <c r="AJ50" i="7" l="1"/>
  <c r="AK47" i="7" s="1"/>
  <c r="CN8" i="3"/>
  <c r="CN9" i="3" s="1"/>
  <c r="CM7" i="3"/>
  <c r="CB27" i="6"/>
  <c r="CB41" i="3"/>
  <c r="CB18" i="3" s="1"/>
  <c r="CB27" i="5" s="1"/>
  <c r="CB33" i="3"/>
  <c r="CB16" i="3" s="1"/>
  <c r="CB25" i="5" s="1"/>
  <c r="CC13" i="5"/>
  <c r="CC24" i="6" s="1"/>
  <c r="CC8" i="9"/>
  <c r="CC15" i="5"/>
  <c r="CC12" i="5"/>
  <c r="CC48" i="6" s="1"/>
  <c r="CC47" i="6" s="1"/>
  <c r="CD8" i="5"/>
  <c r="CC16" i="5"/>
  <c r="CC7" i="5"/>
  <c r="CL6" i="3"/>
  <c r="CL53" i="3"/>
  <c r="CL52" i="3" s="1"/>
  <c r="CL56" i="3" s="1"/>
  <c r="CL20" i="3" s="1"/>
  <c r="CL28" i="5" s="1"/>
  <c r="CL89" i="6" s="1"/>
  <c r="S53" i="4"/>
  <c r="S192" i="4"/>
  <c r="S186" i="4"/>
  <c r="G22" i="1"/>
  <c r="AS357" i="4"/>
  <c r="CC55" i="6"/>
  <c r="BP33" i="4"/>
  <c r="BQ28" i="4" s="1"/>
  <c r="BP30" i="4"/>
  <c r="BP31" i="4"/>
  <c r="AK61" i="7"/>
  <c r="AK62" i="7" s="1"/>
  <c r="AL58" i="7" s="1"/>
  <c r="AQ47" i="8"/>
  <c r="AJ67" i="7"/>
  <c r="AJ68" i="7" s="1"/>
  <c r="T36" i="4"/>
  <c r="S363" i="4"/>
  <c r="CA20" i="6"/>
  <c r="CA87" i="6"/>
  <c r="BP60" i="6"/>
  <c r="BQ212" i="4"/>
  <c r="AS25" i="4"/>
  <c r="S62" i="6"/>
  <c r="T126" i="4"/>
  <c r="S142" i="4"/>
  <c r="S157" i="4" s="1"/>
  <c r="AA326" i="4"/>
  <c r="AA289" i="4"/>
  <c r="AA30" i="5" s="1"/>
  <c r="CV49" i="3"/>
  <c r="CV19" i="3" s="1"/>
  <c r="CW25" i="3"/>
  <c r="BZ86" i="6"/>
  <c r="BZ16" i="6"/>
  <c r="BZ18" i="6" s="1"/>
  <c r="BZ22" i="6" s="1"/>
  <c r="BZ29" i="6" s="1"/>
  <c r="BZ32" i="6" s="1"/>
  <c r="BZ35" i="5"/>
  <c r="CA81" i="3"/>
  <c r="CA82" i="3" s="1"/>
  <c r="CA101" i="3"/>
  <c r="CA102" i="3" s="1"/>
  <c r="CA86" i="3"/>
  <c r="CA87" i="3" s="1"/>
  <c r="CA91" i="3"/>
  <c r="CA92" i="3" s="1"/>
  <c r="CA96" i="3"/>
  <c r="CA97" i="3" s="1"/>
  <c r="BL316" i="4"/>
  <c r="BL33" i="5" s="1"/>
  <c r="BL94" i="6" s="1"/>
  <c r="S41" i="5"/>
  <c r="AT90" i="4"/>
  <c r="AJ48" i="6" l="1"/>
  <c r="AJ47" i="6" s="1"/>
  <c r="AL60" i="7"/>
  <c r="AT91" i="4"/>
  <c r="AT25" i="6"/>
  <c r="AT22" i="4"/>
  <c r="S158" i="4"/>
  <c r="G151" i="1"/>
  <c r="S90" i="6"/>
  <c r="CW49" i="3"/>
  <c r="CW19" i="3" s="1"/>
  <c r="CX25" i="3"/>
  <c r="T129" i="4"/>
  <c r="CA105" i="3"/>
  <c r="CA106" i="3" s="1"/>
  <c r="CA17" i="3" s="1"/>
  <c r="CA26" i="5" s="1"/>
  <c r="CB61" i="3"/>
  <c r="CB62" i="3" s="1"/>
  <c r="CB74" i="6"/>
  <c r="CB32" i="5"/>
  <c r="BL41" i="6"/>
  <c r="AK49" i="7"/>
  <c r="AK21" i="6" s="1"/>
  <c r="AK22" i="6" s="1"/>
  <c r="CC6" i="9"/>
  <c r="CC12" i="3"/>
  <c r="CB88" i="6"/>
  <c r="CB17" i="6"/>
  <c r="BL317" i="4"/>
  <c r="AA96" i="6"/>
  <c r="O145" i="1"/>
  <c r="N111" i="1"/>
  <c r="AA35" i="5"/>
  <c r="AA42" i="6"/>
  <c r="S24" i="6"/>
  <c r="S187" i="4"/>
  <c r="S189" i="4" s="1"/>
  <c r="S54" i="4"/>
  <c r="BQ215" i="4"/>
  <c r="BQ209" i="4"/>
  <c r="BQ219" i="4"/>
  <c r="BQ25" i="9" s="1"/>
  <c r="AA291" i="4"/>
  <c r="AT20" i="4"/>
  <c r="S26" i="9"/>
  <c r="CD7" i="9"/>
  <c r="CD9" i="5"/>
  <c r="CD14" i="5" s="1"/>
  <c r="CM53" i="3"/>
  <c r="CM52" i="3" s="1"/>
  <c r="CM56" i="3" s="1"/>
  <c r="CM20" i="3" s="1"/>
  <c r="CM28" i="5" s="1"/>
  <c r="CM89" i="6" s="1"/>
  <c r="CM6" i="3"/>
  <c r="S37" i="5"/>
  <c r="AT92" i="4"/>
  <c r="CN7" i="3"/>
  <c r="CO8" i="3"/>
  <c r="CO9" i="3" s="1"/>
  <c r="T181" i="4" l="1"/>
  <c r="S63" i="6"/>
  <c r="S59" i="6" s="1"/>
  <c r="BQ30" i="4"/>
  <c r="BQ31" i="4"/>
  <c r="CN6" i="3"/>
  <c r="CN53" i="3"/>
  <c r="CN52" i="3" s="1"/>
  <c r="CN56" i="3" s="1"/>
  <c r="CN20" i="3" s="1"/>
  <c r="CN28" i="5" s="1"/>
  <c r="CN89" i="6" s="1"/>
  <c r="BR212" i="4"/>
  <c r="BQ60" i="6"/>
  <c r="F23" i="1"/>
  <c r="N112" i="1"/>
  <c r="T130" i="4"/>
  <c r="T131" i="4" s="1"/>
  <c r="T38" i="4"/>
  <c r="T118" i="4"/>
  <c r="T26" i="6"/>
  <c r="T117" i="4"/>
  <c r="CP8" i="3"/>
  <c r="CP9" i="3" s="1"/>
  <c r="CO7" i="3"/>
  <c r="AR47" i="8"/>
  <c r="AK67" i="7"/>
  <c r="AK68" i="7" s="1"/>
  <c r="CB96" i="3"/>
  <c r="CB97" i="3" s="1"/>
  <c r="CB101" i="3"/>
  <c r="CB102" i="3" s="1"/>
  <c r="CB105" i="3" s="1"/>
  <c r="CB106" i="3" s="1"/>
  <c r="CB17" i="3" s="1"/>
  <c r="CB26" i="5" s="1"/>
  <c r="CB81" i="3"/>
  <c r="CB82" i="3" s="1"/>
  <c r="CB86" i="3"/>
  <c r="CB87" i="3" s="1"/>
  <c r="CB91" i="3"/>
  <c r="CB92" i="3" s="1"/>
  <c r="AT23" i="4"/>
  <c r="AT93" i="4"/>
  <c r="AH46" i="8"/>
  <c r="AH48" i="8" s="1"/>
  <c r="AK50" i="7"/>
  <c r="S55" i="4"/>
  <c r="S57" i="4" s="1"/>
  <c r="BM314" i="4"/>
  <c r="BL70" i="4"/>
  <c r="CA86" i="6"/>
  <c r="CA16" i="6"/>
  <c r="CA18" i="6" s="1"/>
  <c r="CA22" i="6" s="1"/>
  <c r="CA29" i="6" s="1"/>
  <c r="CA32" i="6" s="1"/>
  <c r="CA35" i="5"/>
  <c r="CC27" i="6"/>
  <c r="CC41" i="3"/>
  <c r="CC18" i="3" s="1"/>
  <c r="CC27" i="5" s="1"/>
  <c r="CC33" i="3"/>
  <c r="CC16" i="3" s="1"/>
  <c r="CC25" i="5" s="1"/>
  <c r="CD7" i="5"/>
  <c r="CD16" i="5"/>
  <c r="CD12" i="5"/>
  <c r="CD8" i="9"/>
  <c r="CE8" i="5"/>
  <c r="CD13" i="5"/>
  <c r="CD24" i="6" s="1"/>
  <c r="CD15" i="5"/>
  <c r="AB287" i="4"/>
  <c r="AA71" i="4"/>
  <c r="S69" i="7"/>
  <c r="S74" i="7" s="1"/>
  <c r="S29" i="6"/>
  <c r="Z43" i="8"/>
  <c r="AL61" i="7"/>
  <c r="AL49" i="7" s="1"/>
  <c r="AL21" i="6" s="1"/>
  <c r="AL22" i="6" s="1"/>
  <c r="G148" i="1"/>
  <c r="G164" i="1" s="1"/>
  <c r="F116" i="1"/>
  <c r="K15" i="1" s="1"/>
  <c r="S77" i="6"/>
  <c r="AT24" i="4"/>
  <c r="AT25" i="4" s="1"/>
  <c r="AT182" i="4"/>
  <c r="AT51" i="4" s="1"/>
  <c r="CB87" i="6"/>
  <c r="CB20" i="6"/>
  <c r="CY25" i="3"/>
  <c r="CX49" i="3"/>
  <c r="CX19" i="3" s="1"/>
  <c r="S23" i="9"/>
  <c r="AL62" i="7" l="1"/>
  <c r="AM58" i="7" s="1"/>
  <c r="T49" i="4"/>
  <c r="F120" i="1"/>
  <c r="O15" i="1" s="1"/>
  <c r="AU20" i="4"/>
  <c r="T40" i="4"/>
  <c r="AS47" i="8"/>
  <c r="AL67" i="7"/>
  <c r="AL68" i="7" s="1"/>
  <c r="T133" i="4"/>
  <c r="S75" i="7"/>
  <c r="CP7" i="3"/>
  <c r="CQ8" i="3"/>
  <c r="CQ9" i="3" s="1"/>
  <c r="CO53" i="3"/>
  <c r="CO52" i="3" s="1"/>
  <c r="CO56" i="3" s="1"/>
  <c r="CO20" i="3" s="1"/>
  <c r="CO28" i="5" s="1"/>
  <c r="CO89" i="6" s="1"/>
  <c r="CO6" i="3"/>
  <c r="CD12" i="3"/>
  <c r="CD6" i="9"/>
  <c r="F119" i="1"/>
  <c r="N15" i="1" s="1"/>
  <c r="G23" i="1"/>
  <c r="CB86" i="6"/>
  <c r="CB35" i="5"/>
  <c r="CB16" i="6"/>
  <c r="CB18" i="6" s="1"/>
  <c r="CB22" i="6" s="1"/>
  <c r="CB29" i="6" s="1"/>
  <c r="CB32" i="6" s="1"/>
  <c r="AB326" i="4"/>
  <c r="AB289" i="4"/>
  <c r="AB30" i="5" s="1"/>
  <c r="CC61" i="3"/>
  <c r="CC62" i="3" s="1"/>
  <c r="CC74" i="6"/>
  <c r="CC32" i="5"/>
  <c r="T119" i="4"/>
  <c r="T361" i="4"/>
  <c r="T39" i="4"/>
  <c r="T134" i="4"/>
  <c r="CC88" i="6"/>
  <c r="CC17" i="6"/>
  <c r="BM317" i="4"/>
  <c r="BM316" i="4"/>
  <c r="BM33" i="5" s="1"/>
  <c r="BQ33" i="4"/>
  <c r="BR28" i="4" s="1"/>
  <c r="CD48" i="6"/>
  <c r="CD47" i="6" s="1"/>
  <c r="CD55" i="6"/>
  <c r="AK48" i="6"/>
  <c r="AK47" i="6" s="1"/>
  <c r="AL47" i="7"/>
  <c r="AL50" i="7" s="1"/>
  <c r="BR209" i="4"/>
  <c r="BR215" i="4"/>
  <c r="BR219" i="4"/>
  <c r="BR25" i="9" s="1"/>
  <c r="CY49" i="3"/>
  <c r="CY19" i="3" s="1"/>
  <c r="CZ25" i="3"/>
  <c r="AT61" i="6"/>
  <c r="AU88" i="4"/>
  <c r="CE7" i="9"/>
  <c r="CE9" i="5"/>
  <c r="CE14" i="5" s="1"/>
  <c r="S356" i="4"/>
  <c r="S259" i="4"/>
  <c r="S40" i="5"/>
  <c r="AM60" i="7"/>
  <c r="AM61" i="7" s="1"/>
  <c r="AM62" i="7" s="1"/>
  <c r="AN58" i="7" s="1"/>
  <c r="AT357" i="4"/>
  <c r="S32" i="6"/>
  <c r="AN60" i="7" l="1"/>
  <c r="DA25" i="3"/>
  <c r="CZ49" i="3"/>
  <c r="CZ19" i="3" s="1"/>
  <c r="CF8" i="5"/>
  <c r="CE8" i="9"/>
  <c r="CE16" i="5"/>
  <c r="CE12" i="5"/>
  <c r="CE48" i="6" s="1"/>
  <c r="CE47" i="6" s="1"/>
  <c r="CE15" i="5"/>
  <c r="CE13" i="5"/>
  <c r="CE24" i="6" s="1"/>
  <c r="CE7" i="5"/>
  <c r="T43" i="4"/>
  <c r="S70" i="7"/>
  <c r="S80" i="7" s="1"/>
  <c r="S18" i="7" s="1"/>
  <c r="S76" i="7"/>
  <c r="BS212" i="4"/>
  <c r="BR60" i="6"/>
  <c r="BM94" i="6"/>
  <c r="BM41" i="6"/>
  <c r="CC81" i="3"/>
  <c r="CC82" i="3" s="1"/>
  <c r="CC101" i="3"/>
  <c r="CC102" i="3" s="1"/>
  <c r="CC86" i="3"/>
  <c r="CC87" i="3" s="1"/>
  <c r="CC96" i="3"/>
  <c r="CC97" i="3" s="1"/>
  <c r="CC91" i="3"/>
  <c r="CC92" i="3" s="1"/>
  <c r="CQ7" i="3"/>
  <c r="CR8" i="3"/>
  <c r="CR9" i="3" s="1"/>
  <c r="S78" i="7"/>
  <c r="T73" i="7" s="1"/>
  <c r="G150" i="1"/>
  <c r="G163" i="1" s="1"/>
  <c r="S91" i="6"/>
  <c r="F115" i="1"/>
  <c r="S42" i="5"/>
  <c r="AU90" i="4"/>
  <c r="BR31" i="4"/>
  <c r="BR33" i="4" s="1"/>
  <c r="BS28" i="4" s="1"/>
  <c r="BR30" i="4"/>
  <c r="BN314" i="4"/>
  <c r="BM70" i="4"/>
  <c r="P145" i="1"/>
  <c r="AB96" i="6"/>
  <c r="O111" i="1"/>
  <c r="AB35" i="5"/>
  <c r="AB42" i="6"/>
  <c r="CP6" i="3"/>
  <c r="CP53" i="3"/>
  <c r="CP52" i="3" s="1"/>
  <c r="CP56" i="3" s="1"/>
  <c r="CP20" i="3" s="1"/>
  <c r="CP28" i="5" s="1"/>
  <c r="CP89" i="6" s="1"/>
  <c r="R261" i="4"/>
  <c r="T42" i="4"/>
  <c r="T184" i="4"/>
  <c r="AB291" i="4"/>
  <c r="CD27" i="6"/>
  <c r="CD33" i="3"/>
  <c r="CD16" i="3" s="1"/>
  <c r="CD25" i="5" s="1"/>
  <c r="CD41" i="3"/>
  <c r="CD18" i="3" s="1"/>
  <c r="CD27" i="5" s="1"/>
  <c r="AM49" i="7"/>
  <c r="AM21" i="6" s="1"/>
  <c r="AM22" i="6" s="1"/>
  <c r="S358" i="4"/>
  <c r="AM47" i="7"/>
  <c r="AL48" i="6"/>
  <c r="AL47" i="6" s="1"/>
  <c r="CC20" i="6"/>
  <c r="CC87" i="6"/>
  <c r="Z58" i="8"/>
  <c r="F24" i="1" l="1"/>
  <c r="O112" i="1"/>
  <c r="CC105" i="3"/>
  <c r="CC106" i="3" s="1"/>
  <c r="CC17" i="3" s="1"/>
  <c r="CC26" i="5" s="1"/>
  <c r="S25" i="7"/>
  <c r="S29" i="7" s="1"/>
  <c r="S26" i="7"/>
  <c r="BS215" i="4"/>
  <c r="BS209" i="4"/>
  <c r="BS219" i="4"/>
  <c r="BS25" i="9" s="1"/>
  <c r="DA49" i="3"/>
  <c r="DA19" i="3" s="1"/>
  <c r="DB25" i="3"/>
  <c r="T260" i="4"/>
  <c r="AM50" i="7"/>
  <c r="AC287" i="4"/>
  <c r="AB71" i="4"/>
  <c r="BN317" i="4"/>
  <c r="BN316" i="4"/>
  <c r="BN33" i="5" s="1"/>
  <c r="BN94" i="6" s="1"/>
  <c r="AU91" i="4"/>
  <c r="AU22" i="4"/>
  <c r="AU25" i="6"/>
  <c r="CR7" i="3"/>
  <c r="CS8" i="3"/>
  <c r="CS9" i="3" s="1"/>
  <c r="CF9" i="5"/>
  <c r="CF7" i="9"/>
  <c r="AN61" i="7"/>
  <c r="AN49" i="7" s="1"/>
  <c r="AN21" i="6" s="1"/>
  <c r="AN22" i="6" s="1"/>
  <c r="CD88" i="6"/>
  <c r="CD17" i="6"/>
  <c r="CD61" i="3"/>
  <c r="CD62" i="3" s="1"/>
  <c r="CD74" i="6"/>
  <c r="CD32" i="5"/>
  <c r="S46" i="5"/>
  <c r="CQ6" i="3"/>
  <c r="CQ53" i="3"/>
  <c r="CQ52" i="3" s="1"/>
  <c r="CQ56" i="3" s="1"/>
  <c r="CQ20" i="3" s="1"/>
  <c r="CQ28" i="5" s="1"/>
  <c r="CQ89" i="6" s="1"/>
  <c r="AT47" i="8"/>
  <c r="AM67" i="7"/>
  <c r="AM68" i="7" s="1"/>
  <c r="BN41" i="6"/>
  <c r="T52" i="4"/>
  <c r="T136" i="4"/>
  <c r="AI46" i="8"/>
  <c r="AI48" i="8" s="1"/>
  <c r="CE55" i="6"/>
  <c r="F117" i="1"/>
  <c r="J15" i="1"/>
  <c r="CE12" i="3"/>
  <c r="CE6" i="9"/>
  <c r="AN62" i="7" l="1"/>
  <c r="AO58" i="7" s="1"/>
  <c r="BS31" i="4"/>
  <c r="BS30" i="4"/>
  <c r="BS33" i="4" s="1"/>
  <c r="BT28" i="4" s="1"/>
  <c r="CC86" i="6"/>
  <c r="CC35" i="5"/>
  <c r="CC16" i="6"/>
  <c r="CC18" i="6" s="1"/>
  <c r="CC22" i="6" s="1"/>
  <c r="CC29" i="6" s="1"/>
  <c r="CC32" i="6" s="1"/>
  <c r="CD81" i="3"/>
  <c r="CD82" i="3" s="1"/>
  <c r="CD86" i="3"/>
  <c r="CD87" i="3" s="1"/>
  <c r="CD96" i="3"/>
  <c r="CD97" i="3" s="1"/>
  <c r="CD101" i="3"/>
  <c r="CD102" i="3" s="1"/>
  <c r="CD105" i="3" s="1"/>
  <c r="CD106" i="3" s="1"/>
  <c r="CD17" i="3" s="1"/>
  <c r="CD26" i="5" s="1"/>
  <c r="CD91" i="3"/>
  <c r="CD92" i="3" s="1"/>
  <c r="CT8" i="3"/>
  <c r="CT9" i="3" s="1"/>
  <c r="CS7" i="3"/>
  <c r="AC326" i="4"/>
  <c r="AC289" i="4"/>
  <c r="AC30" i="5" s="1"/>
  <c r="BS60" i="6"/>
  <c r="BT212" i="4"/>
  <c r="CD87" i="6"/>
  <c r="CD20" i="6"/>
  <c r="CF55" i="6"/>
  <c r="S267" i="4"/>
  <c r="S302" i="4"/>
  <c r="CR6" i="3"/>
  <c r="CR53" i="3"/>
  <c r="CR52" i="3" s="1"/>
  <c r="CR56" i="3" s="1"/>
  <c r="CR20" i="3" s="1"/>
  <c r="CR28" i="5" s="1"/>
  <c r="CR89" i="6" s="1"/>
  <c r="AN47" i="7"/>
  <c r="AN50" i="7" s="1"/>
  <c r="AM48" i="6"/>
  <c r="AM47" i="6" s="1"/>
  <c r="G24" i="1"/>
  <c r="CF8" i="9"/>
  <c r="CG8" i="5"/>
  <c r="CF12" i="5"/>
  <c r="CF48" i="6" s="1"/>
  <c r="CF47" i="6" s="1"/>
  <c r="CF13" i="5"/>
  <c r="CF24" i="6" s="1"/>
  <c r="CF15" i="5"/>
  <c r="CF7" i="5"/>
  <c r="CF16" i="5"/>
  <c r="L15" i="1"/>
  <c r="T44" i="4"/>
  <c r="T138" i="4"/>
  <c r="T139" i="4"/>
  <c r="AO60" i="7"/>
  <c r="CE27" i="6"/>
  <c r="CE41" i="3"/>
  <c r="CE18" i="3" s="1"/>
  <c r="CE27" i="5" s="1"/>
  <c r="CE33" i="3"/>
  <c r="CE16" i="3" s="1"/>
  <c r="CE25" i="5" s="1"/>
  <c r="BO314" i="4"/>
  <c r="BN70" i="4"/>
  <c r="DB49" i="3"/>
  <c r="DB19" i="3" s="1"/>
  <c r="DC25" i="3"/>
  <c r="S30" i="7"/>
  <c r="S32" i="7" s="1"/>
  <c r="T28" i="7" s="1"/>
  <c r="AU23" i="4"/>
  <c r="AU92" i="4"/>
  <c r="AU47" i="8"/>
  <c r="AN67" i="7"/>
  <c r="AN68" i="7" s="1"/>
  <c r="CF14" i="5"/>
  <c r="AU182" i="4" l="1"/>
  <c r="AU51" i="4" s="1"/>
  <c r="AU24" i="4"/>
  <c r="T185" i="4"/>
  <c r="T41" i="4"/>
  <c r="CU8" i="3"/>
  <c r="CU9" i="3" s="1"/>
  <c r="CT7" i="3"/>
  <c r="AN48" i="6"/>
  <c r="AN47" i="6" s="1"/>
  <c r="AO47" i="7"/>
  <c r="T41" i="5"/>
  <c r="BT209" i="4"/>
  <c r="BT215" i="4"/>
  <c r="BT219" i="4"/>
  <c r="BT25" i="9" s="1"/>
  <c r="CD86" i="6"/>
  <c r="CD16" i="6"/>
  <c r="CD18" i="6" s="1"/>
  <c r="CD22" i="6" s="1"/>
  <c r="CD29" i="6" s="1"/>
  <c r="CD32" i="6" s="1"/>
  <c r="CD35" i="5"/>
  <c r="T45" i="4"/>
  <c r="CG14" i="5"/>
  <c r="CG7" i="9"/>
  <c r="CG9" i="5"/>
  <c r="AO61" i="7"/>
  <c r="AO62" i="7" s="1"/>
  <c r="AP58" i="7" s="1"/>
  <c r="DC49" i="3"/>
  <c r="DC19" i="3" s="1"/>
  <c r="DD25" i="3"/>
  <c r="S34" i="7"/>
  <c r="S21" i="7" s="1"/>
  <c r="S14" i="7" s="1"/>
  <c r="Q145" i="1"/>
  <c r="AC96" i="6"/>
  <c r="P111" i="1"/>
  <c r="AC35" i="5"/>
  <c r="AC42" i="6"/>
  <c r="T140" i="4"/>
  <c r="AC291" i="4"/>
  <c r="CE17" i="6"/>
  <c r="CE88" i="6"/>
  <c r="CS53" i="3"/>
  <c r="CS52" i="3" s="1"/>
  <c r="CS56" i="3" s="1"/>
  <c r="CS20" i="3" s="1"/>
  <c r="CS28" i="5" s="1"/>
  <c r="CS89" i="6" s="1"/>
  <c r="CS6" i="3"/>
  <c r="AU93" i="4"/>
  <c r="AU25" i="4"/>
  <c r="BO317" i="4"/>
  <c r="BO316" i="4"/>
  <c r="BO33" i="5" s="1"/>
  <c r="CE74" i="6"/>
  <c r="CE61" i="3"/>
  <c r="CE62" i="3" s="1"/>
  <c r="CE32" i="5"/>
  <c r="T362" i="4"/>
  <c r="CF6" i="9"/>
  <c r="CF12" i="3"/>
  <c r="AP60" i="7" l="1"/>
  <c r="F25" i="1"/>
  <c r="P112" i="1"/>
  <c r="AV20" i="4"/>
  <c r="BT60" i="6"/>
  <c r="BU212" i="4"/>
  <c r="T46" i="4"/>
  <c r="AC71" i="4"/>
  <c r="AD287" i="4"/>
  <c r="DE25" i="3"/>
  <c r="DD49" i="3"/>
  <c r="DD19" i="3" s="1"/>
  <c r="AO49" i="7"/>
  <c r="AO21" i="6" s="1"/>
  <c r="AO22" i="6" s="1"/>
  <c r="BT31" i="4"/>
  <c r="BT30" i="4"/>
  <c r="BT33" i="4" s="1"/>
  <c r="BU28" i="4" s="1"/>
  <c r="T53" i="4"/>
  <c r="T186" i="4"/>
  <c r="T192" i="4"/>
  <c r="H151" i="1"/>
  <c r="T90" i="6"/>
  <c r="CE87" i="6"/>
  <c r="CE20" i="6"/>
  <c r="BP314" i="4"/>
  <c r="BO70" i="4"/>
  <c r="CE96" i="3"/>
  <c r="CE97" i="3" s="1"/>
  <c r="CE101" i="3"/>
  <c r="CE102" i="3" s="1"/>
  <c r="CE81" i="3"/>
  <c r="CE82" i="3" s="1"/>
  <c r="CE91" i="3"/>
  <c r="CE92" i="3" s="1"/>
  <c r="CE86" i="3"/>
  <c r="CE87" i="3" s="1"/>
  <c r="AU61" i="6"/>
  <c r="AV88" i="4"/>
  <c r="U126" i="4"/>
  <c r="T62" i="6"/>
  <c r="T142" i="4"/>
  <c r="Z23" i="8"/>
  <c r="CT53" i="3"/>
  <c r="CT52" i="3" s="1"/>
  <c r="CT56" i="3" s="1"/>
  <c r="CT20" i="3" s="1"/>
  <c r="CT28" i="5" s="1"/>
  <c r="CT89" i="6" s="1"/>
  <c r="CT6" i="3"/>
  <c r="CF27" i="6"/>
  <c r="CF33" i="3"/>
  <c r="CF16" i="3" s="1"/>
  <c r="CF25" i="5" s="1"/>
  <c r="CF41" i="3"/>
  <c r="CF18" i="3" s="1"/>
  <c r="CF27" i="5" s="1"/>
  <c r="BO94" i="6"/>
  <c r="BO41" i="6"/>
  <c r="AJ46" i="8"/>
  <c r="AJ48" i="8" s="1"/>
  <c r="CG8" i="9"/>
  <c r="CH8" i="5"/>
  <c r="CG16" i="5"/>
  <c r="CG7" i="5"/>
  <c r="CG15" i="5"/>
  <c r="CG12" i="5"/>
  <c r="CG13" i="5"/>
  <c r="CG24" i="6" s="1"/>
  <c r="CU7" i="3"/>
  <c r="CV8" i="3"/>
  <c r="CV9" i="3" s="1"/>
  <c r="AO50" i="7" l="1"/>
  <c r="BP316" i="4"/>
  <c r="BP33" i="5" s="1"/>
  <c r="BP94" i="6" s="1"/>
  <c r="CG12" i="3"/>
  <c r="CG6" i="9"/>
  <c r="CF88" i="6"/>
  <c r="CF17" i="6"/>
  <c r="T37" i="5"/>
  <c r="DF25" i="3"/>
  <c r="DE49" i="3"/>
  <c r="DE19" i="3" s="1"/>
  <c r="CF74" i="6"/>
  <c r="CF61" i="3"/>
  <c r="CF62" i="3" s="1"/>
  <c r="CF32" i="5"/>
  <c r="T122" i="4"/>
  <c r="T157" i="4"/>
  <c r="AD326" i="4"/>
  <c r="AD289" i="4"/>
  <c r="AD30" i="5" s="1"/>
  <c r="CV7" i="3"/>
  <c r="CW8" i="3"/>
  <c r="CW9" i="3" s="1"/>
  <c r="G25" i="1"/>
  <c r="CU6" i="3"/>
  <c r="CU53" i="3"/>
  <c r="CU52" i="3" s="1"/>
  <c r="CU56" i="3" s="1"/>
  <c r="CU20" i="3" s="1"/>
  <c r="CU28" i="5" s="1"/>
  <c r="CU89" i="6" s="1"/>
  <c r="U129" i="4"/>
  <c r="CE105" i="3"/>
  <c r="CE106" i="3" s="1"/>
  <c r="CE17" i="3" s="1"/>
  <c r="CE26" i="5" s="1"/>
  <c r="AV47" i="8"/>
  <c r="AO67" i="7"/>
  <c r="AO68" i="7" s="1"/>
  <c r="U36" i="4"/>
  <c r="AV90" i="4"/>
  <c r="T26" i="9"/>
  <c r="AP61" i="7"/>
  <c r="AP49" i="7" s="1"/>
  <c r="AP21" i="6" s="1"/>
  <c r="AP22" i="6" s="1"/>
  <c r="AO48" i="6"/>
  <c r="AO47" i="6" s="1"/>
  <c r="AP47" i="7"/>
  <c r="CH9" i="5"/>
  <c r="CH14" i="5" s="1"/>
  <c r="CH7" i="9"/>
  <c r="CG48" i="6"/>
  <c r="CG47" i="6" s="1"/>
  <c r="CG55" i="6"/>
  <c r="BP41" i="6"/>
  <c r="F128" i="1"/>
  <c r="T187" i="4"/>
  <c r="T24" i="6"/>
  <c r="T54" i="4"/>
  <c r="BU209" i="4"/>
  <c r="BU215" i="4"/>
  <c r="BU60" i="6" s="1"/>
  <c r="BU219" i="4"/>
  <c r="AP50" i="7" l="1"/>
  <c r="AQ47" i="7" s="1"/>
  <c r="AP62" i="7"/>
  <c r="AQ58" i="7" s="1"/>
  <c r="T55" i="4"/>
  <c r="T189" i="4"/>
  <c r="T158" i="4"/>
  <c r="CV53" i="3"/>
  <c r="CV52" i="3" s="1"/>
  <c r="CV56" i="3" s="1"/>
  <c r="CV20" i="3" s="1"/>
  <c r="CV28" i="5" s="1"/>
  <c r="CV89" i="6" s="1"/>
  <c r="CV6" i="3"/>
  <c r="CE86" i="6"/>
  <c r="CE16" i="6"/>
  <c r="CE18" i="6" s="1"/>
  <c r="CE22" i="6" s="1"/>
  <c r="CE29" i="6" s="1"/>
  <c r="CE32" i="6" s="1"/>
  <c r="CE35" i="5"/>
  <c r="T360" i="4"/>
  <c r="T62" i="4"/>
  <c r="CG27" i="6"/>
  <c r="CG41" i="3"/>
  <c r="CG18" i="3" s="1"/>
  <c r="CG27" i="5" s="1"/>
  <c r="CG33" i="3"/>
  <c r="CG16" i="3" s="1"/>
  <c r="CG25" i="5" s="1"/>
  <c r="BU25" i="9"/>
  <c r="N25" i="9" s="1"/>
  <c r="M25" i="9" s="1"/>
  <c r="M34" i="9" s="1"/>
  <c r="N219" i="4"/>
  <c r="AD96" i="6"/>
  <c r="R145" i="1"/>
  <c r="Q111" i="1"/>
  <c r="Q112" i="1" s="1"/>
  <c r="AD35" i="5"/>
  <c r="AD42" i="6"/>
  <c r="CF96" i="3"/>
  <c r="CF97" i="3" s="1"/>
  <c r="CF86" i="3"/>
  <c r="CF87" i="3" s="1"/>
  <c r="CF101" i="3"/>
  <c r="CF102" i="3" s="1"/>
  <c r="CF81" i="3"/>
  <c r="CF82" i="3" s="1"/>
  <c r="CF91" i="3"/>
  <c r="CF92" i="3" s="1"/>
  <c r="DF49" i="3"/>
  <c r="DF19" i="3" s="1"/>
  <c r="DG25" i="3"/>
  <c r="AW47" i="8"/>
  <c r="AP67" i="7"/>
  <c r="AP68" i="7" s="1"/>
  <c r="CF20" i="6"/>
  <c r="CF87" i="6"/>
  <c r="Y15" i="1"/>
  <c r="F132" i="1"/>
  <c r="BU30" i="4"/>
  <c r="BU31" i="4"/>
  <c r="N31" i="4" s="1"/>
  <c r="AD291" i="4"/>
  <c r="G116" i="1"/>
  <c r="K16" i="1" s="1"/>
  <c r="T77" i="6"/>
  <c r="H148" i="1"/>
  <c r="H164" i="1" s="1"/>
  <c r="AQ60" i="7"/>
  <c r="AV91" i="4"/>
  <c r="AV25" i="6"/>
  <c r="AV22" i="4"/>
  <c r="U130" i="4"/>
  <c r="U26" i="6"/>
  <c r="U131" i="4"/>
  <c r="U118" i="4"/>
  <c r="U38" i="4"/>
  <c r="U117" i="4"/>
  <c r="CH8" i="9"/>
  <c r="CH16" i="5"/>
  <c r="CH12" i="5"/>
  <c r="CH48" i="6" s="1"/>
  <c r="CH47" i="6" s="1"/>
  <c r="CH13" i="5"/>
  <c r="CH24" i="6" s="1"/>
  <c r="CH15" i="5"/>
  <c r="CI8" i="5"/>
  <c r="CH7" i="5"/>
  <c r="CH55" i="6"/>
  <c r="G119" i="1"/>
  <c r="N16" i="1" s="1"/>
  <c r="CX8" i="3"/>
  <c r="CX9" i="3" s="1"/>
  <c r="CW7" i="3"/>
  <c r="BP317" i="4"/>
  <c r="AP48" i="6" l="1"/>
  <c r="AP47" i="6" s="1"/>
  <c r="CI9" i="5"/>
  <c r="CI14" i="5" s="1"/>
  <c r="CI7" i="9"/>
  <c r="T39" i="5"/>
  <c r="T27" i="6"/>
  <c r="T23" i="9"/>
  <c r="T363" i="4"/>
  <c r="U181" i="4"/>
  <c r="T63" i="6"/>
  <c r="T59" i="6" s="1"/>
  <c r="BQ314" i="4"/>
  <c r="BP70" i="4"/>
  <c r="AQ61" i="7"/>
  <c r="AQ62" i="7" s="1"/>
  <c r="AR58" i="7" s="1"/>
  <c r="AK46" i="8"/>
  <c r="AK48" i="8" s="1"/>
  <c r="CG88" i="6"/>
  <c r="CG17" i="6"/>
  <c r="G26" i="1"/>
  <c r="T356" i="4"/>
  <c r="T40" i="5"/>
  <c r="T259" i="4"/>
  <c r="U40" i="4"/>
  <c r="AV23" i="4"/>
  <c r="AV92" i="4"/>
  <c r="DH25" i="3"/>
  <c r="DG49" i="3"/>
  <c r="DG19" i="3" s="1"/>
  <c r="CW6" i="3"/>
  <c r="CW53" i="3"/>
  <c r="CW52" i="3" s="1"/>
  <c r="CW56" i="3" s="1"/>
  <c r="CW20" i="3" s="1"/>
  <c r="CW28" i="5" s="1"/>
  <c r="CW89" i="6" s="1"/>
  <c r="U39" i="4"/>
  <c r="U119" i="4"/>
  <c r="U361" i="4"/>
  <c r="AE287" i="4"/>
  <c r="AD71" i="4"/>
  <c r="N30" i="4"/>
  <c r="N34" i="4" s="1"/>
  <c r="BU33" i="4"/>
  <c r="CF105" i="3"/>
  <c r="CF106" i="3" s="1"/>
  <c r="CF17" i="3" s="1"/>
  <c r="CF26" i="5" s="1"/>
  <c r="T57" i="4"/>
  <c r="CG32" i="5"/>
  <c r="CG74" i="6"/>
  <c r="CG61" i="3"/>
  <c r="CG62" i="3" s="1"/>
  <c r="CX7" i="3"/>
  <c r="CY8" i="3"/>
  <c r="CY9" i="3" s="1"/>
  <c r="U133" i="4"/>
  <c r="CH12" i="3"/>
  <c r="CH6" i="9"/>
  <c r="AV93" i="4"/>
  <c r="AR60" i="7" l="1"/>
  <c r="H150" i="1"/>
  <c r="T91" i="6"/>
  <c r="G115" i="1"/>
  <c r="T92" i="6"/>
  <c r="H149" i="1"/>
  <c r="T42" i="5"/>
  <c r="T358" i="4"/>
  <c r="U42" i="4"/>
  <c r="AQ49" i="7"/>
  <c r="AV61" i="6"/>
  <c r="AW88" i="4"/>
  <c r="CZ8" i="3"/>
  <c r="CZ9" i="3" s="1"/>
  <c r="CY7" i="3"/>
  <c r="U49" i="4"/>
  <c r="G120" i="1"/>
  <c r="O16" i="1" s="1"/>
  <c r="CG87" i="6"/>
  <c r="CG20" i="6"/>
  <c r="U134" i="4"/>
  <c r="U184" i="4" s="1"/>
  <c r="CX53" i="3"/>
  <c r="CX52" i="3" s="1"/>
  <c r="CX56" i="3" s="1"/>
  <c r="CX20" i="3" s="1"/>
  <c r="CX28" i="5" s="1"/>
  <c r="CX89" i="6" s="1"/>
  <c r="CX6" i="3"/>
  <c r="BQ317" i="4"/>
  <c r="BQ316" i="4"/>
  <c r="BQ33" i="5" s="1"/>
  <c r="CF86" i="6"/>
  <c r="CF16" i="6"/>
  <c r="CF18" i="6" s="1"/>
  <c r="CF22" i="6" s="1"/>
  <c r="CF29" i="6" s="1"/>
  <c r="CF32" i="6" s="1"/>
  <c r="CF35" i="5"/>
  <c r="DI25" i="3"/>
  <c r="DH49" i="3"/>
  <c r="DH19" i="3" s="1"/>
  <c r="AA52" i="8"/>
  <c r="T29" i="6"/>
  <c r="AA43" i="8"/>
  <c r="T69" i="7"/>
  <c r="T74" i="7" s="1"/>
  <c r="CI7" i="5"/>
  <c r="CI8" i="9"/>
  <c r="CI12" i="5"/>
  <c r="CJ8" i="5"/>
  <c r="CI16" i="5"/>
  <c r="CI15" i="5"/>
  <c r="CI13" i="5"/>
  <c r="CI24" i="6" s="1"/>
  <c r="CH27" i="6"/>
  <c r="CH41" i="3"/>
  <c r="CH18" i="3" s="1"/>
  <c r="CH27" i="5" s="1"/>
  <c r="CH33" i="3"/>
  <c r="CH16" i="3" s="1"/>
  <c r="CH25" i="5" s="1"/>
  <c r="AE326" i="4"/>
  <c r="AE289" i="4"/>
  <c r="AE30" i="5" s="1"/>
  <c r="AV25" i="4"/>
  <c r="CG81" i="3"/>
  <c r="CG82" i="3" s="1"/>
  <c r="CG101" i="3"/>
  <c r="CG102" i="3" s="1"/>
  <c r="CG86" i="3"/>
  <c r="CG87" i="3" s="1"/>
  <c r="CG96" i="3"/>
  <c r="CG97" i="3" s="1"/>
  <c r="CG91" i="3"/>
  <c r="CG92" i="3" s="1"/>
  <c r="AV182" i="4"/>
  <c r="AV51" i="4" s="1"/>
  <c r="AV24" i="4"/>
  <c r="S261" i="4"/>
  <c r="U136" i="4" l="1"/>
  <c r="U52" i="4"/>
  <c r="CZ7" i="3"/>
  <c r="DA8" i="3"/>
  <c r="DA9" i="3" s="1"/>
  <c r="U260" i="4"/>
  <c r="AE291" i="4"/>
  <c r="CJ7" i="9"/>
  <c r="CJ9" i="5"/>
  <c r="CJ14" i="5" s="1"/>
  <c r="U43" i="4"/>
  <c r="AW90" i="4"/>
  <c r="G117" i="1"/>
  <c r="J16" i="1"/>
  <c r="T32" i="6"/>
  <c r="CI48" i="6"/>
  <c r="CI47" i="6" s="1"/>
  <c r="CI55" i="6"/>
  <c r="CH61" i="3"/>
  <c r="CH62" i="3" s="1"/>
  <c r="CH74" i="6"/>
  <c r="CH32" i="5"/>
  <c r="BQ94" i="6"/>
  <c r="BQ41" i="6"/>
  <c r="AW20" i="4"/>
  <c r="CY6" i="3"/>
  <c r="CY53" i="3"/>
  <c r="CY52" i="3" s="1"/>
  <c r="CY56" i="3" s="1"/>
  <c r="CY20" i="3" s="1"/>
  <c r="CY28" i="5" s="1"/>
  <c r="CY89" i="6" s="1"/>
  <c r="AE96" i="6"/>
  <c r="S145" i="1"/>
  <c r="R111" i="1"/>
  <c r="R112" i="1" s="1"/>
  <c r="AE35" i="5"/>
  <c r="AE42" i="6"/>
  <c r="CG105" i="3"/>
  <c r="CG106" i="3" s="1"/>
  <c r="CG17" i="3" s="1"/>
  <c r="CG26" i="5" s="1"/>
  <c r="CH88" i="6"/>
  <c r="CH17" i="6"/>
  <c r="CI12" i="3"/>
  <c r="CI6" i="9"/>
  <c r="BQ70" i="4"/>
  <c r="BR314" i="4"/>
  <c r="AQ21" i="6"/>
  <c r="AQ22" i="6" s="1"/>
  <c r="AQ50" i="7"/>
  <c r="H163" i="1"/>
  <c r="T46" i="5"/>
  <c r="AR61" i="7"/>
  <c r="AR49" i="7" s="1"/>
  <c r="AR21" i="6" s="1"/>
  <c r="AR22" i="6" s="1"/>
  <c r="T75" i="7"/>
  <c r="DJ25" i="3"/>
  <c r="DI49" i="3"/>
  <c r="DI19" i="3" s="1"/>
  <c r="AA58" i="8"/>
  <c r="AY47" i="8" l="1"/>
  <c r="AR67" i="7"/>
  <c r="AR68" i="7" s="1"/>
  <c r="CG86" i="6"/>
  <c r="CG16" i="6"/>
  <c r="CG18" i="6" s="1"/>
  <c r="CG22" i="6" s="1"/>
  <c r="CG29" i="6" s="1"/>
  <c r="CG32" i="6" s="1"/>
  <c r="CG35" i="5"/>
  <c r="CH87" i="6"/>
  <c r="CH20" i="6"/>
  <c r="CZ6" i="3"/>
  <c r="CZ53" i="3"/>
  <c r="CZ52" i="3" s="1"/>
  <c r="CZ56" i="3" s="1"/>
  <c r="CZ20" i="3" s="1"/>
  <c r="CZ28" i="5" s="1"/>
  <c r="CZ89" i="6" s="1"/>
  <c r="AF287" i="4"/>
  <c r="AE71" i="4"/>
  <c r="DK25" i="3"/>
  <c r="DJ49" i="3"/>
  <c r="DJ19" i="3" s="1"/>
  <c r="BR316" i="4"/>
  <c r="BR33" i="5" s="1"/>
  <c r="BR94" i="6" s="1"/>
  <c r="AW25" i="6"/>
  <c r="AW91" i="4"/>
  <c r="AW22" i="4"/>
  <c r="AR47" i="7"/>
  <c r="AR50" i="7" s="1"/>
  <c r="AQ48" i="6"/>
  <c r="AQ47" i="6" s="1"/>
  <c r="AX47" i="8"/>
  <c r="AQ67" i="7"/>
  <c r="AQ68" i="7" s="1"/>
  <c r="AL46" i="8"/>
  <c r="AL48" i="8" s="1"/>
  <c r="AR62" i="7"/>
  <c r="AS58" i="7" s="1"/>
  <c r="CH96" i="3"/>
  <c r="CH97" i="3" s="1"/>
  <c r="CH91" i="3"/>
  <c r="CH92" i="3" s="1"/>
  <c r="CH81" i="3"/>
  <c r="CH82" i="3" s="1"/>
  <c r="CH101" i="3"/>
  <c r="CH102" i="3" s="1"/>
  <c r="CH86" i="3"/>
  <c r="CH87" i="3" s="1"/>
  <c r="T302" i="4"/>
  <c r="T267" i="4"/>
  <c r="T70" i="7"/>
  <c r="T80" i="7" s="1"/>
  <c r="T18" i="7" s="1"/>
  <c r="T76" i="7"/>
  <c r="CI27" i="6"/>
  <c r="CI33" i="3"/>
  <c r="CI16" i="3" s="1"/>
  <c r="CI25" i="5" s="1"/>
  <c r="CI41" i="3"/>
  <c r="CI18" i="3" s="1"/>
  <c r="CI27" i="5" s="1"/>
  <c r="T78" i="7"/>
  <c r="U73" i="7" s="1"/>
  <c r="BR41" i="6"/>
  <c r="L16" i="1"/>
  <c r="CK8" i="5"/>
  <c r="CJ16" i="5"/>
  <c r="CJ15" i="5"/>
  <c r="CJ12" i="5"/>
  <c r="CJ48" i="6" s="1"/>
  <c r="CJ47" i="6" s="1"/>
  <c r="CJ8" i="9"/>
  <c r="CJ13" i="5"/>
  <c r="CJ24" i="6" s="1"/>
  <c r="CJ7" i="5"/>
  <c r="DB8" i="3"/>
  <c r="DB9" i="3" s="1"/>
  <c r="DA7" i="3"/>
  <c r="U44" i="4"/>
  <c r="U138" i="4"/>
  <c r="AS60" i="7" l="1"/>
  <c r="CH105" i="3"/>
  <c r="CH106" i="3" s="1"/>
  <c r="CH17" i="3" s="1"/>
  <c r="CH26" i="5" s="1"/>
  <c r="AW23" i="4"/>
  <c r="AW93" i="4"/>
  <c r="AW92" i="4"/>
  <c r="DL25" i="3"/>
  <c r="DK49" i="3"/>
  <c r="DK19" i="3" s="1"/>
  <c r="AR48" i="6"/>
  <c r="AR47" i="6" s="1"/>
  <c r="AS47" i="7"/>
  <c r="U41" i="4"/>
  <c r="U139" i="4"/>
  <c r="U362" i="4" s="1"/>
  <c r="CK7" i="9"/>
  <c r="CK9" i="5"/>
  <c r="AF326" i="4"/>
  <c r="AF289" i="4"/>
  <c r="AF30" i="5" s="1"/>
  <c r="DA53" i="3"/>
  <c r="DA52" i="3" s="1"/>
  <c r="DA56" i="3" s="1"/>
  <c r="DA20" i="3" s="1"/>
  <c r="DA28" i="5" s="1"/>
  <c r="DA89" i="6" s="1"/>
  <c r="DA6" i="3"/>
  <c r="T25" i="7"/>
  <c r="T29" i="7" s="1"/>
  <c r="T26" i="7"/>
  <c r="CI17" i="6"/>
  <c r="CI88" i="6"/>
  <c r="CI74" i="6"/>
  <c r="CI32" i="5"/>
  <c r="CI61" i="3"/>
  <c r="CI62" i="3" s="1"/>
  <c r="DB7" i="3"/>
  <c r="DC8" i="3"/>
  <c r="DC9" i="3" s="1"/>
  <c r="CJ12" i="3"/>
  <c r="CJ6" i="9"/>
  <c r="CJ55" i="6"/>
  <c r="BR317" i="4"/>
  <c r="T145" i="1" l="1"/>
  <c r="AF96" i="6"/>
  <c r="S111" i="1"/>
  <c r="S112" i="1" s="1"/>
  <c r="AF35" i="5"/>
  <c r="AF42" i="6"/>
  <c r="U45" i="4"/>
  <c r="U41" i="5" s="1"/>
  <c r="U140" i="4"/>
  <c r="CI96" i="3"/>
  <c r="CI97" i="3" s="1"/>
  <c r="CI81" i="3"/>
  <c r="CI82" i="3" s="1"/>
  <c r="CI91" i="3"/>
  <c r="CI92" i="3" s="1"/>
  <c r="CI86" i="3"/>
  <c r="CI87" i="3" s="1"/>
  <c r="CI101" i="3"/>
  <c r="CI102" i="3" s="1"/>
  <c r="CH86" i="6"/>
  <c r="CH16" i="6"/>
  <c r="CH18" i="6" s="1"/>
  <c r="CH22" i="6" s="1"/>
  <c r="CH29" i="6" s="1"/>
  <c r="CH32" i="6" s="1"/>
  <c r="CH35" i="5"/>
  <c r="CI20" i="6"/>
  <c r="CI87" i="6"/>
  <c r="AF291" i="4"/>
  <c r="U46" i="4"/>
  <c r="AX88" i="4"/>
  <c r="AW61" i="6"/>
  <c r="CK7" i="5"/>
  <c r="CK13" i="5"/>
  <c r="CK24" i="6" s="1"/>
  <c r="CL8" i="5"/>
  <c r="CK12" i="5"/>
  <c r="CK48" i="6" s="1"/>
  <c r="CK47" i="6" s="1"/>
  <c r="CK16" i="5"/>
  <c r="CK8" i="9"/>
  <c r="CK15" i="5"/>
  <c r="DB6" i="3"/>
  <c r="DB53" i="3"/>
  <c r="DB52" i="3" s="1"/>
  <c r="DB56" i="3" s="1"/>
  <c r="DB20" i="3" s="1"/>
  <c r="DB28" i="5" s="1"/>
  <c r="DB89" i="6" s="1"/>
  <c r="BR70" i="4"/>
  <c r="BS314" i="4"/>
  <c r="T30" i="7"/>
  <c r="U185" i="4"/>
  <c r="CK14" i="5"/>
  <c r="AS61" i="7"/>
  <c r="AS49" i="7" s="1"/>
  <c r="AS21" i="6" s="1"/>
  <c r="AS22" i="6" s="1"/>
  <c r="CJ27" i="6"/>
  <c r="CJ33" i="3"/>
  <c r="CJ16" i="3" s="1"/>
  <c r="CJ25" i="5" s="1"/>
  <c r="CJ41" i="3"/>
  <c r="CJ18" i="3" s="1"/>
  <c r="CJ27" i="5" s="1"/>
  <c r="DM25" i="3"/>
  <c r="DL49" i="3"/>
  <c r="DL19" i="3" s="1"/>
  <c r="DC7" i="3"/>
  <c r="DD8" i="3"/>
  <c r="DD9" i="3" s="1"/>
  <c r="AW24" i="4"/>
  <c r="AW25" i="4" s="1"/>
  <c r="AW182" i="4"/>
  <c r="AW51" i="4" s="1"/>
  <c r="AS62" i="7" l="1"/>
  <c r="AT58" i="7" s="1"/>
  <c r="AX20" i="4"/>
  <c r="DC6" i="3"/>
  <c r="DC53" i="3"/>
  <c r="DC52" i="3" s="1"/>
  <c r="DC56" i="3" s="1"/>
  <c r="DC20" i="3" s="1"/>
  <c r="DC28" i="5" s="1"/>
  <c r="DC89" i="6" s="1"/>
  <c r="T34" i="7"/>
  <c r="T21" i="7" s="1"/>
  <c r="T14" i="7" s="1"/>
  <c r="T32" i="7"/>
  <c r="U28" i="7" s="1"/>
  <c r="AT60" i="7"/>
  <c r="AX90" i="4"/>
  <c r="AM46" i="8"/>
  <c r="AM48" i="8" s="1"/>
  <c r="CJ88" i="6"/>
  <c r="CJ17" i="6"/>
  <c r="V36" i="4"/>
  <c r="CI105" i="3"/>
  <c r="CI106" i="3" s="1"/>
  <c r="CI17" i="3" s="1"/>
  <c r="CI26" i="5" s="1"/>
  <c r="I151" i="1"/>
  <c r="U90" i="6"/>
  <c r="CJ74" i="6"/>
  <c r="CJ61" i="3"/>
  <c r="CJ62" i="3" s="1"/>
  <c r="CJ32" i="5"/>
  <c r="AZ47" i="8"/>
  <c r="AS67" i="7"/>
  <c r="AS68" i="7" s="1"/>
  <c r="U62" i="6"/>
  <c r="V126" i="4"/>
  <c r="U142" i="4"/>
  <c r="AS50" i="7"/>
  <c r="CK55" i="6"/>
  <c r="AG287" i="4"/>
  <c r="AF71" i="4"/>
  <c r="DD7" i="3"/>
  <c r="DE8" i="3"/>
  <c r="DE9" i="3" s="1"/>
  <c r="CK12" i="3"/>
  <c r="CK6" i="9"/>
  <c r="BS316" i="4"/>
  <c r="BS33" i="5" s="1"/>
  <c r="DM49" i="3"/>
  <c r="DM19" i="3" s="1"/>
  <c r="DN25" i="3"/>
  <c r="U53" i="4"/>
  <c r="U192" i="4"/>
  <c r="U186" i="4"/>
  <c r="CL9" i="5"/>
  <c r="CL14" i="5"/>
  <c r="CL7" i="9"/>
  <c r="U26" i="9" l="1"/>
  <c r="V129" i="4"/>
  <c r="CJ91" i="3"/>
  <c r="CJ92" i="3" s="1"/>
  <c r="CJ101" i="3"/>
  <c r="CJ102" i="3" s="1"/>
  <c r="CJ81" i="3"/>
  <c r="CJ82" i="3" s="1"/>
  <c r="CJ86" i="3"/>
  <c r="CJ87" i="3" s="1"/>
  <c r="CJ96" i="3"/>
  <c r="CJ97" i="3" s="1"/>
  <c r="CI86" i="6"/>
  <c r="CI35" i="5"/>
  <c r="CI16" i="6"/>
  <c r="CI18" i="6" s="1"/>
  <c r="CI22" i="6" s="1"/>
  <c r="CI29" i="6" s="1"/>
  <c r="CI32" i="6" s="1"/>
  <c r="BS94" i="6"/>
  <c r="BS41" i="6"/>
  <c r="AA23" i="8"/>
  <c r="DD6" i="3"/>
  <c r="DD53" i="3"/>
  <c r="DD52" i="3" s="1"/>
  <c r="DD56" i="3" s="1"/>
  <c r="DD20" i="3" s="1"/>
  <c r="DD28" i="5" s="1"/>
  <c r="DD89" i="6" s="1"/>
  <c r="U37" i="5"/>
  <c r="BS317" i="4"/>
  <c r="AG326" i="4"/>
  <c r="AG291" i="4"/>
  <c r="AG289" i="4"/>
  <c r="AG30" i="5" s="1"/>
  <c r="AX91" i="4"/>
  <c r="AX25" i="6"/>
  <c r="AX22" i="4"/>
  <c r="CL15" i="5"/>
  <c r="CL16" i="5"/>
  <c r="CL12" i="5"/>
  <c r="CL48" i="6" s="1"/>
  <c r="CL47" i="6" s="1"/>
  <c r="CL7" i="5"/>
  <c r="CM8" i="5"/>
  <c r="CL13" i="5"/>
  <c r="CL24" i="6" s="1"/>
  <c r="CL8" i="9"/>
  <c r="DN49" i="3"/>
  <c r="DN19" i="3" s="1"/>
  <c r="DO25" i="3"/>
  <c r="CL55" i="6"/>
  <c r="AT61" i="7"/>
  <c r="AT49" i="7" s="1"/>
  <c r="AT21" i="6" s="1"/>
  <c r="AT22" i="6" s="1"/>
  <c r="CK27" i="6"/>
  <c r="CK41" i="3"/>
  <c r="CK18" i="3" s="1"/>
  <c r="CK27" i="5" s="1"/>
  <c r="CK33" i="3"/>
  <c r="CK16" i="3" s="1"/>
  <c r="CK25" i="5" s="1"/>
  <c r="AT47" i="7"/>
  <c r="AS48" i="6"/>
  <c r="AS47" i="6" s="1"/>
  <c r="U187" i="4"/>
  <c r="U24" i="6"/>
  <c r="U54" i="4"/>
  <c r="U189" i="4"/>
  <c r="DF8" i="3"/>
  <c r="DF9" i="3" s="1"/>
  <c r="DE7" i="3"/>
  <c r="U122" i="4"/>
  <c r="CJ20" i="6"/>
  <c r="CJ87" i="6"/>
  <c r="AT62" i="7" l="1"/>
  <c r="AU58" i="7" s="1"/>
  <c r="AU60" i="7" s="1"/>
  <c r="BA47" i="8"/>
  <c r="AT67" i="7"/>
  <c r="AT68" i="7" s="1"/>
  <c r="DF7" i="3"/>
  <c r="DG8" i="3"/>
  <c r="DG9" i="3" s="1"/>
  <c r="CM7" i="9"/>
  <c r="CM9" i="5"/>
  <c r="AX23" i="4"/>
  <c r="AX92" i="4"/>
  <c r="AG71" i="4"/>
  <c r="AH287" i="4"/>
  <c r="V130" i="4"/>
  <c r="V117" i="4"/>
  <c r="V118" i="4"/>
  <c r="V26" i="6"/>
  <c r="V38" i="4"/>
  <c r="U194" i="4"/>
  <c r="V181" i="4"/>
  <c r="U63" i="6"/>
  <c r="U59" i="6" s="1"/>
  <c r="CL12" i="3"/>
  <c r="CL6" i="9"/>
  <c r="G128" i="1"/>
  <c r="AT50" i="7"/>
  <c r="BT314" i="4"/>
  <c r="BS70" i="4"/>
  <c r="H119" i="1"/>
  <c r="N17" i="1" s="1"/>
  <c r="CK61" i="3"/>
  <c r="CK62" i="3" s="1"/>
  <c r="CK32" i="5"/>
  <c r="CK74" i="6"/>
  <c r="I148" i="1"/>
  <c r="I164" i="1" s="1"/>
  <c r="U77" i="6"/>
  <c r="H116" i="1"/>
  <c r="K17" i="1" s="1"/>
  <c r="CK88" i="6"/>
  <c r="CK17" i="6"/>
  <c r="DP25" i="3"/>
  <c r="DO49" i="3"/>
  <c r="DO19" i="3" s="1"/>
  <c r="U57" i="4"/>
  <c r="U55" i="4"/>
  <c r="CJ105" i="3"/>
  <c r="CJ106" i="3" s="1"/>
  <c r="CJ17" i="3" s="1"/>
  <c r="CJ26" i="5" s="1"/>
  <c r="U62" i="4"/>
  <c r="U360" i="4"/>
  <c r="DE53" i="3"/>
  <c r="DE52" i="3" s="1"/>
  <c r="DE56" i="3" s="1"/>
  <c r="DE20" i="3" s="1"/>
  <c r="DE28" i="5" s="1"/>
  <c r="DE89" i="6" s="1"/>
  <c r="DE6" i="3"/>
  <c r="AG96" i="6"/>
  <c r="U145" i="1"/>
  <c r="T111" i="1"/>
  <c r="AG35" i="5"/>
  <c r="AG42" i="6"/>
  <c r="AX93" i="4"/>
  <c r="CM13" i="5" l="1"/>
  <c r="CM24" i="6" s="1"/>
  <c r="CM15" i="5"/>
  <c r="CM16" i="5"/>
  <c r="CN8" i="5"/>
  <c r="CM8" i="9"/>
  <c r="CM12" i="5"/>
  <c r="CM7" i="5"/>
  <c r="V49" i="4"/>
  <c r="H120" i="1"/>
  <c r="O17" i="1" s="1"/>
  <c r="V39" i="4"/>
  <c r="AX61" i="6"/>
  <c r="AY88" i="4"/>
  <c r="Y16" i="1"/>
  <c r="G132" i="1"/>
  <c r="DG7" i="3"/>
  <c r="DH8" i="3"/>
  <c r="DH9" i="3" s="1"/>
  <c r="U39" i="5"/>
  <c r="U27" i="6"/>
  <c r="AH291" i="4"/>
  <c r="AH326" i="4"/>
  <c r="AH289" i="4"/>
  <c r="AH30" i="5" s="1"/>
  <c r="DF6" i="3"/>
  <c r="DF53" i="3"/>
  <c r="DF52" i="3" s="1"/>
  <c r="DF56" i="3" s="1"/>
  <c r="DF20" i="3" s="1"/>
  <c r="DF28" i="5" s="1"/>
  <c r="DF89" i="6" s="1"/>
  <c r="U363" i="4"/>
  <c r="CK87" i="6"/>
  <c r="CK20" i="6"/>
  <c r="CL27" i="6"/>
  <c r="CL33" i="3"/>
  <c r="CL16" i="3" s="1"/>
  <c r="CL25" i="5" s="1"/>
  <c r="CL41" i="3"/>
  <c r="CL18" i="3" s="1"/>
  <c r="CL27" i="5" s="1"/>
  <c r="CJ86" i="6"/>
  <c r="CJ16" i="6"/>
  <c r="CJ18" i="6" s="1"/>
  <c r="CJ22" i="6" s="1"/>
  <c r="CJ29" i="6" s="1"/>
  <c r="CJ32" i="6" s="1"/>
  <c r="CJ35" i="5"/>
  <c r="AH42" i="6"/>
  <c r="DP49" i="3"/>
  <c r="DP19" i="3" s="1"/>
  <c r="BT317" i="4"/>
  <c r="BT316" i="4"/>
  <c r="BT33" i="5" s="1"/>
  <c r="V131" i="4"/>
  <c r="V361" i="4" s="1"/>
  <c r="AX182" i="4"/>
  <c r="AX51" i="4" s="1"/>
  <c r="AX24" i="4"/>
  <c r="AX25" i="4"/>
  <c r="AN46" i="8"/>
  <c r="AN48" i="8" s="1"/>
  <c r="F29" i="1"/>
  <c r="T112" i="1"/>
  <c r="AU61" i="7"/>
  <c r="AU62" i="7" s="1"/>
  <c r="AV58" i="7" s="1"/>
  <c r="U356" i="4"/>
  <c r="U259" i="4"/>
  <c r="U40" i="5"/>
  <c r="CK91" i="3"/>
  <c r="CK92" i="3" s="1"/>
  <c r="CK96" i="3"/>
  <c r="CK97" i="3" s="1"/>
  <c r="CK81" i="3"/>
  <c r="CK82" i="3" s="1"/>
  <c r="CK101" i="3"/>
  <c r="CK102" i="3" s="1"/>
  <c r="CK86" i="3"/>
  <c r="CK87" i="3" s="1"/>
  <c r="AU47" i="7"/>
  <c r="AT48" i="6"/>
  <c r="AT47" i="6" s="1"/>
  <c r="CM14" i="5"/>
  <c r="CL61" i="3" l="1"/>
  <c r="CL62" i="3" s="1"/>
  <c r="CL74" i="6"/>
  <c r="CL32" i="5"/>
  <c r="DH7" i="3"/>
  <c r="DI8" i="3"/>
  <c r="DI9" i="3" s="1"/>
  <c r="CM48" i="6"/>
  <c r="CM47" i="6" s="1"/>
  <c r="CM55" i="6"/>
  <c r="U358" i="4"/>
  <c r="V40" i="4"/>
  <c r="V133" i="4"/>
  <c r="V145" i="1"/>
  <c r="AH96" i="6"/>
  <c r="U111" i="1"/>
  <c r="AH35" i="5"/>
  <c r="DG6" i="3"/>
  <c r="DG53" i="3"/>
  <c r="DG52" i="3" s="1"/>
  <c r="DG56" i="3" s="1"/>
  <c r="DG20" i="3" s="1"/>
  <c r="DG28" i="5" s="1"/>
  <c r="DG89" i="6" s="1"/>
  <c r="AV60" i="7"/>
  <c r="BT94" i="6"/>
  <c r="BT41" i="6"/>
  <c r="V119" i="4"/>
  <c r="CN7" i="9"/>
  <c r="CN9" i="5"/>
  <c r="CN14" i="5" s="1"/>
  <c r="G29" i="1"/>
  <c r="BU314" i="4"/>
  <c r="BT70" i="4"/>
  <c r="AH71" i="4"/>
  <c r="AI287" i="4"/>
  <c r="AY90" i="4"/>
  <c r="I150" i="1"/>
  <c r="U91" i="6"/>
  <c r="AU49" i="7"/>
  <c r="AU21" i="6" s="1"/>
  <c r="AU22" i="6" s="1"/>
  <c r="AB52" i="8"/>
  <c r="U29" i="6"/>
  <c r="U69" i="7"/>
  <c r="U74" i="7" s="1"/>
  <c r="AB43" i="8"/>
  <c r="AB58" i="8"/>
  <c r="CK105" i="3"/>
  <c r="CK106" i="3" s="1"/>
  <c r="CK17" i="3" s="1"/>
  <c r="CK26" i="5" s="1"/>
  <c r="T261" i="4"/>
  <c r="AY20" i="4"/>
  <c r="CL88" i="6"/>
  <c r="CL17" i="6"/>
  <c r="I149" i="1"/>
  <c r="H115" i="1"/>
  <c r="U92" i="6"/>
  <c r="U42" i="5"/>
  <c r="CM12" i="3"/>
  <c r="CM6" i="9"/>
  <c r="AY25" i="6" l="1"/>
  <c r="AY91" i="4"/>
  <c r="AY23" i="4" s="1"/>
  <c r="AY22" i="4"/>
  <c r="V42" i="4"/>
  <c r="DJ8" i="3"/>
  <c r="DJ9" i="3" s="1"/>
  <c r="DI7" i="3"/>
  <c r="AV61" i="7"/>
  <c r="AV62" i="7" s="1"/>
  <c r="AW58" i="7" s="1"/>
  <c r="AO46" i="8"/>
  <c r="AO48" i="8" s="1"/>
  <c r="DH53" i="3"/>
  <c r="DH52" i="3" s="1"/>
  <c r="DH56" i="3" s="1"/>
  <c r="DH20" i="3" s="1"/>
  <c r="DH28" i="5" s="1"/>
  <c r="DH89" i="6" s="1"/>
  <c r="DH6" i="3"/>
  <c r="AU50" i="7"/>
  <c r="CN7" i="5"/>
  <c r="CN8" i="9"/>
  <c r="CN12" i="5"/>
  <c r="CN48" i="6" s="1"/>
  <c r="CN47" i="6" s="1"/>
  <c r="CO8" i="5"/>
  <c r="CN13" i="5"/>
  <c r="CN24" i="6" s="1"/>
  <c r="CN16" i="5"/>
  <c r="CN15" i="5"/>
  <c r="F30" i="1"/>
  <c r="U112" i="1"/>
  <c r="U75" i="7"/>
  <c r="U32" i="6"/>
  <c r="I163" i="1"/>
  <c r="AI326" i="4"/>
  <c r="AI289" i="4"/>
  <c r="AI30" i="5" s="1"/>
  <c r="BB47" i="8"/>
  <c r="AU67" i="7"/>
  <c r="AU68" i="7" s="1"/>
  <c r="CK86" i="6"/>
  <c r="CK35" i="5"/>
  <c r="CK16" i="6"/>
  <c r="CK18" i="6" s="1"/>
  <c r="CK22" i="6" s="1"/>
  <c r="CK29" i="6" s="1"/>
  <c r="CK32" i="6" s="1"/>
  <c r="CL87" i="6"/>
  <c r="CL20" i="6"/>
  <c r="CM27" i="6"/>
  <c r="CM33" i="3"/>
  <c r="CM16" i="3" s="1"/>
  <c r="CM25" i="5" s="1"/>
  <c r="CM41" i="3"/>
  <c r="CM18" i="3" s="1"/>
  <c r="CM27" i="5" s="1"/>
  <c r="AY92" i="4"/>
  <c r="AY93" i="4" s="1"/>
  <c r="V134" i="4"/>
  <c r="H117" i="1"/>
  <c r="J17" i="1"/>
  <c r="U46" i="5"/>
  <c r="BU316" i="4"/>
  <c r="BU317" i="4" s="1"/>
  <c r="BU70" i="4" s="1"/>
  <c r="CN55" i="6"/>
  <c r="CL101" i="3"/>
  <c r="CL102" i="3" s="1"/>
  <c r="CL81" i="3"/>
  <c r="CL82" i="3" s="1"/>
  <c r="CL86" i="3"/>
  <c r="CL87" i="3" s="1"/>
  <c r="CL91" i="3"/>
  <c r="CL92" i="3" s="1"/>
  <c r="CL96" i="3"/>
  <c r="CL97" i="3" s="1"/>
  <c r="AV49" i="7" l="1"/>
  <c r="AV21" i="6" s="1"/>
  <c r="AV22" i="6" s="1"/>
  <c r="BC47" i="8" s="1"/>
  <c r="AW60" i="7"/>
  <c r="AY61" i="6"/>
  <c r="AZ88" i="4"/>
  <c r="CM88" i="6"/>
  <c r="CM17" i="6"/>
  <c r="V260" i="4"/>
  <c r="L17" i="1"/>
  <c r="CM74" i="6"/>
  <c r="CM32" i="5"/>
  <c r="CM61" i="3"/>
  <c r="CM62" i="3" s="1"/>
  <c r="V184" i="4"/>
  <c r="CO7" i="9"/>
  <c r="CO9" i="5"/>
  <c r="CO14" i="5"/>
  <c r="BU33" i="5"/>
  <c r="N316" i="4"/>
  <c r="N318" i="4" s="1"/>
  <c r="L201" i="2" s="1"/>
  <c r="G30" i="1"/>
  <c r="CN12" i="3"/>
  <c r="CN6" i="9"/>
  <c r="CL105" i="3"/>
  <c r="CL106" i="3" s="1"/>
  <c r="CL17" i="3" s="1"/>
  <c r="CL26" i="5" s="1"/>
  <c r="AV47" i="7"/>
  <c r="AU48" i="6"/>
  <c r="AU47" i="6" s="1"/>
  <c r="U267" i="4"/>
  <c r="U302" i="4"/>
  <c r="DI6" i="3"/>
  <c r="DI53" i="3"/>
  <c r="DI52" i="3" s="1"/>
  <c r="DI56" i="3" s="1"/>
  <c r="DI20" i="3" s="1"/>
  <c r="DI28" i="5" s="1"/>
  <c r="DI89" i="6" s="1"/>
  <c r="V43" i="4"/>
  <c r="W145" i="1"/>
  <c r="AI96" i="6"/>
  <c r="V111" i="1"/>
  <c r="AI35" i="5"/>
  <c r="AI42" i="6"/>
  <c r="DK8" i="3"/>
  <c r="DK9" i="3" s="1"/>
  <c r="DJ7" i="3"/>
  <c r="AY24" i="4"/>
  <c r="AY182" i="4"/>
  <c r="AY51" i="4" s="1"/>
  <c r="AI291" i="4"/>
  <c r="U70" i="7"/>
  <c r="U80" i="7" s="1"/>
  <c r="U18" i="7" s="1"/>
  <c r="U76" i="7"/>
  <c r="AV50" i="7" l="1"/>
  <c r="AV67" i="7"/>
  <c r="AV68" i="7" s="1"/>
  <c r="AP46" i="8"/>
  <c r="AP48" i="8" s="1"/>
  <c r="BU94" i="6"/>
  <c r="N94" i="6" s="1"/>
  <c r="N33" i="5"/>
  <c r="BU41" i="6"/>
  <c r="BV41" i="6" s="1"/>
  <c r="BW41" i="6" s="1"/>
  <c r="BX41" i="6" s="1"/>
  <c r="BY41" i="6" s="1"/>
  <c r="BZ41" i="6" s="1"/>
  <c r="CA41" i="6" s="1"/>
  <c r="CB41" i="6" s="1"/>
  <c r="CC41" i="6" s="1"/>
  <c r="CD41" i="6" s="1"/>
  <c r="CE41" i="6" s="1"/>
  <c r="CF41" i="6" s="1"/>
  <c r="CG41" i="6" s="1"/>
  <c r="CH41" i="6" s="1"/>
  <c r="CI41" i="6" s="1"/>
  <c r="CJ41" i="6" s="1"/>
  <c r="CK41" i="6" s="1"/>
  <c r="CL41" i="6" s="1"/>
  <c r="CM41" i="6" s="1"/>
  <c r="CN41" i="6" s="1"/>
  <c r="CO41" i="6" s="1"/>
  <c r="CP41" i="6" s="1"/>
  <c r="CQ41" i="6" s="1"/>
  <c r="CR41" i="6" s="1"/>
  <c r="CS41" i="6" s="1"/>
  <c r="CT41" i="6" s="1"/>
  <c r="CU41" i="6" s="1"/>
  <c r="CV41" i="6" s="1"/>
  <c r="CW41" i="6" s="1"/>
  <c r="CX41" i="6" s="1"/>
  <c r="CY41" i="6" s="1"/>
  <c r="CZ41" i="6" s="1"/>
  <c r="DA41" i="6" s="1"/>
  <c r="DB41" i="6" s="1"/>
  <c r="DC41" i="6" s="1"/>
  <c r="DD41" i="6" s="1"/>
  <c r="DE41" i="6" s="1"/>
  <c r="DF41" i="6" s="1"/>
  <c r="DG41" i="6" s="1"/>
  <c r="DH41" i="6" s="1"/>
  <c r="DI41" i="6" s="1"/>
  <c r="DJ41" i="6" s="1"/>
  <c r="DK41" i="6" s="1"/>
  <c r="DL41" i="6" s="1"/>
  <c r="DM41" i="6" s="1"/>
  <c r="DN41" i="6" s="1"/>
  <c r="DO41" i="6" s="1"/>
  <c r="DP41" i="6" s="1"/>
  <c r="AV48" i="6"/>
  <c r="AV47" i="6" s="1"/>
  <c r="AW47" i="7"/>
  <c r="AZ90" i="4"/>
  <c r="F31" i="1"/>
  <c r="V112" i="1"/>
  <c r="U26" i="7"/>
  <c r="U25" i="7"/>
  <c r="U29" i="7" s="1"/>
  <c r="CL86" i="6"/>
  <c r="CL35" i="5"/>
  <c r="CL16" i="6"/>
  <c r="CL18" i="6" s="1"/>
  <c r="CL22" i="6" s="1"/>
  <c r="CL29" i="6" s="1"/>
  <c r="CL32" i="6" s="1"/>
  <c r="CP8" i="5"/>
  <c r="CO16" i="5"/>
  <c r="CO7" i="5"/>
  <c r="CO12" i="5"/>
  <c r="CO13" i="5"/>
  <c r="CO24" i="6" s="1"/>
  <c r="CO15" i="5"/>
  <c r="CO8" i="9"/>
  <c r="U78" i="7"/>
  <c r="V73" i="7" s="1"/>
  <c r="AJ287" i="4"/>
  <c r="AI71" i="4"/>
  <c r="DJ53" i="3"/>
  <c r="DJ52" i="3" s="1"/>
  <c r="DJ56" i="3" s="1"/>
  <c r="DJ20" i="3" s="1"/>
  <c r="DJ28" i="5" s="1"/>
  <c r="DJ89" i="6" s="1"/>
  <c r="DJ6" i="3"/>
  <c r="CM81" i="3"/>
  <c r="CM82" i="3" s="1"/>
  <c r="CM86" i="3"/>
  <c r="CM87" i="3" s="1"/>
  <c r="CM101" i="3"/>
  <c r="CM102" i="3" s="1"/>
  <c r="CM96" i="3"/>
  <c r="CM97" i="3" s="1"/>
  <c r="CM91" i="3"/>
  <c r="CM92" i="3" s="1"/>
  <c r="CN27" i="6"/>
  <c r="CN41" i="3"/>
  <c r="CN18" i="3" s="1"/>
  <c r="CN27" i="5" s="1"/>
  <c r="CN33" i="3"/>
  <c r="CN16" i="3" s="1"/>
  <c r="CN25" i="5" s="1"/>
  <c r="AW61" i="7"/>
  <c r="AW62" i="7" s="1"/>
  <c r="AX58" i="7" s="1"/>
  <c r="AY25" i="4"/>
  <c r="DK7" i="3"/>
  <c r="DL8" i="3"/>
  <c r="DL9" i="3" s="1"/>
  <c r="V52" i="4"/>
  <c r="V136" i="4"/>
  <c r="CM87" i="6"/>
  <c r="CM20" i="6"/>
  <c r="AX60" i="7" l="1"/>
  <c r="DK6" i="3"/>
  <c r="DK53" i="3"/>
  <c r="DK52" i="3" s="1"/>
  <c r="DK56" i="3" s="1"/>
  <c r="DK20" i="3" s="1"/>
  <c r="DK28" i="5" s="1"/>
  <c r="DK89" i="6" s="1"/>
  <c r="AW49" i="7"/>
  <c r="AW21" i="6" s="1"/>
  <c r="AW22" i="6" s="1"/>
  <c r="AZ91" i="4"/>
  <c r="AZ25" i="6"/>
  <c r="AZ22" i="4"/>
  <c r="DL7" i="3"/>
  <c r="DM8" i="3"/>
  <c r="DM9" i="3" s="1"/>
  <c r="AJ326" i="4"/>
  <c r="AJ289" i="4"/>
  <c r="AJ30" i="5" s="1"/>
  <c r="CO48" i="6"/>
  <c r="CO47" i="6" s="1"/>
  <c r="CO55" i="6"/>
  <c r="U30" i="7"/>
  <c r="U32" i="7" s="1"/>
  <c r="V28" i="7" s="1"/>
  <c r="CN74" i="6"/>
  <c r="CN32" i="5"/>
  <c r="CN61" i="3"/>
  <c r="CN62" i="3" s="1"/>
  <c r="CO6" i="9"/>
  <c r="CO12" i="3"/>
  <c r="CP7" i="9"/>
  <c r="CP9" i="5"/>
  <c r="CP14" i="5"/>
  <c r="AZ20" i="4"/>
  <c r="V44" i="4"/>
  <c r="V138" i="4"/>
  <c r="CN17" i="6"/>
  <c r="CN88" i="6"/>
  <c r="CM105" i="3"/>
  <c r="CM106" i="3" s="1"/>
  <c r="CM17" i="3" s="1"/>
  <c r="CM26" i="5" s="1"/>
  <c r="G31" i="1"/>
  <c r="AW50" i="7" l="1"/>
  <c r="AX47" i="7" s="1"/>
  <c r="V41" i="4"/>
  <c r="V139" i="4"/>
  <c r="X145" i="1"/>
  <c r="AJ96" i="6"/>
  <c r="W111" i="1"/>
  <c r="AJ35" i="5"/>
  <c r="AJ42" i="6"/>
  <c r="AZ23" i="4"/>
  <c r="AZ92" i="4"/>
  <c r="AZ93" i="4" s="1"/>
  <c r="CM86" i="6"/>
  <c r="CM16" i="6"/>
  <c r="CM18" i="6" s="1"/>
  <c r="CM22" i="6" s="1"/>
  <c r="CM29" i="6" s="1"/>
  <c r="CM32" i="6" s="1"/>
  <c r="CM35" i="5"/>
  <c r="CO27" i="6"/>
  <c r="CO41" i="3"/>
  <c r="CO18" i="3" s="1"/>
  <c r="CO27" i="5" s="1"/>
  <c r="CO33" i="3"/>
  <c r="CO16" i="3" s="1"/>
  <c r="CO25" i="5" s="1"/>
  <c r="BD47" i="8"/>
  <c r="AW67" i="7"/>
  <c r="AW68" i="7" s="1"/>
  <c r="AJ291" i="4"/>
  <c r="U34" i="7"/>
  <c r="U21" i="7" s="1"/>
  <c r="U14" i="7" s="1"/>
  <c r="DN8" i="3"/>
  <c r="DN9" i="3" s="1"/>
  <c r="DM7" i="3"/>
  <c r="CN91" i="3"/>
  <c r="CN92" i="3" s="1"/>
  <c r="CN81" i="3"/>
  <c r="CN82" i="3" s="1"/>
  <c r="CN101" i="3"/>
  <c r="CN102" i="3" s="1"/>
  <c r="CN86" i="3"/>
  <c r="CN87" i="3" s="1"/>
  <c r="CN96" i="3"/>
  <c r="CN97" i="3" s="1"/>
  <c r="DL6" i="3"/>
  <c r="DL53" i="3"/>
  <c r="DL52" i="3" s="1"/>
  <c r="DL56" i="3" s="1"/>
  <c r="DL20" i="3" s="1"/>
  <c r="DL28" i="5" s="1"/>
  <c r="DL89" i="6" s="1"/>
  <c r="CP7" i="5"/>
  <c r="CQ8" i="5"/>
  <c r="CP12" i="5"/>
  <c r="CP48" i="6" s="1"/>
  <c r="CP47" i="6" s="1"/>
  <c r="CP8" i="9"/>
  <c r="CP15" i="5"/>
  <c r="CP13" i="5"/>
  <c r="CP24" i="6" s="1"/>
  <c r="CP16" i="5"/>
  <c r="CP55" i="6"/>
  <c r="AX61" i="7"/>
  <c r="AX49" i="7" s="1"/>
  <c r="AX21" i="6" s="1"/>
  <c r="AX22" i="6" s="1"/>
  <c r="V362" i="4"/>
  <c r="CN87" i="6"/>
  <c r="CN20" i="6"/>
  <c r="AW48" i="6" l="1"/>
  <c r="AW47" i="6" s="1"/>
  <c r="AX62" i="7"/>
  <c r="AY58" i="7" s="1"/>
  <c r="BE47" i="8"/>
  <c r="AX67" i="7"/>
  <c r="AX68" i="7" s="1"/>
  <c r="BA88" i="4"/>
  <c r="AZ61" i="6"/>
  <c r="DN7" i="3"/>
  <c r="DO8" i="3"/>
  <c r="DO9" i="3" s="1"/>
  <c r="AB23" i="8"/>
  <c r="AY60" i="7"/>
  <c r="AZ182" i="4"/>
  <c r="AZ51" i="4" s="1"/>
  <c r="AZ24" i="4"/>
  <c r="V45" i="4"/>
  <c r="V41" i="5" s="1"/>
  <c r="V140" i="4"/>
  <c r="AJ71" i="4"/>
  <c r="AK287" i="4"/>
  <c r="CO61" i="3"/>
  <c r="CO62" i="3" s="1"/>
  <c r="CO32" i="5"/>
  <c r="CO74" i="6"/>
  <c r="CQ7" i="9"/>
  <c r="CQ9" i="5"/>
  <c r="CN105" i="3"/>
  <c r="CN106" i="3" s="1"/>
  <c r="CN17" i="3" s="1"/>
  <c r="CN26" i="5" s="1"/>
  <c r="CO88" i="6"/>
  <c r="CO17" i="6"/>
  <c r="V46" i="4"/>
  <c r="CP12" i="3"/>
  <c r="CP6" i="9"/>
  <c r="AX50" i="7"/>
  <c r="AQ46" i="8"/>
  <c r="AQ48" i="8" s="1"/>
  <c r="V185" i="4"/>
  <c r="F32" i="1"/>
  <c r="W112" i="1"/>
  <c r="DM6" i="3"/>
  <c r="DM53" i="3"/>
  <c r="DM52" i="3" s="1"/>
  <c r="DM56" i="3" s="1"/>
  <c r="DM20" i="3" s="1"/>
  <c r="DM28" i="5" s="1"/>
  <c r="DM89" i="6" s="1"/>
  <c r="CR8" i="5" l="1"/>
  <c r="CQ16" i="5"/>
  <c r="CQ12" i="5"/>
  <c r="CQ8" i="9"/>
  <c r="CQ15" i="5"/>
  <c r="CQ13" i="5"/>
  <c r="CQ24" i="6" s="1"/>
  <c r="CQ7" i="5"/>
  <c r="AZ25" i="4"/>
  <c r="DO7" i="3"/>
  <c r="DP8" i="3"/>
  <c r="DP9" i="3" s="1"/>
  <c r="DP7" i="3" s="1"/>
  <c r="W36" i="4"/>
  <c r="CO81" i="3"/>
  <c r="CO82" i="3" s="1"/>
  <c r="CO101" i="3"/>
  <c r="CO102" i="3" s="1"/>
  <c r="CO86" i="3"/>
  <c r="CO87" i="3" s="1"/>
  <c r="CO91" i="3"/>
  <c r="CO92" i="3" s="1"/>
  <c r="CO96" i="3"/>
  <c r="CO97" i="3" s="1"/>
  <c r="DN6" i="3"/>
  <c r="DN53" i="3"/>
  <c r="DN52" i="3" s="1"/>
  <c r="DN56" i="3" s="1"/>
  <c r="DN20" i="3" s="1"/>
  <c r="DN28" i="5" s="1"/>
  <c r="DN89" i="6" s="1"/>
  <c r="AK326" i="4"/>
  <c r="AK289" i="4"/>
  <c r="AK30" i="5" s="1"/>
  <c r="AY61" i="7"/>
  <c r="AY49" i="7" s="1"/>
  <c r="AY21" i="6" s="1"/>
  <c r="AY22" i="6" s="1"/>
  <c r="BA90" i="4"/>
  <c r="V53" i="4"/>
  <c r="V186" i="4"/>
  <c r="V192" i="4"/>
  <c r="G32" i="1"/>
  <c r="AX48" i="6"/>
  <c r="AX47" i="6" s="1"/>
  <c r="AY47" i="7"/>
  <c r="V62" i="6"/>
  <c r="W126" i="4"/>
  <c r="V142" i="4"/>
  <c r="CN86" i="6"/>
  <c r="CN16" i="6"/>
  <c r="CN18" i="6" s="1"/>
  <c r="CN22" i="6" s="1"/>
  <c r="CN29" i="6" s="1"/>
  <c r="CN32" i="6" s="1"/>
  <c r="CN35" i="5"/>
  <c r="CO20" i="6"/>
  <c r="CO87" i="6"/>
  <c r="H128" i="1"/>
  <c r="CP27" i="6"/>
  <c r="CP33" i="3"/>
  <c r="CP16" i="3" s="1"/>
  <c r="CP25" i="5" s="1"/>
  <c r="CP41" i="3"/>
  <c r="CP18" i="3" s="1"/>
  <c r="CP27" i="5" s="1"/>
  <c r="CQ14" i="5"/>
  <c r="J151" i="1"/>
  <c r="V90" i="6"/>
  <c r="AY62" i="7" l="1"/>
  <c r="AZ58" i="7" s="1"/>
  <c r="AZ60" i="7" s="1"/>
  <c r="AY50" i="7"/>
  <c r="AY48" i="6" s="1"/>
  <c r="AY47" i="6" s="1"/>
  <c r="V122" i="4"/>
  <c r="BF47" i="8"/>
  <c r="AY67" i="7"/>
  <c r="AY68" i="7" s="1"/>
  <c r="W129" i="4"/>
  <c r="BA25" i="6"/>
  <c r="BA22" i="4"/>
  <c r="BA91" i="4"/>
  <c r="BA23" i="4" s="1"/>
  <c r="CQ12" i="3"/>
  <c r="CQ6" i="9"/>
  <c r="V26" i="9"/>
  <c r="Y17" i="1"/>
  <c r="H132" i="1"/>
  <c r="V187" i="4"/>
  <c r="V54" i="4"/>
  <c r="V24" i="6"/>
  <c r="Y145" i="1"/>
  <c r="AK96" i="6"/>
  <c r="X111" i="1"/>
  <c r="AK35" i="5"/>
  <c r="AK42" i="6"/>
  <c r="DP53" i="3"/>
  <c r="DP52" i="3" s="1"/>
  <c r="DP56" i="3" s="1"/>
  <c r="DP20" i="3" s="1"/>
  <c r="DP28" i="5" s="1"/>
  <c r="V37" i="5"/>
  <c r="AK291" i="4"/>
  <c r="DO6" i="3"/>
  <c r="DP6" i="3" s="1"/>
  <c r="DO53" i="3"/>
  <c r="DO52" i="3" s="1"/>
  <c r="DO56" i="3" s="1"/>
  <c r="DO20" i="3" s="1"/>
  <c r="DO28" i="5" s="1"/>
  <c r="DO89" i="6" s="1"/>
  <c r="CQ48" i="6"/>
  <c r="CQ47" i="6" s="1"/>
  <c r="CQ55" i="6"/>
  <c r="CP88" i="6"/>
  <c r="CP17" i="6"/>
  <c r="BA20" i="4"/>
  <c r="CP74" i="6"/>
  <c r="CP32" i="5"/>
  <c r="CP61" i="3"/>
  <c r="CP62" i="3" s="1"/>
  <c r="CO105" i="3"/>
  <c r="CO106" i="3" s="1"/>
  <c r="CO17" i="3" s="1"/>
  <c r="CO26" i="5" s="1"/>
  <c r="CR7" i="9"/>
  <c r="CR9" i="5"/>
  <c r="AZ47" i="7" l="1"/>
  <c r="DP89" i="6"/>
  <c r="N89" i="6" s="1"/>
  <c r="N28" i="5"/>
  <c r="W131" i="4"/>
  <c r="W26" i="6"/>
  <c r="W117" i="4"/>
  <c r="W38" i="4"/>
  <c r="W118" i="4"/>
  <c r="W130" i="4"/>
  <c r="AK71" i="4"/>
  <c r="AL287" i="4"/>
  <c r="CR13" i="5"/>
  <c r="CR24" i="6" s="1"/>
  <c r="CS8" i="5"/>
  <c r="CR12" i="5"/>
  <c r="CR48" i="6" s="1"/>
  <c r="CR47" i="6" s="1"/>
  <c r="CR15" i="5"/>
  <c r="CR16" i="5"/>
  <c r="CR8" i="9"/>
  <c r="CR7" i="5"/>
  <c r="CP101" i="3"/>
  <c r="CP102" i="3" s="1"/>
  <c r="CP96" i="3"/>
  <c r="CP97" i="3" s="1"/>
  <c r="CP81" i="3"/>
  <c r="CP82" i="3" s="1"/>
  <c r="CP86" i="3"/>
  <c r="CP87" i="3" s="1"/>
  <c r="CP91" i="3"/>
  <c r="CP92" i="3" s="1"/>
  <c r="V77" i="6"/>
  <c r="J148" i="1"/>
  <c r="J164" i="1" s="1"/>
  <c r="I116" i="1"/>
  <c r="K18" i="1" s="1"/>
  <c r="AR46" i="8"/>
  <c r="AR48" i="8" s="1"/>
  <c r="W133" i="4"/>
  <c r="CR14" i="5"/>
  <c r="F33" i="1"/>
  <c r="X112" i="1"/>
  <c r="CO86" i="6"/>
  <c r="CO35" i="5"/>
  <c r="CO16" i="6"/>
  <c r="CO18" i="6" s="1"/>
  <c r="CO22" i="6" s="1"/>
  <c r="CO29" i="6" s="1"/>
  <c r="CO32" i="6" s="1"/>
  <c r="CP87" i="6"/>
  <c r="CP20" i="6"/>
  <c r="CR55" i="6"/>
  <c r="V55" i="4"/>
  <c r="V189" i="4"/>
  <c r="V360" i="4"/>
  <c r="V62" i="4"/>
  <c r="AZ61" i="7"/>
  <c r="AZ62" i="7" s="1"/>
  <c r="BA58" i="7" s="1"/>
  <c r="CQ27" i="6"/>
  <c r="CQ33" i="3"/>
  <c r="CQ16" i="3" s="1"/>
  <c r="CQ25" i="5" s="1"/>
  <c r="CQ41" i="3"/>
  <c r="CQ18" i="3" s="1"/>
  <c r="CQ27" i="5" s="1"/>
  <c r="BA92" i="4"/>
  <c r="BA60" i="7" l="1"/>
  <c r="CR12" i="3"/>
  <c r="CR6" i="9"/>
  <c r="G33" i="1"/>
  <c r="AL326" i="4"/>
  <c r="AL289" i="4"/>
  <c r="AL30" i="5" s="1"/>
  <c r="W40" i="4"/>
  <c r="BA24" i="4"/>
  <c r="BA182" i="4"/>
  <c r="BA51" i="4" s="1"/>
  <c r="BA93" i="4"/>
  <c r="V356" i="4"/>
  <c r="V40" i="5"/>
  <c r="V259" i="4"/>
  <c r="U261" i="4" s="1"/>
  <c r="V57" i="4"/>
  <c r="CQ17" i="6"/>
  <c r="CQ88" i="6"/>
  <c r="V39" i="5"/>
  <c r="V27" i="6"/>
  <c r="CQ74" i="6"/>
  <c r="CQ32" i="5"/>
  <c r="CQ61" i="3"/>
  <c r="CQ62" i="3" s="1"/>
  <c r="W39" i="4"/>
  <c r="W119" i="4"/>
  <c r="W361" i="4"/>
  <c r="V63" i="6"/>
  <c r="V59" i="6" s="1"/>
  <c r="V194" i="4"/>
  <c r="W181" i="4"/>
  <c r="CP105" i="3"/>
  <c r="CP106" i="3" s="1"/>
  <c r="CP17" i="3" s="1"/>
  <c r="CP26" i="5" s="1"/>
  <c r="CS7" i="9"/>
  <c r="CS9" i="5"/>
  <c r="CS14" i="5"/>
  <c r="V363" i="4"/>
  <c r="W42" i="4"/>
  <c r="AZ49" i="7"/>
  <c r="W134" i="4"/>
  <c r="W43" i="4" s="1"/>
  <c r="I119" i="1"/>
  <c r="N18" i="1" s="1"/>
  <c r="CQ87" i="6" l="1"/>
  <c r="CQ20" i="6"/>
  <c r="BA25" i="4"/>
  <c r="CP86" i="6"/>
  <c r="CP35" i="5"/>
  <c r="CP16" i="6"/>
  <c r="CP18" i="6" s="1"/>
  <c r="CP22" i="6" s="1"/>
  <c r="CP29" i="6" s="1"/>
  <c r="CP32" i="6" s="1"/>
  <c r="W49" i="4"/>
  <c r="I120" i="1"/>
  <c r="O18" i="1" s="1"/>
  <c r="CR27" i="6"/>
  <c r="CR41" i="3"/>
  <c r="CR18" i="3" s="1"/>
  <c r="CR27" i="5" s="1"/>
  <c r="CR33" i="3"/>
  <c r="CR16" i="3" s="1"/>
  <c r="CR25" i="5" s="1"/>
  <c r="J150" i="1"/>
  <c r="V91" i="6"/>
  <c r="CQ96" i="3"/>
  <c r="CQ97" i="3" s="1"/>
  <c r="CQ81" i="3"/>
  <c r="CQ82" i="3" s="1"/>
  <c r="CQ101" i="3"/>
  <c r="CQ102" i="3" s="1"/>
  <c r="CQ91" i="3"/>
  <c r="CQ92" i="3" s="1"/>
  <c r="CQ86" i="3"/>
  <c r="CQ87" i="3" s="1"/>
  <c r="AZ21" i="6"/>
  <c r="AZ22" i="6" s="1"/>
  <c r="AZ50" i="7"/>
  <c r="AL96" i="6"/>
  <c r="Z145" i="1"/>
  <c r="Y111" i="1"/>
  <c r="AL35" i="5"/>
  <c r="AL42" i="6"/>
  <c r="W260" i="4"/>
  <c r="AC52" i="8"/>
  <c r="V29" i="6"/>
  <c r="AC43" i="8"/>
  <c r="V69" i="7"/>
  <c r="V74" i="7" s="1"/>
  <c r="BA61" i="7"/>
  <c r="BA49" i="7" s="1"/>
  <c r="BA21" i="6" s="1"/>
  <c r="BA22" i="6" s="1"/>
  <c r="V92" i="6"/>
  <c r="I115" i="1"/>
  <c r="J149" i="1"/>
  <c r="V42" i="5"/>
  <c r="V358" i="4"/>
  <c r="AL291" i="4"/>
  <c r="W184" i="4"/>
  <c r="CS7" i="5"/>
  <c r="CT8" i="5"/>
  <c r="CS8" i="9"/>
  <c r="CS16" i="5"/>
  <c r="CS12" i="5"/>
  <c r="CS15" i="5"/>
  <c r="CS13" i="5"/>
  <c r="CS24" i="6" s="1"/>
  <c r="BB88" i="4"/>
  <c r="BA61" i="6"/>
  <c r="BA62" i="7" l="1"/>
  <c r="BB58" i="7" s="1"/>
  <c r="BB60" i="7" s="1"/>
  <c r="BH47" i="8"/>
  <c r="BA67" i="7"/>
  <c r="BA68" i="7" s="1"/>
  <c r="AS46" i="8"/>
  <c r="AS48" i="8" s="1"/>
  <c r="F34" i="1"/>
  <c r="Y112" i="1"/>
  <c r="CQ105" i="3"/>
  <c r="CQ106" i="3" s="1"/>
  <c r="CQ17" i="3" s="1"/>
  <c r="CQ26" i="5" s="1"/>
  <c r="CR61" i="3"/>
  <c r="CR62" i="3" s="1"/>
  <c r="CR32" i="5"/>
  <c r="CR74" i="6"/>
  <c r="CS48" i="6"/>
  <c r="CS47" i="6" s="1"/>
  <c r="CS55" i="6"/>
  <c r="I117" i="1"/>
  <c r="J18" i="1"/>
  <c r="CR17" i="6"/>
  <c r="CR88" i="6"/>
  <c r="BB20" i="4"/>
  <c r="BB90" i="4"/>
  <c r="CT7" i="9"/>
  <c r="CT9" i="5"/>
  <c r="CT14" i="5"/>
  <c r="AM287" i="4"/>
  <c r="AL71" i="4"/>
  <c r="AZ48" i="6"/>
  <c r="AZ47" i="6" s="1"/>
  <c r="BA47" i="7"/>
  <c r="BA50" i="7" s="1"/>
  <c r="CS12" i="3"/>
  <c r="CS6" i="9"/>
  <c r="V75" i="7"/>
  <c r="BG47" i="8"/>
  <c r="AZ67" i="7"/>
  <c r="AZ68" i="7" s="1"/>
  <c r="AC58" i="8"/>
  <c r="W52" i="4"/>
  <c r="W136" i="4"/>
  <c r="V46" i="5"/>
  <c r="V32" i="6"/>
  <c r="J163" i="1"/>
  <c r="CS27" i="6" l="1"/>
  <c r="CS41" i="3"/>
  <c r="CS18" i="3" s="1"/>
  <c r="CS27" i="5" s="1"/>
  <c r="CS33" i="3"/>
  <c r="CS16" i="3" s="1"/>
  <c r="CS25" i="5" s="1"/>
  <c r="BB47" i="7"/>
  <c r="BA48" i="6"/>
  <c r="BA47" i="6" s="1"/>
  <c r="BB91" i="4"/>
  <c r="BB25" i="6"/>
  <c r="BB22" i="4"/>
  <c r="V70" i="7"/>
  <c r="V80" i="7" s="1"/>
  <c r="V18" i="7" s="1"/>
  <c r="V76" i="7"/>
  <c r="V267" i="4"/>
  <c r="V302" i="4"/>
  <c r="AM326" i="4"/>
  <c r="AM289" i="4"/>
  <c r="AM30" i="5" s="1"/>
  <c r="BB61" i="7"/>
  <c r="BB49" i="7" s="1"/>
  <c r="BB21" i="6" s="1"/>
  <c r="BB22" i="6" s="1"/>
  <c r="CR87" i="6"/>
  <c r="CR20" i="6"/>
  <c r="L18" i="1"/>
  <c r="CR101" i="3"/>
  <c r="CR102" i="3" s="1"/>
  <c r="CR105" i="3" s="1"/>
  <c r="CR106" i="3" s="1"/>
  <c r="CR17" i="3" s="1"/>
  <c r="CR26" i="5" s="1"/>
  <c r="CR86" i="3"/>
  <c r="CR87" i="3" s="1"/>
  <c r="CR96" i="3"/>
  <c r="CR97" i="3" s="1"/>
  <c r="CR81" i="3"/>
  <c r="CR82" i="3" s="1"/>
  <c r="CR91" i="3"/>
  <c r="CR92" i="3" s="1"/>
  <c r="G34" i="1"/>
  <c r="W44" i="4"/>
  <c r="W138" i="4"/>
  <c r="W139" i="4"/>
  <c r="W362" i="4" s="1"/>
  <c r="CU8" i="5"/>
  <c r="CT7" i="5"/>
  <c r="CT8" i="9"/>
  <c r="CT15" i="5"/>
  <c r="CT13" i="5"/>
  <c r="CT24" i="6" s="1"/>
  <c r="CT12" i="5"/>
  <c r="CT48" i="6" s="1"/>
  <c r="CT47" i="6" s="1"/>
  <c r="CT16" i="5"/>
  <c r="CQ86" i="6"/>
  <c r="CQ16" i="6"/>
  <c r="CQ18" i="6" s="1"/>
  <c r="CQ22" i="6" s="1"/>
  <c r="CQ29" i="6" s="1"/>
  <c r="CQ32" i="6" s="1"/>
  <c r="CQ35" i="5"/>
  <c r="BI47" i="8" l="1"/>
  <c r="BB67" i="7"/>
  <c r="BB68" i="7" s="1"/>
  <c r="CR86" i="6"/>
  <c r="CR16" i="6"/>
  <c r="CR18" i="6" s="1"/>
  <c r="CR22" i="6" s="1"/>
  <c r="CR29" i="6" s="1"/>
  <c r="CR32" i="6" s="1"/>
  <c r="CR35" i="5"/>
  <c r="AM96" i="6"/>
  <c r="AA145" i="1"/>
  <c r="Z111" i="1"/>
  <c r="AM35" i="5"/>
  <c r="AM42" i="6"/>
  <c r="BB23" i="4"/>
  <c r="BB92" i="4"/>
  <c r="BB50" i="7"/>
  <c r="AM291" i="4"/>
  <c r="V26" i="7"/>
  <c r="V25" i="7"/>
  <c r="V29" i="7" s="1"/>
  <c r="CT12" i="3"/>
  <c r="CT6" i="9"/>
  <c r="BB62" i="7"/>
  <c r="BC58" i="7" s="1"/>
  <c r="V78" i="7"/>
  <c r="W73" i="7" s="1"/>
  <c r="CS61" i="3"/>
  <c r="CS62" i="3" s="1"/>
  <c r="CS74" i="6"/>
  <c r="CS32" i="5"/>
  <c r="CU7" i="9"/>
  <c r="CU9" i="5"/>
  <c r="CU14" i="5" s="1"/>
  <c r="CS17" i="6"/>
  <c r="CS88" i="6"/>
  <c r="W45" i="4"/>
  <c r="W41" i="5" s="1"/>
  <c r="W140" i="4"/>
  <c r="CT55" i="6"/>
  <c r="W41" i="4"/>
  <c r="W185" i="4"/>
  <c r="BB93" i="4"/>
  <c r="W90" i="6" l="1"/>
  <c r="K151" i="1"/>
  <c r="W62" i="6"/>
  <c r="X126" i="4"/>
  <c r="W142" i="4"/>
  <c r="BB182" i="4"/>
  <c r="BB51" i="4" s="1"/>
  <c r="BB24" i="4"/>
  <c r="CS20" i="6"/>
  <c r="CS87" i="6"/>
  <c r="BB25" i="4"/>
  <c r="AT46" i="8"/>
  <c r="AT48" i="8" s="1"/>
  <c r="CT27" i="6"/>
  <c r="CT33" i="3"/>
  <c r="CT16" i="3" s="1"/>
  <c r="CT25" i="5" s="1"/>
  <c r="CT41" i="3"/>
  <c r="CT18" i="3" s="1"/>
  <c r="CT27" i="5" s="1"/>
  <c r="CS96" i="3"/>
  <c r="CS97" i="3" s="1"/>
  <c r="CS81" i="3"/>
  <c r="CS82" i="3" s="1"/>
  <c r="CS101" i="3"/>
  <c r="CS102" i="3" s="1"/>
  <c r="CS86" i="3"/>
  <c r="CS87" i="3" s="1"/>
  <c r="CS91" i="3"/>
  <c r="CS92" i="3" s="1"/>
  <c r="F35" i="1"/>
  <c r="Z112" i="1"/>
  <c r="BC88" i="4"/>
  <c r="BB61" i="6"/>
  <c r="V30" i="7"/>
  <c r="V32" i="7" s="1"/>
  <c r="W28" i="7" s="1"/>
  <c r="W53" i="4"/>
  <c r="W186" i="4"/>
  <c r="W192" i="4"/>
  <c r="W26" i="9" s="1"/>
  <c r="CU13" i="5"/>
  <c r="CU24" i="6" s="1"/>
  <c r="CU15" i="5"/>
  <c r="CU12" i="5"/>
  <c r="CU48" i="6" s="1"/>
  <c r="CU47" i="6" s="1"/>
  <c r="CU7" i="5"/>
  <c r="CU8" i="9"/>
  <c r="CV8" i="5"/>
  <c r="CU16" i="5"/>
  <c r="AN287" i="4"/>
  <c r="AM71" i="4"/>
  <c r="W46" i="4"/>
  <c r="BC60" i="7"/>
  <c r="BB48" i="6"/>
  <c r="BB47" i="6" s="1"/>
  <c r="BC47" i="7"/>
  <c r="X36" i="4" l="1"/>
  <c r="G35" i="1"/>
  <c r="CT17" i="6"/>
  <c r="CT88" i="6"/>
  <c r="W122" i="4"/>
  <c r="V34" i="7"/>
  <c r="V21" i="7" s="1"/>
  <c r="V14" i="7" s="1"/>
  <c r="CT74" i="6"/>
  <c r="CT32" i="5"/>
  <c r="CT61" i="3"/>
  <c r="CT62" i="3" s="1"/>
  <c r="X129" i="4"/>
  <c r="AN291" i="4"/>
  <c r="AN326" i="4"/>
  <c r="AN289" i="4"/>
  <c r="AN30" i="5" s="1"/>
  <c r="W37" i="5"/>
  <c r="CV7" i="9"/>
  <c r="CV9" i="5"/>
  <c r="BC90" i="4"/>
  <c r="CS105" i="3"/>
  <c r="CS106" i="3" s="1"/>
  <c r="CS17" i="3" s="1"/>
  <c r="CS26" i="5" s="1"/>
  <c r="W187" i="4"/>
  <c r="W55" i="4" s="1"/>
  <c r="W54" i="4"/>
  <c r="W24" i="6"/>
  <c r="BC20" i="4"/>
  <c r="BC61" i="7"/>
  <c r="BC62" i="7" s="1"/>
  <c r="BD58" i="7" s="1"/>
  <c r="CU6" i="9"/>
  <c r="CU12" i="3"/>
  <c r="W189" i="4"/>
  <c r="CU55" i="6"/>
  <c r="BC49" i="7" l="1"/>
  <c r="BC21" i="6" s="1"/>
  <c r="BC22" i="6" s="1"/>
  <c r="BJ47" i="8" s="1"/>
  <c r="AO287" i="4"/>
  <c r="AN71" i="4"/>
  <c r="BC91" i="4"/>
  <c r="BC25" i="6"/>
  <c r="BC22" i="4"/>
  <c r="CT96" i="3"/>
  <c r="CT97" i="3" s="1"/>
  <c r="CT81" i="3"/>
  <c r="CT82" i="3" s="1"/>
  <c r="CT101" i="3"/>
  <c r="CT102" i="3" s="1"/>
  <c r="CT105" i="3" s="1"/>
  <c r="CT106" i="3" s="1"/>
  <c r="CT17" i="3" s="1"/>
  <c r="CT26" i="5" s="1"/>
  <c r="CT86" i="3"/>
  <c r="CT87" i="3" s="1"/>
  <c r="CT91" i="3"/>
  <c r="CT92" i="3" s="1"/>
  <c r="K148" i="1"/>
  <c r="K164" i="1" s="1"/>
  <c r="J116" i="1"/>
  <c r="K19" i="1" s="1"/>
  <c r="W77" i="6"/>
  <c r="X181" i="4"/>
  <c r="W194" i="4"/>
  <c r="W63" i="6"/>
  <c r="W59" i="6" s="1"/>
  <c r="J119" i="1"/>
  <c r="N19" i="1" s="1"/>
  <c r="CT87" i="6"/>
  <c r="CT20" i="6"/>
  <c r="CU27" i="6"/>
  <c r="CU41" i="3"/>
  <c r="CU18" i="3" s="1"/>
  <c r="CU27" i="5" s="1"/>
  <c r="CU33" i="3"/>
  <c r="CU16" i="3" s="1"/>
  <c r="CU25" i="5" s="1"/>
  <c r="W356" i="4"/>
  <c r="W40" i="5"/>
  <c r="W259" i="4"/>
  <c r="V261" i="4" s="1"/>
  <c r="CV12" i="5"/>
  <c r="CV48" i="6" s="1"/>
  <c r="CV47" i="6" s="1"/>
  <c r="CW8" i="5"/>
  <c r="CV7" i="5"/>
  <c r="CV15" i="5"/>
  <c r="CV13" i="5"/>
  <c r="CV24" i="6" s="1"/>
  <c r="CV8" i="9"/>
  <c r="CV16" i="5"/>
  <c r="CV14" i="5"/>
  <c r="AC23" i="8"/>
  <c r="BD60" i="7"/>
  <c r="BD61" i="7" s="1"/>
  <c r="BD62" i="7" s="1"/>
  <c r="BE58" i="7" s="1"/>
  <c r="AN96" i="6"/>
  <c r="AB145" i="1"/>
  <c r="AA111" i="1"/>
  <c r="AN35" i="5"/>
  <c r="AN42" i="6"/>
  <c r="X26" i="6"/>
  <c r="X131" i="4"/>
  <c r="X40" i="4" s="1"/>
  <c r="X38" i="4"/>
  <c r="X130" i="4"/>
  <c r="X118" i="4"/>
  <c r="X117" i="4"/>
  <c r="CS86" i="6"/>
  <c r="CS16" i="6"/>
  <c r="CS18" i="6" s="1"/>
  <c r="CS22" i="6" s="1"/>
  <c r="CS29" i="6" s="1"/>
  <c r="CS32" i="6" s="1"/>
  <c r="CS35" i="5"/>
  <c r="W57" i="4"/>
  <c r="W360" i="4"/>
  <c r="W62" i="4"/>
  <c r="BC50" i="7" l="1"/>
  <c r="BC48" i="6" s="1"/>
  <c r="BC47" i="6" s="1"/>
  <c r="BC67" i="7"/>
  <c r="BC68" i="7" s="1"/>
  <c r="BE60" i="7"/>
  <c r="AU46" i="8"/>
  <c r="AU48" i="8" s="1"/>
  <c r="CU61" i="3"/>
  <c r="CU62" i="3" s="1"/>
  <c r="CU74" i="6"/>
  <c r="CU32" i="5"/>
  <c r="F36" i="1"/>
  <c r="AA112" i="1"/>
  <c r="CU17" i="6"/>
  <c r="CU88" i="6"/>
  <c r="CT86" i="6"/>
  <c r="CT16" i="6"/>
  <c r="CT18" i="6" s="1"/>
  <c r="CT22" i="6" s="1"/>
  <c r="CT29" i="6" s="1"/>
  <c r="CT32" i="6" s="1"/>
  <c r="CT35" i="5"/>
  <c r="CV6" i="9"/>
  <c r="CV12" i="3"/>
  <c r="W39" i="5"/>
  <c r="W27" i="6"/>
  <c r="X119" i="4"/>
  <c r="X361" i="4"/>
  <c r="X39" i="4"/>
  <c r="X133" i="4"/>
  <c r="I128" i="1"/>
  <c r="CW7" i="9"/>
  <c r="CW9" i="5"/>
  <c r="CW14" i="5" s="1"/>
  <c r="W363" i="4"/>
  <c r="CV55" i="6"/>
  <c r="X49" i="4"/>
  <c r="J120" i="1"/>
  <c r="O19" i="1" s="1"/>
  <c r="K150" i="1"/>
  <c r="W91" i="6"/>
  <c r="BC23" i="4"/>
  <c r="BC92" i="4"/>
  <c r="BC93" i="4" s="1"/>
  <c r="AO326" i="4"/>
  <c r="AO289" i="4"/>
  <c r="AO30" i="5" s="1"/>
  <c r="BD49" i="7"/>
  <c r="BD21" i="6" s="1"/>
  <c r="BD22" i="6" s="1"/>
  <c r="W358" i="4"/>
  <c r="X134" i="4"/>
  <c r="X43" i="4" s="1"/>
  <c r="BD47" i="7" l="1"/>
  <c r="BD50" i="7" s="1"/>
  <c r="BC61" i="6"/>
  <c r="BD88" i="4"/>
  <c r="AC145" i="1"/>
  <c r="AO96" i="6"/>
  <c r="AB111" i="1"/>
  <c r="AO35" i="5"/>
  <c r="AD58" i="8"/>
  <c r="AO291" i="4"/>
  <c r="G36" i="1"/>
  <c r="CU101" i="3"/>
  <c r="CU102" i="3" s="1"/>
  <c r="CU105" i="3" s="1"/>
  <c r="CU106" i="3" s="1"/>
  <c r="CU17" i="3" s="1"/>
  <c r="CU26" i="5" s="1"/>
  <c r="CU91" i="3"/>
  <c r="CU92" i="3" s="1"/>
  <c r="CU81" i="3"/>
  <c r="CU82" i="3" s="1"/>
  <c r="CU86" i="3"/>
  <c r="CU87" i="3" s="1"/>
  <c r="CU96" i="3"/>
  <c r="CU97" i="3" s="1"/>
  <c r="CX8" i="5"/>
  <c r="CW16" i="5"/>
  <c r="CW7" i="5"/>
  <c r="CW8" i="9"/>
  <c r="CW15" i="5"/>
  <c r="CW12" i="5"/>
  <c r="CW48" i="6" s="1"/>
  <c r="CW47" i="6" s="1"/>
  <c r="CW13" i="5"/>
  <c r="CW24" i="6" s="1"/>
  <c r="CV27" i="6"/>
  <c r="CV33" i="3"/>
  <c r="CV16" i="3" s="1"/>
  <c r="CV25" i="5" s="1"/>
  <c r="CV41" i="3"/>
  <c r="CV18" i="3" s="1"/>
  <c r="CV27" i="5" s="1"/>
  <c r="BC24" i="4"/>
  <c r="BC182" i="4"/>
  <c r="BC51" i="4" s="1"/>
  <c r="Y18" i="1"/>
  <c r="I132" i="1"/>
  <c r="BK47" i="8"/>
  <c r="BD67" i="7"/>
  <c r="BD68" i="7" s="1"/>
  <c r="X42" i="4"/>
  <c r="X184" i="4"/>
  <c r="AD52" i="8"/>
  <c r="AD43" i="8"/>
  <c r="W69" i="7"/>
  <c r="W74" i="7" s="1"/>
  <c r="W29" i="6"/>
  <c r="CU87" i="6"/>
  <c r="CU20" i="6"/>
  <c r="BE61" i="7"/>
  <c r="BE49" i="7" s="1"/>
  <c r="BE21" i="6" s="1"/>
  <c r="BE22" i="6" s="1"/>
  <c r="AO42" i="6"/>
  <c r="J115" i="1"/>
  <c r="K149" i="1"/>
  <c r="K163" i="1" s="1"/>
  <c r="W92" i="6"/>
  <c r="W42" i="5"/>
  <c r="BE62" i="7" l="1"/>
  <c r="BF58" i="7" s="1"/>
  <c r="AV46" i="8"/>
  <c r="AV48" i="8" s="1"/>
  <c r="J117" i="1"/>
  <c r="J19" i="1"/>
  <c r="W75" i="7"/>
  <c r="CV17" i="6"/>
  <c r="CV88" i="6"/>
  <c r="AO71" i="4"/>
  <c r="AP287" i="4"/>
  <c r="F37" i="1"/>
  <c r="AB112" i="1"/>
  <c r="CV61" i="3"/>
  <c r="CV62" i="3" s="1"/>
  <c r="CV74" i="6"/>
  <c r="CV32" i="5"/>
  <c r="CW6" i="9"/>
  <c r="CW12" i="3"/>
  <c r="CU86" i="6"/>
  <c r="CU35" i="5"/>
  <c r="CU16" i="6"/>
  <c r="CU18" i="6" s="1"/>
  <c r="CU22" i="6" s="1"/>
  <c r="CU29" i="6" s="1"/>
  <c r="CU32" i="6" s="1"/>
  <c r="BD90" i="4"/>
  <c r="W46" i="5"/>
  <c r="X136" i="4"/>
  <c r="X52" i="4"/>
  <c r="CX7" i="9"/>
  <c r="CX9" i="5"/>
  <c r="BL47" i="8"/>
  <c r="BE67" i="7"/>
  <c r="BE68" i="7" s="1"/>
  <c r="X260" i="4"/>
  <c r="BD48" i="6"/>
  <c r="BD47" i="6" s="1"/>
  <c r="BE47" i="7"/>
  <c r="BE50" i="7" s="1"/>
  <c r="W32" i="6"/>
  <c r="BF60" i="7"/>
  <c r="BF61" i="7" s="1"/>
  <c r="BF62" i="7" s="1"/>
  <c r="BG58" i="7" s="1"/>
  <c r="BC25" i="4"/>
  <c r="CW55" i="6"/>
  <c r="BG60" i="7" l="1"/>
  <c r="CV81" i="3"/>
  <c r="CV82" i="3" s="1"/>
  <c r="CV96" i="3"/>
  <c r="CV97" i="3" s="1"/>
  <c r="CV91" i="3"/>
  <c r="CV92" i="3" s="1"/>
  <c r="CV101" i="3"/>
  <c r="CV102" i="3" s="1"/>
  <c r="CV86" i="3"/>
  <c r="CV87" i="3" s="1"/>
  <c r="CW27" i="6"/>
  <c r="CW33" i="3"/>
  <c r="CW16" i="3" s="1"/>
  <c r="CW25" i="5" s="1"/>
  <c r="CW41" i="3"/>
  <c r="CW18" i="3" s="1"/>
  <c r="CW27" i="5" s="1"/>
  <c r="G37" i="1"/>
  <c r="CX55" i="6"/>
  <c r="X44" i="4"/>
  <c r="X139" i="4"/>
  <c r="X45" i="4" s="1"/>
  <c r="X138" i="4"/>
  <c r="BD91" i="4"/>
  <c r="BD25" i="6"/>
  <c r="BD22" i="4"/>
  <c r="AP326" i="4"/>
  <c r="AP291" i="4"/>
  <c r="AP289" i="4"/>
  <c r="AP30" i="5" s="1"/>
  <c r="L19" i="1"/>
  <c r="BF47" i="7"/>
  <c r="BE48" i="6"/>
  <c r="BE47" i="6" s="1"/>
  <c r="CV20" i="6"/>
  <c r="CV87" i="6"/>
  <c r="CY8" i="5"/>
  <c r="CX13" i="5"/>
  <c r="CX24" i="6" s="1"/>
  <c r="CX16" i="5"/>
  <c r="CX8" i="9"/>
  <c r="CX15" i="5"/>
  <c r="CX12" i="5"/>
  <c r="CX48" i="6" s="1"/>
  <c r="CX47" i="6" s="1"/>
  <c r="CX7" i="5"/>
  <c r="BD20" i="4"/>
  <c r="CX14" i="5"/>
  <c r="W267" i="4"/>
  <c r="W302" i="4"/>
  <c r="BF49" i="7"/>
  <c r="BF21" i="6" s="1"/>
  <c r="BF22" i="6" s="1"/>
  <c r="W70" i="7"/>
  <c r="W80" i="7" s="1"/>
  <c r="W18" i="7" s="1"/>
  <c r="W76" i="7"/>
  <c r="X140" i="4" l="1"/>
  <c r="CY7" i="9"/>
  <c r="CY9" i="5"/>
  <c r="AP96" i="6"/>
  <c r="AD145" i="1"/>
  <c r="AC111" i="1"/>
  <c r="AP35" i="5"/>
  <c r="AP42" i="6"/>
  <c r="X362" i="4"/>
  <c r="AQ287" i="4"/>
  <c r="AP71" i="4"/>
  <c r="CW17" i="6"/>
  <c r="CW88" i="6"/>
  <c r="W26" i="7"/>
  <c r="W25" i="7"/>
  <c r="W29" i="7" s="1"/>
  <c r="BM47" i="8"/>
  <c r="BF67" i="7"/>
  <c r="BF68" i="7" s="1"/>
  <c r="CX12" i="3"/>
  <c r="CX6" i="9"/>
  <c r="CW61" i="3"/>
  <c r="CW62" i="3" s="1"/>
  <c r="CW74" i="6"/>
  <c r="CW32" i="5"/>
  <c r="W78" i="7"/>
  <c r="X73" i="7" s="1"/>
  <c r="BF50" i="7"/>
  <c r="BD23" i="4"/>
  <c r="BD92" i="4"/>
  <c r="CV105" i="3"/>
  <c r="CV106" i="3" s="1"/>
  <c r="CV17" i="3" s="1"/>
  <c r="CV26" i="5" s="1"/>
  <c r="BG61" i="7"/>
  <c r="BG62" i="7" s="1"/>
  <c r="BH58" i="7" s="1"/>
  <c r="X185" i="4"/>
  <c r="X41" i="4"/>
  <c r="X46" i="4" s="1"/>
  <c r="BH60" i="7" l="1"/>
  <c r="CV86" i="6"/>
  <c r="CV35" i="5"/>
  <c r="CV16" i="6"/>
  <c r="CV18" i="6" s="1"/>
  <c r="CV22" i="6" s="1"/>
  <c r="CV29" i="6" s="1"/>
  <c r="CV32" i="6" s="1"/>
  <c r="BG49" i="7"/>
  <c r="BG21" i="6" s="1"/>
  <c r="BG22" i="6" s="1"/>
  <c r="F38" i="1"/>
  <c r="AC112" i="1"/>
  <c r="AW46" i="8"/>
  <c r="AW48" i="8" s="1"/>
  <c r="BD182" i="4"/>
  <c r="BD51" i="4" s="1"/>
  <c r="BD24" i="4"/>
  <c r="AQ326" i="4"/>
  <c r="AQ291" i="4"/>
  <c r="AQ289" i="4"/>
  <c r="AQ30" i="5" s="1"/>
  <c r="BD93" i="4"/>
  <c r="CW81" i="3"/>
  <c r="CW82" i="3" s="1"/>
  <c r="CW101" i="3"/>
  <c r="CW102" i="3" s="1"/>
  <c r="CW105" i="3" s="1"/>
  <c r="CW106" i="3" s="1"/>
  <c r="CW17" i="3" s="1"/>
  <c r="CW26" i="5" s="1"/>
  <c r="CW86" i="3"/>
  <c r="CW87" i="3" s="1"/>
  <c r="CW91" i="3"/>
  <c r="CW92" i="3" s="1"/>
  <c r="CW96" i="3"/>
  <c r="CW97" i="3" s="1"/>
  <c r="CY8" i="9"/>
  <c r="CY16" i="5"/>
  <c r="CY7" i="5"/>
  <c r="CY12" i="5"/>
  <c r="CY15" i="5"/>
  <c r="CZ8" i="5"/>
  <c r="CY13" i="5"/>
  <c r="CY24" i="6" s="1"/>
  <c r="Y36" i="4"/>
  <c r="BF48" i="6"/>
  <c r="BF47" i="6" s="1"/>
  <c r="BG47" i="7"/>
  <c r="X41" i="5"/>
  <c r="W30" i="7"/>
  <c r="BD25" i="4"/>
  <c r="CY14" i="5"/>
  <c r="CW20" i="6"/>
  <c r="CW87" i="6"/>
  <c r="X53" i="4"/>
  <c r="X192" i="4"/>
  <c r="X26" i="9" s="1"/>
  <c r="X186" i="4"/>
  <c r="CX27" i="6"/>
  <c r="CX33" i="3"/>
  <c r="CX16" i="3" s="1"/>
  <c r="CX25" i="5" s="1"/>
  <c r="CX41" i="3"/>
  <c r="CX18" i="3" s="1"/>
  <c r="CX27" i="5" s="1"/>
  <c r="AQ42" i="6"/>
  <c r="Y126" i="4"/>
  <c r="X62" i="6"/>
  <c r="X142" i="4"/>
  <c r="BG50" i="7" l="1"/>
  <c r="L151" i="1"/>
  <c r="X90" i="6"/>
  <c r="CY48" i="6"/>
  <c r="CY47" i="6" s="1"/>
  <c r="CY55" i="6"/>
  <c r="BN47" i="8"/>
  <c r="BG67" i="7"/>
  <c r="BG68" i="7" s="1"/>
  <c r="AQ71" i="4"/>
  <c r="AR287" i="4"/>
  <c r="BG48" i="6"/>
  <c r="BG47" i="6" s="1"/>
  <c r="BH47" i="7"/>
  <c r="CY12" i="3"/>
  <c r="CY6" i="9"/>
  <c r="CW86" i="6"/>
  <c r="CW35" i="5"/>
  <c r="CW16" i="6"/>
  <c r="CW18" i="6" s="1"/>
  <c r="CW22" i="6" s="1"/>
  <c r="CW29" i="6" s="1"/>
  <c r="CW32" i="6" s="1"/>
  <c r="X54" i="4"/>
  <c r="X187" i="4"/>
  <c r="X24" i="6"/>
  <c r="CX74" i="6"/>
  <c r="CX61" i="3"/>
  <c r="CX62" i="3" s="1"/>
  <c r="CX32" i="5"/>
  <c r="X122" i="4"/>
  <c r="BE88" i="4"/>
  <c r="BD61" i="6"/>
  <c r="BH61" i="7"/>
  <c r="BH49" i="7" s="1"/>
  <c r="BH21" i="6" s="1"/>
  <c r="BH22" i="6" s="1"/>
  <c r="Y129" i="4"/>
  <c r="BE20" i="4"/>
  <c r="W34" i="7"/>
  <c r="W21" i="7" s="1"/>
  <c r="W14" i="7" s="1"/>
  <c r="CX88" i="6"/>
  <c r="CX17" i="6"/>
  <c r="X37" i="5"/>
  <c r="W32" i="7"/>
  <c r="X28" i="7" s="1"/>
  <c r="CZ7" i="9"/>
  <c r="CZ9" i="5"/>
  <c r="AQ96" i="6"/>
  <c r="AE145" i="1"/>
  <c r="AD111" i="1"/>
  <c r="AQ35" i="5"/>
  <c r="G38" i="1"/>
  <c r="BH62" i="7" l="1"/>
  <c r="BI58" i="7" s="1"/>
  <c r="BO47" i="8"/>
  <c r="BH67" i="7"/>
  <c r="BH68" i="7" s="1"/>
  <c r="L148" i="1"/>
  <c r="L164" i="1" s="1"/>
  <c r="X77" i="6"/>
  <c r="K116" i="1"/>
  <c r="K20" i="1" s="1"/>
  <c r="CX20" i="6"/>
  <c r="CX87" i="6"/>
  <c r="F39" i="1"/>
  <c r="AD112" i="1"/>
  <c r="CX91" i="3"/>
  <c r="CX92" i="3" s="1"/>
  <c r="CX81" i="3"/>
  <c r="CX82" i="3" s="1"/>
  <c r="CX101" i="3"/>
  <c r="CX102" i="3" s="1"/>
  <c r="CX86" i="3"/>
  <c r="CX87" i="3" s="1"/>
  <c r="CX96" i="3"/>
  <c r="CX97" i="3" s="1"/>
  <c r="AD23" i="8"/>
  <c r="BE90" i="4"/>
  <c r="CY27" i="6"/>
  <c r="CY41" i="3"/>
  <c r="CY18" i="3" s="1"/>
  <c r="CY27" i="5" s="1"/>
  <c r="CY33" i="3"/>
  <c r="CY16" i="3" s="1"/>
  <c r="CY25" i="5" s="1"/>
  <c r="BI60" i="7"/>
  <c r="BH50" i="7"/>
  <c r="X62" i="4"/>
  <c r="X360" i="4"/>
  <c r="AR326" i="4"/>
  <c r="AR289" i="4"/>
  <c r="AR30" i="5" s="1"/>
  <c r="CZ8" i="9"/>
  <c r="CZ16" i="5"/>
  <c r="CZ13" i="5"/>
  <c r="CZ24" i="6" s="1"/>
  <c r="CZ12" i="5"/>
  <c r="CZ48" i="6" s="1"/>
  <c r="CZ47" i="6" s="1"/>
  <c r="CZ15" i="5"/>
  <c r="DA8" i="5"/>
  <c r="CZ7" i="5"/>
  <c r="CZ14" i="5"/>
  <c r="Y117" i="4"/>
  <c r="Y26" i="6"/>
  <c r="Y118" i="4"/>
  <c r="Y38" i="4"/>
  <c r="Y130" i="4"/>
  <c r="Y131" i="4"/>
  <c r="Y40" i="4" s="1"/>
  <c r="AX46" i="8"/>
  <c r="AX48" i="8" s="1"/>
  <c r="X57" i="4"/>
  <c r="X55" i="4"/>
  <c r="X189" i="4"/>
  <c r="CX105" i="3" l="1"/>
  <c r="CX106" i="3" s="1"/>
  <c r="CX17" i="3" s="1"/>
  <c r="CX26" i="5" s="1"/>
  <c r="G39" i="1"/>
  <c r="CZ6" i="9"/>
  <c r="CZ12" i="3"/>
  <c r="X363" i="4"/>
  <c r="AF145" i="1"/>
  <c r="AR96" i="6"/>
  <c r="AE111" i="1"/>
  <c r="AR35" i="5"/>
  <c r="AR42" i="6"/>
  <c r="Y181" i="4"/>
  <c r="X194" i="4"/>
  <c r="X63" i="6"/>
  <c r="X59" i="6" s="1"/>
  <c r="DA9" i="5"/>
  <c r="DA7" i="9"/>
  <c r="DA14" i="5"/>
  <c r="BI61" i="7"/>
  <c r="BI62" i="7" s="1"/>
  <c r="BJ58" i="7" s="1"/>
  <c r="X356" i="4"/>
  <c r="X358" i="4" s="1"/>
  <c r="X259" i="4"/>
  <c r="W261" i="4" s="1"/>
  <c r="X40" i="5"/>
  <c r="Y39" i="4"/>
  <c r="Y119" i="4"/>
  <c r="Y361" i="4"/>
  <c r="Y133" i="4"/>
  <c r="Y134" i="4" s="1"/>
  <c r="Y43" i="4" s="1"/>
  <c r="AR291" i="4"/>
  <c r="X39" i="5"/>
  <c r="X27" i="6"/>
  <c r="BE25" i="6"/>
  <c r="BE91" i="4"/>
  <c r="BE22" i="4"/>
  <c r="CY61" i="3"/>
  <c r="CY62" i="3" s="1"/>
  <c r="CY74" i="6"/>
  <c r="CY32" i="5"/>
  <c r="CZ55" i="6"/>
  <c r="CY17" i="6"/>
  <c r="CY88" i="6"/>
  <c r="J128" i="1"/>
  <c r="K119" i="1"/>
  <c r="N20" i="1" s="1"/>
  <c r="Y49" i="4"/>
  <c r="K120" i="1"/>
  <c r="O20" i="1" s="1"/>
  <c r="BH48" i="6"/>
  <c r="BH47" i="6" s="1"/>
  <c r="BI47" i="7"/>
  <c r="BJ60" i="7" l="1"/>
  <c r="AY46" i="8"/>
  <c r="AY48" i="8" s="1"/>
  <c r="Y184" i="4"/>
  <c r="Y42" i="4"/>
  <c r="F40" i="1"/>
  <c r="AE112" i="1"/>
  <c r="BI49" i="7"/>
  <c r="BI21" i="6" s="1"/>
  <c r="BI22" i="6" s="1"/>
  <c r="AS287" i="4"/>
  <c r="AR71" i="4"/>
  <c r="AE58" i="8"/>
  <c r="BE23" i="4"/>
  <c r="BE93" i="4"/>
  <c r="BE92" i="4"/>
  <c r="CY87" i="6"/>
  <c r="CY20" i="6"/>
  <c r="DB8" i="5"/>
  <c r="DA12" i="5"/>
  <c r="DA48" i="6" s="1"/>
  <c r="DA47" i="6" s="1"/>
  <c r="DA16" i="5"/>
  <c r="DA15" i="5"/>
  <c r="DA7" i="5"/>
  <c r="DA8" i="9"/>
  <c r="DA13" i="5"/>
  <c r="DA24" i="6" s="1"/>
  <c r="CY81" i="3"/>
  <c r="CY82" i="3" s="1"/>
  <c r="CY96" i="3"/>
  <c r="CY97" i="3" s="1"/>
  <c r="CY86" i="3"/>
  <c r="CY87" i="3" s="1"/>
  <c r="CY91" i="3"/>
  <c r="CY92" i="3" s="1"/>
  <c r="CY101" i="3"/>
  <c r="CY102" i="3" s="1"/>
  <c r="CX86" i="6"/>
  <c r="CX35" i="5"/>
  <c r="CX16" i="6"/>
  <c r="CX18" i="6" s="1"/>
  <c r="CX22" i="6" s="1"/>
  <c r="CX29" i="6" s="1"/>
  <c r="CX32" i="6" s="1"/>
  <c r="CZ27" i="6"/>
  <c r="CZ41" i="3"/>
  <c r="CZ18" i="3" s="1"/>
  <c r="CZ27" i="5" s="1"/>
  <c r="CZ33" i="3"/>
  <c r="CZ16" i="3" s="1"/>
  <c r="CZ25" i="5" s="1"/>
  <c r="AE52" i="8"/>
  <c r="X69" i="7"/>
  <c r="X74" i="7" s="1"/>
  <c r="X29" i="6"/>
  <c r="X32" i="6" s="1"/>
  <c r="AE43" i="8"/>
  <c r="X91" i="6"/>
  <c r="L150" i="1"/>
  <c r="Y19" i="1"/>
  <c r="J132" i="1"/>
  <c r="L149" i="1"/>
  <c r="X92" i="6"/>
  <c r="K115" i="1"/>
  <c r="X42" i="5"/>
  <c r="X46" i="5" s="1"/>
  <c r="BI50" i="7" l="1"/>
  <c r="BJ47" i="7" s="1"/>
  <c r="BP47" i="8"/>
  <c r="BI67" i="7"/>
  <c r="BI68" i="7" s="1"/>
  <c r="L163" i="1"/>
  <c r="DA55" i="6"/>
  <c r="DB14" i="5"/>
  <c r="DB7" i="9"/>
  <c r="DB9" i="5"/>
  <c r="G40" i="1"/>
  <c r="CZ61" i="3"/>
  <c r="CZ62" i="3" s="1"/>
  <c r="CZ74" i="6"/>
  <c r="CZ32" i="5"/>
  <c r="CZ17" i="6"/>
  <c r="CZ88" i="6"/>
  <c r="K117" i="1"/>
  <c r="J20" i="1"/>
  <c r="N60" i="7"/>
  <c r="BE61" i="6"/>
  <c r="BF88" i="4"/>
  <c r="X302" i="4"/>
  <c r="X267" i="4"/>
  <c r="X75" i="7"/>
  <c r="CY105" i="3"/>
  <c r="CY106" i="3" s="1"/>
  <c r="CY17" i="3" s="1"/>
  <c r="CY26" i="5" s="1"/>
  <c r="DA6" i="9"/>
  <c r="DA12" i="3"/>
  <c r="Y260" i="4"/>
  <c r="BJ61" i="7"/>
  <c r="N61" i="7" s="1"/>
  <c r="AS326" i="4"/>
  <c r="AS289" i="4"/>
  <c r="AS30" i="5" s="1"/>
  <c r="BE182" i="4"/>
  <c r="BE51" i="4" s="1"/>
  <c r="BE24" i="4"/>
  <c r="Y136" i="4"/>
  <c r="Y52" i="4"/>
  <c r="BI48" i="6" l="1"/>
  <c r="BI47" i="6" s="1"/>
  <c r="L20" i="1"/>
  <c r="CZ20" i="6"/>
  <c r="CZ87" i="6"/>
  <c r="Y44" i="4"/>
  <c r="Y138" i="4"/>
  <c r="CZ86" i="3"/>
  <c r="CZ87" i="3" s="1"/>
  <c r="CZ101" i="3"/>
  <c r="CZ102" i="3" s="1"/>
  <c r="CZ81" i="3"/>
  <c r="CZ82" i="3" s="1"/>
  <c r="CZ96" i="3"/>
  <c r="CZ97" i="3" s="1"/>
  <c r="CZ91" i="3"/>
  <c r="CZ92" i="3" s="1"/>
  <c r="DA27" i="6"/>
  <c r="DA41" i="3"/>
  <c r="DA18" i="3" s="1"/>
  <c r="DA27" i="5" s="1"/>
  <c r="DA33" i="3"/>
  <c r="DA16" i="3" s="1"/>
  <c r="DA25" i="5" s="1"/>
  <c r="BF90" i="4"/>
  <c r="DB55" i="6"/>
  <c r="BE25" i="4"/>
  <c r="CY86" i="6"/>
  <c r="CY35" i="5"/>
  <c r="CY16" i="6"/>
  <c r="CY18" i="6" s="1"/>
  <c r="CY22" i="6" s="1"/>
  <c r="CY29" i="6" s="1"/>
  <c r="CY32" i="6" s="1"/>
  <c r="G55" i="7"/>
  <c r="X70" i="7"/>
  <c r="X80" i="7" s="1"/>
  <c r="X18" i="7" s="1"/>
  <c r="X76" i="7"/>
  <c r="X78" i="7" s="1"/>
  <c r="Y73" i="7" s="1"/>
  <c r="BJ49" i="7"/>
  <c r="BJ50" i="7" s="1"/>
  <c r="BJ48" i="6" s="1"/>
  <c r="BJ47" i="6" s="1"/>
  <c r="AS96" i="6"/>
  <c r="AG145" i="1"/>
  <c r="AF111" i="1"/>
  <c r="AS35" i="5"/>
  <c r="AS42" i="6"/>
  <c r="BJ62" i="7"/>
  <c r="AS291" i="4"/>
  <c r="DB15" i="5"/>
  <c r="DB13" i="5"/>
  <c r="DB24" i="6" s="1"/>
  <c r="DB7" i="5"/>
  <c r="DB8" i="9"/>
  <c r="DB12" i="5"/>
  <c r="DB48" i="6" s="1"/>
  <c r="DB47" i="6" s="1"/>
  <c r="DC8" i="5"/>
  <c r="DB16" i="5"/>
  <c r="AT287" i="4" l="1"/>
  <c r="AS71" i="4"/>
  <c r="DC7" i="9"/>
  <c r="DC14" i="5"/>
  <c r="DC9" i="5"/>
  <c r="BJ21" i="6"/>
  <c r="N49" i="7"/>
  <c r="N52" i="7" s="1"/>
  <c r="L195" i="2" s="1"/>
  <c r="AZ46" i="8"/>
  <c r="AZ48" i="8" s="1"/>
  <c r="X26" i="7"/>
  <c r="X25" i="7"/>
  <c r="X29" i="7" s="1"/>
  <c r="BF25" i="6"/>
  <c r="BF91" i="4"/>
  <c r="BF22" i="4"/>
  <c r="CZ105" i="3"/>
  <c r="CZ106" i="3" s="1"/>
  <c r="CZ17" i="3" s="1"/>
  <c r="CZ26" i="5" s="1"/>
  <c r="DB12" i="3"/>
  <c r="DB6" i="9"/>
  <c r="DA74" i="6"/>
  <c r="DA32" i="5"/>
  <c r="DA61" i="3"/>
  <c r="DA62" i="3" s="1"/>
  <c r="BF20" i="4"/>
  <c r="DA88" i="6"/>
  <c r="DA17" i="6"/>
  <c r="F41" i="1"/>
  <c r="AF112" i="1"/>
  <c r="Y41" i="4"/>
  <c r="Y139" i="4"/>
  <c r="Y185" i="4" s="1"/>
  <c r="Y53" i="4" l="1"/>
  <c r="Y186" i="4"/>
  <c r="Y192" i="4"/>
  <c r="Y26" i="9" s="1"/>
  <c r="CZ86" i="6"/>
  <c r="CZ35" i="5"/>
  <c r="CZ16" i="6"/>
  <c r="CZ18" i="6" s="1"/>
  <c r="CZ22" i="6" s="1"/>
  <c r="CZ29" i="6" s="1"/>
  <c r="CZ32" i="6" s="1"/>
  <c r="BJ22" i="6"/>
  <c r="N21" i="6"/>
  <c r="DC16" i="5"/>
  <c r="DC8" i="9"/>
  <c r="DC7" i="5"/>
  <c r="DC12" i="5"/>
  <c r="DC15" i="5"/>
  <c r="DC13" i="5"/>
  <c r="DC24" i="6" s="1"/>
  <c r="DD8" i="5"/>
  <c r="BF23" i="4"/>
  <c r="DA20" i="6"/>
  <c r="DA87" i="6"/>
  <c r="DA91" i="3"/>
  <c r="DA92" i="3" s="1"/>
  <c r="DA96" i="3"/>
  <c r="DA97" i="3" s="1"/>
  <c r="DA101" i="3"/>
  <c r="DA102" i="3" s="1"/>
  <c r="DA81" i="3"/>
  <c r="DA82" i="3" s="1"/>
  <c r="DA86" i="3"/>
  <c r="DA87" i="3" s="1"/>
  <c r="Y45" i="4"/>
  <c r="Y41" i="5" s="1"/>
  <c r="Y362" i="4"/>
  <c r="Y140" i="4"/>
  <c r="X30" i="7"/>
  <c r="X34" i="7" s="1"/>
  <c r="X21" i="7" s="1"/>
  <c r="X14" i="7" s="1"/>
  <c r="AE23" i="8" s="1"/>
  <c r="K128" i="1" s="1"/>
  <c r="AT326" i="4"/>
  <c r="AT289" i="4"/>
  <c r="AT30" i="5" s="1"/>
  <c r="DB27" i="6"/>
  <c r="DB41" i="3"/>
  <c r="DB18" i="3" s="1"/>
  <c r="DB27" i="5" s="1"/>
  <c r="DB33" i="3"/>
  <c r="DB16" i="3" s="1"/>
  <c r="DB25" i="5" s="1"/>
  <c r="G41" i="1"/>
  <c r="BF92" i="4"/>
  <c r="X32" i="7" l="1"/>
  <c r="Y28" i="7" s="1"/>
  <c r="BQ47" i="8"/>
  <c r="BJ67" i="7"/>
  <c r="BJ68" i="7" s="1"/>
  <c r="Y62" i="6"/>
  <c r="Z126" i="4"/>
  <c r="Y142" i="4"/>
  <c r="DC48" i="6"/>
  <c r="DC47" i="6" s="1"/>
  <c r="DC55" i="6"/>
  <c r="DB88" i="6"/>
  <c r="DB17" i="6"/>
  <c r="BF182" i="4"/>
  <c r="BF51" i="4" s="1"/>
  <c r="BF24" i="4"/>
  <c r="AH145" i="1"/>
  <c r="AT96" i="6"/>
  <c r="AG111" i="1"/>
  <c r="AT35" i="5"/>
  <c r="AT42" i="6"/>
  <c r="AT291" i="4"/>
  <c r="DC12" i="3"/>
  <c r="DC6" i="9"/>
  <c r="M151" i="1"/>
  <c r="Y90" i="6"/>
  <c r="BF93" i="4"/>
  <c r="Y187" i="4"/>
  <c r="Y55" i="4" s="1"/>
  <c r="Y54" i="4"/>
  <c r="L119" i="1" s="1"/>
  <c r="N21" i="1" s="1"/>
  <c r="Y24" i="6"/>
  <c r="K132" i="1"/>
  <c r="Y20" i="1"/>
  <c r="Y189" i="4"/>
  <c r="DB32" i="5"/>
  <c r="DB74" i="6"/>
  <c r="DB61" i="3"/>
  <c r="DB62" i="3" s="1"/>
  <c r="Y46" i="4"/>
  <c r="DA105" i="3"/>
  <c r="DA106" i="3" s="1"/>
  <c r="DA17" i="3" s="1"/>
  <c r="DA26" i="5" s="1"/>
  <c r="DD7" i="9"/>
  <c r="DD9" i="5"/>
  <c r="Y37" i="5"/>
  <c r="Y57" i="4"/>
  <c r="Z49" i="4" s="1"/>
  <c r="Y122" i="4" l="1"/>
  <c r="DA86" i="6"/>
  <c r="DA35" i="5"/>
  <c r="DA16" i="6"/>
  <c r="DA18" i="6" s="1"/>
  <c r="DA22" i="6" s="1"/>
  <c r="DA29" i="6" s="1"/>
  <c r="DA32" i="6" s="1"/>
  <c r="BF25" i="4"/>
  <c r="DC27" i="6"/>
  <c r="DC33" i="3"/>
  <c r="DC16" i="3" s="1"/>
  <c r="DC25" i="5" s="1"/>
  <c r="DC41" i="3"/>
  <c r="DC18" i="3" s="1"/>
  <c r="DC27" i="5" s="1"/>
  <c r="Z129" i="4"/>
  <c r="Y356" i="4"/>
  <c r="Y358" i="4" s="1"/>
  <c r="Y40" i="5"/>
  <c r="Y259" i="4"/>
  <c r="X261" i="4" s="1"/>
  <c r="AT71" i="4"/>
  <c r="AU287" i="4"/>
  <c r="Z36" i="4"/>
  <c r="L120" i="1"/>
  <c r="O21" i="1" s="1"/>
  <c r="Y77" i="6"/>
  <c r="M148" i="1"/>
  <c r="M164" i="1" s="1"/>
  <c r="L116" i="1"/>
  <c r="K21" i="1" s="1"/>
  <c r="DB101" i="3"/>
  <c r="DB102" i="3" s="1"/>
  <c r="DB81" i="3"/>
  <c r="DB82" i="3" s="1"/>
  <c r="DB91" i="3"/>
  <c r="DB92" i="3" s="1"/>
  <c r="DB96" i="3"/>
  <c r="DB97" i="3" s="1"/>
  <c r="DB86" i="3"/>
  <c r="DB87" i="3" s="1"/>
  <c r="BF61" i="6"/>
  <c r="BG88" i="4"/>
  <c r="BA46" i="8"/>
  <c r="BA48" i="8" s="1"/>
  <c r="DD12" i="5"/>
  <c r="DD48" i="6" s="1"/>
  <c r="DD47" i="6" s="1"/>
  <c r="DD15" i="5"/>
  <c r="DD13" i="5"/>
  <c r="DD24" i="6" s="1"/>
  <c r="DE8" i="5"/>
  <c r="DD8" i="9"/>
  <c r="DD16" i="5"/>
  <c r="DD7" i="5"/>
  <c r="F42" i="1"/>
  <c r="AG112" i="1"/>
  <c r="Z181" i="4"/>
  <c r="Y63" i="6"/>
  <c r="Y59" i="6" s="1"/>
  <c r="Y194" i="4"/>
  <c r="DD14" i="5"/>
  <c r="DB20" i="6"/>
  <c r="DB87" i="6"/>
  <c r="AF58" i="8" l="1"/>
  <c r="Y91" i="6"/>
  <c r="M150" i="1"/>
  <c r="DC88" i="6"/>
  <c r="DC17" i="6"/>
  <c r="DB105" i="3"/>
  <c r="DB106" i="3" s="1"/>
  <c r="DB17" i="3" s="1"/>
  <c r="DB26" i="5" s="1"/>
  <c r="DC61" i="3"/>
  <c r="DC62" i="3" s="1"/>
  <c r="DC32" i="5"/>
  <c r="DC74" i="6"/>
  <c r="BG90" i="4"/>
  <c r="Z117" i="4"/>
  <c r="Z38" i="4"/>
  <c r="Z26" i="6"/>
  <c r="Z118" i="4"/>
  <c r="Z131" i="4"/>
  <c r="Z40" i="4" s="1"/>
  <c r="Z130" i="4"/>
  <c r="BG20" i="4"/>
  <c r="DD55" i="6"/>
  <c r="DE7" i="9"/>
  <c r="DE9" i="5"/>
  <c r="AU326" i="4"/>
  <c r="AU289" i="4"/>
  <c r="AU30" i="5" s="1"/>
  <c r="DD12" i="3"/>
  <c r="DD6" i="9"/>
  <c r="G42" i="1"/>
  <c r="Y62" i="4"/>
  <c r="Y360" i="4"/>
  <c r="Y363" i="4" s="1"/>
  <c r="DF8" i="5" l="1"/>
  <c r="DE7" i="5"/>
  <c r="DE13" i="5"/>
  <c r="DE24" i="6" s="1"/>
  <c r="DE12" i="5"/>
  <c r="DE48" i="6" s="1"/>
  <c r="DE47" i="6" s="1"/>
  <c r="DE16" i="5"/>
  <c r="DE8" i="9"/>
  <c r="DE15" i="5"/>
  <c r="DE14" i="5"/>
  <c r="DC20" i="6"/>
  <c r="DC87" i="6"/>
  <c r="DC96" i="3"/>
  <c r="DC97" i="3" s="1"/>
  <c r="DC91" i="3"/>
  <c r="DC92" i="3" s="1"/>
  <c r="DC86" i="3"/>
  <c r="DC87" i="3" s="1"/>
  <c r="DC101" i="3"/>
  <c r="DC102" i="3" s="1"/>
  <c r="DC81" i="3"/>
  <c r="DC82" i="3" s="1"/>
  <c r="DD27" i="6"/>
  <c r="DD41" i="3"/>
  <c r="DD18" i="3" s="1"/>
  <c r="DD27" i="5" s="1"/>
  <c r="DD33" i="3"/>
  <c r="DD16" i="3" s="1"/>
  <c r="DD25" i="5" s="1"/>
  <c r="DE55" i="6"/>
  <c r="BG25" i="6"/>
  <c r="BG91" i="4"/>
  <c r="BG22" i="4"/>
  <c r="DB86" i="6"/>
  <c r="DB35" i="5"/>
  <c r="DB16" i="6"/>
  <c r="DB18" i="6" s="1"/>
  <c r="DB22" i="6" s="1"/>
  <c r="DB29" i="6" s="1"/>
  <c r="DB32" i="6" s="1"/>
  <c r="Z361" i="4"/>
  <c r="Z119" i="4"/>
  <c r="Z39" i="4"/>
  <c r="Y39" i="5"/>
  <c r="Y27" i="6"/>
  <c r="AI145" i="1"/>
  <c r="AU96" i="6"/>
  <c r="AH111" i="1"/>
  <c r="AU35" i="5"/>
  <c r="AU42" i="6"/>
  <c r="Z133" i="4"/>
  <c r="AU291" i="4"/>
  <c r="DD74" i="6" l="1"/>
  <c r="DD61" i="3"/>
  <c r="DD62" i="3" s="1"/>
  <c r="DD32" i="5"/>
  <c r="Z134" i="4"/>
  <c r="Z43" i="4" s="1"/>
  <c r="M149" i="1"/>
  <c r="M163" i="1" s="1"/>
  <c r="L115" i="1"/>
  <c r="Y92" i="6"/>
  <c r="Y42" i="5"/>
  <c r="Y46" i="5" s="1"/>
  <c r="DD88" i="6"/>
  <c r="DD17" i="6"/>
  <c r="AV287" i="4"/>
  <c r="AU71" i="4"/>
  <c r="BG23" i="4"/>
  <c r="BG92" i="4"/>
  <c r="DC105" i="3"/>
  <c r="DC106" i="3" s="1"/>
  <c r="DC17" i="3" s="1"/>
  <c r="DC26" i="5" s="1"/>
  <c r="DE12" i="3"/>
  <c r="DE6" i="9"/>
  <c r="Z42" i="4"/>
  <c r="Z184" i="4"/>
  <c r="BB46" i="8"/>
  <c r="BB48" i="8" s="1"/>
  <c r="DF9" i="5"/>
  <c r="DF14" i="5"/>
  <c r="DF7" i="9"/>
  <c r="AF52" i="8"/>
  <c r="Y69" i="7"/>
  <c r="Y74" i="7" s="1"/>
  <c r="Y29" i="6"/>
  <c r="Y32" i="6" s="1"/>
  <c r="AF43" i="8"/>
  <c r="F43" i="1"/>
  <c r="AH112" i="1"/>
  <c r="G43" i="1" l="1"/>
  <c r="DG8" i="5"/>
  <c r="DF7" i="5"/>
  <c r="DF12" i="5"/>
  <c r="DF8" i="9"/>
  <c r="DF13" i="5"/>
  <c r="DF24" i="6" s="1"/>
  <c r="DF15" i="5"/>
  <c r="DF16" i="5"/>
  <c r="Y302" i="4"/>
  <c r="Y267" i="4"/>
  <c r="DD20" i="6"/>
  <c r="DD87" i="6"/>
  <c r="DE27" i="6"/>
  <c r="DE33" i="3"/>
  <c r="DE16" i="3" s="1"/>
  <c r="DE25" i="5" s="1"/>
  <c r="DE41" i="3"/>
  <c r="DE18" i="3" s="1"/>
  <c r="DE27" i="5" s="1"/>
  <c r="AV326" i="4"/>
  <c r="AV289" i="4"/>
  <c r="AV30" i="5" s="1"/>
  <c r="DD86" i="3"/>
  <c r="DD87" i="3" s="1"/>
  <c r="DD81" i="3"/>
  <c r="DD82" i="3" s="1"/>
  <c r="DD91" i="3"/>
  <c r="DD92" i="3" s="1"/>
  <c r="DD101" i="3"/>
  <c r="DD102" i="3" s="1"/>
  <c r="DD105" i="3" s="1"/>
  <c r="DD106" i="3" s="1"/>
  <c r="DD17" i="3" s="1"/>
  <c r="DD26" i="5" s="1"/>
  <c r="DD96" i="3"/>
  <c r="DD97" i="3" s="1"/>
  <c r="DC86" i="6"/>
  <c r="DC16" i="6"/>
  <c r="DC18" i="6" s="1"/>
  <c r="DC22" i="6" s="1"/>
  <c r="DC29" i="6" s="1"/>
  <c r="DC32" i="6" s="1"/>
  <c r="DC35" i="5"/>
  <c r="L117" i="1"/>
  <c r="J21" i="1"/>
  <c r="Y75" i="7"/>
  <c r="BG24" i="4"/>
  <c r="BG182" i="4"/>
  <c r="BG51" i="4" s="1"/>
  <c r="BG93" i="4"/>
  <c r="Z260" i="4"/>
  <c r="Z136" i="4"/>
  <c r="Z52" i="4"/>
  <c r="BG25" i="4"/>
  <c r="DD86" i="6" l="1"/>
  <c r="DD16" i="6"/>
  <c r="DD18" i="6" s="1"/>
  <c r="DD22" i="6" s="1"/>
  <c r="DD29" i="6" s="1"/>
  <c r="DD32" i="6" s="1"/>
  <c r="DD35" i="5"/>
  <c r="DE74" i="6"/>
  <c r="DE61" i="3"/>
  <c r="DE62" i="3" s="1"/>
  <c r="DE32" i="5"/>
  <c r="L21" i="1"/>
  <c r="DF48" i="6"/>
  <c r="DF47" i="6" s="1"/>
  <c r="DF55" i="6"/>
  <c r="BG61" i="6"/>
  <c r="BH88" i="4"/>
  <c r="AJ145" i="1"/>
  <c r="AV96" i="6"/>
  <c r="AI111" i="1"/>
  <c r="AV35" i="5"/>
  <c r="AV42" i="6"/>
  <c r="DF12" i="3"/>
  <c r="DF6" i="9"/>
  <c r="AV291" i="4"/>
  <c r="DG7" i="9"/>
  <c r="DG9" i="5"/>
  <c r="BH20" i="4"/>
  <c r="Z44" i="4"/>
  <c r="Z138" i="4"/>
  <c r="Z139" i="4"/>
  <c r="Y70" i="7"/>
  <c r="Y80" i="7" s="1"/>
  <c r="Y18" i="7" s="1"/>
  <c r="Y76" i="7"/>
  <c r="DE88" i="6"/>
  <c r="DE17" i="6"/>
  <c r="DE87" i="6" l="1"/>
  <c r="DE20" i="6"/>
  <c r="DG16" i="5"/>
  <c r="DH8" i="5"/>
  <c r="DG13" i="5"/>
  <c r="DG24" i="6" s="1"/>
  <c r="DG7" i="5"/>
  <c r="DG8" i="9"/>
  <c r="DG15" i="5"/>
  <c r="DG12" i="5"/>
  <c r="DG48" i="6" s="1"/>
  <c r="DG47" i="6" s="1"/>
  <c r="BH90" i="4"/>
  <c r="DE81" i="3"/>
  <c r="DE82" i="3" s="1"/>
  <c r="DE101" i="3"/>
  <c r="DE102" i="3" s="1"/>
  <c r="DE86" i="3"/>
  <c r="DE87" i="3" s="1"/>
  <c r="DE91" i="3"/>
  <c r="DE92" i="3" s="1"/>
  <c r="DE96" i="3"/>
  <c r="DE97" i="3" s="1"/>
  <c r="Z45" i="4"/>
  <c r="Z140" i="4"/>
  <c r="DF27" i="6"/>
  <c r="DF41" i="3"/>
  <c r="DF18" i="3" s="1"/>
  <c r="DF27" i="5" s="1"/>
  <c r="DF33" i="3"/>
  <c r="DF16" i="3" s="1"/>
  <c r="DF25" i="5" s="1"/>
  <c r="DG14" i="5"/>
  <c r="DG55" i="6"/>
  <c r="Y26" i="7"/>
  <c r="Y25" i="7"/>
  <c r="Y29" i="7" s="1"/>
  <c r="Z185" i="4"/>
  <c r="Z41" i="4"/>
  <c r="Z46" i="4" s="1"/>
  <c r="Z362" i="4"/>
  <c r="AV71" i="4"/>
  <c r="AW287" i="4"/>
  <c r="BC46" i="8"/>
  <c r="BC48" i="8" s="1"/>
  <c r="Z41" i="5"/>
  <c r="F44" i="1"/>
  <c r="AI112" i="1"/>
  <c r="Y78" i="7"/>
  <c r="Z73" i="7" s="1"/>
  <c r="G44" i="1" l="1"/>
  <c r="AA126" i="4"/>
  <c r="Z62" i="6"/>
  <c r="Z142" i="4"/>
  <c r="DH7" i="9"/>
  <c r="DH9" i="5"/>
  <c r="AW326" i="4"/>
  <c r="AW289" i="4"/>
  <c r="AW30" i="5" s="1"/>
  <c r="N151" i="1"/>
  <c r="Z90" i="6"/>
  <c r="AA36" i="4"/>
  <c r="BH22" i="4"/>
  <c r="BH25" i="6"/>
  <c r="BH91" i="4"/>
  <c r="Z53" i="4"/>
  <c r="Z192" i="4"/>
  <c r="Z26" i="9" s="1"/>
  <c r="Z186" i="4"/>
  <c r="DF74" i="6"/>
  <c r="DF32" i="5"/>
  <c r="DF61" i="3"/>
  <c r="DF62" i="3" s="1"/>
  <c r="DE105" i="3"/>
  <c r="DE106" i="3" s="1"/>
  <c r="DE17" i="3" s="1"/>
  <c r="DE26" i="5" s="1"/>
  <c r="Y30" i="7"/>
  <c r="Y34" i="7" s="1"/>
  <c r="Y21" i="7" s="1"/>
  <c r="Y14" i="7" s="1"/>
  <c r="AF23" i="8" s="1"/>
  <c r="L128" i="1" s="1"/>
  <c r="DF88" i="6"/>
  <c r="DF17" i="6"/>
  <c r="DG6" i="9"/>
  <c r="DG12" i="3"/>
  <c r="DF81" i="3" l="1"/>
  <c r="DF82" i="3" s="1"/>
  <c r="DF86" i="3"/>
  <c r="DF87" i="3" s="1"/>
  <c r="DF101" i="3"/>
  <c r="DF102" i="3" s="1"/>
  <c r="DF91" i="3"/>
  <c r="DF92" i="3" s="1"/>
  <c r="DF96" i="3"/>
  <c r="DF97" i="3" s="1"/>
  <c r="AW96" i="6"/>
  <c r="AK145" i="1"/>
  <c r="AJ111" i="1"/>
  <c r="AW35" i="5"/>
  <c r="AW42" i="6"/>
  <c r="BH23" i="4"/>
  <c r="BH92" i="4"/>
  <c r="AW291" i="4"/>
  <c r="Z122" i="4"/>
  <c r="Z37" i="5"/>
  <c r="DF87" i="6"/>
  <c r="DF20" i="6"/>
  <c r="Y32" i="7"/>
  <c r="Z28" i="7" s="1"/>
  <c r="Z187" i="4"/>
  <c r="Z55" i="4" s="1"/>
  <c r="Z54" i="4"/>
  <c r="M119" i="1" s="1"/>
  <c r="N22" i="1" s="1"/>
  <c r="Z24" i="6"/>
  <c r="AA129" i="4"/>
  <c r="L132" i="1"/>
  <c r="Y21" i="1"/>
  <c r="Z189" i="4"/>
  <c r="DH8" i="9"/>
  <c r="DI8" i="5"/>
  <c r="DH15" i="5"/>
  <c r="DH12" i="5"/>
  <c r="DH7" i="5"/>
  <c r="DH13" i="5"/>
  <c r="DH24" i="6" s="1"/>
  <c r="DH16" i="5"/>
  <c r="DG27" i="6"/>
  <c r="DG33" i="3"/>
  <c r="DG16" i="3" s="1"/>
  <c r="DG25" i="5" s="1"/>
  <c r="DG41" i="3"/>
  <c r="DG18" i="3" s="1"/>
  <c r="DG27" i="5" s="1"/>
  <c r="DE86" i="6"/>
  <c r="DE35" i="5"/>
  <c r="DE16" i="6"/>
  <c r="DE18" i="6" s="1"/>
  <c r="DE22" i="6" s="1"/>
  <c r="DE29" i="6" s="1"/>
  <c r="DE32" i="6" s="1"/>
  <c r="DH14" i="5"/>
  <c r="DH12" i="3" l="1"/>
  <c r="DH6" i="9"/>
  <c r="AA181" i="4"/>
  <c r="Z194" i="4"/>
  <c r="Z63" i="6"/>
  <c r="Z59" i="6" s="1"/>
  <c r="AA38" i="4"/>
  <c r="AA130" i="4"/>
  <c r="AA118" i="4"/>
  <c r="AA117" i="4"/>
  <c r="AA26" i="6"/>
  <c r="AX287" i="4"/>
  <c r="AW71" i="4"/>
  <c r="DH48" i="6"/>
  <c r="DH47" i="6" s="1"/>
  <c r="DH55" i="6"/>
  <c r="BH182" i="4"/>
  <c r="BH51" i="4" s="1"/>
  <c r="BH24" i="4"/>
  <c r="BH93" i="4"/>
  <c r="DG88" i="6"/>
  <c r="DG17" i="6"/>
  <c r="DI7" i="9"/>
  <c r="DI9" i="5"/>
  <c r="Z356" i="4"/>
  <c r="Z358" i="4" s="1"/>
  <c r="Z259" i="4"/>
  <c r="Y261" i="4" s="1"/>
  <c r="Z40" i="5"/>
  <c r="DF105" i="3"/>
  <c r="DF106" i="3" s="1"/>
  <c r="DF17" i="3" s="1"/>
  <c r="DF26" i="5" s="1"/>
  <c r="DG61" i="3"/>
  <c r="DG62" i="3" s="1"/>
  <c r="DG32" i="5"/>
  <c r="DG74" i="6"/>
  <c r="Z57" i="4"/>
  <c r="Z62" i="4"/>
  <c r="Z360" i="4"/>
  <c r="Z363" i="4" s="1"/>
  <c r="Z77" i="6"/>
  <c r="N148" i="1"/>
  <c r="N164" i="1" s="1"/>
  <c r="M116" i="1"/>
  <c r="K22" i="1" s="1"/>
  <c r="BD46" i="8"/>
  <c r="BD48" i="8" s="1"/>
  <c r="F45" i="1"/>
  <c r="AJ112" i="1"/>
  <c r="Z91" i="6" l="1"/>
  <c r="N150" i="1"/>
  <c r="AA39" i="4"/>
  <c r="Z39" i="5"/>
  <c r="Z27" i="6"/>
  <c r="AA131" i="4"/>
  <c r="AA361" i="4" s="1"/>
  <c r="DG20" i="6"/>
  <c r="DG87" i="6"/>
  <c r="BH61" i="6"/>
  <c r="BI88" i="4"/>
  <c r="AA49" i="4"/>
  <c r="M120" i="1"/>
  <c r="O22" i="1" s="1"/>
  <c r="DG96" i="3"/>
  <c r="DG97" i="3" s="1"/>
  <c r="DG86" i="3"/>
  <c r="DG87" i="3" s="1"/>
  <c r="DG81" i="3"/>
  <c r="DG82" i="3" s="1"/>
  <c r="DG101" i="3"/>
  <c r="DG102" i="3" s="1"/>
  <c r="DG91" i="3"/>
  <c r="DG92" i="3" s="1"/>
  <c r="AA133" i="4"/>
  <c r="DF86" i="6"/>
  <c r="DF16" i="6"/>
  <c r="DF18" i="6" s="1"/>
  <c r="DF22" i="6" s="1"/>
  <c r="DF29" i="6" s="1"/>
  <c r="DF32" i="6" s="1"/>
  <c r="DF35" i="5"/>
  <c r="DI15" i="5"/>
  <c r="DI12" i="5"/>
  <c r="DI48" i="6" s="1"/>
  <c r="DI47" i="6" s="1"/>
  <c r="DI16" i="5"/>
  <c r="DJ8" i="5"/>
  <c r="DI8" i="9"/>
  <c r="DI7" i="5"/>
  <c r="DI13" i="5"/>
  <c r="DI24" i="6" s="1"/>
  <c r="BH25" i="4"/>
  <c r="AX326" i="4"/>
  <c r="AX289" i="4"/>
  <c r="AX30" i="5" s="1"/>
  <c r="DI14" i="5"/>
  <c r="G45" i="1"/>
  <c r="DH27" i="6"/>
  <c r="DH33" i="3"/>
  <c r="DH16" i="3" s="1"/>
  <c r="DH25" i="5" s="1"/>
  <c r="DH41" i="3"/>
  <c r="DH18" i="3" s="1"/>
  <c r="DH27" i="5" s="1"/>
  <c r="BI90" i="4" l="1"/>
  <c r="AG52" i="8"/>
  <c r="Z29" i="6"/>
  <c r="Z32" i="6" s="1"/>
  <c r="AG43" i="8"/>
  <c r="Z69" i="7"/>
  <c r="Z74" i="7" s="1"/>
  <c r="N149" i="1"/>
  <c r="Z92" i="6"/>
  <c r="M115" i="1"/>
  <c r="Z42" i="5"/>
  <c r="Z46" i="5" s="1"/>
  <c r="DI12" i="3"/>
  <c r="DI6" i="9"/>
  <c r="AL145" i="1"/>
  <c r="AX96" i="6"/>
  <c r="AK111" i="1"/>
  <c r="AX35" i="5"/>
  <c r="AX42" i="6"/>
  <c r="AX291" i="4"/>
  <c r="DJ7" i="9"/>
  <c r="DJ9" i="5"/>
  <c r="DJ14" i="5"/>
  <c r="AA42" i="4"/>
  <c r="AG58" i="8"/>
  <c r="AA40" i="4"/>
  <c r="AA134" i="4"/>
  <c r="AA119" i="4"/>
  <c r="DH17" i="6"/>
  <c r="DH88" i="6"/>
  <c r="BI20" i="4"/>
  <c r="DG105" i="3"/>
  <c r="DG106" i="3" s="1"/>
  <c r="DG17" i="3" s="1"/>
  <c r="DG26" i="5" s="1"/>
  <c r="N163" i="1"/>
  <c r="DH61" i="3"/>
  <c r="DH62" i="3" s="1"/>
  <c r="DH74" i="6"/>
  <c r="DH32" i="5"/>
  <c r="DI55" i="6"/>
  <c r="DI27" i="6" l="1"/>
  <c r="DI41" i="3"/>
  <c r="DI18" i="3" s="1"/>
  <c r="DI27" i="5" s="1"/>
  <c r="DI33" i="3"/>
  <c r="DI16" i="3" s="1"/>
  <c r="DI25" i="5" s="1"/>
  <c r="DH101" i="3"/>
  <c r="DH102" i="3" s="1"/>
  <c r="DH81" i="3"/>
  <c r="DH82" i="3" s="1"/>
  <c r="DH96" i="3"/>
  <c r="DH97" i="3" s="1"/>
  <c r="DH91" i="3"/>
  <c r="DH92" i="3" s="1"/>
  <c r="DH86" i="3"/>
  <c r="DH87" i="3" s="1"/>
  <c r="AA43" i="4"/>
  <c r="Z302" i="4"/>
  <c r="Z267" i="4"/>
  <c r="AA260" i="4"/>
  <c r="DG86" i="6"/>
  <c r="DG16" i="6"/>
  <c r="DG18" i="6" s="1"/>
  <c r="DG22" i="6" s="1"/>
  <c r="DG29" i="6" s="1"/>
  <c r="DG32" i="6" s="1"/>
  <c r="DG35" i="5"/>
  <c r="AA184" i="4"/>
  <c r="BE46" i="8"/>
  <c r="BE48" i="8" s="1"/>
  <c r="M117" i="1"/>
  <c r="J22" i="1"/>
  <c r="F46" i="1"/>
  <c r="AK112" i="1"/>
  <c r="BI91" i="4"/>
  <c r="BI23" i="4" s="1"/>
  <c r="BI25" i="6"/>
  <c r="BI22" i="4"/>
  <c r="DJ15" i="5"/>
  <c r="DK8" i="5"/>
  <c r="DJ13" i="5"/>
  <c r="DJ24" i="6" s="1"/>
  <c r="DJ8" i="9"/>
  <c r="DJ16" i="5"/>
  <c r="DJ7" i="5"/>
  <c r="DJ12" i="5"/>
  <c r="DJ48" i="6" s="1"/>
  <c r="DJ47" i="6" s="1"/>
  <c r="DH20" i="6"/>
  <c r="DH87" i="6"/>
  <c r="AX71" i="4"/>
  <c r="AY287" i="4"/>
  <c r="Z75" i="7"/>
  <c r="DK7" i="9" l="1"/>
  <c r="DK9" i="5"/>
  <c r="AY326" i="4"/>
  <c r="AY291" i="4"/>
  <c r="AY289" i="4"/>
  <c r="AY30" i="5" s="1"/>
  <c r="L22" i="1"/>
  <c r="DH105" i="3"/>
  <c r="DH106" i="3" s="1"/>
  <c r="DH17" i="3" s="1"/>
  <c r="DH26" i="5" s="1"/>
  <c r="DJ55" i="6"/>
  <c r="DI32" i="5"/>
  <c r="DI61" i="3"/>
  <c r="DI62" i="3" s="1"/>
  <c r="DI74" i="6"/>
  <c r="DI17" i="6"/>
  <c r="DI88" i="6"/>
  <c r="Z70" i="7"/>
  <c r="Z80" i="7" s="1"/>
  <c r="Z18" i="7" s="1"/>
  <c r="Z76" i="7"/>
  <c r="Z78" i="7" s="1"/>
  <c r="AA73" i="7" s="1"/>
  <c r="DJ12" i="3"/>
  <c r="DJ6" i="9"/>
  <c r="AA52" i="4"/>
  <c r="AA136" i="4"/>
  <c r="G46" i="1"/>
  <c r="BI92" i="4"/>
  <c r="BI24" i="4" l="1"/>
  <c r="BI182" i="4"/>
  <c r="BI51" i="4" s="1"/>
  <c r="BI93" i="4"/>
  <c r="Z25" i="7"/>
  <c r="Z29" i="7" s="1"/>
  <c r="Z26" i="7"/>
  <c r="DI96" i="3"/>
  <c r="DI97" i="3" s="1"/>
  <c r="DI81" i="3"/>
  <c r="DI82" i="3" s="1"/>
  <c r="DI101" i="3"/>
  <c r="DI102" i="3" s="1"/>
  <c r="DI105" i="3" s="1"/>
  <c r="DI106" i="3" s="1"/>
  <c r="DI17" i="3" s="1"/>
  <c r="DI26" i="5" s="1"/>
  <c r="DI91" i="3"/>
  <c r="DI92" i="3" s="1"/>
  <c r="DI86" i="3"/>
  <c r="DI87" i="3" s="1"/>
  <c r="AY71" i="4"/>
  <c r="AZ287" i="4"/>
  <c r="DI87" i="6"/>
  <c r="DI20" i="6"/>
  <c r="DK16" i="5"/>
  <c r="DK13" i="5"/>
  <c r="DK24" i="6" s="1"/>
  <c r="DK12" i="5"/>
  <c r="DK48" i="6" s="1"/>
  <c r="DK47" i="6" s="1"/>
  <c r="DK7" i="5"/>
  <c r="DL8" i="5"/>
  <c r="DK8" i="9"/>
  <c r="DK15" i="5"/>
  <c r="DH86" i="6"/>
  <c r="DH35" i="5"/>
  <c r="DH16" i="6"/>
  <c r="DH18" i="6" s="1"/>
  <c r="DH22" i="6" s="1"/>
  <c r="DH29" i="6" s="1"/>
  <c r="DH32" i="6" s="1"/>
  <c r="DK14" i="5"/>
  <c r="DJ27" i="6"/>
  <c r="DJ41" i="3"/>
  <c r="DJ18" i="3" s="1"/>
  <c r="DJ27" i="5" s="1"/>
  <c r="DJ33" i="3"/>
  <c r="DJ16" i="3" s="1"/>
  <c r="DJ25" i="5" s="1"/>
  <c r="AA44" i="4"/>
  <c r="AA138" i="4"/>
  <c r="AA139" i="4" s="1"/>
  <c r="AM145" i="1"/>
  <c r="AY96" i="6"/>
  <c r="AL111" i="1"/>
  <c r="AY35" i="5"/>
  <c r="AY42" i="6"/>
  <c r="AA45" i="4" l="1"/>
  <c r="AA140" i="4"/>
  <c r="DJ61" i="3"/>
  <c r="DJ62" i="3" s="1"/>
  <c r="DJ74" i="6"/>
  <c r="DJ32" i="5"/>
  <c r="AZ42" i="6"/>
  <c r="DJ17" i="6"/>
  <c r="DJ88" i="6"/>
  <c r="DL7" i="9"/>
  <c r="DL9" i="5"/>
  <c r="DL14" i="5" s="1"/>
  <c r="BF46" i="8"/>
  <c r="BF48" i="8" s="1"/>
  <c r="DK12" i="3"/>
  <c r="DK6" i="9"/>
  <c r="AZ326" i="4"/>
  <c r="AZ289" i="4"/>
  <c r="AZ30" i="5" s="1"/>
  <c r="F47" i="1"/>
  <c r="AL112" i="1"/>
  <c r="AA362" i="4"/>
  <c r="Z30" i="7"/>
  <c r="Z34" i="7" s="1"/>
  <c r="Z21" i="7" s="1"/>
  <c r="Z14" i="7" s="1"/>
  <c r="AG23" i="8" s="1"/>
  <c r="M128" i="1" s="1"/>
  <c r="BJ88" i="4"/>
  <c r="BI61" i="6"/>
  <c r="DI86" i="6"/>
  <c r="DI35" i="5"/>
  <c r="DI16" i="6"/>
  <c r="DI18" i="6" s="1"/>
  <c r="DI22" i="6" s="1"/>
  <c r="DI29" i="6" s="1"/>
  <c r="DI32" i="6" s="1"/>
  <c r="AA185" i="4"/>
  <c r="AA41" i="4"/>
  <c r="AA46" i="4" s="1"/>
  <c r="AA41" i="5"/>
  <c r="DK55" i="6"/>
  <c r="BI25" i="4"/>
  <c r="Z32" i="7" l="1"/>
  <c r="AA28" i="7" s="1"/>
  <c r="DJ20" i="6"/>
  <c r="DJ87" i="6"/>
  <c r="G47" i="1"/>
  <c r="AN145" i="1"/>
  <c r="AZ96" i="6"/>
  <c r="AM111" i="1"/>
  <c r="AZ35" i="5"/>
  <c r="DM8" i="5"/>
  <c r="DL15" i="5"/>
  <c r="DL8" i="9"/>
  <c r="DL7" i="5"/>
  <c r="DL12" i="5"/>
  <c r="DL48" i="6" s="1"/>
  <c r="DL47" i="6" s="1"/>
  <c r="DL16" i="5"/>
  <c r="DL13" i="5"/>
  <c r="DL24" i="6" s="1"/>
  <c r="BJ90" i="4"/>
  <c r="AA53" i="4"/>
  <c r="AA186" i="4"/>
  <c r="AA192" i="4"/>
  <c r="AA26" i="9" s="1"/>
  <c r="AZ291" i="4"/>
  <c r="DJ81" i="3"/>
  <c r="DJ82" i="3" s="1"/>
  <c r="DJ96" i="3"/>
  <c r="DJ97" i="3" s="1"/>
  <c r="DJ86" i="3"/>
  <c r="DJ87" i="3" s="1"/>
  <c r="DJ91" i="3"/>
  <c r="DJ92" i="3" s="1"/>
  <c r="DJ101" i="3"/>
  <c r="DJ102" i="3" s="1"/>
  <c r="DK27" i="6"/>
  <c r="DK41" i="3"/>
  <c r="DK18" i="3" s="1"/>
  <c r="DK27" i="5" s="1"/>
  <c r="DK33" i="3"/>
  <c r="DK16" i="3" s="1"/>
  <c r="DK25" i="5" s="1"/>
  <c r="AA62" i="6"/>
  <c r="AB126" i="4"/>
  <c r="AA142" i="4"/>
  <c r="AA90" i="6"/>
  <c r="O151" i="1"/>
  <c r="AB36" i="4"/>
  <c r="BJ20" i="4"/>
  <c r="M132" i="1"/>
  <c r="Y22" i="1"/>
  <c r="BJ25" i="6" l="1"/>
  <c r="BJ91" i="4"/>
  <c r="BJ22" i="4"/>
  <c r="DK61" i="3"/>
  <c r="DK62" i="3" s="1"/>
  <c r="DK74" i="6"/>
  <c r="DK32" i="5"/>
  <c r="DM7" i="9"/>
  <c r="DM9" i="5"/>
  <c r="DK88" i="6"/>
  <c r="DK17" i="6"/>
  <c r="AZ71" i="4"/>
  <c r="BA287" i="4"/>
  <c r="BG46" i="8"/>
  <c r="BG48" i="8" s="1"/>
  <c r="AA122" i="4"/>
  <c r="F48" i="1"/>
  <c r="AM112" i="1"/>
  <c r="AB129" i="4"/>
  <c r="DJ105" i="3"/>
  <c r="DJ106" i="3" s="1"/>
  <c r="DJ17" i="3" s="1"/>
  <c r="DJ26" i="5" s="1"/>
  <c r="AA187" i="4"/>
  <c r="AA55" i="4" s="1"/>
  <c r="AA54" i="4"/>
  <c r="AA24" i="6"/>
  <c r="AA57" i="4"/>
  <c r="AA37" i="5"/>
  <c r="DL6" i="9"/>
  <c r="DL12" i="3"/>
  <c r="DL55" i="6"/>
  <c r="DK101" i="3" l="1"/>
  <c r="DK102" i="3" s="1"/>
  <c r="DK86" i="3"/>
  <c r="DK87" i="3" s="1"/>
  <c r="DK81" i="3"/>
  <c r="DK82" i="3" s="1"/>
  <c r="DK96" i="3"/>
  <c r="DK97" i="3" s="1"/>
  <c r="DK91" i="3"/>
  <c r="DK92" i="3" s="1"/>
  <c r="DJ86" i="6"/>
  <c r="DJ35" i="5"/>
  <c r="DJ16" i="6"/>
  <c r="DJ18" i="6" s="1"/>
  <c r="DJ22" i="6" s="1"/>
  <c r="DJ29" i="6" s="1"/>
  <c r="DJ32" i="6" s="1"/>
  <c r="DM15" i="5"/>
  <c r="DN8" i="5"/>
  <c r="DM8" i="9"/>
  <c r="DM16" i="5"/>
  <c r="DM7" i="5"/>
  <c r="DM12" i="5"/>
  <c r="DM48" i="6" s="1"/>
  <c r="DM47" i="6" s="1"/>
  <c r="DM13" i="5"/>
  <c r="DM24" i="6" s="1"/>
  <c r="AA62" i="4"/>
  <c r="AA360" i="4"/>
  <c r="AA363" i="4" s="1"/>
  <c r="DM14" i="5"/>
  <c r="DL27" i="6"/>
  <c r="DL41" i="3"/>
  <c r="DL18" i="3" s="1"/>
  <c r="DL27" i="5" s="1"/>
  <c r="DL33" i="3"/>
  <c r="DL16" i="3" s="1"/>
  <c r="DL25" i="5" s="1"/>
  <c r="N116" i="1"/>
  <c r="K23" i="1" s="1"/>
  <c r="O148" i="1"/>
  <c r="O164" i="1" s="1"/>
  <c r="AA77" i="6"/>
  <c r="N119" i="1"/>
  <c r="N23" i="1" s="1"/>
  <c r="G48" i="1"/>
  <c r="AB49" i="4"/>
  <c r="N120" i="1"/>
  <c r="O23" i="1" s="1"/>
  <c r="AA356" i="4"/>
  <c r="AA358" i="4" s="1"/>
  <c r="AA259" i="4"/>
  <c r="Z261" i="4" s="1"/>
  <c r="AA40" i="5"/>
  <c r="AB38" i="4"/>
  <c r="AB130" i="4"/>
  <c r="AB117" i="4"/>
  <c r="AB26" i="6"/>
  <c r="AB131" i="4"/>
  <c r="AB40" i="4" s="1"/>
  <c r="AB118" i="4"/>
  <c r="BA326" i="4"/>
  <c r="BA289" i="4"/>
  <c r="BA30" i="5" s="1"/>
  <c r="DK87" i="6"/>
  <c r="DK20" i="6"/>
  <c r="BJ23" i="4"/>
  <c r="BJ92" i="4"/>
  <c r="AA189" i="4"/>
  <c r="DL74" i="6" l="1"/>
  <c r="DL61" i="3"/>
  <c r="DL62" i="3" s="1"/>
  <c r="DL32" i="5"/>
  <c r="DM6" i="9"/>
  <c r="DM12" i="3"/>
  <c r="DL17" i="6"/>
  <c r="DL88" i="6"/>
  <c r="AH58" i="8"/>
  <c r="DN7" i="9"/>
  <c r="DN9" i="5"/>
  <c r="BJ24" i="4"/>
  <c r="BJ182" i="4"/>
  <c r="BJ51" i="4" s="1"/>
  <c r="AB39" i="4"/>
  <c r="AB361" i="4"/>
  <c r="AB119" i="4"/>
  <c r="AB133" i="4"/>
  <c r="DM55" i="6"/>
  <c r="BJ93" i="4"/>
  <c r="AB181" i="4"/>
  <c r="AA194" i="4"/>
  <c r="AA63" i="6"/>
  <c r="AA59" i="6" s="1"/>
  <c r="AA39" i="5"/>
  <c r="AA27" i="6"/>
  <c r="DK105" i="3"/>
  <c r="DK106" i="3" s="1"/>
  <c r="DK17" i="3" s="1"/>
  <c r="DK26" i="5" s="1"/>
  <c r="AO145" i="1"/>
  <c r="BA96" i="6"/>
  <c r="AN111" i="1"/>
  <c r="BA35" i="5"/>
  <c r="BA42" i="6"/>
  <c r="BA291" i="4"/>
  <c r="AA91" i="6"/>
  <c r="O150" i="1"/>
  <c r="AB134" i="4"/>
  <c r="AB43" i="4" s="1"/>
  <c r="BJ61" i="6" l="1"/>
  <c r="BK88" i="4"/>
  <c r="DM27" i="6"/>
  <c r="DM33" i="3"/>
  <c r="DM16" i="3" s="1"/>
  <c r="DM25" i="5" s="1"/>
  <c r="DM41" i="3"/>
  <c r="DM18" i="3" s="1"/>
  <c r="DM27" i="5" s="1"/>
  <c r="BH46" i="8"/>
  <c r="BH48" i="8" s="1"/>
  <c r="F49" i="1"/>
  <c r="AN112" i="1"/>
  <c r="DL87" i="6"/>
  <c r="DL20" i="6"/>
  <c r="O163" i="1"/>
  <c r="DN12" i="5"/>
  <c r="DN48" i="6" s="1"/>
  <c r="DN47" i="6" s="1"/>
  <c r="DN16" i="5"/>
  <c r="DN7" i="5"/>
  <c r="DO8" i="5"/>
  <c r="DN15" i="5"/>
  <c r="DN8" i="9"/>
  <c r="DN13" i="5"/>
  <c r="DN24" i="6" s="1"/>
  <c r="DL86" i="3"/>
  <c r="DL87" i="3" s="1"/>
  <c r="DL101" i="3"/>
  <c r="DL102" i="3" s="1"/>
  <c r="DL81" i="3"/>
  <c r="DL82" i="3" s="1"/>
  <c r="DL96" i="3"/>
  <c r="DL97" i="3" s="1"/>
  <c r="DL91" i="3"/>
  <c r="DL92" i="3" s="1"/>
  <c r="DK86" i="6"/>
  <c r="DK35" i="5"/>
  <c r="DK16" i="6"/>
  <c r="DK18" i="6" s="1"/>
  <c r="DK22" i="6" s="1"/>
  <c r="DK29" i="6" s="1"/>
  <c r="DK32" i="6" s="1"/>
  <c r="AH52" i="8"/>
  <c r="AA29" i="6"/>
  <c r="AA32" i="6" s="1"/>
  <c r="AH43" i="8"/>
  <c r="AA69" i="7"/>
  <c r="AA74" i="7" s="1"/>
  <c r="O149" i="1"/>
  <c r="N115" i="1"/>
  <c r="AA92" i="6"/>
  <c r="AA42" i="5"/>
  <c r="AA46" i="5" s="1"/>
  <c r="DN14" i="5"/>
  <c r="AB184" i="4"/>
  <c r="AB42" i="4"/>
  <c r="BB287" i="4"/>
  <c r="BA71" i="4"/>
  <c r="BJ25" i="4"/>
  <c r="DO7" i="9" l="1"/>
  <c r="DO9" i="5"/>
  <c r="BB326" i="4"/>
  <c r="BB289" i="4"/>
  <c r="BB30" i="5" s="1"/>
  <c r="DN12" i="3"/>
  <c r="DN6" i="9"/>
  <c r="DM88" i="6"/>
  <c r="DM17" i="6"/>
  <c r="DL105" i="3"/>
  <c r="DL106" i="3" s="1"/>
  <c r="DL17" i="3" s="1"/>
  <c r="DL26" i="5" s="1"/>
  <c r="G49" i="1"/>
  <c r="DM74" i="6"/>
  <c r="DM61" i="3"/>
  <c r="DM62" i="3" s="1"/>
  <c r="DM32" i="5"/>
  <c r="AA75" i="7"/>
  <c r="AB260" i="4"/>
  <c r="AB136" i="4"/>
  <c r="AB52" i="4"/>
  <c r="BK90" i="4"/>
  <c r="N117" i="1"/>
  <c r="J23" i="1"/>
  <c r="DN55" i="6"/>
  <c r="AA267" i="4"/>
  <c r="AA302" i="4"/>
  <c r="BK20" i="4"/>
  <c r="DN27" i="6" l="1"/>
  <c r="DN41" i="3"/>
  <c r="DN18" i="3" s="1"/>
  <c r="DN27" i="5" s="1"/>
  <c r="DN33" i="3"/>
  <c r="DN16" i="3" s="1"/>
  <c r="DN25" i="5" s="1"/>
  <c r="AA70" i="7"/>
  <c r="AA80" i="7" s="1"/>
  <c r="AA18" i="7" s="1"/>
  <c r="AA76" i="7"/>
  <c r="AP145" i="1"/>
  <c r="BB96" i="6"/>
  <c r="AO111" i="1"/>
  <c r="BB35" i="5"/>
  <c r="BB42" i="6"/>
  <c r="BK25" i="6"/>
  <c r="BK22" i="4"/>
  <c r="BK91" i="4"/>
  <c r="DL86" i="6"/>
  <c r="DL16" i="6"/>
  <c r="DL18" i="6" s="1"/>
  <c r="DL22" i="6" s="1"/>
  <c r="DL29" i="6" s="1"/>
  <c r="DL32" i="6" s="1"/>
  <c r="DL35" i="5"/>
  <c r="BB291" i="4"/>
  <c r="DM87" i="6"/>
  <c r="DM20" i="6"/>
  <c r="DP8" i="5"/>
  <c r="DO8" i="9"/>
  <c r="DO16" i="5"/>
  <c r="DO13" i="5"/>
  <c r="DO24" i="6" s="1"/>
  <c r="DO12" i="5"/>
  <c r="DO48" i="6" s="1"/>
  <c r="DO47" i="6" s="1"/>
  <c r="DO15" i="5"/>
  <c r="DO7" i="5"/>
  <c r="DM96" i="3"/>
  <c r="DM97" i="3" s="1"/>
  <c r="DM81" i="3"/>
  <c r="DM82" i="3" s="1"/>
  <c r="DM101" i="3"/>
  <c r="DM102" i="3" s="1"/>
  <c r="DM86" i="3"/>
  <c r="DM87" i="3" s="1"/>
  <c r="DM91" i="3"/>
  <c r="DM92" i="3" s="1"/>
  <c r="DO14" i="5"/>
  <c r="L23" i="1"/>
  <c r="AB44" i="4"/>
  <c r="AB138" i="4"/>
  <c r="AB139" i="4" l="1"/>
  <c r="AB45" i="4" s="1"/>
  <c r="BC287" i="4"/>
  <c r="BB71" i="4"/>
  <c r="AA26" i="7"/>
  <c r="AA25" i="7"/>
  <c r="AA29" i="7" s="1"/>
  <c r="DN74" i="6"/>
  <c r="DN32" i="5"/>
  <c r="DN61" i="3"/>
  <c r="DN62" i="3" s="1"/>
  <c r="DN88" i="6"/>
  <c r="DN17" i="6"/>
  <c r="DO6" i="9"/>
  <c r="DO12" i="3"/>
  <c r="BI46" i="8"/>
  <c r="BI48" i="8" s="1"/>
  <c r="F50" i="1"/>
  <c r="AO112" i="1"/>
  <c r="DM105" i="3"/>
  <c r="DM106" i="3" s="1"/>
  <c r="DM17" i="3" s="1"/>
  <c r="DM26" i="5" s="1"/>
  <c r="DP7" i="9"/>
  <c r="DP9" i="5"/>
  <c r="DP14" i="5" s="1"/>
  <c r="DO55" i="6"/>
  <c r="AB41" i="4"/>
  <c r="AB46" i="4" s="1"/>
  <c r="AB185" i="4"/>
  <c r="BK23" i="4"/>
  <c r="AB362" i="4"/>
  <c r="AA78" i="7"/>
  <c r="AB73" i="7" s="1"/>
  <c r="BK92" i="4"/>
  <c r="AC36" i="4" l="1"/>
  <c r="BK182" i="4"/>
  <c r="BK24" i="4"/>
  <c r="AA30" i="7"/>
  <c r="AA34" i="7" s="1"/>
  <c r="AA21" i="7" s="1"/>
  <c r="AA14" i="7" s="1"/>
  <c r="AH23" i="8" s="1"/>
  <c r="N128" i="1" s="1"/>
  <c r="DN96" i="3"/>
  <c r="DN97" i="3" s="1"/>
  <c r="DN101" i="3"/>
  <c r="DN102" i="3" s="1"/>
  <c r="DN91" i="3"/>
  <c r="DN92" i="3" s="1"/>
  <c r="DN86" i="3"/>
  <c r="DN87" i="3" s="1"/>
  <c r="DN81" i="3"/>
  <c r="DN82" i="3" s="1"/>
  <c r="BK93" i="4"/>
  <c r="DM86" i="6"/>
  <c r="DM35" i="5"/>
  <c r="DM16" i="6"/>
  <c r="DM18" i="6" s="1"/>
  <c r="DM22" i="6" s="1"/>
  <c r="DM29" i="6" s="1"/>
  <c r="DM32" i="6" s="1"/>
  <c r="AB41" i="5"/>
  <c r="DP16" i="5"/>
  <c r="DP15" i="5"/>
  <c r="DP12" i="5"/>
  <c r="DP48" i="6" s="1"/>
  <c r="DP47" i="6" s="1"/>
  <c r="DP8" i="9"/>
  <c r="DP13" i="5"/>
  <c r="DP24" i="6" s="1"/>
  <c r="DP7" i="5"/>
  <c r="BK25" i="4"/>
  <c r="BL20" i="4" s="1"/>
  <c r="G50" i="1"/>
  <c r="DO27" i="6"/>
  <c r="DO41" i="3"/>
  <c r="DO18" i="3" s="1"/>
  <c r="DO27" i="5" s="1"/>
  <c r="DO33" i="3"/>
  <c r="DO16" i="3" s="1"/>
  <c r="DO25" i="5" s="1"/>
  <c r="DN20" i="6"/>
  <c r="DN87" i="6"/>
  <c r="BC326" i="4"/>
  <c r="BC291" i="4"/>
  <c r="BC289" i="4"/>
  <c r="BC30" i="5" s="1"/>
  <c r="AB53" i="4"/>
  <c r="AB186" i="4"/>
  <c r="AB192" i="4"/>
  <c r="AB26" i="9" s="1"/>
  <c r="AB140" i="4"/>
  <c r="AA32" i="7" l="1"/>
  <c r="AB28" i="7" s="1"/>
  <c r="BC71" i="4"/>
  <c r="BD287" i="4"/>
  <c r="P151" i="1"/>
  <c r="AB90" i="6"/>
  <c r="BK51" i="4"/>
  <c r="DO74" i="6"/>
  <c r="DO61" i="3"/>
  <c r="DO62" i="3" s="1"/>
  <c r="DO32" i="5"/>
  <c r="DN105" i="3"/>
  <c r="DN106" i="3" s="1"/>
  <c r="DN17" i="3" s="1"/>
  <c r="DN26" i="5" s="1"/>
  <c r="AB187" i="4"/>
  <c r="AB55" i="4" s="1"/>
  <c r="AB54" i="4"/>
  <c r="O119" i="1" s="1"/>
  <c r="N24" i="1" s="1"/>
  <c r="AB24" i="6"/>
  <c r="DO17" i="6"/>
  <c r="DO88" i="6"/>
  <c r="DP12" i="3"/>
  <c r="DP6" i="9"/>
  <c r="AC126" i="4"/>
  <c r="AB62" i="6"/>
  <c r="AB142" i="4"/>
  <c r="AB37" i="5"/>
  <c r="AB57" i="4"/>
  <c r="BC96" i="6"/>
  <c r="AQ145" i="1"/>
  <c r="AP111" i="1"/>
  <c r="BC35" i="5"/>
  <c r="BC42" i="6"/>
  <c r="BL88" i="4"/>
  <c r="BK61" i="6"/>
  <c r="N132" i="1"/>
  <c r="Y23" i="1"/>
  <c r="DP55" i="6"/>
  <c r="DO86" i="3" l="1"/>
  <c r="DO87" i="3" s="1"/>
  <c r="DO91" i="3"/>
  <c r="DO92" i="3" s="1"/>
  <c r="DO81" i="3"/>
  <c r="DO82" i="3" s="1"/>
  <c r="DO101" i="3"/>
  <c r="DO102" i="3" s="1"/>
  <c r="DO96" i="3"/>
  <c r="DO97" i="3" s="1"/>
  <c r="AC129" i="4"/>
  <c r="BL90" i="4"/>
  <c r="BD326" i="4"/>
  <c r="BD289" i="4"/>
  <c r="BD30" i="5" s="1"/>
  <c r="DP27" i="6"/>
  <c r="DP33" i="3"/>
  <c r="DP16" i="3" s="1"/>
  <c r="DP25" i="5" s="1"/>
  <c r="DP41" i="3"/>
  <c r="DP18" i="3" s="1"/>
  <c r="DP27" i="5" s="1"/>
  <c r="BJ46" i="8"/>
  <c r="BJ48" i="8" s="1"/>
  <c r="AC49" i="4"/>
  <c r="O120" i="1"/>
  <c r="O24" i="1" s="1"/>
  <c r="AB356" i="4"/>
  <c r="AB358" i="4" s="1"/>
  <c r="AB40" i="5"/>
  <c r="AB259" i="4"/>
  <c r="AA261" i="4" s="1"/>
  <c r="AB122" i="4"/>
  <c r="DO87" i="6"/>
  <c r="DO20" i="6"/>
  <c r="F51" i="1"/>
  <c r="AP112" i="1"/>
  <c r="AB77" i="6"/>
  <c r="P148" i="1"/>
  <c r="P164" i="1" s="1"/>
  <c r="O116" i="1"/>
  <c r="K24" i="1" s="1"/>
  <c r="DN86" i="6"/>
  <c r="DN35" i="5"/>
  <c r="DN16" i="6"/>
  <c r="DN18" i="6" s="1"/>
  <c r="DN22" i="6" s="1"/>
  <c r="DN29" i="6" s="1"/>
  <c r="DN32" i="6" s="1"/>
  <c r="AB189" i="4"/>
  <c r="BL25" i="6" l="1"/>
  <c r="BL22" i="4"/>
  <c r="BL91" i="4"/>
  <c r="AB360" i="4"/>
  <c r="AB363" i="4" s="1"/>
  <c r="AB62" i="4"/>
  <c r="BD291" i="4"/>
  <c r="DO105" i="3"/>
  <c r="DO106" i="3" s="1"/>
  <c r="DO17" i="3" s="1"/>
  <c r="DO26" i="5" s="1"/>
  <c r="BD96" i="6"/>
  <c r="AR145" i="1"/>
  <c r="AQ111" i="1"/>
  <c r="BD35" i="5"/>
  <c r="BD42" i="6"/>
  <c r="AB63" i="6"/>
  <c r="AB59" i="6" s="1"/>
  <c r="AC181" i="4"/>
  <c r="AB194" i="4"/>
  <c r="G51" i="1"/>
  <c r="AB91" i="6"/>
  <c r="P150" i="1"/>
  <c r="DP17" i="6"/>
  <c r="DP88" i="6"/>
  <c r="N88" i="6" s="1"/>
  <c r="N27" i="5"/>
  <c r="AI58" i="8"/>
  <c r="DP74" i="6"/>
  <c r="DP32" i="5"/>
  <c r="DP61" i="3"/>
  <c r="DP62" i="3" s="1"/>
  <c r="N25" i="5"/>
  <c r="AC130" i="4"/>
  <c r="AC38" i="4"/>
  <c r="AC118" i="4"/>
  <c r="AC117" i="4"/>
  <c r="AC26" i="6"/>
  <c r="BL92" i="4"/>
  <c r="DO86" i="6" l="1"/>
  <c r="DO16" i="6"/>
  <c r="DO18" i="6" s="1"/>
  <c r="DO22" i="6" s="1"/>
  <c r="DO29" i="6" s="1"/>
  <c r="DO32" i="6" s="1"/>
  <c r="DO35" i="5"/>
  <c r="AC39" i="4"/>
  <c r="AC361" i="4"/>
  <c r="AC133" i="4"/>
  <c r="AB39" i="5"/>
  <c r="AB27" i="6"/>
  <c r="AC131" i="4"/>
  <c r="BK46" i="8"/>
  <c r="BK48" i="8" s="1"/>
  <c r="F52" i="1"/>
  <c r="AQ112" i="1"/>
  <c r="BL23" i="4"/>
  <c r="BL93" i="4"/>
  <c r="BL182" i="4"/>
  <c r="BL24" i="4"/>
  <c r="DP81" i="3"/>
  <c r="DP82" i="3" s="1"/>
  <c r="N82" i="3" s="1"/>
  <c r="DP101" i="3"/>
  <c r="DP102" i="3" s="1"/>
  <c r="DP91" i="3"/>
  <c r="DP92" i="3" s="1"/>
  <c r="N92" i="3" s="1"/>
  <c r="DP86" i="3"/>
  <c r="DP87" i="3" s="1"/>
  <c r="N87" i="3" s="1"/>
  <c r="DP96" i="3"/>
  <c r="DP97" i="3" s="1"/>
  <c r="N97" i="3" s="1"/>
  <c r="DP20" i="6"/>
  <c r="N20" i="6" s="1"/>
  <c r="DP87" i="6"/>
  <c r="N87" i="6" s="1"/>
  <c r="N32" i="5"/>
  <c r="N74" i="6"/>
  <c r="BD71" i="4"/>
  <c r="BE287" i="4"/>
  <c r="G52" i="1" l="1"/>
  <c r="DP105" i="3"/>
  <c r="N102" i="3"/>
  <c r="AC40" i="4"/>
  <c r="AC134" i="4"/>
  <c r="AC43" i="4" s="1"/>
  <c r="AC119" i="4"/>
  <c r="AC42" i="4"/>
  <c r="AC184" i="4"/>
  <c r="AI52" i="8"/>
  <c r="AB69" i="7"/>
  <c r="AB74" i="7" s="1"/>
  <c r="AB29" i="6"/>
  <c r="AB32" i="6" s="1"/>
  <c r="AI43" i="8"/>
  <c r="BM88" i="4"/>
  <c r="BL61" i="6"/>
  <c r="O115" i="1"/>
  <c r="AB92" i="6"/>
  <c r="P149" i="1"/>
  <c r="P163" i="1" s="1"/>
  <c r="AB42" i="5"/>
  <c r="AB46" i="5" s="1"/>
  <c r="BL51" i="4"/>
  <c r="BE326" i="4"/>
  <c r="BE289" i="4"/>
  <c r="BE30" i="5" s="1"/>
  <c r="BL25" i="4"/>
  <c r="BM20" i="4" s="1"/>
  <c r="AB302" i="4" l="1"/>
  <c r="AB267" i="4"/>
  <c r="AC52" i="4"/>
  <c r="AC136" i="4"/>
  <c r="DP106" i="3"/>
  <c r="N105" i="3"/>
  <c r="AC260" i="4"/>
  <c r="BE96" i="6"/>
  <c r="AS145" i="1"/>
  <c r="AR111" i="1"/>
  <c r="BE35" i="5"/>
  <c r="BE42" i="6"/>
  <c r="O117" i="1"/>
  <c r="J24" i="1"/>
  <c r="AB75" i="7"/>
  <c r="BE291" i="4"/>
  <c r="BM90" i="4"/>
  <c r="AC138" i="4"/>
  <c r="BL46" i="8" l="1"/>
  <c r="BL48" i="8" s="1"/>
  <c r="AC41" i="4"/>
  <c r="F53" i="1"/>
  <c r="AR112" i="1"/>
  <c r="BF287" i="4"/>
  <c r="BE71" i="4"/>
  <c r="AC44" i="4"/>
  <c r="AC139" i="4"/>
  <c r="AC185" i="4" s="1"/>
  <c r="AB70" i="7"/>
  <c r="AB80" i="7" s="1"/>
  <c r="AB18" i="7" s="1"/>
  <c r="AB76" i="7"/>
  <c r="L24" i="1"/>
  <c r="BM25" i="6"/>
  <c r="BM91" i="4"/>
  <c r="BM22" i="4"/>
  <c r="DP17" i="3"/>
  <c r="DP26" i="5" s="1"/>
  <c r="N106" i="3"/>
  <c r="AC53" i="4" l="1"/>
  <c r="AC192" i="4"/>
  <c r="AC26" i="9" s="1"/>
  <c r="AC186" i="4"/>
  <c r="AB26" i="7"/>
  <c r="AB25" i="7"/>
  <c r="AB29" i="7" s="1"/>
  <c r="G53" i="1"/>
  <c r="AC45" i="4"/>
  <c r="AC140" i="4"/>
  <c r="AC46" i="4"/>
  <c r="BF326" i="4"/>
  <c r="BF289" i="4"/>
  <c r="BF30" i="5" s="1"/>
  <c r="BM23" i="4"/>
  <c r="BM92" i="4"/>
  <c r="BM93" i="4" s="1"/>
  <c r="AC362" i="4"/>
  <c r="AC41" i="5"/>
  <c r="DP86" i="6"/>
  <c r="N26" i="5"/>
  <c r="DP35" i="5"/>
  <c r="DP16" i="6"/>
  <c r="AB78" i="7"/>
  <c r="AC73" i="7" s="1"/>
  <c r="BN88" i="4" l="1"/>
  <c r="BM61" i="6"/>
  <c r="BF96" i="6"/>
  <c r="AT145" i="1"/>
  <c r="AS111" i="1"/>
  <c r="BF35" i="5"/>
  <c r="BF42" i="6"/>
  <c r="N86" i="6"/>
  <c r="BF291" i="4"/>
  <c r="AB30" i="7"/>
  <c r="AB34" i="7" s="1"/>
  <c r="AB21" i="7" s="1"/>
  <c r="AB14" i="7" s="1"/>
  <c r="AI23" i="8" s="1"/>
  <c r="O128" i="1" s="1"/>
  <c r="Q151" i="1"/>
  <c r="AC90" i="6"/>
  <c r="AD36" i="4"/>
  <c r="P120" i="1"/>
  <c r="O25" i="1" s="1"/>
  <c r="AD126" i="4"/>
  <c r="AC62" i="6"/>
  <c r="AC142" i="4"/>
  <c r="AC54" i="4"/>
  <c r="AC187" i="4"/>
  <c r="AC55" i="4" s="1"/>
  <c r="AC24" i="6"/>
  <c r="BM24" i="4"/>
  <c r="BM182" i="4"/>
  <c r="DP18" i="6"/>
  <c r="N16" i="6"/>
  <c r="AC57" i="4"/>
  <c r="AD49" i="4" s="1"/>
  <c r="AC37" i="5"/>
  <c r="DP22" i="6" l="1"/>
  <c r="AJ58" i="8"/>
  <c r="AC356" i="4"/>
  <c r="AC358" i="4" s="1"/>
  <c r="AC40" i="5"/>
  <c r="AC259" i="4"/>
  <c r="AB261" i="4" s="1"/>
  <c r="BM46" i="8"/>
  <c r="BM48" i="8" s="1"/>
  <c r="AC77" i="6"/>
  <c r="Q148" i="1"/>
  <c r="Q164" i="1" s="1"/>
  <c r="P116" i="1"/>
  <c r="K25" i="1" s="1"/>
  <c r="P119" i="1"/>
  <c r="N25" i="1" s="1"/>
  <c r="F54" i="1"/>
  <c r="AS112" i="1"/>
  <c r="AC122" i="4"/>
  <c r="O132" i="1"/>
  <c r="Y24" i="1"/>
  <c r="BM25" i="4"/>
  <c r="BN20" i="4" s="1"/>
  <c r="AB32" i="7"/>
  <c r="AC28" i="7" s="1"/>
  <c r="AC189" i="4"/>
  <c r="AD129" i="4"/>
  <c r="BG287" i="4"/>
  <c r="BF71" i="4"/>
  <c r="BM51" i="4"/>
  <c r="BN90" i="4"/>
  <c r="AC62" i="4" l="1"/>
  <c r="AC360" i="4"/>
  <c r="AC363" i="4" s="1"/>
  <c r="G54" i="1"/>
  <c r="BN25" i="6"/>
  <c r="BN91" i="4"/>
  <c r="BN22" i="4"/>
  <c r="AD130" i="4"/>
  <c r="AD26" i="6"/>
  <c r="AD118" i="4"/>
  <c r="AD117" i="4"/>
  <c r="AD38" i="4"/>
  <c r="AC91" i="6"/>
  <c r="Q150" i="1"/>
  <c r="AC194" i="4"/>
  <c r="AC63" i="6"/>
  <c r="AC59" i="6" s="1"/>
  <c r="AD181" i="4"/>
  <c r="BG326" i="4"/>
  <c r="BG289" i="4"/>
  <c r="BG30" i="5" s="1"/>
  <c r="DP29" i="6"/>
  <c r="AD39" i="4" l="1"/>
  <c r="AD133" i="4"/>
  <c r="AD134" i="4" s="1"/>
  <c r="AD43" i="4" s="1"/>
  <c r="AU145" i="1"/>
  <c r="BG96" i="6"/>
  <c r="AT111" i="1"/>
  <c r="BG35" i="5"/>
  <c r="BG42" i="6"/>
  <c r="AD131" i="4"/>
  <c r="AD40" i="4" s="1"/>
  <c r="BN23" i="4"/>
  <c r="BN92" i="4"/>
  <c r="AC39" i="5"/>
  <c r="AC27" i="6"/>
  <c r="DP32" i="6"/>
  <c r="BG291" i="4"/>
  <c r="BN93" i="4"/>
  <c r="F55" i="1" l="1"/>
  <c r="AT112" i="1"/>
  <c r="AJ52" i="8"/>
  <c r="AC69" i="7"/>
  <c r="AC74" i="7" s="1"/>
  <c r="AC29" i="6"/>
  <c r="AJ43" i="8"/>
  <c r="AC92" i="6"/>
  <c r="Q149" i="1"/>
  <c r="Q163" i="1" s="1"/>
  <c r="P115" i="1"/>
  <c r="AC42" i="5"/>
  <c r="AC46" i="5" s="1"/>
  <c r="AD361" i="4"/>
  <c r="BN46" i="8"/>
  <c r="BN48" i="8" s="1"/>
  <c r="BN61" i="6"/>
  <c r="BO88" i="4"/>
  <c r="BN24" i="4"/>
  <c r="BN182" i="4"/>
  <c r="AD119" i="4"/>
  <c r="AD184" i="4"/>
  <c r="AD42" i="4"/>
  <c r="BN25" i="4"/>
  <c r="BO20" i="4" s="1"/>
  <c r="BH287" i="4"/>
  <c r="BG71" i="4"/>
  <c r="AD136" i="4" l="1"/>
  <c r="AD52" i="4"/>
  <c r="AC32" i="6"/>
  <c r="AC75" i="7"/>
  <c r="BN51" i="4"/>
  <c r="AC302" i="4"/>
  <c r="AC267" i="4"/>
  <c r="P117" i="1"/>
  <c r="J25" i="1"/>
  <c r="BO90" i="4"/>
  <c r="G55" i="1"/>
  <c r="BH326" i="4"/>
  <c r="BH289" i="4"/>
  <c r="BH30" i="5" s="1"/>
  <c r="AD260" i="4"/>
  <c r="BH96" i="6" l="1"/>
  <c r="AV145" i="1"/>
  <c r="AU111" i="1"/>
  <c r="AU112" i="1" s="1"/>
  <c r="BH35" i="5"/>
  <c r="BH42" i="6"/>
  <c r="BO25" i="6"/>
  <c r="BO91" i="4"/>
  <c r="BO22" i="4"/>
  <c r="AC70" i="7"/>
  <c r="AC80" i="7" s="1"/>
  <c r="AC18" i="7" s="1"/>
  <c r="AC76" i="7"/>
  <c r="BH291" i="4"/>
  <c r="L25" i="1"/>
  <c r="AD44" i="4"/>
  <c r="AD138" i="4"/>
  <c r="AD139" i="4" s="1"/>
  <c r="AD45" i="4" s="1"/>
  <c r="AD362" i="4" l="1"/>
  <c r="AD140" i="4"/>
  <c r="BI287" i="4"/>
  <c r="BH71" i="4"/>
  <c r="BO46" i="8"/>
  <c r="BO48" i="8" s="1"/>
  <c r="AC26" i="7"/>
  <c r="AC25" i="7"/>
  <c r="AC29" i="7" s="1"/>
  <c r="AC78" i="7"/>
  <c r="AD73" i="7" s="1"/>
  <c r="AD41" i="4"/>
  <c r="AD46" i="4" s="1"/>
  <c r="AD185" i="4"/>
  <c r="BO23" i="4"/>
  <c r="BO92" i="4"/>
  <c r="BO93" i="4" s="1"/>
  <c r="BO61" i="6" l="1"/>
  <c r="BP88" i="4"/>
  <c r="AE36" i="4"/>
  <c r="AC30" i="7"/>
  <c r="AC34" i="7" s="1"/>
  <c r="AC21" i="7" s="1"/>
  <c r="AC14" i="7" s="1"/>
  <c r="AJ23" i="8" s="1"/>
  <c r="P128" i="1" s="1"/>
  <c r="BI326" i="4"/>
  <c r="BI289" i="4"/>
  <c r="BI30" i="5" s="1"/>
  <c r="AD53" i="4"/>
  <c r="AD192" i="4"/>
  <c r="AD26" i="9" s="1"/>
  <c r="AD186" i="4"/>
  <c r="AE126" i="4"/>
  <c r="AD62" i="6"/>
  <c r="AD142" i="4"/>
  <c r="BO24" i="4"/>
  <c r="BO25" i="4" s="1"/>
  <c r="BP20" i="4" s="1"/>
  <c r="BO182" i="4"/>
  <c r="AD41" i="5"/>
  <c r="P132" i="1" l="1"/>
  <c r="Y25" i="1"/>
  <c r="AD54" i="4"/>
  <c r="AD187" i="4"/>
  <c r="AD55" i="4" s="1"/>
  <c r="AD24" i="6"/>
  <c r="AC32" i="7"/>
  <c r="AD28" i="7" s="1"/>
  <c r="AD189" i="4"/>
  <c r="AE129" i="4"/>
  <c r="AD37" i="5"/>
  <c r="AD57" i="4"/>
  <c r="AD122" i="4"/>
  <c r="BI96" i="6"/>
  <c r="AW145" i="1"/>
  <c r="AV111" i="1"/>
  <c r="BI35" i="5"/>
  <c r="BI42" i="6"/>
  <c r="BP90" i="4"/>
  <c r="BO51" i="4"/>
  <c r="R151" i="1"/>
  <c r="AD90" i="6"/>
  <c r="BI291" i="4"/>
  <c r="Q116" i="1" l="1"/>
  <c r="K26" i="1" s="1"/>
  <c r="AD77" i="6"/>
  <c r="R148" i="1"/>
  <c r="R164" i="1" s="1"/>
  <c r="BP46" i="8"/>
  <c r="BP48" i="8" s="1"/>
  <c r="BJ287" i="4"/>
  <c r="BI71" i="4"/>
  <c r="F57" i="1"/>
  <c r="AV112" i="1"/>
  <c r="AD356" i="4"/>
  <c r="AD358" i="4" s="1"/>
  <c r="AD40" i="5"/>
  <c r="AD259" i="4"/>
  <c r="AC261" i="4" s="1"/>
  <c r="AD63" i="6"/>
  <c r="AD59" i="6" s="1"/>
  <c r="AE181" i="4"/>
  <c r="AD194" i="4"/>
  <c r="BP91" i="4"/>
  <c r="BP25" i="6"/>
  <c r="BP22" i="4"/>
  <c r="Q119" i="1"/>
  <c r="N26" i="1" s="1"/>
  <c r="AE49" i="4"/>
  <c r="Q120" i="1"/>
  <c r="O26" i="1" s="1"/>
  <c r="AE26" i="6"/>
  <c r="AE130" i="4"/>
  <c r="AE38" i="4"/>
  <c r="AE117" i="4"/>
  <c r="AE118" i="4"/>
  <c r="AD360" i="4"/>
  <c r="AD363" i="4" s="1"/>
  <c r="AD62" i="4"/>
  <c r="AK58" i="8" l="1"/>
  <c r="R150" i="1"/>
  <c r="AD91" i="6"/>
  <c r="BP23" i="4"/>
  <c r="BP92" i="4"/>
  <c r="G57" i="1"/>
  <c r="AE39" i="4"/>
  <c r="AE133" i="4"/>
  <c r="AD39" i="5"/>
  <c r="AD27" i="6"/>
  <c r="AE131" i="4"/>
  <c r="AE119" i="4" s="1"/>
  <c r="BJ326" i="4"/>
  <c r="BJ289" i="4"/>
  <c r="BJ30" i="5" s="1"/>
  <c r="AE134" i="4" l="1"/>
  <c r="AE43" i="4" s="1"/>
  <c r="AK52" i="8"/>
  <c r="AD69" i="7"/>
  <c r="AD74" i="7" s="1"/>
  <c r="AD29" i="6"/>
  <c r="AK43" i="8"/>
  <c r="AD92" i="6"/>
  <c r="R149" i="1"/>
  <c r="R163" i="1" s="1"/>
  <c r="Q115" i="1"/>
  <c r="AD42" i="5"/>
  <c r="AD46" i="5" s="1"/>
  <c r="BP182" i="4"/>
  <c r="BP24" i="4"/>
  <c r="AX145" i="1"/>
  <c r="BJ96" i="6"/>
  <c r="AW111" i="1"/>
  <c r="BJ35" i="5"/>
  <c r="BJ42" i="6"/>
  <c r="BJ291" i="4"/>
  <c r="AE361" i="4"/>
  <c r="BP93" i="4"/>
  <c r="AE184" i="4"/>
  <c r="AE42" i="4"/>
  <c r="AE40" i="4"/>
  <c r="BJ71" i="4" l="1"/>
  <c r="BK287" i="4"/>
  <c r="AD75" i="7"/>
  <c r="AD32" i="6"/>
  <c r="AE260" i="4"/>
  <c r="F26" i="1"/>
  <c r="F27" i="1"/>
  <c r="F28" i="1"/>
  <c r="F56" i="1"/>
  <c r="F58" i="1"/>
  <c r="F59" i="1" s="1"/>
  <c r="AW112" i="1"/>
  <c r="Q117" i="1"/>
  <c r="J26" i="1"/>
  <c r="BQ46" i="8"/>
  <c r="BQ48" i="8" s="1"/>
  <c r="Y50" i="8" s="1"/>
  <c r="AE52" i="4"/>
  <c r="AE136" i="4"/>
  <c r="BP51" i="4"/>
  <c r="AD267" i="4"/>
  <c r="AD302" i="4"/>
  <c r="BQ88" i="4"/>
  <c r="BP61" i="6"/>
  <c r="BP25" i="4"/>
  <c r="BQ20" i="4" s="1"/>
  <c r="AE44" i="4" l="1"/>
  <c r="AE138" i="4"/>
  <c r="BQ90" i="4"/>
  <c r="L26" i="1"/>
  <c r="AD70" i="7"/>
  <c r="AD80" i="7" s="1"/>
  <c r="AD18" i="7" s="1"/>
  <c r="AD76" i="7"/>
  <c r="BK326" i="4"/>
  <c r="BK289" i="4"/>
  <c r="BK290" i="4"/>
  <c r="BK31" i="5" s="1"/>
  <c r="BK17" i="6" s="1"/>
  <c r="G27" i="1"/>
  <c r="G28" i="1"/>
  <c r="G56" i="1"/>
  <c r="G58" i="1"/>
  <c r="AD26" i="7" l="1"/>
  <c r="AD25" i="7"/>
  <c r="AD29" i="7" s="1"/>
  <c r="BQ91" i="4"/>
  <c r="BQ22" i="4"/>
  <c r="BQ25" i="6"/>
  <c r="BK30" i="5"/>
  <c r="AE41" i="4"/>
  <c r="BK345" i="4"/>
  <c r="BK348" i="4" s="1"/>
  <c r="BK18" i="6"/>
  <c r="AE362" i="4"/>
  <c r="G59" i="1"/>
  <c r="BK291" i="4"/>
  <c r="AE139" i="4"/>
  <c r="AE185" i="4" s="1"/>
  <c r="AD78" i="7"/>
  <c r="AE73" i="7" s="1"/>
  <c r="AE53" i="4" l="1"/>
  <c r="AE192" i="4"/>
  <c r="AE26" i="9" s="1"/>
  <c r="AE186" i="4"/>
  <c r="BL287" i="4"/>
  <c r="BK71" i="4"/>
  <c r="BK96" i="6"/>
  <c r="BK35" i="5"/>
  <c r="BK42" i="6"/>
  <c r="BK22" i="6"/>
  <c r="BQ23" i="4"/>
  <c r="BQ92" i="4"/>
  <c r="AD30" i="7"/>
  <c r="AD34" i="7" s="1"/>
  <c r="AD21" i="7" s="1"/>
  <c r="AD14" i="7" s="1"/>
  <c r="AK23" i="8" s="1"/>
  <c r="Q128" i="1" s="1"/>
  <c r="AE45" i="4"/>
  <c r="AE41" i="5" s="1"/>
  <c r="AE140" i="4"/>
  <c r="AE46" i="4"/>
  <c r="AF36" i="4" l="1"/>
  <c r="BQ24" i="4"/>
  <c r="BQ182" i="4"/>
  <c r="AE62" i="6"/>
  <c r="AF126" i="4"/>
  <c r="AE142" i="4"/>
  <c r="BQ93" i="4"/>
  <c r="AE90" i="6"/>
  <c r="S151" i="1"/>
  <c r="BL291" i="4"/>
  <c r="BL326" i="4"/>
  <c r="BL289" i="4"/>
  <c r="BL290" i="4"/>
  <c r="BL31" i="5" s="1"/>
  <c r="BL17" i="6" s="1"/>
  <c r="Q132" i="1"/>
  <c r="Y26" i="1"/>
  <c r="AE54" i="4"/>
  <c r="R119" i="1" s="1"/>
  <c r="N27" i="1" s="1"/>
  <c r="AE187" i="4"/>
  <c r="AE55" i="4" s="1"/>
  <c r="AE24" i="6"/>
  <c r="AD32" i="7"/>
  <c r="AE28" i="7" s="1"/>
  <c r="AE37" i="5"/>
  <c r="AE57" i="4"/>
  <c r="AF49" i="4" s="1"/>
  <c r="AE356" i="4" l="1"/>
  <c r="AE358" i="4" s="1"/>
  <c r="AE40" i="5"/>
  <c r="AE259" i="4"/>
  <c r="AD261" i="4" s="1"/>
  <c r="R116" i="1"/>
  <c r="K27" i="1" s="1"/>
  <c r="S148" i="1"/>
  <c r="S164" i="1" s="1"/>
  <c r="AE77" i="6"/>
  <c r="AF129" i="4"/>
  <c r="AE189" i="4"/>
  <c r="BQ51" i="4"/>
  <c r="BL345" i="4"/>
  <c r="BL348" i="4" s="1"/>
  <c r="BL18" i="6"/>
  <c r="BQ25" i="4"/>
  <c r="BR20" i="4" s="1"/>
  <c r="BL30" i="5"/>
  <c r="BQ61" i="6"/>
  <c r="BR88" i="4"/>
  <c r="R120" i="1"/>
  <c r="O27" i="1" s="1"/>
  <c r="BL71" i="4"/>
  <c r="BM287" i="4"/>
  <c r="AE122" i="4"/>
  <c r="AL58" i="8"/>
  <c r="BR90" i="4" l="1"/>
  <c r="BL22" i="6"/>
  <c r="AF26" i="6"/>
  <c r="AF130" i="4"/>
  <c r="AF118" i="4"/>
  <c r="AF38" i="4"/>
  <c r="AF117" i="4"/>
  <c r="AE91" i="6"/>
  <c r="S150" i="1"/>
  <c r="AE62" i="4"/>
  <c r="AE360" i="4"/>
  <c r="AE363" i="4" s="1"/>
  <c r="BL96" i="6"/>
  <c r="BL35" i="5"/>
  <c r="BL42" i="6"/>
  <c r="AE63" i="6"/>
  <c r="AE59" i="6" s="1"/>
  <c r="AF181" i="4"/>
  <c r="AE194" i="4"/>
  <c r="BM326" i="4"/>
  <c r="BM289" i="4"/>
  <c r="AF361" i="4" l="1"/>
  <c r="AF119" i="4"/>
  <c r="AF39" i="4"/>
  <c r="AF131" i="4"/>
  <c r="AF133" i="4"/>
  <c r="AF134" i="4" s="1"/>
  <c r="BM290" i="4"/>
  <c r="BM31" i="5" s="1"/>
  <c r="BM17" i="6" s="1"/>
  <c r="AE39" i="5"/>
  <c r="AE27" i="6"/>
  <c r="BR91" i="4"/>
  <c r="BR22" i="4"/>
  <c r="BR25" i="6"/>
  <c r="AF43" i="4" l="1"/>
  <c r="S149" i="1"/>
  <c r="S163" i="1" s="1"/>
  <c r="AE92" i="6"/>
  <c r="R115" i="1"/>
  <c r="AE42" i="5"/>
  <c r="AE46" i="5" s="1"/>
  <c r="AL52" i="8"/>
  <c r="AE69" i="7"/>
  <c r="AE74" i="7" s="1"/>
  <c r="AE29" i="6"/>
  <c r="AL43" i="8"/>
  <c r="AF42" i="4"/>
  <c r="AF184" i="4"/>
  <c r="BM345" i="4"/>
  <c r="BM348" i="4" s="1"/>
  <c r="BM18" i="6"/>
  <c r="BR23" i="4"/>
  <c r="BR92" i="4"/>
  <c r="BM30" i="5"/>
  <c r="AF40" i="4"/>
  <c r="BM291" i="4"/>
  <c r="BM96" i="6" l="1"/>
  <c r="BM35" i="5"/>
  <c r="BM42" i="6"/>
  <c r="AF136" i="4"/>
  <c r="AF52" i="4"/>
  <c r="BR24" i="4"/>
  <c r="BR182" i="4"/>
  <c r="AE302" i="4"/>
  <c r="AE267" i="4"/>
  <c r="AF260" i="4"/>
  <c r="R117" i="1"/>
  <c r="J27" i="1"/>
  <c r="BR93" i="4"/>
  <c r="BM71" i="4"/>
  <c r="BN287" i="4"/>
  <c r="BR25" i="4"/>
  <c r="BS20" i="4" s="1"/>
  <c r="AE32" i="6"/>
  <c r="AE75" i="7"/>
  <c r="BM22" i="6"/>
  <c r="BR61" i="6" l="1"/>
  <c r="BS88" i="4"/>
  <c r="AE70" i="7"/>
  <c r="AE80" i="7" s="1"/>
  <c r="AE18" i="7" s="1"/>
  <c r="AE76" i="7"/>
  <c r="AE78" i="7" s="1"/>
  <c r="AF73" i="7" s="1"/>
  <c r="AF44" i="4"/>
  <c r="AF138" i="4"/>
  <c r="AF139" i="4" s="1"/>
  <c r="L27" i="1"/>
  <c r="BN326" i="4"/>
  <c r="BN289" i="4"/>
  <c r="BN290" i="4" s="1"/>
  <c r="BN31" i="5" s="1"/>
  <c r="BN17" i="6" s="1"/>
  <c r="BR51" i="4"/>
  <c r="AF45" i="4" l="1"/>
  <c r="AF362" i="4"/>
  <c r="BN345" i="4"/>
  <c r="BN348" i="4" s="1"/>
  <c r="BN18" i="6"/>
  <c r="AE26" i="7"/>
  <c r="AE25" i="7"/>
  <c r="AE29" i="7" s="1"/>
  <c r="BS90" i="4"/>
  <c r="AF185" i="4"/>
  <c r="AF41" i="4"/>
  <c r="AF46" i="4" s="1"/>
  <c r="AF140" i="4"/>
  <c r="BN30" i="5"/>
  <c r="BN291" i="4"/>
  <c r="AF53" i="4" l="1"/>
  <c r="AF186" i="4"/>
  <c r="AF192" i="4"/>
  <c r="AF26" i="9" s="1"/>
  <c r="BN22" i="6"/>
  <c r="AF41" i="5"/>
  <c r="BN71" i="4"/>
  <c r="BO287" i="4"/>
  <c r="AE30" i="7"/>
  <c r="AE34" i="7" s="1"/>
  <c r="AE21" i="7" s="1"/>
  <c r="AE14" i="7" s="1"/>
  <c r="AL23" i="8" s="1"/>
  <c r="R128" i="1" s="1"/>
  <c r="R132" i="1" s="1"/>
  <c r="BN96" i="6"/>
  <c r="BN35" i="5"/>
  <c r="BN42" i="6"/>
  <c r="AG36" i="4"/>
  <c r="BS25" i="6"/>
  <c r="BS91" i="4"/>
  <c r="BS22" i="4"/>
  <c r="AF62" i="6"/>
  <c r="AG126" i="4"/>
  <c r="AF142" i="4"/>
  <c r="AG129" i="4" l="1"/>
  <c r="AE32" i="7"/>
  <c r="AF28" i="7" s="1"/>
  <c r="BO326" i="4"/>
  <c r="BO289" i="4"/>
  <c r="BO290" i="4" s="1"/>
  <c r="BO31" i="5" s="1"/>
  <c r="BO17" i="6" s="1"/>
  <c r="AF187" i="4"/>
  <c r="AF54" i="4"/>
  <c r="AF24" i="6"/>
  <c r="AF37" i="5"/>
  <c r="BS23" i="4"/>
  <c r="BS92" i="4"/>
  <c r="BS93" i="4" s="1"/>
  <c r="AF122" i="4"/>
  <c r="AF90" i="6"/>
  <c r="T151" i="1"/>
  <c r="BO345" i="4" l="1"/>
  <c r="BO348" i="4" s="1"/>
  <c r="BO18" i="6"/>
  <c r="BO22" i="6" s="1"/>
  <c r="BS61" i="6"/>
  <c r="BT88" i="4"/>
  <c r="BO30" i="5"/>
  <c r="BS182" i="4"/>
  <c r="BS24" i="4"/>
  <c r="T148" i="1"/>
  <c r="T164" i="1" s="1"/>
  <c r="AF77" i="6"/>
  <c r="S116" i="1"/>
  <c r="BO291" i="4"/>
  <c r="BS25" i="4"/>
  <c r="BT20" i="4" s="1"/>
  <c r="AG38" i="4"/>
  <c r="AG118" i="4"/>
  <c r="AG130" i="4"/>
  <c r="AG26" i="6"/>
  <c r="AG117" i="4"/>
  <c r="AF55" i="4"/>
  <c r="AF189" i="4"/>
  <c r="AF360" i="4"/>
  <c r="AF363" i="4" s="1"/>
  <c r="AF62" i="4"/>
  <c r="AF194" i="4" l="1"/>
  <c r="AF63" i="6"/>
  <c r="AF59" i="6" s="1"/>
  <c r="AG181" i="4"/>
  <c r="AF356" i="4"/>
  <c r="AF358" i="4" s="1"/>
  <c r="AF40" i="5"/>
  <c r="AF259" i="4"/>
  <c r="AE261" i="4" s="1"/>
  <c r="AF57" i="4"/>
  <c r="BT90" i="4"/>
  <c r="AG39" i="4"/>
  <c r="BS51" i="4"/>
  <c r="S119" i="1"/>
  <c r="AG131" i="4"/>
  <c r="AG40" i="4" s="1"/>
  <c r="AF39" i="5"/>
  <c r="AF27" i="6"/>
  <c r="BO71" i="4"/>
  <c r="BP287" i="4"/>
  <c r="BO96" i="6"/>
  <c r="BO35" i="5"/>
  <c r="BO42" i="6"/>
  <c r="AG361" i="4" l="1"/>
  <c r="T150" i="1"/>
  <c r="AF91" i="6"/>
  <c r="AM52" i="8"/>
  <c r="AF69" i="7"/>
  <c r="AF74" i="7" s="1"/>
  <c r="AF29" i="6"/>
  <c r="AM43" i="8"/>
  <c r="S115" i="1"/>
  <c r="S117" i="1" s="1"/>
  <c r="T149" i="1"/>
  <c r="AF92" i="6"/>
  <c r="AF42" i="5"/>
  <c r="AF46" i="5" s="1"/>
  <c r="AG49" i="4"/>
  <c r="S120" i="1"/>
  <c r="BT22" i="4"/>
  <c r="BT91" i="4"/>
  <c r="BT25" i="6"/>
  <c r="AG119" i="4"/>
  <c r="BP326" i="4"/>
  <c r="BP289" i="4"/>
  <c r="BP290" i="4" s="1"/>
  <c r="BP31" i="5" s="1"/>
  <c r="BP17" i="6" s="1"/>
  <c r="AG133" i="4"/>
  <c r="BP345" i="4" l="1"/>
  <c r="BP348" i="4" s="1"/>
  <c r="BP18" i="6"/>
  <c r="BP22" i="6" s="1"/>
  <c r="AF75" i="7"/>
  <c r="AF267" i="4"/>
  <c r="AF302" i="4"/>
  <c r="BT23" i="4"/>
  <c r="BT92" i="4"/>
  <c r="BP30" i="5"/>
  <c r="T163" i="1"/>
  <c r="AG184" i="4"/>
  <c r="AG42" i="4"/>
  <c r="AG134" i="4"/>
  <c r="AG43" i="4" s="1"/>
  <c r="BP291" i="4"/>
  <c r="AM58" i="8"/>
  <c r="BT93" i="4"/>
  <c r="AF32" i="6"/>
  <c r="AG52" i="4" l="1"/>
  <c r="AG136" i="4"/>
  <c r="BU88" i="4"/>
  <c r="BT61" i="6"/>
  <c r="BT25" i="4"/>
  <c r="BU20" i="4" s="1"/>
  <c r="AF70" i="7"/>
  <c r="AF80" i="7" s="1"/>
  <c r="AF18" i="7" s="1"/>
  <c r="AF76" i="7"/>
  <c r="AF78" i="7" s="1"/>
  <c r="AG73" i="7" s="1"/>
  <c r="AG260" i="4"/>
  <c r="BP71" i="4"/>
  <c r="BQ287" i="4"/>
  <c r="BP96" i="6"/>
  <c r="BP35" i="5"/>
  <c r="BP42" i="6"/>
  <c r="BT24" i="4"/>
  <c r="BT182" i="4"/>
  <c r="AF26" i="7" l="1"/>
  <c r="AF25" i="7"/>
  <c r="AF29" i="7" s="1"/>
  <c r="BQ326" i="4"/>
  <c r="BQ289" i="4"/>
  <c r="BQ290" i="4" s="1"/>
  <c r="BQ31" i="5" s="1"/>
  <c r="BQ17" i="6" s="1"/>
  <c r="BU90" i="4"/>
  <c r="AG44" i="4"/>
  <c r="AG138" i="4"/>
  <c r="BT51" i="4"/>
  <c r="BQ345" i="4" l="1"/>
  <c r="BQ348" i="4" s="1"/>
  <c r="BQ18" i="6"/>
  <c r="BQ22" i="6" s="1"/>
  <c r="AG41" i="4"/>
  <c r="AG139" i="4"/>
  <c r="AG362" i="4" s="1"/>
  <c r="AF30" i="7"/>
  <c r="AF34" i="7" s="1"/>
  <c r="AF21" i="7" s="1"/>
  <c r="AF14" i="7" s="1"/>
  <c r="AM23" i="8" s="1"/>
  <c r="S128" i="1" s="1"/>
  <c r="S132" i="1" s="1"/>
  <c r="BQ30" i="5"/>
  <c r="BU25" i="6"/>
  <c r="N25" i="6" s="1"/>
  <c r="BU91" i="4"/>
  <c r="BU22" i="4"/>
  <c r="N90" i="4"/>
  <c r="BQ291" i="4"/>
  <c r="AG45" i="4" l="1"/>
  <c r="AG41" i="5" s="1"/>
  <c r="AG140" i="4"/>
  <c r="N22" i="4"/>
  <c r="AG185" i="4"/>
  <c r="BU23" i="4"/>
  <c r="N91" i="4"/>
  <c r="N96" i="4" s="1"/>
  <c r="BU92" i="4"/>
  <c r="BQ96" i="6"/>
  <c r="BQ35" i="5"/>
  <c r="BQ42" i="6"/>
  <c r="BQ71" i="4"/>
  <c r="BR287" i="4"/>
  <c r="AF32" i="7"/>
  <c r="AG28" i="7" s="1"/>
  <c r="BU93" i="4"/>
  <c r="BU61" i="6" s="1"/>
  <c r="N23" i="4" l="1"/>
  <c r="AH126" i="4"/>
  <c r="AG62" i="6"/>
  <c r="AG142" i="4"/>
  <c r="BR326" i="4"/>
  <c r="BR289" i="4"/>
  <c r="BR291" i="4" s="1"/>
  <c r="BR290" i="4"/>
  <c r="BR31" i="5" s="1"/>
  <c r="BR17" i="6" s="1"/>
  <c r="AG53" i="4"/>
  <c r="AG186" i="4"/>
  <c r="AG192" i="4"/>
  <c r="AG26" i="9" s="1"/>
  <c r="U151" i="1"/>
  <c r="AG90" i="6"/>
  <c r="BU25" i="4"/>
  <c r="BU24" i="4"/>
  <c r="BU182" i="4"/>
  <c r="N92" i="4"/>
  <c r="AG46" i="4"/>
  <c r="BS287" i="4" l="1"/>
  <c r="BR71" i="4"/>
  <c r="AH36" i="4"/>
  <c r="AG37" i="5"/>
  <c r="BR345" i="4"/>
  <c r="BR348" i="4" s="1"/>
  <c r="BR18" i="6"/>
  <c r="BR22" i="6" s="1"/>
  <c r="AG122" i="4"/>
  <c r="BU51" i="4"/>
  <c r="N182" i="4"/>
  <c r="N24" i="4"/>
  <c r="N26" i="4" s="1"/>
  <c r="AH129" i="4"/>
  <c r="BR30" i="5"/>
  <c r="AG54" i="4"/>
  <c r="AG187" i="4"/>
  <c r="AG24" i="6"/>
  <c r="AH117" i="4" l="1"/>
  <c r="AH26" i="6"/>
  <c r="AH131" i="4"/>
  <c r="AH40" i="4" s="1"/>
  <c r="AH38" i="4"/>
  <c r="AH130" i="4"/>
  <c r="AH118" i="4"/>
  <c r="AG55" i="4"/>
  <c r="AG189" i="4"/>
  <c r="AG360" i="4"/>
  <c r="AG363" i="4" s="1"/>
  <c r="AG62" i="4"/>
  <c r="T116" i="1"/>
  <c r="AG77" i="6"/>
  <c r="U148" i="1"/>
  <c r="U164" i="1" s="1"/>
  <c r="N51" i="4"/>
  <c r="BR96" i="6"/>
  <c r="BR35" i="5"/>
  <c r="BR42" i="6"/>
  <c r="T119" i="1"/>
  <c r="BS326" i="4"/>
  <c r="BS289" i="4"/>
  <c r="BS290" i="4"/>
  <c r="BS31" i="5" s="1"/>
  <c r="BS17" i="6" s="1"/>
  <c r="AG39" i="5" l="1"/>
  <c r="AG27" i="6"/>
  <c r="AH133" i="4"/>
  <c r="AH181" i="4"/>
  <c r="AG194" i="4"/>
  <c r="AG63" i="6"/>
  <c r="AG59" i="6" s="1"/>
  <c r="BS30" i="5"/>
  <c r="BS42" i="6"/>
  <c r="AH39" i="4"/>
  <c r="AH119" i="4"/>
  <c r="AH361" i="4"/>
  <c r="BS345" i="4"/>
  <c r="BS348" i="4" s="1"/>
  <c r="BS18" i="6"/>
  <c r="BS22" i="6" s="1"/>
  <c r="AG356" i="4"/>
  <c r="AG358" i="4" s="1"/>
  <c r="AG259" i="4"/>
  <c r="AF261" i="4" s="1"/>
  <c r="AG40" i="5"/>
  <c r="AG57" i="4"/>
  <c r="BS291" i="4"/>
  <c r="U150" i="1" l="1"/>
  <c r="AG91" i="6"/>
  <c r="BS96" i="6"/>
  <c r="BS35" i="5"/>
  <c r="AN52" i="8"/>
  <c r="AG29" i="6"/>
  <c r="AG32" i="6" s="1"/>
  <c r="AN43" i="8"/>
  <c r="AG69" i="7"/>
  <c r="AG74" i="7" s="1"/>
  <c r="AH42" i="4"/>
  <c r="AG92" i="6"/>
  <c r="U149" i="1"/>
  <c r="T115" i="1"/>
  <c r="T117" i="1" s="1"/>
  <c r="AG42" i="5"/>
  <c r="AG46" i="5" s="1"/>
  <c r="BS71" i="4"/>
  <c r="BT287" i="4"/>
  <c r="AH134" i="4"/>
  <c r="AH43" i="4" s="1"/>
  <c r="AH49" i="4"/>
  <c r="T120" i="1"/>
  <c r="O29" i="1" s="1"/>
  <c r="AN58" i="8" l="1"/>
  <c r="AH184" i="4"/>
  <c r="BT326" i="4"/>
  <c r="BT289" i="4"/>
  <c r="AH260" i="4"/>
  <c r="AG267" i="4"/>
  <c r="AG302" i="4"/>
  <c r="AG75" i="7"/>
  <c r="U163" i="1"/>
  <c r="AH136" i="4" l="1"/>
  <c r="AH52" i="4"/>
  <c r="AG70" i="7"/>
  <c r="AG80" i="7" s="1"/>
  <c r="AG18" i="7" s="1"/>
  <c r="AG76" i="7"/>
  <c r="AG78" i="7" s="1"/>
  <c r="AH73" i="7" s="1"/>
  <c r="BT290" i="4"/>
  <c r="BT31" i="5" s="1"/>
  <c r="BT17" i="6" s="1"/>
  <c r="BT291" i="4" l="1"/>
  <c r="BT345" i="4"/>
  <c r="BT348" i="4" s="1"/>
  <c r="BT18" i="6"/>
  <c r="BT22" i="6" s="1"/>
  <c r="BT30" i="5"/>
  <c r="AG26" i="7"/>
  <c r="AG25" i="7"/>
  <c r="AG29" i="7" s="1"/>
  <c r="AH44" i="4"/>
  <c r="AH138" i="4"/>
  <c r="BT96" i="6" l="1"/>
  <c r="BT35" i="5"/>
  <c r="BT42" i="6"/>
  <c r="BT71" i="4"/>
  <c r="BU287" i="4"/>
  <c r="AH41" i="4"/>
  <c r="AH139" i="4"/>
  <c r="AG30" i="7"/>
  <c r="AG34" i="7" s="1"/>
  <c r="AG21" i="7" s="1"/>
  <c r="AG14" i="7" s="1"/>
  <c r="AN23" i="8" s="1"/>
  <c r="T128" i="1" s="1"/>
  <c r="T132" i="1" s="1"/>
  <c r="BU326" i="4" l="1"/>
  <c r="BU289" i="4"/>
  <c r="AG32" i="7"/>
  <c r="AH28" i="7" s="1"/>
  <c r="AH45" i="4"/>
  <c r="AH41" i="5" s="1"/>
  <c r="AH140" i="4"/>
  <c r="AH185" i="4"/>
  <c r="AH362" i="4"/>
  <c r="AH90" i="6" l="1"/>
  <c r="V151" i="1"/>
  <c r="N289" i="4"/>
  <c r="N292" i="4" s="1"/>
  <c r="L202" i="2" s="1"/>
  <c r="AH46" i="4"/>
  <c r="BU290" i="4"/>
  <c r="BU30" i="5" s="1"/>
  <c r="AH62" i="6"/>
  <c r="AI126" i="4"/>
  <c r="AH142" i="4"/>
  <c r="AH53" i="4"/>
  <c r="AH192" i="4"/>
  <c r="AH26" i="9" s="1"/>
  <c r="AH186" i="4"/>
  <c r="N30" i="5" l="1"/>
  <c r="BU42" i="6"/>
  <c r="BV42" i="6" s="1"/>
  <c r="BW42" i="6" s="1"/>
  <c r="BX42" i="6" s="1"/>
  <c r="BY42" i="6" s="1"/>
  <c r="BZ42" i="6" s="1"/>
  <c r="CA42" i="6" s="1"/>
  <c r="CB42" i="6" s="1"/>
  <c r="CC42" i="6" s="1"/>
  <c r="CD42" i="6" s="1"/>
  <c r="CE42" i="6" s="1"/>
  <c r="CF42" i="6" s="1"/>
  <c r="CG42" i="6" s="1"/>
  <c r="CH42" i="6" s="1"/>
  <c r="CI42" i="6" s="1"/>
  <c r="CJ42" i="6" s="1"/>
  <c r="CK42" i="6" s="1"/>
  <c r="CL42" i="6" s="1"/>
  <c r="CM42" i="6" s="1"/>
  <c r="CN42" i="6" s="1"/>
  <c r="CO42" i="6" s="1"/>
  <c r="CP42" i="6" s="1"/>
  <c r="CQ42" i="6" s="1"/>
  <c r="CR42" i="6" s="1"/>
  <c r="CS42" i="6" s="1"/>
  <c r="CT42" i="6" s="1"/>
  <c r="CU42" i="6" s="1"/>
  <c r="CV42" i="6" s="1"/>
  <c r="CW42" i="6" s="1"/>
  <c r="CX42" i="6" s="1"/>
  <c r="CY42" i="6" s="1"/>
  <c r="CZ42" i="6" s="1"/>
  <c r="DA42" i="6" s="1"/>
  <c r="DB42" i="6" s="1"/>
  <c r="DC42" i="6" s="1"/>
  <c r="DD42" i="6" s="1"/>
  <c r="DE42" i="6" s="1"/>
  <c r="DF42" i="6" s="1"/>
  <c r="DG42" i="6" s="1"/>
  <c r="DH42" i="6" s="1"/>
  <c r="DI42" i="6" s="1"/>
  <c r="DJ42" i="6" s="1"/>
  <c r="DK42" i="6" s="1"/>
  <c r="DL42" i="6" s="1"/>
  <c r="DM42" i="6" s="1"/>
  <c r="DN42" i="6" s="1"/>
  <c r="DO42" i="6" s="1"/>
  <c r="DP42" i="6" s="1"/>
  <c r="AH122" i="4"/>
  <c r="AH187" i="4"/>
  <c r="AH55" i="4" s="1"/>
  <c r="AH54" i="4"/>
  <c r="AH24" i="6"/>
  <c r="AI36" i="4"/>
  <c r="AH37" i="5"/>
  <c r="AI129" i="4"/>
  <c r="BU31" i="5"/>
  <c r="N290" i="4"/>
  <c r="BU291" i="4"/>
  <c r="BU71" i="4" s="1"/>
  <c r="AH62" i="4" l="1"/>
  <c r="AH360" i="4"/>
  <c r="AH363" i="4" s="1"/>
  <c r="AH189" i="4"/>
  <c r="V148" i="1"/>
  <c r="V164" i="1" s="1"/>
  <c r="AH77" i="6"/>
  <c r="U116" i="1"/>
  <c r="K30" i="1" s="1"/>
  <c r="AH356" i="4"/>
  <c r="AH358" i="4" s="1"/>
  <c r="AH259" i="4"/>
  <c r="AG261" i="4" s="1"/>
  <c r="AH40" i="5"/>
  <c r="AH57" i="4"/>
  <c r="N31" i="5"/>
  <c r="BU17" i="6"/>
  <c r="BU35" i="5"/>
  <c r="AI38" i="4"/>
  <c r="AI26" i="6"/>
  <c r="AI131" i="4"/>
  <c r="AI40" i="4" s="1"/>
  <c r="AI117" i="4"/>
  <c r="AI118" i="4"/>
  <c r="AI130" i="4"/>
  <c r="U119" i="1"/>
  <c r="N30" i="1" s="1"/>
  <c r="BU96" i="6"/>
  <c r="N96" i="6" s="1"/>
  <c r="BU345" i="4" l="1"/>
  <c r="BU18" i="6"/>
  <c r="N17" i="6"/>
  <c r="AH63" i="6"/>
  <c r="AH59" i="6" s="1"/>
  <c r="AI181" i="4"/>
  <c r="AH194" i="4"/>
  <c r="AH91" i="6"/>
  <c r="V150" i="1"/>
  <c r="N35" i="5"/>
  <c r="AI49" i="4"/>
  <c r="U120" i="1"/>
  <c r="O30" i="1" s="1"/>
  <c r="AI39" i="4"/>
  <c r="AI361" i="4"/>
  <c r="AI119" i="4"/>
  <c r="AI133" i="4"/>
  <c r="AI134" i="4" s="1"/>
  <c r="AI43" i="4" s="1"/>
  <c r="AH39" i="5"/>
  <c r="AH27" i="6"/>
  <c r="AO58" i="8" l="1"/>
  <c r="AO52" i="8"/>
  <c r="AH69" i="7"/>
  <c r="AH74" i="7" s="1"/>
  <c r="AH29" i="6"/>
  <c r="AH32" i="6" s="1"/>
  <c r="AO43" i="8"/>
  <c r="BU22" i="6"/>
  <c r="N18" i="6"/>
  <c r="AH92" i="6"/>
  <c r="V149" i="1"/>
  <c r="V163" i="1" s="1"/>
  <c r="U115" i="1"/>
  <c r="AH42" i="5"/>
  <c r="AH46" i="5" s="1"/>
  <c r="N345" i="4"/>
  <c r="BU348" i="4"/>
  <c r="AI42" i="4"/>
  <c r="AI184" i="4"/>
  <c r="AI260" i="4" l="1"/>
  <c r="AH75" i="7"/>
  <c r="N22" i="6"/>
  <c r="U117" i="1"/>
  <c r="J30" i="1"/>
  <c r="N348" i="4"/>
  <c r="AI52" i="4"/>
  <c r="AI136" i="4"/>
  <c r="AH267" i="4"/>
  <c r="AH302" i="4"/>
  <c r="AI44" i="4" l="1"/>
  <c r="AI138" i="4"/>
  <c r="AI139" i="4" s="1"/>
  <c r="L30" i="1"/>
  <c r="AH70" i="7"/>
  <c r="AH80" i="7" s="1"/>
  <c r="AH18" i="7" s="1"/>
  <c r="AH76" i="7"/>
  <c r="AH78" i="7" s="1"/>
  <c r="AI73" i="7" s="1"/>
  <c r="AI45" i="4" l="1"/>
  <c r="AI140" i="4"/>
  <c r="AI362" i="4"/>
  <c r="AI41" i="5"/>
  <c r="AI41" i="4"/>
  <c r="AI46" i="4" s="1"/>
  <c r="AI185" i="4"/>
  <c r="AH25" i="7"/>
  <c r="AH29" i="7" s="1"/>
  <c r="AH26" i="7"/>
  <c r="AI90" i="6" l="1"/>
  <c r="W151" i="1"/>
  <c r="AJ36" i="4"/>
  <c r="AJ126" i="4"/>
  <c r="AI62" i="6"/>
  <c r="AI142" i="4"/>
  <c r="AH30" i="7"/>
  <c r="AH34" i="7" s="1"/>
  <c r="AH21" i="7" s="1"/>
  <c r="AH14" i="7" s="1"/>
  <c r="AO23" i="8" s="1"/>
  <c r="U128" i="1" s="1"/>
  <c r="AI53" i="4"/>
  <c r="AI186" i="4"/>
  <c r="AI192" i="4"/>
  <c r="AI26" i="9" s="1"/>
  <c r="AI122" i="4" l="1"/>
  <c r="AJ129" i="4"/>
  <c r="AI187" i="4"/>
  <c r="AI55" i="4" s="1"/>
  <c r="AI54" i="4"/>
  <c r="V119" i="1" s="1"/>
  <c r="N31" i="1" s="1"/>
  <c r="AI24" i="6"/>
  <c r="AI57" i="4"/>
  <c r="AI37" i="5"/>
  <c r="U132" i="1"/>
  <c r="Y30" i="1"/>
  <c r="AH32" i="7"/>
  <c r="AI28" i="7" s="1"/>
  <c r="W148" i="1" l="1"/>
  <c r="W164" i="1" s="1"/>
  <c r="AI77" i="6"/>
  <c r="V116" i="1"/>
  <c r="K31" i="1" s="1"/>
  <c r="AJ49" i="4"/>
  <c r="V120" i="1"/>
  <c r="O31" i="1" s="1"/>
  <c r="AJ130" i="4"/>
  <c r="AJ38" i="4"/>
  <c r="AJ117" i="4"/>
  <c r="AJ26" i="6"/>
  <c r="AJ118" i="4"/>
  <c r="AJ131" i="4"/>
  <c r="AJ40" i="4" s="1"/>
  <c r="AI62" i="4"/>
  <c r="AI360" i="4"/>
  <c r="AI363" i="4" s="1"/>
  <c r="AI356" i="4"/>
  <c r="AI358" i="4" s="1"/>
  <c r="AI259" i="4"/>
  <c r="AH261" i="4" s="1"/>
  <c r="AI40" i="5"/>
  <c r="AJ133" i="4"/>
  <c r="AI189" i="4"/>
  <c r="AI194" i="4" l="1"/>
  <c r="AI63" i="6"/>
  <c r="AI59" i="6" s="1"/>
  <c r="AJ181" i="4"/>
  <c r="AP58" i="8"/>
  <c r="AI39" i="5"/>
  <c r="AI27" i="6"/>
  <c r="AJ42" i="4"/>
  <c r="AI91" i="6"/>
  <c r="W150" i="1"/>
  <c r="AJ361" i="4"/>
  <c r="AJ119" i="4"/>
  <c r="AJ39" i="4"/>
  <c r="AJ134" i="4"/>
  <c r="AJ43" i="4" s="1"/>
  <c r="AJ260" i="4" l="1"/>
  <c r="AJ184" i="4"/>
  <c r="AP52" i="8"/>
  <c r="AP43" i="8"/>
  <c r="AI69" i="7"/>
  <c r="AI74" i="7" s="1"/>
  <c r="AI29" i="6"/>
  <c r="AI32" i="6" s="1"/>
  <c r="W149" i="1"/>
  <c r="W163" i="1" s="1"/>
  <c r="V115" i="1"/>
  <c r="AI92" i="6"/>
  <c r="AI42" i="5"/>
  <c r="AI46" i="5" s="1"/>
  <c r="AI75" i="7" l="1"/>
  <c r="V117" i="1"/>
  <c r="J31" i="1"/>
  <c r="AI267" i="4"/>
  <c r="AI302" i="4"/>
  <c r="AJ136" i="4"/>
  <c r="AJ52" i="4"/>
  <c r="L31" i="1" l="1"/>
  <c r="AJ44" i="4"/>
  <c r="AJ138" i="4"/>
  <c r="AI70" i="7"/>
  <c r="AI80" i="7" s="1"/>
  <c r="AI18" i="7" s="1"/>
  <c r="AI76" i="7"/>
  <c r="AI78" i="7" s="1"/>
  <c r="AJ73" i="7" s="1"/>
  <c r="AJ41" i="4" l="1"/>
  <c r="AJ139" i="4"/>
  <c r="AJ45" i="4" s="1"/>
  <c r="AJ41" i="5" s="1"/>
  <c r="AI26" i="7"/>
  <c r="AI25" i="7"/>
  <c r="AI29" i="7" s="1"/>
  <c r="X151" i="1" l="1"/>
  <c r="AJ90" i="6"/>
  <c r="AJ185" i="4"/>
  <c r="AJ140" i="4"/>
  <c r="AJ46" i="4"/>
  <c r="AI30" i="7"/>
  <c r="AI34" i="7" s="1"/>
  <c r="AI21" i="7" s="1"/>
  <c r="AI14" i="7" s="1"/>
  <c r="AP23" i="8" s="1"/>
  <c r="V128" i="1" s="1"/>
  <c r="AJ362" i="4"/>
  <c r="V132" i="1" l="1"/>
  <c r="Y31" i="1"/>
  <c r="AK36" i="4"/>
  <c r="AJ53" i="4"/>
  <c r="AJ186" i="4"/>
  <c r="AJ192" i="4"/>
  <c r="AJ26" i="9" s="1"/>
  <c r="AI32" i="7"/>
  <c r="AJ28" i="7" s="1"/>
  <c r="AJ62" i="6"/>
  <c r="AK126" i="4"/>
  <c r="AJ142" i="4"/>
  <c r="AJ37" i="5" l="1"/>
  <c r="AK129" i="4"/>
  <c r="AJ54" i="4"/>
  <c r="AJ187" i="4"/>
  <c r="AJ55" i="4" s="1"/>
  <c r="AJ57" i="4" s="1"/>
  <c r="AJ24" i="6"/>
  <c r="AJ122" i="4"/>
  <c r="AK49" i="4" l="1"/>
  <c r="W120" i="1"/>
  <c r="O32" i="1" s="1"/>
  <c r="W119" i="1"/>
  <c r="N32" i="1" s="1"/>
  <c r="AK38" i="4"/>
  <c r="AK26" i="6"/>
  <c r="AK130" i="4"/>
  <c r="AK118" i="4"/>
  <c r="AK117" i="4"/>
  <c r="AJ356" i="4"/>
  <c r="AJ358" i="4" s="1"/>
  <c r="AJ40" i="5"/>
  <c r="AJ259" i="4"/>
  <c r="AI261" i="4" s="1"/>
  <c r="AJ77" i="6"/>
  <c r="X148" i="1"/>
  <c r="X164" i="1" s="1"/>
  <c r="W116" i="1"/>
  <c r="K32" i="1" s="1"/>
  <c r="AJ360" i="4"/>
  <c r="AJ363" i="4" s="1"/>
  <c r="AJ62" i="4"/>
  <c r="AJ189" i="4"/>
  <c r="AJ39" i="5" l="1"/>
  <c r="AJ27" i="6"/>
  <c r="AJ91" i="6"/>
  <c r="X150" i="1"/>
  <c r="AK361" i="4"/>
  <c r="AK39" i="4"/>
  <c r="AJ194" i="4"/>
  <c r="AJ63" i="6"/>
  <c r="AJ59" i="6" s="1"/>
  <c r="AK181" i="4"/>
  <c r="AK131" i="4"/>
  <c r="AQ58" i="8"/>
  <c r="AK40" i="4" l="1"/>
  <c r="AK133" i="4"/>
  <c r="AK119" i="4"/>
  <c r="AQ52" i="8"/>
  <c r="AJ69" i="7"/>
  <c r="AJ74" i="7" s="1"/>
  <c r="AJ29" i="6"/>
  <c r="AJ32" i="6" s="1"/>
  <c r="AQ43" i="8"/>
  <c r="AJ92" i="6"/>
  <c r="W115" i="1"/>
  <c r="X149" i="1"/>
  <c r="X163" i="1" s="1"/>
  <c r="AJ42" i="5"/>
  <c r="AJ46" i="5" s="1"/>
  <c r="AJ75" i="7" l="1"/>
  <c r="AJ302" i="4"/>
  <c r="AJ267" i="4"/>
  <c r="W117" i="1"/>
  <c r="J32" i="1"/>
  <c r="AK42" i="4"/>
  <c r="AK134" i="4"/>
  <c r="AK43" i="4" s="1"/>
  <c r="L32" i="1" l="1"/>
  <c r="AK184" i="4"/>
  <c r="AJ70" i="7"/>
  <c r="AJ80" i="7" s="1"/>
  <c r="AJ18" i="7" s="1"/>
  <c r="AJ76" i="7"/>
  <c r="AK260" i="4"/>
  <c r="AJ25" i="7" l="1"/>
  <c r="AJ29" i="7" s="1"/>
  <c r="AJ26" i="7"/>
  <c r="AK52" i="4"/>
  <c r="AK136" i="4"/>
  <c r="AJ78" i="7"/>
  <c r="AK73" i="7" s="1"/>
  <c r="AK44" i="4" l="1"/>
  <c r="AK138" i="4"/>
  <c r="AJ30" i="7"/>
  <c r="AJ34" i="7" s="1"/>
  <c r="AJ21" i="7" s="1"/>
  <c r="AJ14" i="7" s="1"/>
  <c r="AQ23" i="8" s="1"/>
  <c r="W128" i="1" s="1"/>
  <c r="AJ32" i="7" l="1"/>
  <c r="AK28" i="7" s="1"/>
  <c r="AK41" i="4"/>
  <c r="AK139" i="4"/>
  <c r="W132" i="1"/>
  <c r="Y32" i="1"/>
  <c r="AK45" i="4" l="1"/>
  <c r="AK41" i="5" s="1"/>
  <c r="AK140" i="4"/>
  <c r="AK185" i="4"/>
  <c r="AK362" i="4"/>
  <c r="AK53" i="4" l="1"/>
  <c r="AK192" i="4"/>
  <c r="AK26" i="9" s="1"/>
  <c r="AK186" i="4"/>
  <c r="AK62" i="6"/>
  <c r="AL126" i="4"/>
  <c r="AK142" i="4"/>
  <c r="Y151" i="1"/>
  <c r="AK90" i="6"/>
  <c r="AK46" i="4"/>
  <c r="AK54" i="4" l="1"/>
  <c r="X119" i="1" s="1"/>
  <c r="N33" i="1" s="1"/>
  <c r="AK187" i="4"/>
  <c r="AK55" i="4" s="1"/>
  <c r="AK24" i="6"/>
  <c r="AK189" i="4"/>
  <c r="AK122" i="4"/>
  <c r="AL129" i="4"/>
  <c r="AL36" i="4"/>
  <c r="AK37" i="5"/>
  <c r="AK57" i="4"/>
  <c r="AL49" i="4" s="1"/>
  <c r="X120" i="1" l="1"/>
  <c r="O33" i="1" s="1"/>
  <c r="AK360" i="4"/>
  <c r="AK363" i="4" s="1"/>
  <c r="AK62" i="4"/>
  <c r="AR58" i="8"/>
  <c r="AL181" i="4"/>
  <c r="AK194" i="4"/>
  <c r="AK63" i="6"/>
  <c r="AK59" i="6" s="1"/>
  <c r="AL118" i="4"/>
  <c r="AL38" i="4"/>
  <c r="AL26" i="6"/>
  <c r="AL131" i="4"/>
  <c r="AL40" i="4" s="1"/>
  <c r="AL130" i="4"/>
  <c r="AL117" i="4"/>
  <c r="AK356" i="4"/>
  <c r="AK358" i="4" s="1"/>
  <c r="AK259" i="4"/>
  <c r="AJ261" i="4" s="1"/>
  <c r="AK40" i="5"/>
  <c r="X116" i="1"/>
  <c r="K33" i="1" s="1"/>
  <c r="AK77" i="6"/>
  <c r="Y148" i="1"/>
  <c r="Y164" i="1" s="1"/>
  <c r="Y150" i="1" l="1"/>
  <c r="AK91" i="6"/>
  <c r="AK39" i="5"/>
  <c r="AK27" i="6"/>
  <c r="AL39" i="4"/>
  <c r="AL119" i="4"/>
  <c r="AL361" i="4"/>
  <c r="AL133" i="4"/>
  <c r="AL134" i="4" s="1"/>
  <c r="AL43" i="4" l="1"/>
  <c r="AR52" i="8"/>
  <c r="AK69" i="7"/>
  <c r="AK74" i="7" s="1"/>
  <c r="AK29" i="6"/>
  <c r="AK32" i="6" s="1"/>
  <c r="AR43" i="8"/>
  <c r="AK92" i="6"/>
  <c r="X115" i="1"/>
  <c r="Y149" i="1"/>
  <c r="AK42" i="5"/>
  <c r="AK46" i="5" s="1"/>
  <c r="Y163" i="1"/>
  <c r="AL42" i="4"/>
  <c r="AL184" i="4"/>
  <c r="AK75" i="7" l="1"/>
  <c r="AL136" i="4"/>
  <c r="AL52" i="4"/>
  <c r="AK302" i="4"/>
  <c r="AK267" i="4"/>
  <c r="X117" i="1"/>
  <c r="J33" i="1"/>
  <c r="AL260" i="4"/>
  <c r="AL44" i="4" l="1"/>
  <c r="AL138" i="4"/>
  <c r="L33" i="1"/>
  <c r="AK70" i="7"/>
  <c r="AK80" i="7" s="1"/>
  <c r="AK18" i="7" s="1"/>
  <c r="AK76" i="7"/>
  <c r="AL41" i="4" l="1"/>
  <c r="AL139" i="4"/>
  <c r="AL45" i="4" s="1"/>
  <c r="AL41" i="5" s="1"/>
  <c r="AK25" i="7"/>
  <c r="AK29" i="7" s="1"/>
  <c r="AK26" i="7"/>
  <c r="AK78" i="7"/>
  <c r="AL73" i="7" s="1"/>
  <c r="AL90" i="6" l="1"/>
  <c r="Z151" i="1"/>
  <c r="AL140" i="4"/>
  <c r="AK30" i="7"/>
  <c r="AK34" i="7" s="1"/>
  <c r="AK21" i="7" s="1"/>
  <c r="AK14" i="7" s="1"/>
  <c r="AR23" i="8" s="1"/>
  <c r="X128" i="1" s="1"/>
  <c r="AL362" i="4"/>
  <c r="AL185" i="4"/>
  <c r="AL46" i="4"/>
  <c r="AK32" i="7" l="1"/>
  <c r="AL28" i="7" s="1"/>
  <c r="X132" i="1"/>
  <c r="Y33" i="1"/>
  <c r="AL62" i="6"/>
  <c r="AM126" i="4"/>
  <c r="AL142" i="4"/>
  <c r="AM36" i="4"/>
  <c r="AL53" i="4"/>
  <c r="AL192" i="4"/>
  <c r="AL26" i="9" s="1"/>
  <c r="AL186" i="4"/>
  <c r="AL54" i="4" l="1"/>
  <c r="Y119" i="1" s="1"/>
  <c r="N34" i="1" s="1"/>
  <c r="AL187" i="4"/>
  <c r="AL55" i="4" s="1"/>
  <c r="AL24" i="6"/>
  <c r="AL189" i="4"/>
  <c r="AL37" i="5"/>
  <c r="AL57" i="4"/>
  <c r="AL122" i="4"/>
  <c r="AM129" i="4"/>
  <c r="AM26" i="6" l="1"/>
  <c r="AM130" i="4"/>
  <c r="AM38" i="4"/>
  <c r="AM118" i="4"/>
  <c r="AM117" i="4"/>
  <c r="AL63" i="6"/>
  <c r="AL59" i="6" s="1"/>
  <c r="AL194" i="4"/>
  <c r="AM181" i="4"/>
  <c r="AL360" i="4"/>
  <c r="AL363" i="4" s="1"/>
  <c r="AL62" i="4"/>
  <c r="AL356" i="4"/>
  <c r="AL358" i="4" s="1"/>
  <c r="AL259" i="4"/>
  <c r="AK261" i="4" s="1"/>
  <c r="AL40" i="5"/>
  <c r="AM49" i="4"/>
  <c r="Y120" i="1"/>
  <c r="O34" i="1" s="1"/>
  <c r="Y116" i="1"/>
  <c r="K34" i="1" s="1"/>
  <c r="AL77" i="6"/>
  <c r="Z148" i="1"/>
  <c r="Z164" i="1" s="1"/>
  <c r="AS58" i="8" l="1"/>
  <c r="AL91" i="6"/>
  <c r="Z150" i="1"/>
  <c r="AM39" i="4"/>
  <c r="AM131" i="4"/>
  <c r="AM119" i="4" s="1"/>
  <c r="AL39" i="5"/>
  <c r="AL27" i="6"/>
  <c r="AS52" i="8" l="1"/>
  <c r="AL69" i="7"/>
  <c r="AL74" i="7" s="1"/>
  <c r="AL29" i="6"/>
  <c r="AL32" i="6" s="1"/>
  <c r="AS43" i="8"/>
  <c r="AM361" i="4"/>
  <c r="Y115" i="1"/>
  <c r="AL92" i="6"/>
  <c r="Z149" i="1"/>
  <c r="Z163" i="1" s="1"/>
  <c r="AL42" i="5"/>
  <c r="AL46" i="5" s="1"/>
  <c r="AM40" i="4"/>
  <c r="AM133" i="4"/>
  <c r="AM134" i="4" s="1"/>
  <c r="AM43" i="4" s="1"/>
  <c r="AM42" i="4" l="1"/>
  <c r="AM184" i="4"/>
  <c r="AL267" i="4"/>
  <c r="AL302" i="4"/>
  <c r="AL75" i="7"/>
  <c r="Y117" i="1"/>
  <c r="J34" i="1"/>
  <c r="AL70" i="7" l="1"/>
  <c r="AL80" i="7" s="1"/>
  <c r="AL18" i="7" s="1"/>
  <c r="AL76" i="7"/>
  <c r="AL78" i="7" s="1"/>
  <c r="AM73" i="7" s="1"/>
  <c r="AM260" i="4"/>
  <c r="L34" i="1"/>
  <c r="AM52" i="4"/>
  <c r="AM136" i="4"/>
  <c r="AL25" i="7" l="1"/>
  <c r="AL29" i="7" s="1"/>
  <c r="AL26" i="7"/>
  <c r="AM44" i="4"/>
  <c r="AM138" i="4"/>
  <c r="AL30" i="7" l="1"/>
  <c r="AL34" i="7" s="1"/>
  <c r="AL21" i="7" s="1"/>
  <c r="AL14" i="7" s="1"/>
  <c r="AS23" i="8" s="1"/>
  <c r="Y128" i="1" s="1"/>
  <c r="AM41" i="4"/>
  <c r="AM139" i="4"/>
  <c r="AM45" i="4" l="1"/>
  <c r="AM41" i="5" s="1"/>
  <c r="AM140" i="4"/>
  <c r="AM46" i="4"/>
  <c r="AM185" i="4"/>
  <c r="AL32" i="7"/>
  <c r="AM28" i="7" s="1"/>
  <c r="Y132" i="1"/>
  <c r="Y34" i="1"/>
  <c r="AM362" i="4"/>
  <c r="AM53" i="4" l="1"/>
  <c r="AM192" i="4"/>
  <c r="AM26" i="9" s="1"/>
  <c r="AM186" i="4"/>
  <c r="AN36" i="4"/>
  <c r="AM62" i="6"/>
  <c r="AN126" i="4"/>
  <c r="AM142" i="4"/>
  <c r="AA151" i="1"/>
  <c r="AM90" i="6"/>
  <c r="AM187" i="4" l="1"/>
  <c r="AM55" i="4" s="1"/>
  <c r="AM54" i="4"/>
  <c r="Z119" i="1" s="1"/>
  <c r="N35" i="1" s="1"/>
  <c r="AM24" i="6"/>
  <c r="AM189" i="4"/>
  <c r="AM122" i="4"/>
  <c r="AN129" i="4"/>
  <c r="AM37" i="5"/>
  <c r="AM57" i="4"/>
  <c r="AN181" i="4" l="1"/>
  <c r="AM194" i="4"/>
  <c r="AM63" i="6"/>
  <c r="AM59" i="6" s="1"/>
  <c r="AN49" i="4"/>
  <c r="Z120" i="1"/>
  <c r="O35" i="1" s="1"/>
  <c r="AN26" i="6"/>
  <c r="AN38" i="4"/>
  <c r="AN130" i="4"/>
  <c r="AN131" i="4" s="1"/>
  <c r="AN118" i="4"/>
  <c r="AN117" i="4"/>
  <c r="AA148" i="1"/>
  <c r="AA164" i="1" s="1"/>
  <c r="Z116" i="1"/>
  <c r="K35" i="1" s="1"/>
  <c r="AM77" i="6"/>
  <c r="AM360" i="4"/>
  <c r="AM363" i="4" s="1"/>
  <c r="AM62" i="4"/>
  <c r="AM356" i="4"/>
  <c r="AM358" i="4" s="1"/>
  <c r="AM259" i="4"/>
  <c r="AL261" i="4" s="1"/>
  <c r="AM40" i="5"/>
  <c r="AN40" i="4" l="1"/>
  <c r="AT58" i="8"/>
  <c r="AM39" i="5"/>
  <c r="AM27" i="6"/>
  <c r="AM91" i="6"/>
  <c r="AA150" i="1"/>
  <c r="AN39" i="4"/>
  <c r="AN119" i="4"/>
  <c r="AN361" i="4"/>
  <c r="AN133" i="4"/>
  <c r="AN42" i="4" l="1"/>
  <c r="AN184" i="4"/>
  <c r="AT52" i="8"/>
  <c r="AT43" i="8"/>
  <c r="AM69" i="7"/>
  <c r="AM74" i="7" s="1"/>
  <c r="AM29" i="6"/>
  <c r="AM32" i="6" s="1"/>
  <c r="AN134" i="4"/>
  <c r="AN43" i="4" s="1"/>
  <c r="AA163" i="1"/>
  <c r="AA149" i="1"/>
  <c r="AM92" i="6"/>
  <c r="Z115" i="1"/>
  <c r="AM42" i="5"/>
  <c r="AM46" i="5" s="1"/>
  <c r="AN52" i="4" l="1"/>
  <c r="AN136" i="4"/>
  <c r="AN260" i="4"/>
  <c r="AM75" i="7"/>
  <c r="AM267" i="4"/>
  <c r="AM302" i="4"/>
  <c r="Z117" i="1"/>
  <c r="J35" i="1"/>
  <c r="L35" i="1" l="1"/>
  <c r="AN44" i="4"/>
  <c r="AN138" i="4"/>
  <c r="AM70" i="7"/>
  <c r="AM80" i="7" s="1"/>
  <c r="AM18" i="7" s="1"/>
  <c r="AM76" i="7"/>
  <c r="AM26" i="7" l="1"/>
  <c r="AM25" i="7"/>
  <c r="AM29" i="7" s="1"/>
  <c r="AM78" i="7"/>
  <c r="AN73" i="7" s="1"/>
  <c r="AN41" i="4"/>
  <c r="AN185" i="4"/>
  <c r="AN139" i="4"/>
  <c r="AM30" i="7" l="1"/>
  <c r="AM34" i="7" s="1"/>
  <c r="AM21" i="7" s="1"/>
  <c r="AM14" i="7" s="1"/>
  <c r="AT23" i="8" s="1"/>
  <c r="Z128" i="1" s="1"/>
  <c r="AN53" i="4"/>
  <c r="AN192" i="4"/>
  <c r="AN26" i="9" s="1"/>
  <c r="AN186" i="4"/>
  <c r="AN45" i="4"/>
  <c r="AN41" i="5" s="1"/>
  <c r="AN140" i="4"/>
  <c r="AN362" i="4"/>
  <c r="AM32" i="7" l="1"/>
  <c r="AN28" i="7" s="1"/>
  <c r="AN37" i="5"/>
  <c r="Z132" i="1"/>
  <c r="Y35" i="1"/>
  <c r="AO126" i="4"/>
  <c r="AN62" i="6"/>
  <c r="AN142" i="4"/>
  <c r="AN46" i="4"/>
  <c r="AB151" i="1"/>
  <c r="AN90" i="6"/>
  <c r="AN54" i="4"/>
  <c r="AN187" i="4"/>
  <c r="AN24" i="6"/>
  <c r="AN55" i="4" l="1"/>
  <c r="AN189" i="4"/>
  <c r="AA119" i="1"/>
  <c r="N36" i="1" s="1"/>
  <c r="AN122" i="4"/>
  <c r="AO129" i="4"/>
  <c r="AO36" i="4"/>
  <c r="AB148" i="1"/>
  <c r="AB164" i="1" s="1"/>
  <c r="AA116" i="1"/>
  <c r="K36" i="1" s="1"/>
  <c r="AN77" i="6"/>
  <c r="AN57" i="4"/>
  <c r="AO49" i="4" s="1"/>
  <c r="AN62" i="4" l="1"/>
  <c r="AN360" i="4"/>
  <c r="AN363" i="4" s="1"/>
  <c r="AN194" i="4"/>
  <c r="AN63" i="6"/>
  <c r="AN59" i="6" s="1"/>
  <c r="AO181" i="4"/>
  <c r="AN356" i="4"/>
  <c r="AN358" i="4" s="1"/>
  <c r="AN259" i="4"/>
  <c r="AM261" i="4" s="1"/>
  <c r="AN40" i="5"/>
  <c r="AO117" i="4"/>
  <c r="AO38" i="4"/>
  <c r="AO131" i="4"/>
  <c r="AO40" i="4" s="1"/>
  <c r="AO26" i="6"/>
  <c r="AO130" i="4"/>
  <c r="AO118" i="4"/>
  <c r="AA120" i="1"/>
  <c r="O36" i="1" s="1"/>
  <c r="AU58" i="8"/>
  <c r="AN91" i="6" l="1"/>
  <c r="AB150" i="1"/>
  <c r="AN39" i="5"/>
  <c r="AN27" i="6"/>
  <c r="AO119" i="4"/>
  <c r="AO361" i="4"/>
  <c r="AO39" i="4"/>
  <c r="AO133" i="4"/>
  <c r="AO134" i="4" l="1"/>
  <c r="AO43" i="4" s="1"/>
  <c r="AO42" i="4"/>
  <c r="AO184" i="4"/>
  <c r="AU52" i="8"/>
  <c r="AN29" i="6"/>
  <c r="AN32" i="6" s="1"/>
  <c r="AU43" i="8"/>
  <c r="AN69" i="7"/>
  <c r="AN74" i="7" s="1"/>
  <c r="AA115" i="1"/>
  <c r="AB149" i="1"/>
  <c r="AB163" i="1" s="1"/>
  <c r="AN92" i="6"/>
  <c r="AN42" i="5"/>
  <c r="AN46" i="5" s="1"/>
  <c r="AA117" i="1" l="1"/>
  <c r="J36" i="1"/>
  <c r="AO260" i="4"/>
  <c r="AN75" i="7"/>
  <c r="AO136" i="4"/>
  <c r="AO52" i="4"/>
  <c r="AN302" i="4"/>
  <c r="AN267" i="4"/>
  <c r="AO44" i="4" l="1"/>
  <c r="AO138" i="4"/>
  <c r="AN70" i="7"/>
  <c r="AN80" i="7" s="1"/>
  <c r="AN18" i="7" s="1"/>
  <c r="AN76" i="7"/>
  <c r="L36" i="1"/>
  <c r="AN25" i="7" l="1"/>
  <c r="AN29" i="7" s="1"/>
  <c r="AN26" i="7"/>
  <c r="AO41" i="4"/>
  <c r="AO139" i="4"/>
  <c r="AO185" i="4" s="1"/>
  <c r="AN78" i="7"/>
  <c r="AO73" i="7" s="1"/>
  <c r="AO53" i="4" l="1"/>
  <c r="AO186" i="4"/>
  <c r="AO192" i="4"/>
  <c r="AO26" i="9" s="1"/>
  <c r="AO45" i="4"/>
  <c r="AO41" i="5" s="1"/>
  <c r="AO140" i="4"/>
  <c r="AN30" i="7"/>
  <c r="AN34" i="7" s="1"/>
  <c r="AN21" i="7" s="1"/>
  <c r="AN14" i="7" s="1"/>
  <c r="AU23" i="8" s="1"/>
  <c r="AA128" i="1" s="1"/>
  <c r="AO362" i="4"/>
  <c r="AC151" i="1" l="1"/>
  <c r="AO90" i="6"/>
  <c r="AP126" i="4"/>
  <c r="AO62" i="6"/>
  <c r="AO142" i="4"/>
  <c r="AO187" i="4"/>
  <c r="AO55" i="4" s="1"/>
  <c r="AO54" i="4"/>
  <c r="AB119" i="1" s="1"/>
  <c r="N37" i="1" s="1"/>
  <c r="AO24" i="6"/>
  <c r="AO46" i="4"/>
  <c r="AA132" i="1"/>
  <c r="Y36" i="1"/>
  <c r="AN32" i="7"/>
  <c r="AO28" i="7" s="1"/>
  <c r="AO37" i="5"/>
  <c r="AO122" i="4" l="1"/>
  <c r="AO189" i="4"/>
  <c r="AP129" i="4"/>
  <c r="AO57" i="4"/>
  <c r="AP49" i="4" s="1"/>
  <c r="AP36" i="4"/>
  <c r="AB120" i="1"/>
  <c r="O37" i="1" s="1"/>
  <c r="AO77" i="6"/>
  <c r="AB116" i="1"/>
  <c r="K37" i="1" s="1"/>
  <c r="AC148" i="1"/>
  <c r="AC164" i="1" s="1"/>
  <c r="AO356" i="4"/>
  <c r="AO358" i="4" s="1"/>
  <c r="AO259" i="4"/>
  <c r="AN261" i="4" s="1"/>
  <c r="AO40" i="5"/>
  <c r="AP130" i="4" l="1"/>
  <c r="AP117" i="4"/>
  <c r="AP118" i="4"/>
  <c r="AP26" i="6"/>
  <c r="AP38" i="4"/>
  <c r="AV58" i="8"/>
  <c r="AO63" i="6"/>
  <c r="AO59" i="6" s="1"/>
  <c r="AO194" i="4"/>
  <c r="AP181" i="4"/>
  <c r="AO91" i="6"/>
  <c r="AC150" i="1"/>
  <c r="AO62" i="4"/>
  <c r="AO360" i="4"/>
  <c r="AO363" i="4" s="1"/>
  <c r="AP39" i="4" l="1"/>
  <c r="AO39" i="5"/>
  <c r="AO27" i="6"/>
  <c r="AP131" i="4"/>
  <c r="AV52" i="8" l="1"/>
  <c r="AO29" i="6"/>
  <c r="AO32" i="6" s="1"/>
  <c r="AV43" i="8"/>
  <c r="AO69" i="7"/>
  <c r="AO74" i="7" s="1"/>
  <c r="AP40" i="4"/>
  <c r="AP133" i="4"/>
  <c r="AP134" i="4" s="1"/>
  <c r="AP43" i="4" s="1"/>
  <c r="AO92" i="6"/>
  <c r="AC149" i="1"/>
  <c r="AC163" i="1" s="1"/>
  <c r="AB115" i="1"/>
  <c r="AO42" i="5"/>
  <c r="AO46" i="5" s="1"/>
  <c r="AP361" i="4"/>
  <c r="AP119" i="4"/>
  <c r="AO75" i="7" l="1"/>
  <c r="AO302" i="4"/>
  <c r="AO267" i="4"/>
  <c r="AP184" i="4"/>
  <c r="AP42" i="4"/>
  <c r="AB117" i="1"/>
  <c r="J37" i="1"/>
  <c r="AO70" i="7" l="1"/>
  <c r="AO80" i="7" s="1"/>
  <c r="AO18" i="7" s="1"/>
  <c r="AO76" i="7"/>
  <c r="AP136" i="4"/>
  <c r="AP52" i="4"/>
  <c r="L37" i="1"/>
  <c r="AP260" i="4"/>
  <c r="AP44" i="4" l="1"/>
  <c r="AP138" i="4"/>
  <c r="AP139" i="4" s="1"/>
  <c r="AO78" i="7"/>
  <c r="AP73" i="7" s="1"/>
  <c r="AO26" i="7"/>
  <c r="AO25" i="7"/>
  <c r="AO29" i="7" s="1"/>
  <c r="AP45" i="4" l="1"/>
  <c r="AP140" i="4"/>
  <c r="AP185" i="4"/>
  <c r="AP41" i="4"/>
  <c r="AP46" i="4" s="1"/>
  <c r="AP362" i="4"/>
  <c r="AP41" i="5"/>
  <c r="AO30" i="7"/>
  <c r="AO34" i="7" s="1"/>
  <c r="AO21" i="7" s="1"/>
  <c r="AO14" i="7" s="1"/>
  <c r="AV23" i="8" s="1"/>
  <c r="AB128" i="1" s="1"/>
  <c r="AD151" i="1" l="1"/>
  <c r="AP90" i="6"/>
  <c r="AP53" i="4"/>
  <c r="AP192" i="4"/>
  <c r="AP26" i="9" s="1"/>
  <c r="AP186" i="4"/>
  <c r="AB132" i="1"/>
  <c r="Y37" i="1"/>
  <c r="AO32" i="7"/>
  <c r="AP28" i="7" s="1"/>
  <c r="AQ36" i="4"/>
  <c r="AQ126" i="4"/>
  <c r="AP62" i="6"/>
  <c r="AP142" i="4"/>
  <c r="AP187" i="4" l="1"/>
  <c r="AP55" i="4" s="1"/>
  <c r="AP54" i="4"/>
  <c r="AC119" i="1" s="1"/>
  <c r="N38" i="1" s="1"/>
  <c r="AP24" i="6"/>
  <c r="AP37" i="5"/>
  <c r="AP57" i="4"/>
  <c r="AP122" i="4"/>
  <c r="AQ129" i="4"/>
  <c r="AQ117" i="4" l="1"/>
  <c r="AQ38" i="4"/>
  <c r="AQ118" i="4"/>
  <c r="AQ26" i="6"/>
  <c r="AQ130" i="4"/>
  <c r="AQ131" i="4" s="1"/>
  <c r="AQ49" i="4"/>
  <c r="AC120" i="1"/>
  <c r="O38" i="1" s="1"/>
  <c r="AC116" i="1"/>
  <c r="K38" i="1" s="1"/>
  <c r="AP77" i="6"/>
  <c r="AD148" i="1"/>
  <c r="AD164" i="1" s="1"/>
  <c r="AP62" i="4"/>
  <c r="AP360" i="4"/>
  <c r="AP363" i="4" s="1"/>
  <c r="AP356" i="4"/>
  <c r="AP358" i="4" s="1"/>
  <c r="AP40" i="5"/>
  <c r="AP259" i="4"/>
  <c r="AO261" i="4" s="1"/>
  <c r="AP189" i="4"/>
  <c r="AQ40" i="4" l="1"/>
  <c r="AW58" i="8"/>
  <c r="AP39" i="5"/>
  <c r="AP27" i="6"/>
  <c r="AP194" i="4"/>
  <c r="AQ181" i="4"/>
  <c r="AP63" i="6"/>
  <c r="AP59" i="6" s="1"/>
  <c r="AP91" i="6"/>
  <c r="AD150" i="1"/>
  <c r="AQ361" i="4"/>
  <c r="AQ39" i="4"/>
  <c r="AQ119" i="4"/>
  <c r="AQ133" i="4"/>
  <c r="AQ134" i="4" s="1"/>
  <c r="AQ43" i="4" s="1"/>
  <c r="AQ42" i="4" l="1"/>
  <c r="AQ184" i="4"/>
  <c r="AW52" i="8"/>
  <c r="AP69" i="7"/>
  <c r="AP74" i="7" s="1"/>
  <c r="AP29" i="6"/>
  <c r="AP32" i="6" s="1"/>
  <c r="AW43" i="8"/>
  <c r="AD163" i="1"/>
  <c r="AP92" i="6"/>
  <c r="AD149" i="1"/>
  <c r="AC115" i="1"/>
  <c r="AP42" i="5"/>
  <c r="AP46" i="5" s="1"/>
  <c r="AC117" i="1" l="1"/>
  <c r="J38" i="1"/>
  <c r="AQ260" i="4"/>
  <c r="AP75" i="7"/>
  <c r="AP267" i="4"/>
  <c r="AP302" i="4"/>
  <c r="AQ136" i="4"/>
  <c r="AQ52" i="4"/>
  <c r="AP70" i="7" l="1"/>
  <c r="AP80" i="7" s="1"/>
  <c r="AP18" i="7" s="1"/>
  <c r="AP76" i="7"/>
  <c r="AQ44" i="4"/>
  <c r="AQ138" i="4"/>
  <c r="AQ139" i="4" s="1"/>
  <c r="L38" i="1"/>
  <c r="AQ45" i="4" l="1"/>
  <c r="AQ140" i="4"/>
  <c r="AQ41" i="4"/>
  <c r="AQ46" i="4" s="1"/>
  <c r="AQ185" i="4"/>
  <c r="AQ362" i="4"/>
  <c r="AP25" i="7"/>
  <c r="AP29" i="7" s="1"/>
  <c r="AP26" i="7"/>
  <c r="AP78" i="7"/>
  <c r="AQ73" i="7" s="1"/>
  <c r="AR36" i="4" l="1"/>
  <c r="AQ41" i="5"/>
  <c r="AQ53" i="4"/>
  <c r="AQ186" i="4"/>
  <c r="AQ192" i="4"/>
  <c r="AQ26" i="9" s="1"/>
  <c r="AQ62" i="6"/>
  <c r="AR126" i="4"/>
  <c r="AQ142" i="4"/>
  <c r="AP30" i="7"/>
  <c r="AP34" i="7" s="1"/>
  <c r="AP21" i="7" s="1"/>
  <c r="AP14" i="7" s="1"/>
  <c r="AW23" i="8" s="1"/>
  <c r="AC128" i="1" s="1"/>
  <c r="AP32" i="7" l="1"/>
  <c r="AQ28" i="7" s="1"/>
  <c r="AC132" i="1"/>
  <c r="Y38" i="1"/>
  <c r="AQ37" i="5"/>
  <c r="AQ57" i="4"/>
  <c r="AQ90" i="6"/>
  <c r="AE151" i="1"/>
  <c r="AQ122" i="4"/>
  <c r="AR129" i="4"/>
  <c r="AQ187" i="4"/>
  <c r="AQ55" i="4" s="1"/>
  <c r="AQ54" i="4"/>
  <c r="AD119" i="1" s="1"/>
  <c r="N39" i="1" s="1"/>
  <c r="AQ24" i="6"/>
  <c r="AR49" i="4" l="1"/>
  <c r="AD120" i="1"/>
  <c r="O39" i="1" s="1"/>
  <c r="AR26" i="6"/>
  <c r="AR118" i="4"/>
  <c r="AR38" i="4"/>
  <c r="AR117" i="4"/>
  <c r="AR130" i="4"/>
  <c r="AD116" i="1"/>
  <c r="K39" i="1" s="1"/>
  <c r="AQ77" i="6"/>
  <c r="AE148" i="1"/>
  <c r="AE164" i="1" s="1"/>
  <c r="AQ356" i="4"/>
  <c r="AQ358" i="4" s="1"/>
  <c r="AQ259" i="4"/>
  <c r="AP261" i="4" s="1"/>
  <c r="AQ40" i="5"/>
  <c r="AQ62" i="4"/>
  <c r="AQ360" i="4"/>
  <c r="AQ363" i="4" s="1"/>
  <c r="AQ189" i="4"/>
  <c r="AR39" i="4" l="1"/>
  <c r="AR133" i="4"/>
  <c r="AE150" i="1"/>
  <c r="AQ91" i="6"/>
  <c r="AR131" i="4"/>
  <c r="AR40" i="4" s="1"/>
  <c r="AQ63" i="6"/>
  <c r="AQ59" i="6" s="1"/>
  <c r="AQ194" i="4"/>
  <c r="AR181" i="4"/>
  <c r="AQ39" i="5"/>
  <c r="AQ27" i="6"/>
  <c r="AX58" i="8"/>
  <c r="AR42" i="4" l="1"/>
  <c r="AX52" i="8"/>
  <c r="AQ29" i="6"/>
  <c r="AQ32" i="6" s="1"/>
  <c r="AX43" i="8"/>
  <c r="AQ69" i="7"/>
  <c r="AQ74" i="7" s="1"/>
  <c r="AR361" i="4"/>
  <c r="AR134" i="4"/>
  <c r="AR43" i="4" s="1"/>
  <c r="AE149" i="1"/>
  <c r="AE163" i="1" s="1"/>
  <c r="AQ92" i="6"/>
  <c r="AD115" i="1"/>
  <c r="AQ42" i="5"/>
  <c r="AQ46" i="5" s="1"/>
  <c r="AR119" i="4"/>
  <c r="AD117" i="1" l="1"/>
  <c r="J39" i="1"/>
  <c r="AQ302" i="4"/>
  <c r="AQ267" i="4"/>
  <c r="AR184" i="4"/>
  <c r="AR260" i="4"/>
  <c r="AQ75" i="7"/>
  <c r="AR136" i="4" l="1"/>
  <c r="AR52" i="4"/>
  <c r="AQ70" i="7"/>
  <c r="AQ80" i="7" s="1"/>
  <c r="AQ18" i="7" s="1"/>
  <c r="AQ76" i="7"/>
  <c r="L39" i="1"/>
  <c r="AR44" i="4" l="1"/>
  <c r="AR138" i="4"/>
  <c r="AQ26" i="7"/>
  <c r="AQ25" i="7"/>
  <c r="AQ29" i="7" s="1"/>
  <c r="AQ78" i="7"/>
  <c r="AR73" i="7" s="1"/>
  <c r="AR41" i="4" l="1"/>
  <c r="AR139" i="4"/>
  <c r="AR185" i="4" s="1"/>
  <c r="AQ30" i="7"/>
  <c r="AQ34" i="7" s="1"/>
  <c r="AQ21" i="7" s="1"/>
  <c r="AQ14" i="7" s="1"/>
  <c r="AX23" i="8" s="1"/>
  <c r="AD128" i="1" s="1"/>
  <c r="AR53" i="4" l="1"/>
  <c r="AR192" i="4"/>
  <c r="AR26" i="9" s="1"/>
  <c r="AR186" i="4"/>
  <c r="AD132" i="1"/>
  <c r="Y39" i="1"/>
  <c r="AQ32" i="7"/>
  <c r="AR28" i="7" s="1"/>
  <c r="AR45" i="4"/>
  <c r="AR41" i="5" s="1"/>
  <c r="AR140" i="4"/>
  <c r="AR362" i="4"/>
  <c r="AR54" i="4" l="1"/>
  <c r="AE119" i="1" s="1"/>
  <c r="N40" i="1" s="1"/>
  <c r="AR187" i="4"/>
  <c r="AR55" i="4" s="1"/>
  <c r="AR24" i="6"/>
  <c r="AR189" i="4"/>
  <c r="AF151" i="1"/>
  <c r="AR90" i="6"/>
  <c r="AR46" i="4"/>
  <c r="AS126" i="4"/>
  <c r="AR62" i="6"/>
  <c r="AR142" i="4"/>
  <c r="AR37" i="5"/>
  <c r="AR57" i="4"/>
  <c r="AS49" i="4" s="1"/>
  <c r="AR122" i="4" l="1"/>
  <c r="AR157" i="4"/>
  <c r="AR158" i="4" s="1"/>
  <c r="AR23" i="9" s="1"/>
  <c r="AR356" i="4"/>
  <c r="AR358" i="4" s="1"/>
  <c r="AR40" i="5"/>
  <c r="AR259" i="4"/>
  <c r="AQ261" i="4" s="1"/>
  <c r="AF148" i="1"/>
  <c r="AF164" i="1" s="1"/>
  <c r="AR77" i="6"/>
  <c r="AE116" i="1"/>
  <c r="K40" i="1" s="1"/>
  <c r="AS181" i="4"/>
  <c r="AR63" i="6"/>
  <c r="AR59" i="6" s="1"/>
  <c r="AR194" i="4"/>
  <c r="AS129" i="4"/>
  <c r="AS36" i="4"/>
  <c r="AE120" i="1"/>
  <c r="O40" i="1" s="1"/>
  <c r="AR360" i="4" l="1"/>
  <c r="AR363" i="4" s="1"/>
  <c r="AR62" i="4"/>
  <c r="AF150" i="1"/>
  <c r="AR91" i="6"/>
  <c r="AS130" i="4"/>
  <c r="AS38" i="4"/>
  <c r="AS26" i="6"/>
  <c r="AS118" i="4"/>
  <c r="AS117" i="4"/>
  <c r="AY58" i="8"/>
  <c r="AS39" i="4" l="1"/>
  <c r="AR39" i="5"/>
  <c r="AR27" i="6"/>
  <c r="AS131" i="4"/>
  <c r="AS40" i="4" l="1"/>
  <c r="AY52" i="8"/>
  <c r="AR69" i="7"/>
  <c r="AR74" i="7" s="1"/>
  <c r="AR29" i="6"/>
  <c r="AR32" i="6" s="1"/>
  <c r="AY43" i="8"/>
  <c r="AS119" i="4"/>
  <c r="AS361" i="4"/>
  <c r="AE115" i="1"/>
  <c r="AR92" i="6"/>
  <c r="AF149" i="1"/>
  <c r="AF163" i="1" s="1"/>
  <c r="AR42" i="5"/>
  <c r="AR46" i="5" s="1"/>
  <c r="AS133" i="4"/>
  <c r="AR267" i="4" l="1"/>
  <c r="AR302" i="4"/>
  <c r="AR75" i="7"/>
  <c r="AE117" i="1"/>
  <c r="J40" i="1"/>
  <c r="AS42" i="4"/>
  <c r="AS134" i="4"/>
  <c r="AS43" i="4" s="1"/>
  <c r="L40" i="1" l="1"/>
  <c r="AR70" i="7"/>
  <c r="AR80" i="7" s="1"/>
  <c r="AR18" i="7" s="1"/>
  <c r="AR76" i="7"/>
  <c r="AR78" i="7" s="1"/>
  <c r="AS73" i="7" s="1"/>
  <c r="AS260" i="4"/>
  <c r="AS184" i="4"/>
  <c r="AR26" i="7" l="1"/>
  <c r="AR25" i="7"/>
  <c r="AR29" i="7" s="1"/>
  <c r="AS52" i="4"/>
  <c r="AS136" i="4"/>
  <c r="AS44" i="4" l="1"/>
  <c r="AS138" i="4"/>
  <c r="AR30" i="7"/>
  <c r="AR34" i="7" s="1"/>
  <c r="AR21" i="7" s="1"/>
  <c r="AR14" i="7" s="1"/>
  <c r="AY23" i="8" s="1"/>
  <c r="AE128" i="1" s="1"/>
  <c r="AE132" i="1" l="1"/>
  <c r="Y40" i="1"/>
  <c r="AR32" i="7"/>
  <c r="AS28" i="7" s="1"/>
  <c r="AS41" i="4"/>
  <c r="AS139" i="4"/>
  <c r="AS362" i="4"/>
  <c r="AS45" i="4" l="1"/>
  <c r="AS41" i="5" s="1"/>
  <c r="AS140" i="4"/>
  <c r="AS46" i="4"/>
  <c r="AS185" i="4"/>
  <c r="AT36" i="4" l="1"/>
  <c r="AT126" i="4"/>
  <c r="AS62" i="6"/>
  <c r="AS142" i="4"/>
  <c r="AS53" i="4"/>
  <c r="AS186" i="4"/>
  <c r="AS192" i="4"/>
  <c r="AS26" i="9" s="1"/>
  <c r="AG151" i="1"/>
  <c r="AS90" i="6"/>
  <c r="AS122" i="4" l="1"/>
  <c r="AS37" i="5"/>
  <c r="AT129" i="4"/>
  <c r="AS187" i="4"/>
  <c r="AS55" i="4" s="1"/>
  <c r="AS54" i="4"/>
  <c r="AF119" i="1" s="1"/>
  <c r="N41" i="1" s="1"/>
  <c r="AS24" i="6"/>
  <c r="AS189" i="4"/>
  <c r="AT117" i="4" l="1"/>
  <c r="AT118" i="4"/>
  <c r="AT26" i="6"/>
  <c r="AT38" i="4"/>
  <c r="AT130" i="4"/>
  <c r="AT131" i="4"/>
  <c r="AT40" i="4" s="1"/>
  <c r="AS356" i="4"/>
  <c r="AS358" i="4" s="1"/>
  <c r="AS259" i="4"/>
  <c r="AR261" i="4" s="1"/>
  <c r="AS40" i="5"/>
  <c r="AS57" i="4"/>
  <c r="AS77" i="6"/>
  <c r="AF116" i="1"/>
  <c r="K41" i="1" s="1"/>
  <c r="AG148" i="1"/>
  <c r="AG164" i="1" s="1"/>
  <c r="AS194" i="4"/>
  <c r="AS63" i="6"/>
  <c r="AS59" i="6" s="1"/>
  <c r="AT181" i="4"/>
  <c r="AS360" i="4"/>
  <c r="AS363" i="4" s="1"/>
  <c r="AS62" i="4"/>
  <c r="AT361" i="4" l="1"/>
  <c r="AT119" i="4"/>
  <c r="AT39" i="4"/>
  <c r="AT133" i="4"/>
  <c r="AT49" i="4"/>
  <c r="AF120" i="1"/>
  <c r="O41" i="1" s="1"/>
  <c r="AS39" i="5"/>
  <c r="AS27" i="6"/>
  <c r="AS91" i="6"/>
  <c r="AG150" i="1"/>
  <c r="AT42" i="4" l="1"/>
  <c r="AZ52" i="8"/>
  <c r="AS29" i="6"/>
  <c r="AS32" i="6" s="1"/>
  <c r="AZ43" i="8"/>
  <c r="AS69" i="7"/>
  <c r="AS74" i="7" s="1"/>
  <c r="AS92" i="6"/>
  <c r="AG149" i="1"/>
  <c r="AF115" i="1"/>
  <c r="AS42" i="5"/>
  <c r="AS46" i="5" s="1"/>
  <c r="AT134" i="4"/>
  <c r="AT43" i="4" s="1"/>
  <c r="AG163" i="1"/>
  <c r="AZ58" i="8"/>
  <c r="AS267" i="4" l="1"/>
  <c r="AS302" i="4"/>
  <c r="AF117" i="1"/>
  <c r="J41" i="1"/>
  <c r="AT184" i="4"/>
  <c r="AS75" i="7"/>
  <c r="AT260" i="4"/>
  <c r="L41" i="1" l="1"/>
  <c r="AT136" i="4"/>
  <c r="AT52" i="4"/>
  <c r="AS70" i="7"/>
  <c r="AS80" i="7" s="1"/>
  <c r="AS18" i="7" s="1"/>
  <c r="AS76" i="7"/>
  <c r="AT44" i="4" l="1"/>
  <c r="AT138" i="4"/>
  <c r="AT362" i="4" s="1"/>
  <c r="AT139" i="4"/>
  <c r="AT45" i="4" s="1"/>
  <c r="AS26" i="7"/>
  <c r="AS25" i="7"/>
  <c r="AS29" i="7" s="1"/>
  <c r="AS78" i="7"/>
  <c r="AT73" i="7" s="1"/>
  <c r="AT140" i="4" l="1"/>
  <c r="AT185" i="4"/>
  <c r="AT41" i="4"/>
  <c r="AT46" i="4" s="1"/>
  <c r="AT41" i="5"/>
  <c r="AS30" i="7"/>
  <c r="AS34" i="7" s="1"/>
  <c r="AS21" i="7" s="1"/>
  <c r="AS14" i="7" s="1"/>
  <c r="AZ23" i="8" s="1"/>
  <c r="AF128" i="1" s="1"/>
  <c r="AF132" i="1" l="1"/>
  <c r="Y41" i="1"/>
  <c r="AH151" i="1"/>
  <c r="AT90" i="6"/>
  <c r="AU36" i="4"/>
  <c r="AT53" i="4"/>
  <c r="AT192" i="4"/>
  <c r="AT26" i="9" s="1"/>
  <c r="AT186" i="4"/>
  <c r="AS32" i="7"/>
  <c r="AT28" i="7" s="1"/>
  <c r="AU126" i="4"/>
  <c r="AT62" i="6"/>
  <c r="AT142" i="4"/>
  <c r="AT37" i="5" l="1"/>
  <c r="AT122" i="4"/>
  <c r="AU129" i="4"/>
  <c r="AT187" i="4"/>
  <c r="AT54" i="4"/>
  <c r="AT24" i="6"/>
  <c r="AT62" i="4" l="1"/>
  <c r="AT360" i="4"/>
  <c r="AT363" i="4" s="1"/>
  <c r="AU26" i="6"/>
  <c r="AU118" i="4"/>
  <c r="AU117" i="4"/>
  <c r="AU38" i="4"/>
  <c r="AU130" i="4"/>
  <c r="AU131" i="4"/>
  <c r="AU40" i="4" s="1"/>
  <c r="AT55" i="4"/>
  <c r="AT189" i="4"/>
  <c r="AG116" i="1"/>
  <c r="K42" i="1" s="1"/>
  <c r="AH148" i="1"/>
  <c r="AH164" i="1" s="1"/>
  <c r="AT77" i="6"/>
  <c r="AT356" i="4" l="1"/>
  <c r="AT358" i="4" s="1"/>
  <c r="AT40" i="5"/>
  <c r="AT259" i="4"/>
  <c r="AS261" i="4" s="1"/>
  <c r="AT39" i="5"/>
  <c r="AT27" i="6"/>
  <c r="AU133" i="4"/>
  <c r="AU361" i="4"/>
  <c r="AU119" i="4"/>
  <c r="AU39" i="4"/>
  <c r="AT194" i="4"/>
  <c r="AT63" i="6"/>
  <c r="AT59" i="6" s="1"/>
  <c r="AU181" i="4"/>
  <c r="AG119" i="1"/>
  <c r="N42" i="1" s="1"/>
  <c r="AT57" i="4"/>
  <c r="AU42" i="4" l="1"/>
  <c r="AU134" i="4"/>
  <c r="AU43" i="4" s="1"/>
  <c r="BA52" i="8"/>
  <c r="AT29" i="6"/>
  <c r="AT32" i="6" s="1"/>
  <c r="BA43" i="8"/>
  <c r="AT69" i="7"/>
  <c r="AT74" i="7" s="1"/>
  <c r="AU188" i="4"/>
  <c r="AU56" i="4" s="1"/>
  <c r="AU357" i="4" s="1"/>
  <c r="AT92" i="6"/>
  <c r="AG115" i="1"/>
  <c r="AH149" i="1"/>
  <c r="AT42" i="5"/>
  <c r="AT46" i="5" s="1"/>
  <c r="AU49" i="4"/>
  <c r="AG120" i="1"/>
  <c r="O42" i="1" s="1"/>
  <c r="AT91" i="6"/>
  <c r="AH150" i="1"/>
  <c r="AH163" i="1" s="1"/>
  <c r="AG117" i="1" l="1"/>
  <c r="J42" i="1"/>
  <c r="AT75" i="7"/>
  <c r="AU260" i="4"/>
  <c r="AT267" i="4"/>
  <c r="AT302" i="4"/>
  <c r="BA58" i="8"/>
  <c r="AU184" i="4"/>
  <c r="AT70" i="7" l="1"/>
  <c r="AT80" i="7" s="1"/>
  <c r="AT18" i="7" s="1"/>
  <c r="AT76" i="7"/>
  <c r="L42" i="1"/>
  <c r="AU52" i="4"/>
  <c r="AU136" i="4"/>
  <c r="AT25" i="7" l="1"/>
  <c r="AT29" i="7" s="1"/>
  <c r="AT26" i="7"/>
  <c r="AU44" i="4"/>
  <c r="AU138" i="4"/>
  <c r="AT78" i="7"/>
  <c r="AU73" i="7" s="1"/>
  <c r="AT30" i="7" l="1"/>
  <c r="AT34" i="7" s="1"/>
  <c r="AT21" i="7" s="1"/>
  <c r="AT14" i="7" s="1"/>
  <c r="BA23" i="8" s="1"/>
  <c r="AG128" i="1" s="1"/>
  <c r="AU41" i="4"/>
  <c r="AU139" i="4"/>
  <c r="AU45" i="4" l="1"/>
  <c r="AU41" i="5" s="1"/>
  <c r="AU140" i="4"/>
  <c r="AU185" i="4"/>
  <c r="AG132" i="1"/>
  <c r="Y42" i="1"/>
  <c r="AU46" i="4"/>
  <c r="AU362" i="4"/>
  <c r="AT32" i="7"/>
  <c r="AU28" i="7" s="1"/>
  <c r="AV36" i="4" l="1"/>
  <c r="AU53" i="4"/>
  <c r="AU192" i="4"/>
  <c r="AU26" i="9" s="1"/>
  <c r="AU186" i="4"/>
  <c r="AU62" i="6"/>
  <c r="AV126" i="4"/>
  <c r="AU142" i="4"/>
  <c r="AU90" i="6"/>
  <c r="AI151" i="1"/>
  <c r="AU187" i="4" l="1"/>
  <c r="AU55" i="4" s="1"/>
  <c r="AU54" i="4"/>
  <c r="AH119" i="1" s="1"/>
  <c r="N43" i="1" s="1"/>
  <c r="AU24" i="6"/>
  <c r="AU189" i="4"/>
  <c r="AU37" i="5"/>
  <c r="AU57" i="4"/>
  <c r="AU122" i="4"/>
  <c r="AV129" i="4"/>
  <c r="AU62" i="4" l="1"/>
  <c r="AU360" i="4"/>
  <c r="AU363" i="4" s="1"/>
  <c r="AV49" i="4"/>
  <c r="AH120" i="1"/>
  <c r="O43" i="1" s="1"/>
  <c r="AI148" i="1"/>
  <c r="AI164" i="1" s="1"/>
  <c r="AH116" i="1"/>
  <c r="K43" i="1" s="1"/>
  <c r="AU77" i="6"/>
  <c r="AV118" i="4"/>
  <c r="AV38" i="4"/>
  <c r="AV26" i="6"/>
  <c r="AV117" i="4"/>
  <c r="AV130" i="4"/>
  <c r="AV131" i="4"/>
  <c r="AV40" i="4" s="1"/>
  <c r="AV181" i="4"/>
  <c r="AU194" i="4"/>
  <c r="AU63" i="6"/>
  <c r="AU59" i="6" s="1"/>
  <c r="AU356" i="4"/>
  <c r="AU358" i="4" s="1"/>
  <c r="AU259" i="4"/>
  <c r="AT261" i="4" s="1"/>
  <c r="AU40" i="5"/>
  <c r="AV188" i="4" l="1"/>
  <c r="AV56" i="4" s="1"/>
  <c r="AV357" i="4" s="1"/>
  <c r="AV39" i="4"/>
  <c r="AV361" i="4"/>
  <c r="AV119" i="4"/>
  <c r="AV133" i="4"/>
  <c r="AV134" i="4" s="1"/>
  <c r="BB58" i="8"/>
  <c r="AU39" i="5"/>
  <c r="AU27" i="6"/>
  <c r="AU91" i="6"/>
  <c r="AI150" i="1"/>
  <c r="AV43" i="4" l="1"/>
  <c r="BB52" i="8"/>
  <c r="AU29" i="6"/>
  <c r="AU32" i="6" s="1"/>
  <c r="AU69" i="7"/>
  <c r="AU74" i="7" s="1"/>
  <c r="BB43" i="8"/>
  <c r="AU92" i="6"/>
  <c r="AH115" i="1"/>
  <c r="AI149" i="1"/>
  <c r="AI163" i="1" s="1"/>
  <c r="AU42" i="5"/>
  <c r="AU46" i="5" s="1"/>
  <c r="AV184" i="4"/>
  <c r="AV42" i="4"/>
  <c r="AU302" i="4" l="1"/>
  <c r="AU267" i="4"/>
  <c r="AH117" i="1"/>
  <c r="J43" i="1"/>
  <c r="AV260" i="4"/>
  <c r="AU75" i="7"/>
  <c r="AV136" i="4"/>
  <c r="AV52" i="4"/>
  <c r="L43" i="1" l="1"/>
  <c r="AV44" i="4"/>
  <c r="AV138" i="4"/>
  <c r="AU70" i="7"/>
  <c r="AU80" i="7" s="1"/>
  <c r="AU18" i="7" s="1"/>
  <c r="AU76" i="7"/>
  <c r="AV41" i="4" l="1"/>
  <c r="AV139" i="4"/>
  <c r="AV362" i="4"/>
  <c r="AU78" i="7"/>
  <c r="AV73" i="7" s="1"/>
  <c r="AU25" i="7"/>
  <c r="AU29" i="7" s="1"/>
  <c r="AU26" i="7"/>
  <c r="AU30" i="7" l="1"/>
  <c r="AU34" i="7" s="1"/>
  <c r="AU21" i="7" s="1"/>
  <c r="AU14" i="7" s="1"/>
  <c r="BB23" i="8" s="1"/>
  <c r="AH128" i="1" s="1"/>
  <c r="AV45" i="4"/>
  <c r="AV41" i="5" s="1"/>
  <c r="AV140" i="4"/>
  <c r="AV185" i="4"/>
  <c r="AV46" i="4"/>
  <c r="AU32" i="7" l="1"/>
  <c r="AV28" i="7" s="1"/>
  <c r="AW36" i="4"/>
  <c r="AV53" i="4"/>
  <c r="AV192" i="4"/>
  <c r="AV26" i="9" s="1"/>
  <c r="AV186" i="4"/>
  <c r="AV62" i="6"/>
  <c r="AW126" i="4"/>
  <c r="AV142" i="4"/>
  <c r="AV90" i="6"/>
  <c r="AJ151" i="1"/>
  <c r="AH132" i="1"/>
  <c r="Y43" i="1"/>
  <c r="AV187" i="4" l="1"/>
  <c r="AV55" i="4" s="1"/>
  <c r="AV54" i="4"/>
  <c r="AI119" i="1" s="1"/>
  <c r="N44" i="1" s="1"/>
  <c r="AV24" i="6"/>
  <c r="AV189" i="4"/>
  <c r="AV37" i="5"/>
  <c r="AV57" i="4"/>
  <c r="AV122" i="4"/>
  <c r="AW129" i="4"/>
  <c r="AW49" i="4" l="1"/>
  <c r="AI120" i="1"/>
  <c r="O44" i="1" s="1"/>
  <c r="AI116" i="1"/>
  <c r="K44" i="1" s="1"/>
  <c r="AJ148" i="1"/>
  <c r="AJ164" i="1" s="1"/>
  <c r="AV77" i="6"/>
  <c r="AW38" i="4"/>
  <c r="AW26" i="6"/>
  <c r="AW118" i="4"/>
  <c r="AW117" i="4"/>
  <c r="AW130" i="4"/>
  <c r="AW131" i="4" s="1"/>
  <c r="AV63" i="6"/>
  <c r="AV59" i="6" s="1"/>
  <c r="AV194" i="4"/>
  <c r="AW181" i="4"/>
  <c r="AV356" i="4"/>
  <c r="AV358" i="4" s="1"/>
  <c r="AV40" i="5"/>
  <c r="AV259" i="4"/>
  <c r="AU261" i="4" s="1"/>
  <c r="AV62" i="4"/>
  <c r="AV360" i="4"/>
  <c r="AV363" i="4" s="1"/>
  <c r="AW40" i="4" l="1"/>
  <c r="AV39" i="5"/>
  <c r="AV27" i="6"/>
  <c r="AW188" i="4"/>
  <c r="AW56" i="4" s="1"/>
  <c r="AW357" i="4" s="1"/>
  <c r="AJ150" i="1"/>
  <c r="AV91" i="6"/>
  <c r="AW119" i="4"/>
  <c r="AW39" i="4"/>
  <c r="AW361" i="4"/>
  <c r="AW133" i="4"/>
  <c r="BC58" i="8"/>
  <c r="AW42" i="4" l="1"/>
  <c r="BC52" i="8"/>
  <c r="AV69" i="7"/>
  <c r="AV74" i="7" s="1"/>
  <c r="AV29" i="6"/>
  <c r="AV32" i="6" s="1"/>
  <c r="BC43" i="8"/>
  <c r="AW134" i="4"/>
  <c r="AW43" i="4" s="1"/>
  <c r="AJ149" i="1"/>
  <c r="AJ163" i="1" s="1"/>
  <c r="AV92" i="6"/>
  <c r="AI115" i="1"/>
  <c r="AV42" i="5"/>
  <c r="AV46" i="5" s="1"/>
  <c r="AV267" i="4" l="1"/>
  <c r="AV302" i="4"/>
  <c r="AV75" i="7"/>
  <c r="AW260" i="4"/>
  <c r="AI117" i="1"/>
  <c r="J44" i="1"/>
  <c r="AW184" i="4"/>
  <c r="AV70" i="7" l="1"/>
  <c r="AV80" i="7" s="1"/>
  <c r="AV18" i="7" s="1"/>
  <c r="AV76" i="7"/>
  <c r="AV78" i="7" s="1"/>
  <c r="AW73" i="7" s="1"/>
  <c r="AW52" i="4"/>
  <c r="AW136" i="4"/>
  <c r="L44" i="1"/>
  <c r="AW44" i="4" l="1"/>
  <c r="AW138" i="4"/>
  <c r="AW139" i="4" s="1"/>
  <c r="AV25" i="7"/>
  <c r="AV29" i="7" s="1"/>
  <c r="AV26" i="7"/>
  <c r="AW45" i="4" l="1"/>
  <c r="AW140" i="4"/>
  <c r="AW362" i="4"/>
  <c r="AW41" i="4"/>
  <c r="AW46" i="4" s="1"/>
  <c r="AW185" i="4"/>
  <c r="AV30" i="7"/>
  <c r="AV34" i="7" s="1"/>
  <c r="AV21" i="7" s="1"/>
  <c r="AV14" i="7" s="1"/>
  <c r="BC23" i="8" s="1"/>
  <c r="AI128" i="1" s="1"/>
  <c r="AW41" i="5"/>
  <c r="AV32" i="7" l="1"/>
  <c r="AW28" i="7" s="1"/>
  <c r="AI132" i="1"/>
  <c r="Y44" i="1"/>
  <c r="AW53" i="4"/>
  <c r="AW192" i="4"/>
  <c r="AW26" i="9" s="1"/>
  <c r="AW186" i="4"/>
  <c r="AX36" i="4"/>
  <c r="AW90" i="6"/>
  <c r="AK151" i="1"/>
  <c r="AW62" i="6"/>
  <c r="AX126" i="4"/>
  <c r="AW142" i="4"/>
  <c r="AW187" i="4" l="1"/>
  <c r="AW55" i="4" s="1"/>
  <c r="AW54" i="4"/>
  <c r="AJ119" i="1" s="1"/>
  <c r="N45" i="1" s="1"/>
  <c r="AW24" i="6"/>
  <c r="AW189" i="4"/>
  <c r="AW57" i="4"/>
  <c r="AW37" i="5"/>
  <c r="AW122" i="4"/>
  <c r="AX129" i="4"/>
  <c r="AX117" i="4" l="1"/>
  <c r="AX118" i="4"/>
  <c r="AX38" i="4"/>
  <c r="AX26" i="6"/>
  <c r="AX130" i="4"/>
  <c r="AJ116" i="1"/>
  <c r="K45" i="1" s="1"/>
  <c r="AW77" i="6"/>
  <c r="AK148" i="1"/>
  <c r="AK164" i="1" s="1"/>
  <c r="AX49" i="4"/>
  <c r="AJ120" i="1"/>
  <c r="O45" i="1" s="1"/>
  <c r="AX181" i="4"/>
  <c r="AW194" i="4"/>
  <c r="AW63" i="6"/>
  <c r="AW59" i="6" s="1"/>
  <c r="AW62" i="4"/>
  <c r="AW360" i="4"/>
  <c r="AW363" i="4" s="1"/>
  <c r="AW356" i="4"/>
  <c r="AW358" i="4" s="1"/>
  <c r="AW259" i="4"/>
  <c r="AV261" i="4" s="1"/>
  <c r="AW40" i="5"/>
  <c r="AX39" i="4" l="1"/>
  <c r="AX131" i="4"/>
  <c r="AW39" i="5"/>
  <c r="AW27" i="6"/>
  <c r="BD58" i="8"/>
  <c r="AW91" i="6"/>
  <c r="AK150" i="1"/>
  <c r="AX188" i="4"/>
  <c r="AX56" i="4" s="1"/>
  <c r="AX357" i="4" s="1"/>
  <c r="AX133" i="4"/>
  <c r="BD52" i="8" l="1"/>
  <c r="AW29" i="6"/>
  <c r="AW32" i="6" s="1"/>
  <c r="AW69" i="7"/>
  <c r="AW74" i="7" s="1"/>
  <c r="BD43" i="8"/>
  <c r="AW92" i="6"/>
  <c r="AJ115" i="1"/>
  <c r="AK149" i="1"/>
  <c r="AK163" i="1" s="1"/>
  <c r="AW42" i="5"/>
  <c r="AW46" i="5" s="1"/>
  <c r="AX40" i="4"/>
  <c r="AX42" i="4"/>
  <c r="AX119" i="4"/>
  <c r="AX134" i="4"/>
  <c r="AX43" i="4" s="1"/>
  <c r="AX361" i="4"/>
  <c r="AX184" i="4" l="1"/>
  <c r="AJ117" i="1"/>
  <c r="J45" i="1"/>
  <c r="AX260" i="4"/>
  <c r="AW75" i="7"/>
  <c r="AW302" i="4"/>
  <c r="AW267" i="4"/>
  <c r="L45" i="1" l="1"/>
  <c r="AW70" i="7"/>
  <c r="AW80" i="7" s="1"/>
  <c r="AW18" i="7" s="1"/>
  <c r="AW76" i="7"/>
  <c r="AX52" i="4"/>
  <c r="AX136" i="4"/>
  <c r="AW78" i="7" l="1"/>
  <c r="AX73" i="7" s="1"/>
  <c r="AW26" i="7"/>
  <c r="AW25" i="7"/>
  <c r="AW29" i="7" s="1"/>
  <c r="AX44" i="4"/>
  <c r="AX138" i="4"/>
  <c r="AW30" i="7" l="1"/>
  <c r="AW34" i="7" s="1"/>
  <c r="AW21" i="7" s="1"/>
  <c r="AW14" i="7" s="1"/>
  <c r="BD23" i="8" s="1"/>
  <c r="AJ128" i="1" s="1"/>
  <c r="AX41" i="4"/>
  <c r="AX139" i="4"/>
  <c r="AW32" i="7" l="1"/>
  <c r="AX28" i="7" s="1"/>
  <c r="AX45" i="4"/>
  <c r="AX41" i="5" s="1"/>
  <c r="AX140" i="4"/>
  <c r="AX46" i="4"/>
  <c r="AX185" i="4"/>
  <c r="AX362" i="4"/>
  <c r="AJ132" i="1"/>
  <c r="Y45" i="1"/>
  <c r="AX53" i="4" l="1"/>
  <c r="AX186" i="4"/>
  <c r="AX192" i="4"/>
  <c r="AX26" i="9" s="1"/>
  <c r="AY36" i="4"/>
  <c r="AY126" i="4"/>
  <c r="AX62" i="6"/>
  <c r="AX142" i="4"/>
  <c r="AX90" i="6"/>
  <c r="AL151" i="1"/>
  <c r="AY129" i="4" l="1"/>
  <c r="AX54" i="4"/>
  <c r="AK119" i="1" s="1"/>
  <c r="N46" i="1" s="1"/>
  <c r="AX187" i="4"/>
  <c r="AX55" i="4" s="1"/>
  <c r="AX24" i="6"/>
  <c r="AX122" i="4"/>
  <c r="AX37" i="5"/>
  <c r="AX57" i="4"/>
  <c r="AX62" i="4" l="1"/>
  <c r="AX360" i="4"/>
  <c r="AX363" i="4" s="1"/>
  <c r="AX356" i="4"/>
  <c r="AX358" i="4" s="1"/>
  <c r="AX259" i="4"/>
  <c r="AW261" i="4" s="1"/>
  <c r="AX40" i="5"/>
  <c r="AY130" i="4"/>
  <c r="AY38" i="4"/>
  <c r="AY26" i="6"/>
  <c r="AY117" i="4"/>
  <c r="AY131" i="4"/>
  <c r="AY40" i="4" s="1"/>
  <c r="AY118" i="4"/>
  <c r="AY49" i="4"/>
  <c r="AK120" i="1"/>
  <c r="O46" i="1" s="1"/>
  <c r="AX77" i="6"/>
  <c r="AK116" i="1"/>
  <c r="K46" i="1" s="1"/>
  <c r="AL148" i="1"/>
  <c r="AL164" i="1" s="1"/>
  <c r="AX189" i="4"/>
  <c r="AY181" i="4" l="1"/>
  <c r="AX63" i="6"/>
  <c r="AX59" i="6" s="1"/>
  <c r="AX194" i="4"/>
  <c r="BE58" i="8"/>
  <c r="AX91" i="6"/>
  <c r="AL150" i="1"/>
  <c r="AY361" i="4"/>
  <c r="AY119" i="4"/>
  <c r="AY39" i="4"/>
  <c r="AY133" i="4"/>
  <c r="AX39" i="5"/>
  <c r="AX27" i="6"/>
  <c r="BE52" i="8" l="1"/>
  <c r="AX69" i="7"/>
  <c r="AX74" i="7" s="1"/>
  <c r="AX29" i="6"/>
  <c r="AX32" i="6" s="1"/>
  <c r="BE43" i="8"/>
  <c r="AX92" i="6"/>
  <c r="AK115" i="1"/>
  <c r="AL149" i="1"/>
  <c r="AL163" i="1" s="1"/>
  <c r="AX42" i="5"/>
  <c r="AX46" i="5" s="1"/>
  <c r="AY42" i="4"/>
  <c r="AY134" i="4"/>
  <c r="AY43" i="4" s="1"/>
  <c r="AY188" i="4"/>
  <c r="AY56" i="4" s="1"/>
  <c r="AY357" i="4" s="1"/>
  <c r="AX75" i="7" l="1"/>
  <c r="AX302" i="4"/>
  <c r="AX267" i="4"/>
  <c r="AY260" i="4"/>
  <c r="AK117" i="1"/>
  <c r="J46" i="1"/>
  <c r="AY184" i="4"/>
  <c r="L46" i="1" l="1"/>
  <c r="AY52" i="4"/>
  <c r="AY136" i="4"/>
  <c r="AX70" i="7"/>
  <c r="AX80" i="7" s="1"/>
  <c r="AX18" i="7" s="1"/>
  <c r="AX76" i="7"/>
  <c r="AX78" i="7" s="1"/>
  <c r="AY73" i="7" s="1"/>
  <c r="AY44" i="4" l="1"/>
  <c r="AY138" i="4"/>
  <c r="AX25" i="7"/>
  <c r="AX29" i="7" s="1"/>
  <c r="AX26" i="7"/>
  <c r="AY41" i="4" l="1"/>
  <c r="AY139" i="4"/>
  <c r="AY185" i="4" s="1"/>
  <c r="AX30" i="7"/>
  <c r="AX34" i="7" s="1"/>
  <c r="AX21" i="7" s="1"/>
  <c r="AX14" i="7" s="1"/>
  <c r="BE23" i="8" s="1"/>
  <c r="AK128" i="1" s="1"/>
  <c r="AY53" i="4" l="1"/>
  <c r="AY192" i="4"/>
  <c r="AY26" i="9" s="1"/>
  <c r="AY186" i="4"/>
  <c r="AK132" i="1"/>
  <c r="Y46" i="1"/>
  <c r="AX32" i="7"/>
  <c r="AY28" i="7" s="1"/>
  <c r="AY46" i="4"/>
  <c r="AY45" i="4"/>
  <c r="AY41" i="5" s="1"/>
  <c r="AY140" i="4"/>
  <c r="AY362" i="4"/>
  <c r="AZ36" i="4" l="1"/>
  <c r="AY54" i="4"/>
  <c r="AL119" i="1" s="1"/>
  <c r="N47" i="1" s="1"/>
  <c r="AY187" i="4"/>
  <c r="AY55" i="4" s="1"/>
  <c r="AY24" i="6"/>
  <c r="AZ126" i="4"/>
  <c r="AY62" i="6"/>
  <c r="AY142" i="4"/>
  <c r="AM151" i="1"/>
  <c r="AY90" i="6"/>
  <c r="AY37" i="5"/>
  <c r="AY57" i="4"/>
  <c r="AZ49" i="4" s="1"/>
  <c r="AY77" i="6" l="1"/>
  <c r="AL116" i="1"/>
  <c r="K47" i="1" s="1"/>
  <c r="AM148" i="1"/>
  <c r="AM164" i="1" s="1"/>
  <c r="AY356" i="4"/>
  <c r="AY358" i="4" s="1"/>
  <c r="AY259" i="4"/>
  <c r="AX261" i="4" s="1"/>
  <c r="AY40" i="5"/>
  <c r="AL120" i="1"/>
  <c r="O47" i="1" s="1"/>
  <c r="AY122" i="4"/>
  <c r="AY157" i="4"/>
  <c r="AY158" i="4" s="1"/>
  <c r="AY23" i="9" s="1"/>
  <c r="BF58" i="8"/>
  <c r="AZ129" i="4"/>
  <c r="AY189" i="4"/>
  <c r="AZ38" i="4" l="1"/>
  <c r="AZ26" i="6"/>
  <c r="AZ118" i="4"/>
  <c r="AZ117" i="4"/>
  <c r="AZ130" i="4"/>
  <c r="AY63" i="6"/>
  <c r="AY59" i="6" s="1"/>
  <c r="AZ181" i="4"/>
  <c r="AY194" i="4"/>
  <c r="AM150" i="1"/>
  <c r="AY91" i="6"/>
  <c r="AY62" i="4"/>
  <c r="AY360" i="4"/>
  <c r="AY363" i="4" s="1"/>
  <c r="AZ39" i="4" l="1"/>
  <c r="AZ188" i="4"/>
  <c r="AZ56" i="4" s="1"/>
  <c r="AZ357" i="4" s="1"/>
  <c r="AY39" i="5"/>
  <c r="AY27" i="6"/>
  <c r="AZ131" i="4"/>
  <c r="AZ361" i="4" s="1"/>
  <c r="AZ133" i="4"/>
  <c r="BF52" i="8" l="1"/>
  <c r="AY69" i="7"/>
  <c r="AY74" i="7" s="1"/>
  <c r="AY29" i="6"/>
  <c r="AY32" i="6" s="1"/>
  <c r="BF43" i="8"/>
  <c r="AY92" i="6"/>
  <c r="AL115" i="1"/>
  <c r="AM149" i="1"/>
  <c r="AM163" i="1" s="1"/>
  <c r="AY42" i="5"/>
  <c r="AY46" i="5" s="1"/>
  <c r="AZ42" i="4"/>
  <c r="AZ40" i="4"/>
  <c r="AZ134" i="4"/>
  <c r="AZ43" i="4" s="1"/>
  <c r="AZ119" i="4"/>
  <c r="AY267" i="4" l="1"/>
  <c r="AY302" i="4"/>
  <c r="AL117" i="1"/>
  <c r="J47" i="1"/>
  <c r="AZ184" i="4"/>
  <c r="AY75" i="7"/>
  <c r="AZ260" i="4"/>
  <c r="AY70" i="7" l="1"/>
  <c r="AY80" i="7" s="1"/>
  <c r="AY18" i="7" s="1"/>
  <c r="AY76" i="7"/>
  <c r="AY78" i="7" s="1"/>
  <c r="AZ73" i="7" s="1"/>
  <c r="L47" i="1"/>
  <c r="AZ52" i="4"/>
  <c r="AZ136" i="4"/>
  <c r="AZ44" i="4" l="1"/>
  <c r="AZ138" i="4"/>
  <c r="AZ362" i="4" s="1"/>
  <c r="AZ139" i="4"/>
  <c r="AY26" i="7"/>
  <c r="AY25" i="7"/>
  <c r="AY29" i="7" s="1"/>
  <c r="AZ45" i="4" l="1"/>
  <c r="AZ140" i="4"/>
  <c r="AZ185" i="4"/>
  <c r="AZ41" i="4"/>
  <c r="AZ46" i="4" s="1"/>
  <c r="AY30" i="7"/>
  <c r="AY34" i="7" s="1"/>
  <c r="AY21" i="7" s="1"/>
  <c r="AY14" i="7" s="1"/>
  <c r="BF23" i="8" s="1"/>
  <c r="AL128" i="1" s="1"/>
  <c r="AZ41" i="5"/>
  <c r="AL132" i="1" l="1"/>
  <c r="Y47" i="1"/>
  <c r="BA36" i="4"/>
  <c r="AZ90" i="6"/>
  <c r="AN151" i="1"/>
  <c r="AZ53" i="4"/>
  <c r="AZ192" i="4"/>
  <c r="AZ26" i="9" s="1"/>
  <c r="AZ186" i="4"/>
  <c r="AZ62" i="6"/>
  <c r="BA126" i="4"/>
  <c r="AZ142" i="4"/>
  <c r="AY32" i="7"/>
  <c r="AZ28" i="7" s="1"/>
  <c r="AZ37" i="5" l="1"/>
  <c r="AZ157" i="4"/>
  <c r="AZ158" i="4" s="1"/>
  <c r="AZ23" i="9" s="1"/>
  <c r="AZ122" i="4"/>
  <c r="BA129" i="4"/>
  <c r="AZ54" i="4"/>
  <c r="AM119" i="1" s="1"/>
  <c r="N48" i="1" s="1"/>
  <c r="AZ187" i="4"/>
  <c r="AZ55" i="4" s="1"/>
  <c r="AZ24" i="6"/>
  <c r="AZ189" i="4"/>
  <c r="AZ63" i="6" l="1"/>
  <c r="AZ59" i="6" s="1"/>
  <c r="BA181" i="4"/>
  <c r="AZ194" i="4"/>
  <c r="AZ62" i="4"/>
  <c r="AZ360" i="4"/>
  <c r="AZ363" i="4" s="1"/>
  <c r="AZ356" i="4"/>
  <c r="AZ358" i="4" s="1"/>
  <c r="AZ40" i="5"/>
  <c r="AZ259" i="4"/>
  <c r="AY261" i="4" s="1"/>
  <c r="BA130" i="4"/>
  <c r="BA26" i="6"/>
  <c r="BA38" i="4"/>
  <c r="BA118" i="4"/>
  <c r="BA117" i="4"/>
  <c r="BA131" i="4"/>
  <c r="BA40" i="4" s="1"/>
  <c r="AZ57" i="4"/>
  <c r="AN148" i="1"/>
  <c r="AN164" i="1" s="1"/>
  <c r="AM116" i="1"/>
  <c r="K48" i="1" s="1"/>
  <c r="AZ77" i="6"/>
  <c r="BA361" i="4" l="1"/>
  <c r="BA119" i="4"/>
  <c r="BA39" i="4"/>
  <c r="AZ39" i="5"/>
  <c r="AZ27" i="6"/>
  <c r="BA49" i="4"/>
  <c r="AM120" i="1"/>
  <c r="O48" i="1" s="1"/>
  <c r="AN150" i="1"/>
  <c r="AZ91" i="6"/>
  <c r="BA188" i="4"/>
  <c r="BA56" i="4" s="1"/>
  <c r="BA357" i="4" s="1"/>
  <c r="BA133" i="4"/>
  <c r="BG58" i="8" l="1"/>
  <c r="BA184" i="4"/>
  <c r="BA42" i="4"/>
  <c r="BG52" i="8"/>
  <c r="BG43" i="8"/>
  <c r="AZ69" i="7"/>
  <c r="AZ74" i="7" s="1"/>
  <c r="AZ29" i="6"/>
  <c r="AZ32" i="6" s="1"/>
  <c r="AN149" i="1"/>
  <c r="AN163" i="1" s="1"/>
  <c r="AM115" i="1"/>
  <c r="AZ92" i="6"/>
  <c r="AZ42" i="5"/>
  <c r="AZ46" i="5" s="1"/>
  <c r="BA134" i="4"/>
  <c r="BA43" i="4" s="1"/>
  <c r="AZ75" i="7" l="1"/>
  <c r="AZ267" i="4"/>
  <c r="AZ302" i="4"/>
  <c r="BA260" i="4"/>
  <c r="BA136" i="4"/>
  <c r="BA52" i="4"/>
  <c r="AM117" i="1"/>
  <c r="J48" i="1"/>
  <c r="BA44" i="4" l="1"/>
  <c r="AZ70" i="7"/>
  <c r="AZ80" i="7" s="1"/>
  <c r="AZ18" i="7" s="1"/>
  <c r="AZ76" i="7"/>
  <c r="AZ78" i="7" s="1"/>
  <c r="BA73" i="7" s="1"/>
  <c r="BA138" i="4"/>
  <c r="L48" i="1"/>
  <c r="BA41" i="4" l="1"/>
  <c r="AZ25" i="7"/>
  <c r="AZ29" i="7" s="1"/>
  <c r="AZ26" i="7"/>
  <c r="BA139" i="4"/>
  <c r="BA45" i="4" s="1"/>
  <c r="BA41" i="5" s="1"/>
  <c r="AO151" i="1" l="1"/>
  <c r="BA90" i="6"/>
  <c r="BA140" i="4"/>
  <c r="BA46" i="4"/>
  <c r="BA362" i="4"/>
  <c r="BA185" i="4"/>
  <c r="AZ30" i="7"/>
  <c r="AZ34" i="7" s="1"/>
  <c r="AZ21" i="7" s="1"/>
  <c r="AZ14" i="7" s="1"/>
  <c r="BG23" i="8" s="1"/>
  <c r="AM128" i="1" s="1"/>
  <c r="AM132" i="1" l="1"/>
  <c r="Y48" i="1"/>
  <c r="BB126" i="4"/>
  <c r="BA62" i="6"/>
  <c r="BA142" i="4"/>
  <c r="AZ32" i="7"/>
  <c r="BA28" i="7" s="1"/>
  <c r="BA53" i="4"/>
  <c r="BA192" i="4"/>
  <c r="BA26" i="9" s="1"/>
  <c r="BA186" i="4"/>
  <c r="BB36" i="4"/>
  <c r="BA157" i="4" l="1"/>
  <c r="BA158" i="4" s="1"/>
  <c r="BA23" i="9" s="1"/>
  <c r="BA122" i="4"/>
  <c r="BA54" i="4"/>
  <c r="BA187" i="4"/>
  <c r="BA55" i="4" s="1"/>
  <c r="BA24" i="6"/>
  <c r="BB129" i="4"/>
  <c r="BA189" i="4"/>
  <c r="BA37" i="5"/>
  <c r="BA57" i="4"/>
  <c r="BB38" i="4" l="1"/>
  <c r="BB26" i="6"/>
  <c r="BB118" i="4"/>
  <c r="BB117" i="4"/>
  <c r="BB130" i="4"/>
  <c r="BB131" i="4"/>
  <c r="BB40" i="4" s="1"/>
  <c r="BA356" i="4"/>
  <c r="BA358" i="4" s="1"/>
  <c r="BA40" i="5"/>
  <c r="BA259" i="4"/>
  <c r="AZ261" i="4" s="1"/>
  <c r="BB49" i="4"/>
  <c r="AN120" i="1"/>
  <c r="O49" i="1" s="1"/>
  <c r="AN119" i="1"/>
  <c r="N49" i="1" s="1"/>
  <c r="AN116" i="1"/>
  <c r="K49" i="1" s="1"/>
  <c r="BA77" i="6"/>
  <c r="AO148" i="1"/>
  <c r="AO164" i="1" s="1"/>
  <c r="BA194" i="4"/>
  <c r="BB181" i="4"/>
  <c r="BA63" i="6"/>
  <c r="BA59" i="6" s="1"/>
  <c r="BA360" i="4"/>
  <c r="BA363" i="4" s="1"/>
  <c r="BA62" i="4"/>
  <c r="BB133" i="4"/>
  <c r="BH58" i="8" l="1"/>
  <c r="BB188" i="4"/>
  <c r="BB56" i="4" s="1"/>
  <c r="BB357" i="4" s="1"/>
  <c r="BB361" i="4"/>
  <c r="BB39" i="4"/>
  <c r="BB119" i="4"/>
  <c r="BA91" i="6"/>
  <c r="AO150" i="1"/>
  <c r="BB42" i="4"/>
  <c r="BB184" i="4"/>
  <c r="BA39" i="5"/>
  <c r="BA27" i="6"/>
  <c r="BB134" i="4"/>
  <c r="BB43" i="4" s="1"/>
  <c r="BH52" i="8" l="1"/>
  <c r="BA29" i="6"/>
  <c r="BA32" i="6" s="1"/>
  <c r="BA69" i="7"/>
  <c r="BA74" i="7" s="1"/>
  <c r="BH43" i="8"/>
  <c r="BB52" i="4"/>
  <c r="BB136" i="4"/>
  <c r="BB44" i="4" s="1"/>
  <c r="BB260" i="4"/>
  <c r="BA92" i="6"/>
  <c r="AO149" i="1"/>
  <c r="AO163" i="1" s="1"/>
  <c r="AN115" i="1"/>
  <c r="BA42" i="5"/>
  <c r="BA46" i="5" s="1"/>
  <c r="AN117" i="1" l="1"/>
  <c r="J49" i="1"/>
  <c r="BA75" i="7"/>
  <c r="BA302" i="4"/>
  <c r="BA267" i="4"/>
  <c r="BB138" i="4"/>
  <c r="BB41" i="4" l="1"/>
  <c r="BB139" i="4"/>
  <c r="L49" i="1"/>
  <c r="BA70" i="7"/>
  <c r="BA80" i="7" s="1"/>
  <c r="BA18" i="7" s="1"/>
  <c r="BA76" i="7"/>
  <c r="BB45" i="4" l="1"/>
  <c r="BB41" i="5" s="1"/>
  <c r="BB140" i="4"/>
  <c r="BB362" i="4"/>
  <c r="BB46" i="4"/>
  <c r="BB185" i="4"/>
  <c r="BA26" i="7"/>
  <c r="BA25" i="7"/>
  <c r="BA29" i="7" s="1"/>
  <c r="BA78" i="7"/>
  <c r="BB73" i="7" s="1"/>
  <c r="BB53" i="4" l="1"/>
  <c r="BB186" i="4"/>
  <c r="BB192" i="4"/>
  <c r="BB26" i="9" s="1"/>
  <c r="BC36" i="4"/>
  <c r="BC126" i="4"/>
  <c r="BB62" i="6"/>
  <c r="BB142" i="4"/>
  <c r="BA30" i="7"/>
  <c r="BA34" i="7" s="1"/>
  <c r="BA21" i="7" s="1"/>
  <c r="BA14" i="7" s="1"/>
  <c r="BH23" i="8" s="1"/>
  <c r="AN128" i="1" s="1"/>
  <c r="AP151" i="1"/>
  <c r="BB90" i="6"/>
  <c r="BC129" i="4" l="1"/>
  <c r="BA32" i="7"/>
  <c r="BB28" i="7" s="1"/>
  <c r="AN132" i="1"/>
  <c r="Y49" i="1"/>
  <c r="BB187" i="4"/>
  <c r="BB55" i="4" s="1"/>
  <c r="BB54" i="4"/>
  <c r="AO119" i="1" s="1"/>
  <c r="N50" i="1" s="1"/>
  <c r="BB24" i="6"/>
  <c r="BB122" i="4"/>
  <c r="BB157" i="4"/>
  <c r="BB158" i="4" s="1"/>
  <c r="BB23" i="9" s="1"/>
  <c r="BB37" i="5"/>
  <c r="BB356" i="4" l="1"/>
  <c r="BB358" i="4" s="1"/>
  <c r="BB40" i="5"/>
  <c r="BB259" i="4"/>
  <c r="BA261" i="4" s="1"/>
  <c r="BB77" i="6"/>
  <c r="AO116" i="1"/>
  <c r="K50" i="1" s="1"/>
  <c r="AP148" i="1"/>
  <c r="AP164" i="1" s="1"/>
  <c r="BC130" i="4"/>
  <c r="BC118" i="4"/>
  <c r="BC131" i="4"/>
  <c r="BC40" i="4" s="1"/>
  <c r="BC38" i="4"/>
  <c r="BC26" i="6"/>
  <c r="BC117" i="4"/>
  <c r="BB57" i="4"/>
  <c r="BB62" i="4"/>
  <c r="BB360" i="4"/>
  <c r="BB363" i="4" s="1"/>
  <c r="BC133" i="4"/>
  <c r="BB189" i="4"/>
  <c r="BC49" i="4" l="1"/>
  <c r="AO120" i="1"/>
  <c r="O50" i="1" s="1"/>
  <c r="BC42" i="4"/>
  <c r="BB39" i="5"/>
  <c r="BB27" i="6"/>
  <c r="AP150" i="1"/>
  <c r="BB91" i="6"/>
  <c r="BC39" i="4"/>
  <c r="BC119" i="4"/>
  <c r="BC361" i="4"/>
  <c r="BB194" i="4"/>
  <c r="BB63" i="6"/>
  <c r="BB59" i="6" s="1"/>
  <c r="BC181" i="4"/>
  <c r="BC134" i="4"/>
  <c r="BC43" i="4" s="1"/>
  <c r="BC188" i="4" l="1"/>
  <c r="BC56" i="4" s="1"/>
  <c r="BC357" i="4" s="1"/>
  <c r="BC184" i="4"/>
  <c r="BI52" i="8"/>
  <c r="BB29" i="6"/>
  <c r="BB32" i="6" s="1"/>
  <c r="BI43" i="8"/>
  <c r="BB69" i="7"/>
  <c r="BB74" i="7" s="1"/>
  <c r="BB92" i="6"/>
  <c r="AO115" i="1"/>
  <c r="AP149" i="1"/>
  <c r="BB42" i="5"/>
  <c r="BB46" i="5" s="1"/>
  <c r="BI58" i="8"/>
  <c r="AP163" i="1"/>
  <c r="BB75" i="7" l="1"/>
  <c r="BB302" i="4"/>
  <c r="BB267" i="4"/>
  <c r="BC260" i="4"/>
  <c r="AO117" i="1"/>
  <c r="J50" i="1"/>
  <c r="BC136" i="4"/>
  <c r="BC52" i="4"/>
  <c r="L50" i="1" l="1"/>
  <c r="BB70" i="7"/>
  <c r="BB80" i="7" s="1"/>
  <c r="BB18" i="7" s="1"/>
  <c r="BB76" i="7"/>
  <c r="BC44" i="4"/>
  <c r="BC138" i="4"/>
  <c r="BB25" i="7" l="1"/>
  <c r="BB29" i="7" s="1"/>
  <c r="BB26" i="7"/>
  <c r="BB78" i="7"/>
  <c r="BC73" i="7" s="1"/>
  <c r="BC41" i="4"/>
  <c r="BC46" i="4" s="1"/>
  <c r="BC139" i="4"/>
  <c r="BC45" i="4" s="1"/>
  <c r="BC41" i="5" s="1"/>
  <c r="AQ151" i="1" l="1"/>
  <c r="BC90" i="6"/>
  <c r="BD36" i="4"/>
  <c r="BC362" i="4"/>
  <c r="BB30" i="7"/>
  <c r="BB34" i="7" s="1"/>
  <c r="BB21" i="7" s="1"/>
  <c r="BB14" i="7" s="1"/>
  <c r="BI23" i="8" s="1"/>
  <c r="AO128" i="1" s="1"/>
  <c r="BC185" i="4"/>
  <c r="BC140" i="4"/>
  <c r="AO132" i="1" l="1"/>
  <c r="Y50" i="1"/>
  <c r="BC62" i="6"/>
  <c r="BD126" i="4"/>
  <c r="BC142" i="4"/>
  <c r="BC53" i="4"/>
  <c r="BC186" i="4"/>
  <c r="BC192" i="4"/>
  <c r="BC26" i="9" s="1"/>
  <c r="BB32" i="7"/>
  <c r="BC28" i="7" s="1"/>
  <c r="BC157" i="4" l="1"/>
  <c r="BC158" i="4" s="1"/>
  <c r="BC23" i="9" s="1"/>
  <c r="BC122" i="4"/>
  <c r="BC54" i="4"/>
  <c r="AP119" i="1" s="1"/>
  <c r="N51" i="1" s="1"/>
  <c r="BC187" i="4"/>
  <c r="BC55" i="4" s="1"/>
  <c r="BC24" i="6"/>
  <c r="BD129" i="4"/>
  <c r="BC37" i="5"/>
  <c r="BC356" i="4" l="1"/>
  <c r="BC358" i="4" s="1"/>
  <c r="BC259" i="4"/>
  <c r="BB261" i="4" s="1"/>
  <c r="BC40" i="5"/>
  <c r="BC360" i="4"/>
  <c r="BC363" i="4" s="1"/>
  <c r="BC62" i="4"/>
  <c r="BC77" i="6"/>
  <c r="AP116" i="1"/>
  <c r="K51" i="1" s="1"/>
  <c r="AQ148" i="1"/>
  <c r="AQ164" i="1" s="1"/>
  <c r="BD26" i="6"/>
  <c r="BD130" i="4"/>
  <c r="BD38" i="4"/>
  <c r="BD118" i="4"/>
  <c r="BD117" i="4"/>
  <c r="BC57" i="4"/>
  <c r="BC189" i="4"/>
  <c r="AQ150" i="1" l="1"/>
  <c r="BC91" i="6"/>
  <c r="BD39" i="4"/>
  <c r="BD361" i="4"/>
  <c r="BD119" i="4"/>
  <c r="BD133" i="4"/>
  <c r="BD49" i="4"/>
  <c r="AP120" i="1"/>
  <c r="O51" i="1" s="1"/>
  <c r="BD181" i="4"/>
  <c r="BC63" i="6"/>
  <c r="BC59" i="6" s="1"/>
  <c r="BC194" i="4"/>
  <c r="BD131" i="4"/>
  <c r="BD40" i="4" s="1"/>
  <c r="BC39" i="5"/>
  <c r="BC27" i="6"/>
  <c r="BD42" i="4" l="1"/>
  <c r="BJ52" i="8"/>
  <c r="BC69" i="7"/>
  <c r="BC74" i="7" s="1"/>
  <c r="BC29" i="6"/>
  <c r="BC32" i="6" s="1"/>
  <c r="BJ43" i="8"/>
  <c r="BD188" i="4"/>
  <c r="BD56" i="4" s="1"/>
  <c r="BD357" i="4" s="1"/>
  <c r="AQ149" i="1"/>
  <c r="AQ163" i="1" s="1"/>
  <c r="AP115" i="1"/>
  <c r="BC92" i="6"/>
  <c r="BC42" i="5"/>
  <c r="BC46" i="5" s="1"/>
  <c r="BD134" i="4"/>
  <c r="BD43" i="4" s="1"/>
  <c r="BJ58" i="8"/>
  <c r="BC302" i="4" l="1"/>
  <c r="BC267" i="4"/>
  <c r="BC75" i="7"/>
  <c r="BD184" i="4"/>
  <c r="AP117" i="1"/>
  <c r="J51" i="1"/>
  <c r="BD260" i="4"/>
  <c r="BC70" i="7" l="1"/>
  <c r="BC80" i="7" s="1"/>
  <c r="BC18" i="7" s="1"/>
  <c r="BC76" i="7"/>
  <c r="BD136" i="4"/>
  <c r="BD52" i="4"/>
  <c r="L51" i="1"/>
  <c r="BD44" i="4" l="1"/>
  <c r="BD138" i="4"/>
  <c r="BC25" i="7"/>
  <c r="BC29" i="7" s="1"/>
  <c r="BC26" i="7"/>
  <c r="BC78" i="7"/>
  <c r="BD73" i="7" s="1"/>
  <c r="BC30" i="7" l="1"/>
  <c r="BC34" i="7" s="1"/>
  <c r="BC21" i="7" s="1"/>
  <c r="BC14" i="7" s="1"/>
  <c r="BJ23" i="8" s="1"/>
  <c r="AP128" i="1" s="1"/>
  <c r="BD41" i="4"/>
  <c r="BD185" i="4"/>
  <c r="BD139" i="4"/>
  <c r="BD53" i="4" l="1"/>
  <c r="BD192" i="4"/>
  <c r="BD26" i="9" s="1"/>
  <c r="BD186" i="4"/>
  <c r="BD46" i="4"/>
  <c r="AP132" i="1"/>
  <c r="Y51" i="1"/>
  <c r="BC32" i="7"/>
  <c r="BD28" i="7" s="1"/>
  <c r="BD45" i="4"/>
  <c r="BD41" i="5" s="1"/>
  <c r="BD140" i="4"/>
  <c r="BD362" i="4"/>
  <c r="BE36" i="4" l="1"/>
  <c r="BD54" i="4"/>
  <c r="BD187" i="4"/>
  <c r="BD55" i="4" s="1"/>
  <c r="BD24" i="6"/>
  <c r="BE126" i="4"/>
  <c r="BD62" i="6"/>
  <c r="BD142" i="4"/>
  <c r="AR151" i="1"/>
  <c r="BD90" i="6"/>
  <c r="BD37" i="5"/>
  <c r="BD57" i="4"/>
  <c r="BE49" i="4" s="1"/>
  <c r="BD77" i="6" l="1"/>
  <c r="AR148" i="1"/>
  <c r="AR164" i="1" s="1"/>
  <c r="AQ116" i="1"/>
  <c r="K52" i="1" s="1"/>
  <c r="BE129" i="4"/>
  <c r="AQ119" i="1"/>
  <c r="N52" i="1" s="1"/>
  <c r="BD157" i="4"/>
  <c r="BD158" i="4" s="1"/>
  <c r="BD23" i="9" s="1"/>
  <c r="BD122" i="4"/>
  <c r="BK58" i="8"/>
  <c r="BD356" i="4"/>
  <c r="BD358" i="4" s="1"/>
  <c r="BD40" i="5"/>
  <c r="BD259" i="4"/>
  <c r="BC261" i="4" s="1"/>
  <c r="AQ120" i="1"/>
  <c r="O52" i="1" s="1"/>
  <c r="BD189" i="4"/>
  <c r="BD62" i="4" l="1"/>
  <c r="BD360" i="4"/>
  <c r="BD363" i="4" s="1"/>
  <c r="BE130" i="4"/>
  <c r="BE38" i="4"/>
  <c r="BE26" i="6"/>
  <c r="BE118" i="4"/>
  <c r="BE131" i="4"/>
  <c r="BE40" i="4" s="1"/>
  <c r="BE117" i="4"/>
  <c r="AR150" i="1"/>
  <c r="BD91" i="6"/>
  <c r="BE181" i="4"/>
  <c r="BD63" i="6"/>
  <c r="BD59" i="6" s="1"/>
  <c r="BD194" i="4"/>
  <c r="BE188" i="4"/>
  <c r="BE56" i="4" s="1"/>
  <c r="BE357" i="4" s="1"/>
  <c r="BE119" i="4" l="1"/>
  <c r="BE39" i="4"/>
  <c r="BE361" i="4"/>
  <c r="BE134" i="4"/>
  <c r="BE43" i="4" s="1"/>
  <c r="BD39" i="5"/>
  <c r="BD27" i="6"/>
  <c r="BE133" i="4"/>
  <c r="BD92" i="6" l="1"/>
  <c r="AR149" i="1"/>
  <c r="AR163" i="1" s="1"/>
  <c r="AQ115" i="1"/>
  <c r="BD42" i="5"/>
  <c r="BD46" i="5" s="1"/>
  <c r="BK52" i="8"/>
  <c r="BD69" i="7"/>
  <c r="BD74" i="7" s="1"/>
  <c r="BD29" i="6"/>
  <c r="BD32" i="6" s="1"/>
  <c r="BK43" i="8"/>
  <c r="BE42" i="4"/>
  <c r="BE184" i="4"/>
  <c r="BD302" i="4" l="1"/>
  <c r="BD267" i="4"/>
  <c r="BE260" i="4"/>
  <c r="AQ117" i="1"/>
  <c r="J52" i="1"/>
  <c r="BE136" i="4"/>
  <c r="BE52" i="4"/>
  <c r="BD75" i="7"/>
  <c r="BD70" i="7" l="1"/>
  <c r="BD80" i="7" s="1"/>
  <c r="BD18" i="7" s="1"/>
  <c r="BD76" i="7"/>
  <c r="BD78" i="7" s="1"/>
  <c r="BE73" i="7" s="1"/>
  <c r="BE44" i="4"/>
  <c r="BE138" i="4"/>
  <c r="L52" i="1"/>
  <c r="BE41" i="4" l="1"/>
  <c r="BE139" i="4"/>
  <c r="BE362" i="4" s="1"/>
  <c r="BD25" i="7"/>
  <c r="BD29" i="7" s="1"/>
  <c r="BD26" i="7"/>
  <c r="BE185" i="4" l="1"/>
  <c r="BE45" i="4"/>
  <c r="BE41" i="5" s="1"/>
  <c r="BE140" i="4"/>
  <c r="BD30" i="7"/>
  <c r="BD34" i="7" s="1"/>
  <c r="BD21" i="7" s="1"/>
  <c r="BD14" i="7" s="1"/>
  <c r="BK23" i="8" s="1"/>
  <c r="AQ128" i="1" s="1"/>
  <c r="BD32" i="7" l="1"/>
  <c r="BE28" i="7" s="1"/>
  <c r="BF126" i="4"/>
  <c r="BE62" i="6"/>
  <c r="BE142" i="4"/>
  <c r="AS151" i="1"/>
  <c r="BE90" i="6"/>
  <c r="BE46" i="4"/>
  <c r="AQ132" i="1"/>
  <c r="Y52" i="1"/>
  <c r="BE53" i="4"/>
  <c r="BE192" i="4"/>
  <c r="BE26" i="9" s="1"/>
  <c r="BE186" i="4"/>
  <c r="BE122" i="4" l="1"/>
  <c r="BE157" i="4"/>
  <c r="BE158" i="4" s="1"/>
  <c r="BE23" i="9" s="1"/>
  <c r="BE54" i="4"/>
  <c r="AR119" i="1" s="1"/>
  <c r="N53" i="1" s="1"/>
  <c r="BE187" i="4"/>
  <c r="BE55" i="4" s="1"/>
  <c r="BE24" i="6"/>
  <c r="BE189" i="4"/>
  <c r="BF129" i="4"/>
  <c r="BE37" i="5"/>
  <c r="BE57" i="4"/>
  <c r="BF49" i="4" s="1"/>
  <c r="BF36" i="4"/>
  <c r="AS148" i="1" l="1"/>
  <c r="AS164" i="1" s="1"/>
  <c r="AR116" i="1"/>
  <c r="K53" i="1" s="1"/>
  <c r="BE77" i="6"/>
  <c r="BF181" i="4"/>
  <c r="BE194" i="4"/>
  <c r="BE63" i="6"/>
  <c r="BE59" i="6" s="1"/>
  <c r="BF188" i="4"/>
  <c r="BF56" i="4" s="1"/>
  <c r="BF357" i="4" s="1"/>
  <c r="BF130" i="4"/>
  <c r="BF117" i="4"/>
  <c r="BF26" i="6"/>
  <c r="BF131" i="4"/>
  <c r="BF40" i="4" s="1"/>
  <c r="BF38" i="4"/>
  <c r="BF118" i="4"/>
  <c r="BE356" i="4"/>
  <c r="BE358" i="4" s="1"/>
  <c r="BE40" i="5"/>
  <c r="BE259" i="4"/>
  <c r="BD261" i="4" s="1"/>
  <c r="AR120" i="1"/>
  <c r="O53" i="1" s="1"/>
  <c r="BL58" i="8"/>
  <c r="BE360" i="4"/>
  <c r="BE363" i="4" s="1"/>
  <c r="BE62" i="4"/>
  <c r="BE91" i="6" l="1"/>
  <c r="AS150" i="1"/>
  <c r="BF39" i="4"/>
  <c r="BF361" i="4"/>
  <c r="BF119" i="4"/>
  <c r="BE39" i="5"/>
  <c r="BE27" i="6"/>
  <c r="BF133" i="4"/>
  <c r="BF134" i="4" s="1"/>
  <c r="BF43" i="4" s="1"/>
  <c r="BF184" i="4" l="1"/>
  <c r="BF42" i="4"/>
  <c r="AR115" i="1"/>
  <c r="BE92" i="6"/>
  <c r="AS149" i="1"/>
  <c r="AS163" i="1" s="1"/>
  <c r="BE42" i="5"/>
  <c r="BE46" i="5" s="1"/>
  <c r="BL52" i="8"/>
  <c r="BE69" i="7"/>
  <c r="BE74" i="7" s="1"/>
  <c r="BE29" i="6"/>
  <c r="BE32" i="6" s="1"/>
  <c r="BL43" i="8"/>
  <c r="BF136" i="4" l="1"/>
  <c r="BF52" i="4"/>
  <c r="BF260" i="4"/>
  <c r="BE302" i="4"/>
  <c r="BE267" i="4"/>
  <c r="AR117" i="1"/>
  <c r="J53" i="1"/>
  <c r="BE75" i="7"/>
  <c r="BE70" i="7" l="1"/>
  <c r="BE80" i="7" s="1"/>
  <c r="BE18" i="7" s="1"/>
  <c r="BE76" i="7"/>
  <c r="BE78" i="7" s="1"/>
  <c r="BF73" i="7" s="1"/>
  <c r="L53" i="1"/>
  <c r="BF44" i="4"/>
  <c r="BF139" i="4"/>
  <c r="BF45" i="4" s="1"/>
  <c r="BF138" i="4"/>
  <c r="BF140" i="4" l="1"/>
  <c r="BF362" i="4"/>
  <c r="BF41" i="4"/>
  <c r="BF46" i="4" s="1"/>
  <c r="BF185" i="4"/>
  <c r="BF41" i="5"/>
  <c r="BE26" i="7"/>
  <c r="BE25" i="7"/>
  <c r="BE29" i="7" s="1"/>
  <c r="AT151" i="1" l="1"/>
  <c r="BF90" i="6"/>
  <c r="BF62" i="6"/>
  <c r="BG126" i="4"/>
  <c r="BF142" i="4"/>
  <c r="BF53" i="4"/>
  <c r="BF186" i="4"/>
  <c r="BF192" i="4"/>
  <c r="BF26" i="9" s="1"/>
  <c r="BE30" i="7"/>
  <c r="BE34" i="7" s="1"/>
  <c r="BE21" i="7" s="1"/>
  <c r="BE14" i="7" s="1"/>
  <c r="BL23" i="8" s="1"/>
  <c r="AR128" i="1" s="1"/>
  <c r="BG36" i="4"/>
  <c r="BF122" i="4" l="1"/>
  <c r="BF157" i="4"/>
  <c r="BF158" i="4" s="1"/>
  <c r="BF23" i="9" s="1"/>
  <c r="BF37" i="5"/>
  <c r="BF57" i="4"/>
  <c r="BE32" i="7"/>
  <c r="BF28" i="7" s="1"/>
  <c r="BG129" i="4"/>
  <c r="AR132" i="1"/>
  <c r="Y53" i="1"/>
  <c r="BF187" i="4"/>
  <c r="BF55" i="4" s="1"/>
  <c r="BF54" i="4"/>
  <c r="AS119" i="1" s="1"/>
  <c r="N54" i="1" s="1"/>
  <c r="BF24" i="6"/>
  <c r="AS116" i="1" l="1"/>
  <c r="K54" i="1" s="1"/>
  <c r="BF77" i="6"/>
  <c r="AT148" i="1"/>
  <c r="AT164" i="1" s="1"/>
  <c r="BG26" i="6"/>
  <c r="BG118" i="4"/>
  <c r="BG130" i="4"/>
  <c r="BG38" i="4"/>
  <c r="BG131" i="4"/>
  <c r="BG40" i="4" s="1"/>
  <c r="BG117" i="4"/>
  <c r="BF356" i="4"/>
  <c r="BF358" i="4" s="1"/>
  <c r="BF40" i="5"/>
  <c r="BF259" i="4"/>
  <c r="BE261" i="4" s="1"/>
  <c r="BG49" i="4"/>
  <c r="AS120" i="1"/>
  <c r="O54" i="1" s="1"/>
  <c r="BG133" i="4"/>
  <c r="BF360" i="4"/>
  <c r="BF363" i="4" s="1"/>
  <c r="BF62" i="4"/>
  <c r="BF189" i="4"/>
  <c r="BG42" i="4" l="1"/>
  <c r="BG39" i="4"/>
  <c r="BG361" i="4"/>
  <c r="BG119" i="4"/>
  <c r="BF63" i="6"/>
  <c r="BF59" i="6" s="1"/>
  <c r="BG181" i="4"/>
  <c r="BF194" i="4"/>
  <c r="BG188" i="4"/>
  <c r="BG56" i="4" s="1"/>
  <c r="BG357" i="4" s="1"/>
  <c r="AT150" i="1"/>
  <c r="BF91" i="6"/>
  <c r="BM58" i="8"/>
  <c r="BF39" i="5"/>
  <c r="BF27" i="6"/>
  <c r="BF365" i="4"/>
  <c r="BG134" i="4"/>
  <c r="BG43" i="4" s="1"/>
  <c r="AS115" i="1" l="1"/>
  <c r="AT149" i="1"/>
  <c r="AT163" i="1" s="1"/>
  <c r="BF92" i="6"/>
  <c r="BF42" i="5"/>
  <c r="BF46" i="5" s="1"/>
  <c r="BG260" i="4"/>
  <c r="BM52" i="8"/>
  <c r="BF29" i="6"/>
  <c r="BF32" i="6" s="1"/>
  <c r="BM43" i="8"/>
  <c r="BF69" i="7"/>
  <c r="BF74" i="7" s="1"/>
  <c r="BG184" i="4"/>
  <c r="BF267" i="4" l="1"/>
  <c r="BF302" i="4"/>
  <c r="BF75" i="7"/>
  <c r="AS117" i="1"/>
  <c r="J54" i="1"/>
  <c r="BG52" i="4"/>
  <c r="BG136" i="4"/>
  <c r="BF70" i="7" l="1"/>
  <c r="BF80" i="7" s="1"/>
  <c r="BF18" i="7" s="1"/>
  <c r="BF76" i="7"/>
  <c r="BF78" i="7" s="1"/>
  <c r="BG73" i="7" s="1"/>
  <c r="L54" i="1"/>
  <c r="BG44" i="4"/>
  <c r="BG138" i="4"/>
  <c r="BG139" i="4" s="1"/>
  <c r="BG45" i="4" s="1"/>
  <c r="BG41" i="4" l="1"/>
  <c r="BG46" i="4" s="1"/>
  <c r="BG185" i="4"/>
  <c r="BG362" i="4"/>
  <c r="BG140" i="4"/>
  <c r="BF26" i="7"/>
  <c r="BF25" i="7"/>
  <c r="BF29" i="7" s="1"/>
  <c r="BG53" i="4" l="1"/>
  <c r="BG192" i="4"/>
  <c r="BG26" i="9" s="1"/>
  <c r="BG186" i="4"/>
  <c r="BG41" i="5"/>
  <c r="BF30" i="7"/>
  <c r="BF34" i="7" s="1"/>
  <c r="BF21" i="7" s="1"/>
  <c r="BF14" i="7" s="1"/>
  <c r="BM23" i="8" s="1"/>
  <c r="AS128" i="1" s="1"/>
  <c r="BG62" i="6"/>
  <c r="BH126" i="4"/>
  <c r="BG142" i="4"/>
  <c r="BH36" i="4"/>
  <c r="AS132" i="1" l="1"/>
  <c r="Y54" i="1"/>
  <c r="BF32" i="7"/>
  <c r="BG28" i="7" s="1"/>
  <c r="BG90" i="6"/>
  <c r="AU151" i="1"/>
  <c r="BG157" i="4"/>
  <c r="BG158" i="4" s="1"/>
  <c r="BG23" i="9" s="1"/>
  <c r="BG122" i="4"/>
  <c r="BG54" i="4"/>
  <c r="BG187" i="4"/>
  <c r="BG55" i="4" s="1"/>
  <c r="BG24" i="6"/>
  <c r="BG189" i="4"/>
  <c r="BH129" i="4"/>
  <c r="BG37" i="5"/>
  <c r="BG57" i="4"/>
  <c r="BG63" i="6" l="1"/>
  <c r="BG59" i="6" s="1"/>
  <c r="BH181" i="4"/>
  <c r="BG194" i="4"/>
  <c r="BH188" i="4"/>
  <c r="BH56" i="4" s="1"/>
  <c r="BH357" i="4" s="1"/>
  <c r="AT116" i="1"/>
  <c r="K55" i="1" s="1"/>
  <c r="AU148" i="1"/>
  <c r="AU164" i="1" s="1"/>
  <c r="BG77" i="6"/>
  <c r="BG356" i="4"/>
  <c r="BG358" i="4" s="1"/>
  <c r="BG259" i="4"/>
  <c r="BF261" i="4" s="1"/>
  <c r="BG40" i="5"/>
  <c r="BH26" i="6"/>
  <c r="BH131" i="4"/>
  <c r="BH40" i="4" s="1"/>
  <c r="BH130" i="4"/>
  <c r="BH117" i="4"/>
  <c r="BH38" i="4"/>
  <c r="BH118" i="4"/>
  <c r="AT119" i="1"/>
  <c r="N55" i="1" s="1"/>
  <c r="BG62" i="4"/>
  <c r="BG360" i="4"/>
  <c r="BG363" i="4" s="1"/>
  <c r="BH49" i="4"/>
  <c r="AT120" i="1"/>
  <c r="O55" i="1" s="1"/>
  <c r="BG365" i="4" l="1"/>
  <c r="BG39" i="5"/>
  <c r="BG27" i="6"/>
  <c r="BH133" i="4"/>
  <c r="BN58" i="8"/>
  <c r="AU150" i="1"/>
  <c r="BG91" i="6"/>
  <c r="BH361" i="4"/>
  <c r="BH119" i="4"/>
  <c r="BH39" i="4"/>
  <c r="BN52" i="8" l="1"/>
  <c r="BG69" i="7"/>
  <c r="BG74" i="7" s="1"/>
  <c r="BG29" i="6"/>
  <c r="BG32" i="6" s="1"/>
  <c r="BN43" i="8"/>
  <c r="AU163" i="1"/>
  <c r="AU149" i="1"/>
  <c r="BG92" i="6"/>
  <c r="AT115" i="1"/>
  <c r="BG42" i="5"/>
  <c r="BG46" i="5" s="1"/>
  <c r="BH134" i="4"/>
  <c r="BH43" i="4" s="1"/>
  <c r="BH42" i="4"/>
  <c r="AT117" i="1" l="1"/>
  <c r="J55" i="1"/>
  <c r="BH184" i="4"/>
  <c r="BG75" i="7"/>
  <c r="BG302" i="4"/>
  <c r="BG267" i="4"/>
  <c r="BH260" i="4"/>
  <c r="BG70" i="7" l="1"/>
  <c r="BG80" i="7" s="1"/>
  <c r="BG18" i="7" s="1"/>
  <c r="BG76" i="7"/>
  <c r="BH136" i="4"/>
  <c r="BH52" i="4"/>
  <c r="L55" i="1"/>
  <c r="BH44" i="4" l="1"/>
  <c r="BH138" i="4"/>
  <c r="BG78" i="7"/>
  <c r="BH73" i="7" s="1"/>
  <c r="BG25" i="7"/>
  <c r="BG29" i="7" s="1"/>
  <c r="BG26" i="7"/>
  <c r="BH41" i="4" l="1"/>
  <c r="BH139" i="4"/>
  <c r="BH185" i="4" s="1"/>
  <c r="BG30" i="7"/>
  <c r="BG34" i="7" s="1"/>
  <c r="BG21" i="7" s="1"/>
  <c r="BG14" i="7" s="1"/>
  <c r="BN23" i="8" s="1"/>
  <c r="AT128" i="1" s="1"/>
  <c r="BH53" i="4" l="1"/>
  <c r="BH192" i="4"/>
  <c r="BH26" i="9" s="1"/>
  <c r="BH186" i="4"/>
  <c r="AT132" i="1"/>
  <c r="Y55" i="1"/>
  <c r="BG32" i="7"/>
  <c r="BH28" i="7" s="1"/>
  <c r="BH46" i="4"/>
  <c r="BH45" i="4"/>
  <c r="BH41" i="5" s="1"/>
  <c r="BH140" i="4"/>
  <c r="BH362" i="4"/>
  <c r="BH54" i="4" l="1"/>
  <c r="BH187" i="4"/>
  <c r="BH55" i="4" s="1"/>
  <c r="BH24" i="6"/>
  <c r="BI126" i="4"/>
  <c r="BH62" i="6"/>
  <c r="BH142" i="4"/>
  <c r="BH189" i="4"/>
  <c r="BI36" i="4"/>
  <c r="AV151" i="1"/>
  <c r="BH90" i="6"/>
  <c r="BH37" i="5"/>
  <c r="BH57" i="4"/>
  <c r="BI49" i="4" s="1"/>
  <c r="AV148" i="1" l="1"/>
  <c r="AV164" i="1" s="1"/>
  <c r="AU116" i="1"/>
  <c r="BH77" i="6"/>
  <c r="BI129" i="4"/>
  <c r="AU120" i="1"/>
  <c r="BO58" i="8"/>
  <c r="BH63" i="6"/>
  <c r="BI181" i="4"/>
  <c r="BH194" i="4"/>
  <c r="BI188" i="4"/>
  <c r="BI56" i="4" s="1"/>
  <c r="BI357" i="4" s="1"/>
  <c r="BH356" i="4"/>
  <c r="BH358" i="4" s="1"/>
  <c r="BH40" i="5"/>
  <c r="BH259" i="4"/>
  <c r="BG261" i="4" s="1"/>
  <c r="BH59" i="6"/>
  <c r="BH157" i="4"/>
  <c r="BH158" i="4" s="1"/>
  <c r="BH23" i="9" s="1"/>
  <c r="BH122" i="4"/>
  <c r="AU119" i="1"/>
  <c r="N56" i="1" s="1"/>
  <c r="BI118" i="4" l="1"/>
  <c r="BI38" i="4"/>
  <c r="BI117" i="4"/>
  <c r="BI130" i="4"/>
  <c r="BI26" i="6"/>
  <c r="BH62" i="4"/>
  <c r="BH360" i="4"/>
  <c r="BH363" i="4" s="1"/>
  <c r="BH365" i="4" s="1"/>
  <c r="AV150" i="1"/>
  <c r="BH91" i="6"/>
  <c r="BI39" i="4" l="1"/>
  <c r="BH39" i="5"/>
  <c r="BH27" i="6"/>
  <c r="BI131" i="4"/>
  <c r="BI133" i="4" l="1"/>
  <c r="BI134" i="4" s="1"/>
  <c r="BI43" i="4" s="1"/>
  <c r="BI40" i="4"/>
  <c r="BI119" i="4"/>
  <c r="BI361" i="4"/>
  <c r="BO52" i="8"/>
  <c r="BH29" i="6"/>
  <c r="BH32" i="6" s="1"/>
  <c r="BH69" i="7"/>
  <c r="BH74" i="7" s="1"/>
  <c r="BO43" i="8"/>
  <c r="BH92" i="6"/>
  <c r="AU115" i="1"/>
  <c r="AV149" i="1"/>
  <c r="AV163" i="1" s="1"/>
  <c r="BH42" i="5"/>
  <c r="BH46" i="5" s="1"/>
  <c r="AU117" i="1" l="1"/>
  <c r="J56" i="1"/>
  <c r="BH75" i="7"/>
  <c r="BI42" i="4"/>
  <c r="BI184" i="4"/>
  <c r="BH267" i="4"/>
  <c r="BH302" i="4"/>
  <c r="BI136" i="4" l="1"/>
  <c r="BI52" i="4"/>
  <c r="BI260" i="4"/>
  <c r="BH70" i="7"/>
  <c r="BH80" i="7" s="1"/>
  <c r="BH18" i="7" s="1"/>
  <c r="BH76" i="7"/>
  <c r="L56" i="1"/>
  <c r="BH25" i="7" l="1"/>
  <c r="BH29" i="7" s="1"/>
  <c r="BH26" i="7"/>
  <c r="BH78" i="7"/>
  <c r="BI73" i="7" s="1"/>
  <c r="BI44" i="4"/>
  <c r="BI138" i="4"/>
  <c r="BI41" i="4" l="1"/>
  <c r="BI139" i="4"/>
  <c r="BI185" i="4" s="1"/>
  <c r="BH30" i="7"/>
  <c r="BH34" i="7" s="1"/>
  <c r="BH21" i="7" s="1"/>
  <c r="BH14" i="7" s="1"/>
  <c r="BO23" i="8" s="1"/>
  <c r="AU128" i="1" s="1"/>
  <c r="BI53" i="4" l="1"/>
  <c r="BI192" i="4"/>
  <c r="BI26" i="9" s="1"/>
  <c r="BI186" i="4"/>
  <c r="BI45" i="4"/>
  <c r="BI41" i="5" s="1"/>
  <c r="BI140" i="4"/>
  <c r="AU132" i="1"/>
  <c r="Y56" i="1"/>
  <c r="BH32" i="7"/>
  <c r="BI28" i="7" s="1"/>
  <c r="BI362" i="4"/>
  <c r="BJ126" i="4" l="1"/>
  <c r="BI62" i="6"/>
  <c r="BI142" i="4"/>
  <c r="BI90" i="6"/>
  <c r="AW151" i="1"/>
  <c r="BI46" i="4"/>
  <c r="BI54" i="4"/>
  <c r="AV119" i="1" s="1"/>
  <c r="N57" i="1" s="1"/>
  <c r="BI187" i="4"/>
  <c r="BI55" i="4" s="1"/>
  <c r="BI24" i="6"/>
  <c r="BI189" i="4"/>
  <c r="BI37" i="5"/>
  <c r="BI57" i="4"/>
  <c r="BJ49" i="4" s="1"/>
  <c r="BI157" i="4" l="1"/>
  <c r="BI158" i="4" s="1"/>
  <c r="BI23" i="9" s="1"/>
  <c r="BI122" i="4"/>
  <c r="BJ36" i="4"/>
  <c r="AV120" i="1"/>
  <c r="BJ129" i="4"/>
  <c r="AV116" i="1"/>
  <c r="K57" i="1" s="1"/>
  <c r="BI77" i="6"/>
  <c r="AW148" i="1"/>
  <c r="AW164" i="1" s="1"/>
  <c r="BJ181" i="4"/>
  <c r="BI194" i="4"/>
  <c r="BI63" i="6"/>
  <c r="BI59" i="6" s="1"/>
  <c r="BJ188" i="4"/>
  <c r="BJ56" i="4" s="1"/>
  <c r="BJ357" i="4" s="1"/>
  <c r="BI356" i="4"/>
  <c r="BI358" i="4" s="1"/>
  <c r="BI259" i="4"/>
  <c r="BH261" i="4" s="1"/>
  <c r="BI40" i="5"/>
  <c r="BJ118" i="4" l="1"/>
  <c r="BJ117" i="4"/>
  <c r="BJ130" i="4"/>
  <c r="BJ38" i="4"/>
  <c r="BJ26" i="6"/>
  <c r="BP58" i="8"/>
  <c r="BI91" i="6"/>
  <c r="AW150" i="1"/>
  <c r="BI62" i="4"/>
  <c r="BI360" i="4"/>
  <c r="BI363" i="4" s="1"/>
  <c r="BI365" i="4"/>
  <c r="BJ39" i="4" l="1"/>
  <c r="BJ361" i="4"/>
  <c r="BJ133" i="4"/>
  <c r="BJ131" i="4"/>
  <c r="BJ40" i="4" s="1"/>
  <c r="BI39" i="5"/>
  <c r="BI27" i="6"/>
  <c r="BJ42" i="4" l="1"/>
  <c r="BP52" i="8"/>
  <c r="BI29" i="6"/>
  <c r="BI32" i="6" s="1"/>
  <c r="BP43" i="8"/>
  <c r="K43" i="8" s="1"/>
  <c r="BI69" i="7"/>
  <c r="BI74" i="7" s="1"/>
  <c r="AW149" i="1"/>
  <c r="AW163" i="1" s="1"/>
  <c r="BI92" i="6"/>
  <c r="AV115" i="1"/>
  <c r="BI42" i="5"/>
  <c r="BI46" i="5" s="1"/>
  <c r="BJ134" i="4"/>
  <c r="BJ43" i="4" s="1"/>
  <c r="BJ119" i="4"/>
  <c r="BI75" i="7" l="1"/>
  <c r="AV117" i="1"/>
  <c r="J57" i="1"/>
  <c r="BJ184" i="4"/>
  <c r="BI267" i="4"/>
  <c r="BI302" i="4"/>
  <c r="BJ260" i="4"/>
  <c r="BJ52" i="4" l="1"/>
  <c r="BJ136" i="4"/>
  <c r="L57" i="1"/>
  <c r="BI70" i="7"/>
  <c r="BI80" i="7" s="1"/>
  <c r="BI18" i="7" s="1"/>
  <c r="BI76" i="7"/>
  <c r="BI78" i="7" s="1"/>
  <c r="BJ73" i="7" s="1"/>
  <c r="BI26" i="7" l="1"/>
  <c r="BI25" i="7"/>
  <c r="BI29" i="7" s="1"/>
  <c r="BJ44" i="4"/>
  <c r="BJ138" i="4"/>
  <c r="BI30" i="7" l="1"/>
  <c r="BI34" i="7" s="1"/>
  <c r="BI21" i="7" s="1"/>
  <c r="BI14" i="7" s="1"/>
  <c r="BP23" i="8" s="1"/>
  <c r="AV128" i="1" s="1"/>
  <c r="AV132" i="1" s="1"/>
  <c r="BJ41" i="4"/>
  <c r="BJ139" i="4"/>
  <c r="BJ45" i="4" l="1"/>
  <c r="BJ41" i="5" s="1"/>
  <c r="BJ140" i="4"/>
  <c r="BJ362" i="4"/>
  <c r="BJ185" i="4"/>
  <c r="BJ46" i="4"/>
  <c r="BI32" i="7"/>
  <c r="BJ28" i="7" s="1"/>
  <c r="BK36" i="4" l="1"/>
  <c r="BJ53" i="4"/>
  <c r="BJ192" i="4"/>
  <c r="BJ26" i="9" s="1"/>
  <c r="BJ186" i="4"/>
  <c r="BK126" i="4"/>
  <c r="BJ62" i="6"/>
  <c r="BJ142" i="4"/>
  <c r="AX151" i="1"/>
  <c r="BJ90" i="6"/>
  <c r="BJ187" i="4" l="1"/>
  <c r="BJ55" i="4" s="1"/>
  <c r="BJ54" i="4"/>
  <c r="AW119" i="1" s="1"/>
  <c r="BJ24" i="6"/>
  <c r="BJ189" i="4"/>
  <c r="BJ37" i="5"/>
  <c r="BJ57" i="4"/>
  <c r="BJ122" i="4"/>
  <c r="BJ157" i="4"/>
  <c r="BJ158" i="4" s="1"/>
  <c r="BJ23" i="9" s="1"/>
  <c r="BK129" i="4"/>
  <c r="BJ360" i="4" l="1"/>
  <c r="BJ363" i="4" s="1"/>
  <c r="BJ62" i="4"/>
  <c r="BK49" i="4"/>
  <c r="AW120" i="1"/>
  <c r="BK131" i="4"/>
  <c r="BK40" i="4" s="1"/>
  <c r="BK117" i="4"/>
  <c r="BK38" i="4"/>
  <c r="BK26" i="6"/>
  <c r="BK130" i="4"/>
  <c r="BK118" i="4"/>
  <c r="AX148" i="1"/>
  <c r="AX164" i="1" s="1"/>
  <c r="AW116" i="1"/>
  <c r="BJ77" i="6"/>
  <c r="BJ63" i="6"/>
  <c r="BJ59" i="6" s="1"/>
  <c r="BJ194" i="4"/>
  <c r="BK181" i="4"/>
  <c r="BK188" i="4"/>
  <c r="BK56" i="4" s="1"/>
  <c r="BK357" i="4" s="1"/>
  <c r="N29" i="1"/>
  <c r="N28" i="1"/>
  <c r="N58" i="1"/>
  <c r="N59" i="1" s="1"/>
  <c r="BJ356" i="4"/>
  <c r="BJ358" i="4" s="1"/>
  <c r="BJ365" i="4" s="1"/>
  <c r="BJ259" i="4"/>
  <c r="BI261" i="4" s="1"/>
  <c r="BJ40" i="5"/>
  <c r="AX150" i="1" l="1"/>
  <c r="BJ91" i="6"/>
  <c r="K29" i="1"/>
  <c r="K28" i="1"/>
  <c r="K56" i="1"/>
  <c r="K58" i="1"/>
  <c r="K59" i="1" s="1"/>
  <c r="O28" i="1"/>
  <c r="O57" i="1"/>
  <c r="O56" i="1"/>
  <c r="O58" i="1"/>
  <c r="BK192" i="4"/>
  <c r="BK26" i="9" s="1"/>
  <c r="BQ58" i="8"/>
  <c r="BJ39" i="5"/>
  <c r="BJ27" i="6"/>
  <c r="BK39" i="4"/>
  <c r="BK119" i="4"/>
  <c r="BK361" i="4"/>
  <c r="BK133" i="4"/>
  <c r="BK134" i="4" s="1"/>
  <c r="BK43" i="4" s="1"/>
  <c r="BQ52" i="8" l="1"/>
  <c r="Y54" i="8" s="1"/>
  <c r="Y56" i="8" s="1"/>
  <c r="Y62" i="8" s="1"/>
  <c r="BQ43" i="8"/>
  <c r="BJ69" i="7"/>
  <c r="BJ74" i="7" s="1"/>
  <c r="BJ29" i="6"/>
  <c r="BJ32" i="6" s="1"/>
  <c r="AX149" i="1"/>
  <c r="AW115" i="1"/>
  <c r="BJ92" i="6"/>
  <c r="BJ42" i="5"/>
  <c r="BJ46" i="5" s="1"/>
  <c r="AX163" i="1"/>
  <c r="BK42" i="4"/>
  <c r="BK184" i="4"/>
  <c r="N74" i="7" l="1"/>
  <c r="BJ75" i="7"/>
  <c r="M62" i="8"/>
  <c r="Y64" i="8"/>
  <c r="BK136" i="4"/>
  <c r="BK52" i="4"/>
  <c r="BK260" i="4"/>
  <c r="BJ302" i="4"/>
  <c r="BJ267" i="4"/>
  <c r="AW117" i="1"/>
  <c r="J29" i="1"/>
  <c r="J28" i="1"/>
  <c r="J58" i="1"/>
  <c r="L29" i="1" l="1"/>
  <c r="L28" i="1"/>
  <c r="L58" i="1"/>
  <c r="L59" i="1" s="1"/>
  <c r="BK44" i="4"/>
  <c r="BK138" i="4"/>
  <c r="Y65" i="8"/>
  <c r="M65" i="8" s="1"/>
  <c r="M64" i="8"/>
  <c r="BJ70" i="7"/>
  <c r="BJ80" i="7" s="1"/>
  <c r="BJ18" i="7" s="1"/>
  <c r="N75" i="7"/>
  <c r="BJ76" i="7"/>
  <c r="N76" i="7" s="1"/>
  <c r="N80" i="7" s="1"/>
  <c r="L196" i="2" s="1"/>
  <c r="J59" i="1"/>
  <c r="BK41" i="4" l="1"/>
  <c r="BK139" i="4"/>
  <c r="BJ26" i="7"/>
  <c r="BJ25" i="7"/>
  <c r="BJ29" i="7" s="1"/>
  <c r="BJ78" i="7"/>
  <c r="BK45" i="4" l="1"/>
  <c r="BK41" i="5" s="1"/>
  <c r="BK90" i="6" s="1"/>
  <c r="BK140" i="4"/>
  <c r="BK185" i="4"/>
  <c r="N29" i="7"/>
  <c r="BJ30" i="7"/>
  <c r="BJ32" i="7" s="1"/>
  <c r="BK362" i="4"/>
  <c r="BK46" i="4"/>
  <c r="BL36" i="4" s="1"/>
  <c r="N30" i="7" l="1"/>
  <c r="N33" i="7" s="1"/>
  <c r="L197" i="2" s="1"/>
  <c r="BJ34" i="7"/>
  <c r="BJ21" i="7" s="1"/>
  <c r="BJ14" i="7" s="1"/>
  <c r="BK53" i="4"/>
  <c r="BK186" i="4"/>
  <c r="BL126" i="4"/>
  <c r="BK62" i="6"/>
  <c r="BK142" i="4"/>
  <c r="BK187" i="4" l="1"/>
  <c r="BK55" i="4" s="1"/>
  <c r="BK54" i="4"/>
  <c r="BK24" i="6"/>
  <c r="BL129" i="4"/>
  <c r="BK189" i="4"/>
  <c r="BK37" i="5"/>
  <c r="BK57" i="4"/>
  <c r="BL49" i="4" s="1"/>
  <c r="BQ23" i="8"/>
  <c r="N14" i="7"/>
  <c r="BK122" i="4"/>
  <c r="BK157" i="4"/>
  <c r="BK158" i="4" s="1"/>
  <c r="BK23" i="9" s="1"/>
  <c r="BK360" i="4" l="1"/>
  <c r="BK363" i="4" s="1"/>
  <c r="BK62" i="4"/>
  <c r="BL130" i="4"/>
  <c r="BL118" i="4"/>
  <c r="BL131" i="4"/>
  <c r="BL40" i="4" s="1"/>
  <c r="BL26" i="6"/>
  <c r="BL117" i="4"/>
  <c r="BL38" i="4"/>
  <c r="BK77" i="6"/>
  <c r="AW128" i="1"/>
  <c r="N23" i="8"/>
  <c r="BL181" i="4"/>
  <c r="BK63" i="6"/>
  <c r="BK59" i="6" s="1"/>
  <c r="BK194" i="4"/>
  <c r="BL188" i="4"/>
  <c r="BL56" i="4" s="1"/>
  <c r="BL357" i="4" s="1"/>
  <c r="BK356" i="4"/>
  <c r="BK40" i="5"/>
  <c r="BK91" i="6" s="1"/>
  <c r="BK259" i="4"/>
  <c r="BJ261" i="4" s="1"/>
  <c r="BL133" i="4" l="1"/>
  <c r="BL134" i="4" s="1"/>
  <c r="BL119" i="4"/>
  <c r="BL39" i="4"/>
  <c r="BL361" i="4"/>
  <c r="AW132" i="1"/>
  <c r="Y27" i="1"/>
  <c r="Y28" i="1"/>
  <c r="Y29" i="1"/>
  <c r="Y57" i="1"/>
  <c r="Y58" i="1"/>
  <c r="BL192" i="4"/>
  <c r="BL26" i="9" s="1"/>
  <c r="BL43" i="4" l="1"/>
  <c r="BL42" i="4"/>
  <c r="BL184" i="4"/>
  <c r="BL260" i="4" l="1"/>
  <c r="BL52" i="4"/>
  <c r="BL136" i="4"/>
  <c r="BL44" i="4" l="1"/>
  <c r="BL138" i="4"/>
  <c r="BL41" i="4" l="1"/>
  <c r="BL139" i="4"/>
  <c r="BL45" i="4" s="1"/>
  <c r="BL46" i="4" s="1"/>
  <c r="BM36" i="4" s="1"/>
  <c r="BL140" i="4" l="1"/>
  <c r="BL185" i="4"/>
  <c r="BL41" i="5"/>
  <c r="BL90" i="6" s="1"/>
  <c r="BL362" i="4"/>
  <c r="BL53" i="4" l="1"/>
  <c r="BL186" i="4"/>
  <c r="BL62" i="6"/>
  <c r="BM126" i="4"/>
  <c r="BL142" i="4"/>
  <c r="BL54" i="4" l="1"/>
  <c r="BL187" i="4"/>
  <c r="BL55" i="4" s="1"/>
  <c r="BL24" i="6"/>
  <c r="BL157" i="4"/>
  <c r="BL158" i="4" s="1"/>
  <c r="BL23" i="9" s="1"/>
  <c r="BL122" i="4"/>
  <c r="BM129" i="4"/>
  <c r="BL57" i="4"/>
  <c r="BM49" i="4" s="1"/>
  <c r="BL37" i="5"/>
  <c r="BL62" i="4" l="1"/>
  <c r="BL360" i="4"/>
  <c r="BL363" i="4" s="1"/>
  <c r="BL356" i="4"/>
  <c r="BL40" i="5"/>
  <c r="BL91" i="6" s="1"/>
  <c r="BL259" i="4"/>
  <c r="BK261" i="4" s="1"/>
  <c r="BL77" i="6"/>
  <c r="BM26" i="6"/>
  <c r="BM117" i="4"/>
  <c r="BM118" i="4"/>
  <c r="BM38" i="4"/>
  <c r="BM130" i="4"/>
  <c r="BL189" i="4"/>
  <c r="BM39" i="4" l="1"/>
  <c r="BM119" i="4"/>
  <c r="BM361" i="4"/>
  <c r="BM133" i="4"/>
  <c r="BM131" i="4"/>
  <c r="BM40" i="4" s="1"/>
  <c r="BM181" i="4"/>
  <c r="BL194" i="4"/>
  <c r="BL63" i="6"/>
  <c r="BL59" i="6" s="1"/>
  <c r="BM188" i="4"/>
  <c r="BM56" i="4" s="1"/>
  <c r="BM357" i="4" s="1"/>
  <c r="BM42" i="4" l="1"/>
  <c r="BM192" i="4"/>
  <c r="BM26" i="9" s="1"/>
  <c r="BM134" i="4"/>
  <c r="BM43" i="4" s="1"/>
  <c r="BM184" i="4" l="1"/>
  <c r="BM260" i="4"/>
  <c r="BM136" i="4" l="1"/>
  <c r="BM52" i="4"/>
  <c r="BM44" i="4" l="1"/>
  <c r="BM138" i="4"/>
  <c r="BM41" i="4" l="1"/>
  <c r="BM139" i="4"/>
  <c r="BM45" i="4" l="1"/>
  <c r="BM140" i="4"/>
  <c r="BM362" i="4"/>
  <c r="BM185" i="4"/>
  <c r="BM53" i="4" l="1"/>
  <c r="BM186" i="4"/>
  <c r="BM62" i="6"/>
  <c r="BN126" i="4"/>
  <c r="BM142" i="4"/>
  <c r="BM46" i="4"/>
  <c r="BN36" i="4" s="1"/>
  <c r="BM41" i="5"/>
  <c r="BM90" i="6" s="1"/>
  <c r="BM157" i="4" l="1"/>
  <c r="BM158" i="4" s="1"/>
  <c r="BM23" i="9" s="1"/>
  <c r="BM122" i="4"/>
  <c r="BN129" i="4"/>
  <c r="BM187" i="4"/>
  <c r="BM55" i="4" s="1"/>
  <c r="BM54" i="4"/>
  <c r="BM24" i="6"/>
  <c r="BM189" i="4"/>
  <c r="BM37" i="5"/>
  <c r="BM57" i="4"/>
  <c r="BN49" i="4" s="1"/>
  <c r="BN130" i="4" l="1"/>
  <c r="BN131" i="4"/>
  <c r="BN40" i="4" s="1"/>
  <c r="BN117" i="4"/>
  <c r="BN38" i="4"/>
  <c r="BN26" i="6"/>
  <c r="BN118" i="4"/>
  <c r="BM77" i="6"/>
  <c r="BN181" i="4"/>
  <c r="BM194" i="4"/>
  <c r="BM63" i="6"/>
  <c r="BM59" i="6" s="1"/>
  <c r="BN188" i="4"/>
  <c r="BN56" i="4" s="1"/>
  <c r="BN357" i="4" s="1"/>
  <c r="BM62" i="4"/>
  <c r="BM360" i="4"/>
  <c r="BM363" i="4" s="1"/>
  <c r="BM356" i="4"/>
  <c r="BM40" i="5"/>
  <c r="BM91" i="6" s="1"/>
  <c r="BM259" i="4"/>
  <c r="BL261" i="4" s="1"/>
  <c r="BK263" i="4" s="1"/>
  <c r="BN192" i="4" l="1"/>
  <c r="BN26" i="9" s="1"/>
  <c r="BN361" i="4"/>
  <c r="BN39" i="4"/>
  <c r="BN119" i="4"/>
  <c r="BN133" i="4"/>
  <c r="BN42" i="4" l="1"/>
  <c r="BN134" i="4"/>
  <c r="BN43" i="4" s="1"/>
  <c r="BN184" i="4" l="1"/>
  <c r="BN260" i="4"/>
  <c r="BN52" i="4" l="1"/>
  <c r="BN136" i="4"/>
  <c r="BN44" i="4" l="1"/>
  <c r="BN138" i="4"/>
  <c r="BN139" i="4" s="1"/>
  <c r="BN45" i="4" l="1"/>
  <c r="BN140" i="4"/>
  <c r="BN362" i="4"/>
  <c r="BN41" i="4"/>
  <c r="BN185" i="4"/>
  <c r="BN41" i="5"/>
  <c r="BN90" i="6" s="1"/>
  <c r="BO126" i="4" l="1"/>
  <c r="BN62" i="6"/>
  <c r="BN142" i="4"/>
  <c r="BN53" i="4"/>
  <c r="BN186" i="4"/>
  <c r="BN46" i="4"/>
  <c r="BO36" i="4" s="1"/>
  <c r="BN122" i="4" l="1"/>
  <c r="BN157" i="4"/>
  <c r="BN158" i="4" s="1"/>
  <c r="BN23" i="9" s="1"/>
  <c r="BN54" i="4"/>
  <c r="BN187" i="4"/>
  <c r="BN55" i="4" s="1"/>
  <c r="BN24" i="6"/>
  <c r="BN37" i="5"/>
  <c r="BN57" i="4"/>
  <c r="BO49" i="4" s="1"/>
  <c r="BO129" i="4"/>
  <c r="BN189" i="4"/>
  <c r="BN77" i="6" l="1"/>
  <c r="BO117" i="4"/>
  <c r="BO38" i="4"/>
  <c r="BO26" i="6"/>
  <c r="BO130" i="4"/>
  <c r="BO131" i="4"/>
  <c r="BO40" i="4" s="1"/>
  <c r="BO118" i="4"/>
  <c r="BN360" i="4"/>
  <c r="BN363" i="4" s="1"/>
  <c r="BN62" i="4"/>
  <c r="BO181" i="4"/>
  <c r="BN63" i="6"/>
  <c r="BN59" i="6" s="1"/>
  <c r="BN194" i="4"/>
  <c r="BO188" i="4"/>
  <c r="BO56" i="4" s="1"/>
  <c r="BO357" i="4" s="1"/>
  <c r="BN356" i="4"/>
  <c r="BN40" i="5"/>
  <c r="BN91" i="6" s="1"/>
  <c r="BN259" i="4"/>
  <c r="BM261" i="4" s="1"/>
  <c r="BL263" i="4" s="1"/>
  <c r="BO192" i="4" l="1"/>
  <c r="BO26" i="9" s="1"/>
  <c r="BO39" i="4"/>
  <c r="BO361" i="4"/>
  <c r="BO119" i="4"/>
  <c r="BO133" i="4"/>
  <c r="BO134" i="4" l="1"/>
  <c r="BO43" i="4" s="1"/>
  <c r="BO184" i="4"/>
  <c r="BO42" i="4"/>
  <c r="BO136" i="4" l="1"/>
  <c r="BO44" i="4" s="1"/>
  <c r="BO52" i="4"/>
  <c r="BO260" i="4"/>
  <c r="BO138" i="4"/>
  <c r="BO41" i="4" l="1"/>
  <c r="BO139" i="4"/>
  <c r="BO45" i="4" s="1"/>
  <c r="BO185" i="4" l="1"/>
  <c r="BO46" i="4"/>
  <c r="BP36" i="4" s="1"/>
  <c r="BO41" i="5"/>
  <c r="BO90" i="6" s="1"/>
  <c r="BO362" i="4"/>
  <c r="BO140" i="4"/>
  <c r="BP126" i="4" l="1"/>
  <c r="BO62" i="6"/>
  <c r="BO142" i="4"/>
  <c r="BO53" i="4"/>
  <c r="BO186" i="4"/>
  <c r="BO37" i="5" l="1"/>
  <c r="BO157" i="4"/>
  <c r="BO158" i="4" s="1"/>
  <c r="BO23" i="9" s="1"/>
  <c r="BO122" i="4"/>
  <c r="BP129" i="4"/>
  <c r="BO187" i="4"/>
  <c r="BO55" i="4" s="1"/>
  <c r="BO54" i="4"/>
  <c r="BO57" i="4" s="1"/>
  <c r="BP49" i="4" s="1"/>
  <c r="BO24" i="6"/>
  <c r="BO360" i="4" l="1"/>
  <c r="BO363" i="4" s="1"/>
  <c r="BO62" i="4"/>
  <c r="BP38" i="4"/>
  <c r="BP130" i="4"/>
  <c r="BP118" i="4"/>
  <c r="BP26" i="6"/>
  <c r="BP117" i="4"/>
  <c r="BO356" i="4"/>
  <c r="BO259" i="4"/>
  <c r="BN261" i="4" s="1"/>
  <c r="BM263" i="4" s="1"/>
  <c r="BO40" i="5"/>
  <c r="BO91" i="6" s="1"/>
  <c r="BO77" i="6"/>
  <c r="BO189" i="4"/>
  <c r="BP39" i="4" l="1"/>
  <c r="BO194" i="4"/>
  <c r="BO63" i="6"/>
  <c r="BO59" i="6" s="1"/>
  <c r="BP181" i="4"/>
  <c r="BP188" i="4"/>
  <c r="BP56" i="4" s="1"/>
  <c r="BP357" i="4" s="1"/>
  <c r="BP131" i="4"/>
  <c r="BP40" i="4" s="1"/>
  <c r="BP192" i="4" l="1"/>
  <c r="BP26" i="9" s="1"/>
  <c r="BP361" i="4"/>
  <c r="BP119" i="4"/>
  <c r="BP133" i="4"/>
  <c r="BP42" i="4" l="1"/>
  <c r="BP134" i="4"/>
  <c r="BP43" i="4" s="1"/>
  <c r="BP184" i="4" l="1"/>
  <c r="BP260" i="4"/>
  <c r="BP136" i="4" l="1"/>
  <c r="BP52" i="4"/>
  <c r="BP44" i="4" l="1"/>
  <c r="BP138" i="4"/>
  <c r="BP41" i="4" l="1"/>
  <c r="BP139" i="4"/>
  <c r="BP45" i="4" l="1"/>
  <c r="BP140" i="4"/>
  <c r="BP185" i="4"/>
  <c r="BP362" i="4"/>
  <c r="BP53" i="4" l="1"/>
  <c r="BP186" i="4"/>
  <c r="BP62" i="6"/>
  <c r="BQ126" i="4"/>
  <c r="BP142" i="4"/>
  <c r="BP46" i="4"/>
  <c r="BQ36" i="4" s="1"/>
  <c r="BP41" i="5"/>
  <c r="BP90" i="6" s="1"/>
  <c r="BQ129" i="4" l="1"/>
  <c r="BP54" i="4"/>
  <c r="BP187" i="4"/>
  <c r="BP55" i="4" s="1"/>
  <c r="BP24" i="6"/>
  <c r="BP157" i="4"/>
  <c r="BP158" i="4" s="1"/>
  <c r="BP23" i="9" s="1"/>
  <c r="BP122" i="4"/>
  <c r="BP37" i="5"/>
  <c r="BP57" i="4"/>
  <c r="BQ49" i="4" s="1"/>
  <c r="BP62" i="4" l="1"/>
  <c r="BP360" i="4"/>
  <c r="BP363" i="4" s="1"/>
  <c r="BP77" i="6"/>
  <c r="BQ26" i="6"/>
  <c r="BQ38" i="4"/>
  <c r="BQ130" i="4"/>
  <c r="BQ118" i="4"/>
  <c r="BQ117" i="4"/>
  <c r="BQ131" i="4"/>
  <c r="BQ40" i="4" s="1"/>
  <c r="BP356" i="4"/>
  <c r="BP259" i="4"/>
  <c r="BO261" i="4" s="1"/>
  <c r="BN263" i="4" s="1"/>
  <c r="BP40" i="5"/>
  <c r="BP91" i="6" s="1"/>
  <c r="BP189" i="4"/>
  <c r="BQ39" i="4" l="1"/>
  <c r="BQ361" i="4"/>
  <c r="BQ119" i="4"/>
  <c r="BQ133" i="4"/>
  <c r="BP63" i="6"/>
  <c r="BP59" i="6" s="1"/>
  <c r="BQ181" i="4"/>
  <c r="BP194" i="4"/>
  <c r="BQ188" i="4"/>
  <c r="BQ56" i="4" s="1"/>
  <c r="BQ357" i="4" s="1"/>
  <c r="BQ42" i="4" l="1"/>
  <c r="BQ134" i="4"/>
  <c r="BQ43" i="4" s="1"/>
  <c r="BQ192" i="4"/>
  <c r="BQ26" i="9" s="1"/>
  <c r="BQ184" i="4" l="1"/>
  <c r="BQ260" i="4"/>
  <c r="BQ136" i="4" l="1"/>
  <c r="BQ52" i="4"/>
  <c r="BQ44" i="4" l="1"/>
  <c r="BQ138" i="4"/>
  <c r="BQ41" i="4" l="1"/>
  <c r="BQ139" i="4"/>
  <c r="BQ45" i="4" l="1"/>
  <c r="BQ41" i="5" s="1"/>
  <c r="BQ90" i="6" s="1"/>
  <c r="BQ140" i="4"/>
  <c r="BQ185" i="4"/>
  <c r="BQ362" i="4"/>
  <c r="BR126" i="4" l="1"/>
  <c r="BQ62" i="6"/>
  <c r="BQ142" i="4"/>
  <c r="BQ53" i="4"/>
  <c r="BQ186" i="4"/>
  <c r="BQ46" i="4"/>
  <c r="BR36" i="4" s="1"/>
  <c r="BQ37" i="5" l="1"/>
  <c r="BQ187" i="4"/>
  <c r="BQ55" i="4" s="1"/>
  <c r="BQ54" i="4"/>
  <c r="BQ57" i="4" s="1"/>
  <c r="BR49" i="4" s="1"/>
  <c r="BQ24" i="6"/>
  <c r="BQ122" i="4"/>
  <c r="BQ157" i="4"/>
  <c r="BQ158" i="4" s="1"/>
  <c r="BQ23" i="9" s="1"/>
  <c r="BR129" i="4"/>
  <c r="BQ360" i="4" l="1"/>
  <c r="BQ363" i="4" s="1"/>
  <c r="BQ62" i="4"/>
  <c r="BR118" i="4"/>
  <c r="BR38" i="4"/>
  <c r="BR130" i="4"/>
  <c r="BR26" i="6"/>
  <c r="BR117" i="4"/>
  <c r="BQ356" i="4"/>
  <c r="BQ40" i="5"/>
  <c r="BQ91" i="6" s="1"/>
  <c r="BQ259" i="4"/>
  <c r="BP261" i="4" s="1"/>
  <c r="BO263" i="4" s="1"/>
  <c r="BQ77" i="6"/>
  <c r="BQ189" i="4"/>
  <c r="BR39" i="4" l="1"/>
  <c r="BR131" i="4"/>
  <c r="BR40" i="4" s="1"/>
  <c r="BQ194" i="4"/>
  <c r="BR181" i="4"/>
  <c r="BQ63" i="6"/>
  <c r="BQ59" i="6" s="1"/>
  <c r="BR188" i="4"/>
  <c r="BR56" i="4" s="1"/>
  <c r="BR357" i="4" s="1"/>
  <c r="BR361" i="4" l="1"/>
  <c r="BR192" i="4"/>
  <c r="BR26" i="9" s="1"/>
  <c r="BR119" i="4"/>
  <c r="BR133" i="4"/>
  <c r="BR42" i="4" l="1"/>
  <c r="BR134" i="4"/>
  <c r="BR43" i="4" s="1"/>
  <c r="BR184" i="4" l="1"/>
  <c r="BR260" i="4"/>
  <c r="BR52" i="4" l="1"/>
  <c r="BR136" i="4"/>
  <c r="BR44" i="4" l="1"/>
  <c r="BR138" i="4"/>
  <c r="BR41" i="4" l="1"/>
  <c r="BR139" i="4"/>
  <c r="BR185" i="4" s="1"/>
  <c r="BR53" i="4" l="1"/>
  <c r="BR186" i="4"/>
  <c r="BR45" i="4"/>
  <c r="BR140" i="4"/>
  <c r="BR362" i="4"/>
  <c r="BR187" i="4" l="1"/>
  <c r="BR55" i="4" s="1"/>
  <c r="BR54" i="4"/>
  <c r="BR24" i="6"/>
  <c r="BR62" i="6"/>
  <c r="BS126" i="4"/>
  <c r="BR142" i="4"/>
  <c r="BR46" i="4"/>
  <c r="BS36" i="4" s="1"/>
  <c r="BR41" i="5"/>
  <c r="BR90" i="6" s="1"/>
  <c r="BR189" i="4"/>
  <c r="BR57" i="4"/>
  <c r="BS49" i="4" s="1"/>
  <c r="BR37" i="5"/>
  <c r="BS129" i="4" l="1"/>
  <c r="BR122" i="4"/>
  <c r="BR157" i="4"/>
  <c r="BR158" i="4" s="1"/>
  <c r="BR23" i="9" s="1"/>
  <c r="BS181" i="4"/>
  <c r="BR63" i="6"/>
  <c r="BR59" i="6" s="1"/>
  <c r="BR194" i="4"/>
  <c r="BS188" i="4"/>
  <c r="BS56" i="4" s="1"/>
  <c r="BS357" i="4" s="1"/>
  <c r="BR77" i="6"/>
  <c r="BR356" i="4"/>
  <c r="BR40" i="5"/>
  <c r="BR91" i="6" s="1"/>
  <c r="BR259" i="4"/>
  <c r="BQ261" i="4" s="1"/>
  <c r="BP263" i="4" s="1"/>
  <c r="BS192" i="4" l="1"/>
  <c r="BS26" i="9" s="1"/>
  <c r="BR360" i="4"/>
  <c r="BR363" i="4" s="1"/>
  <c r="BR62" i="4"/>
  <c r="BS118" i="4"/>
  <c r="BS38" i="4"/>
  <c r="BS117" i="4"/>
  <c r="BS26" i="6"/>
  <c r="BS130" i="4"/>
  <c r="BS131" i="4" l="1"/>
  <c r="BS40" i="4" s="1"/>
  <c r="BS39" i="4"/>
  <c r="BS361" i="4"/>
  <c r="BS119" i="4"/>
  <c r="BS133" i="4" l="1"/>
  <c r="BS42" i="4" l="1"/>
  <c r="BS134" i="4"/>
  <c r="BS43" i="4" s="1"/>
  <c r="BS184" i="4" l="1"/>
  <c r="BS260" i="4"/>
  <c r="BS136" i="4" l="1"/>
  <c r="BS52" i="4"/>
  <c r="BS44" i="4" l="1"/>
  <c r="BS138" i="4"/>
  <c r="BS41" i="4" l="1"/>
  <c r="BS139" i="4"/>
  <c r="BS45" i="4" l="1"/>
  <c r="BS140" i="4"/>
  <c r="BS185" i="4"/>
  <c r="BS362" i="4"/>
  <c r="BS53" i="4" l="1"/>
  <c r="BS186" i="4"/>
  <c r="BS62" i="6"/>
  <c r="BT126" i="4"/>
  <c r="BS142" i="4"/>
  <c r="BS46" i="4"/>
  <c r="BT36" i="4" s="1"/>
  <c r="BS41" i="5"/>
  <c r="BS90" i="6" s="1"/>
  <c r="BS187" i="4" l="1"/>
  <c r="BS55" i="4" s="1"/>
  <c r="BS54" i="4"/>
  <c r="BS24" i="6"/>
  <c r="BS122" i="4"/>
  <c r="BS157" i="4"/>
  <c r="BS158" i="4" s="1"/>
  <c r="BS23" i="9" s="1"/>
  <c r="BT129" i="4"/>
  <c r="BS189" i="4"/>
  <c r="BS37" i="5"/>
  <c r="BS57" i="4"/>
  <c r="BT49" i="4" s="1"/>
  <c r="BS77" i="6" l="1"/>
  <c r="BS360" i="4"/>
  <c r="BS363" i="4" s="1"/>
  <c r="BS62" i="4"/>
  <c r="BS63" i="6"/>
  <c r="BS59" i="6" s="1"/>
  <c r="BS194" i="4"/>
  <c r="BT181" i="4"/>
  <c r="BT188" i="4"/>
  <c r="BT56" i="4" s="1"/>
  <c r="BT357" i="4" s="1"/>
  <c r="BT26" i="6"/>
  <c r="BT117" i="4"/>
  <c r="BT118" i="4"/>
  <c r="BT38" i="4"/>
  <c r="BT130" i="4"/>
  <c r="BS356" i="4"/>
  <c r="BS40" i="5"/>
  <c r="BS91" i="6" s="1"/>
  <c r="BS259" i="4"/>
  <c r="BR261" i="4" s="1"/>
  <c r="BQ263" i="4" s="1"/>
  <c r="BT361" i="4" l="1"/>
  <c r="BT39" i="4"/>
  <c r="BT119" i="4"/>
  <c r="BT133" i="4"/>
  <c r="BT131" i="4"/>
  <c r="BT40" i="4" s="1"/>
  <c r="BT192" i="4"/>
  <c r="BT26" i="9" s="1"/>
  <c r="BT42" i="4" l="1"/>
  <c r="BT134" i="4"/>
  <c r="BT43" i="4" s="1"/>
  <c r="BT184" i="4" l="1"/>
  <c r="BT260" i="4"/>
  <c r="BT136" i="4" l="1"/>
  <c r="BT52" i="4"/>
  <c r="BT44" i="4" l="1"/>
  <c r="BT138" i="4"/>
  <c r="BT41" i="4" l="1"/>
  <c r="BT139" i="4"/>
  <c r="BT362" i="4" s="1"/>
  <c r="BT45" i="4" l="1"/>
  <c r="BT140" i="4"/>
  <c r="BT185" i="4"/>
  <c r="BT53" i="4" l="1"/>
  <c r="BT186" i="4"/>
  <c r="BT62" i="6"/>
  <c r="BU126" i="4"/>
  <c r="BT142" i="4"/>
  <c r="BT46" i="4"/>
  <c r="BU36" i="4" s="1"/>
  <c r="BT41" i="5"/>
  <c r="BT90" i="6" s="1"/>
  <c r="BT122" i="4" l="1"/>
  <c r="BT157" i="4"/>
  <c r="BT158" i="4" s="1"/>
  <c r="BT23" i="9" s="1"/>
  <c r="BU129" i="4"/>
  <c r="BT54" i="4"/>
  <c r="BT187" i="4"/>
  <c r="BT55" i="4" s="1"/>
  <c r="BT24" i="6"/>
  <c r="BT37" i="5"/>
  <c r="BT57" i="4"/>
  <c r="BU49" i="4" s="1"/>
  <c r="BT77" i="6" l="1"/>
  <c r="BU118" i="4"/>
  <c r="N118" i="4" s="1"/>
  <c r="BU38" i="4"/>
  <c r="BU26" i="6"/>
  <c r="N26" i="6" s="1"/>
  <c r="BU130" i="4"/>
  <c r="BU131" i="4"/>
  <c r="BU117" i="4"/>
  <c r="N117" i="4" s="1"/>
  <c r="N129" i="4"/>
  <c r="BT62" i="4"/>
  <c r="BT360" i="4"/>
  <c r="BT363" i="4" s="1"/>
  <c r="BT356" i="4"/>
  <c r="BT40" i="5"/>
  <c r="BT91" i="6" s="1"/>
  <c r="BT259" i="4"/>
  <c r="BS261" i="4" s="1"/>
  <c r="BR263" i="4" s="1"/>
  <c r="BT189" i="4"/>
  <c r="BU361" i="4" l="1"/>
  <c r="N361" i="4" s="1"/>
  <c r="BU119" i="4"/>
  <c r="N119" i="4" s="1"/>
  <c r="BU39" i="4"/>
  <c r="N130" i="4"/>
  <c r="N38" i="4"/>
  <c r="BU40" i="4"/>
  <c r="N40" i="4" s="1"/>
  <c r="N131" i="4"/>
  <c r="BT194" i="4"/>
  <c r="BT63" i="6"/>
  <c r="BT59" i="6" s="1"/>
  <c r="BU181" i="4"/>
  <c r="BU188" i="4"/>
  <c r="BU133" i="4"/>
  <c r="BU134" i="4" l="1"/>
  <c r="BU56" i="4"/>
  <c r="N188" i="4"/>
  <c r="N39" i="4"/>
  <c r="BU42" i="4"/>
  <c r="N133" i="4"/>
  <c r="BU192" i="4"/>
  <c r="N56" i="4" l="1"/>
  <c r="BU357" i="4"/>
  <c r="N357" i="4" s="1"/>
  <c r="BU43" i="4"/>
  <c r="N43" i="4" s="1"/>
  <c r="N134" i="4"/>
  <c r="BU184" i="4"/>
  <c r="BU260" i="4"/>
  <c r="N260" i="4" s="1"/>
  <c r="N42" i="4"/>
  <c r="BU26" i="9"/>
  <c r="N26" i="9" s="1"/>
  <c r="M26" i="9" s="1"/>
  <c r="M35" i="9" s="1"/>
  <c r="N192" i="4"/>
  <c r="BU136" i="4" l="1"/>
  <c r="BU52" i="4"/>
  <c r="N184" i="4"/>
  <c r="N52" i="4" l="1"/>
  <c r="BU44" i="4"/>
  <c r="N136" i="4"/>
  <c r="BU138" i="4"/>
  <c r="N44" i="4" l="1"/>
  <c r="BU41" i="4"/>
  <c r="N138" i="4"/>
  <c r="BU139" i="4"/>
  <c r="BU45" i="4" l="1"/>
  <c r="N139" i="4"/>
  <c r="N140" i="4" s="1"/>
  <c r="BU362" i="4"/>
  <c r="N362" i="4" s="1"/>
  <c r="BU140" i="4"/>
  <c r="BU185" i="4"/>
  <c r="N41" i="4"/>
  <c r="BU46" i="4"/>
  <c r="BU53" i="4" l="1"/>
  <c r="N185" i="4"/>
  <c r="BU186" i="4"/>
  <c r="BU62" i="6"/>
  <c r="BU142" i="4"/>
  <c r="N45" i="4"/>
  <c r="N47" i="4" s="1"/>
  <c r="BU41" i="5"/>
  <c r="BU187" i="4" l="1"/>
  <c r="BU54" i="4"/>
  <c r="N54" i="4" s="1"/>
  <c r="BU24" i="6"/>
  <c r="N186" i="4"/>
  <c r="N53" i="4"/>
  <c r="BU37" i="5"/>
  <c r="BU122" i="4"/>
  <c r="BU157" i="4"/>
  <c r="BU158" i="4" s="1"/>
  <c r="BU23" i="9" s="1"/>
  <c r="BU90" i="6"/>
  <c r="N41" i="5"/>
  <c r="N24" i="6" l="1"/>
  <c r="N90" i="6"/>
  <c r="BU62" i="4"/>
  <c r="BU360" i="4"/>
  <c r="N122" i="4"/>
  <c r="BU55" i="4"/>
  <c r="N187" i="4"/>
  <c r="N189" i="4" s="1"/>
  <c r="BU57" i="4"/>
  <c r="BU189" i="4"/>
  <c r="BU77" i="6"/>
  <c r="N37" i="5"/>
  <c r="BU363" i="4" l="1"/>
  <c r="N363" i="4" s="1"/>
  <c r="N360" i="4"/>
  <c r="N77" i="6"/>
  <c r="N62" i="4"/>
  <c r="BU194" i="4"/>
  <c r="L194" i="4" s="1" a="1"/>
  <c r="L194" i="4" s="1"/>
  <c r="M231" i="4" s="1"/>
  <c r="BU63" i="6"/>
  <c r="BU59" i="6" s="1"/>
  <c r="N55" i="4"/>
  <c r="N58" i="4" s="1"/>
  <c r="L194" i="2" s="1"/>
  <c r="BU356" i="4"/>
  <c r="N356" i="4" s="1"/>
  <c r="BU40" i="5"/>
  <c r="BU259" i="4"/>
  <c r="T231" i="4" l="1"/>
  <c r="M232" i="4"/>
  <c r="R231" i="4"/>
  <c r="M255" i="4"/>
  <c r="S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T261" i="4"/>
  <c r="N259" i="4"/>
  <c r="BU91" i="6"/>
  <c r="N40" i="5"/>
  <c r="BS225" i="4" l="1"/>
  <c r="BS63" i="4" s="1"/>
  <c r="BK225" i="4"/>
  <c r="BK63" i="4" s="1"/>
  <c r="BR225" i="4"/>
  <c r="BR63" i="4" s="1"/>
  <c r="BO225" i="4"/>
  <c r="BO63" i="4" s="1"/>
  <c r="T255" i="4"/>
  <c r="AA255" i="4"/>
  <c r="W255" i="4"/>
  <c r="BH255" i="4"/>
  <c r="X255" i="4"/>
  <c r="AM255" i="4"/>
  <c r="BG255" i="4"/>
  <c r="AJ255" i="4"/>
  <c r="BI255" i="4"/>
  <c r="BN255" i="4"/>
  <c r="AP255" i="4"/>
  <c r="Z255" i="4"/>
  <c r="BM255" i="4"/>
  <c r="AH255" i="4"/>
  <c r="AX255" i="4"/>
  <c r="S255" i="4"/>
  <c r="AI255" i="4"/>
  <c r="BT255" i="4"/>
  <c r="BJ255" i="4"/>
  <c r="AK255" i="4"/>
  <c r="AD255" i="4"/>
  <c r="BQ255" i="4"/>
  <c r="AG255" i="4"/>
  <c r="BP255" i="4"/>
  <c r="AS255" i="4"/>
  <c r="BR255" i="4"/>
  <c r="AR255" i="4"/>
  <c r="BS255" i="4"/>
  <c r="BU255" i="4"/>
  <c r="Y255" i="4"/>
  <c r="AL255" i="4"/>
  <c r="U255" i="4"/>
  <c r="AB255" i="4"/>
  <c r="AQ255" i="4"/>
  <c r="BB255" i="4"/>
  <c r="AO255" i="4"/>
  <c r="R255" i="4"/>
  <c r="AW255" i="4"/>
  <c r="BK255" i="4"/>
  <c r="V255" i="4"/>
  <c r="AV255" i="4"/>
  <c r="AT255" i="4"/>
  <c r="BO255" i="4"/>
  <c r="BF255" i="4"/>
  <c r="AE255" i="4"/>
  <c r="BL255" i="4"/>
  <c r="AZ255" i="4"/>
  <c r="AC255" i="4"/>
  <c r="AN255" i="4"/>
  <c r="AY255" i="4"/>
  <c r="BA255" i="4"/>
  <c r="AF255" i="4"/>
  <c r="AU255" i="4"/>
  <c r="BE255" i="4"/>
  <c r="BC255" i="4"/>
  <c r="BD255" i="4"/>
  <c r="BP225" i="4"/>
  <c r="BP63" i="4" s="1"/>
  <c r="BS263" i="4"/>
  <c r="N261" i="4"/>
  <c r="BN225" i="4"/>
  <c r="BN63" i="4" s="1"/>
  <c r="R233" i="4"/>
  <c r="N91" i="6"/>
  <c r="BU225" i="4"/>
  <c r="BM225" i="4"/>
  <c r="BM63" i="4" s="1"/>
  <c r="BQ232" i="4"/>
  <c r="BI232" i="4"/>
  <c r="BT232" i="4"/>
  <c r="M256" i="4"/>
  <c r="AB232" i="4"/>
  <c r="AI232" i="4"/>
  <c r="S232" i="4"/>
  <c r="BJ232" i="4"/>
  <c r="Y232" i="4"/>
  <c r="AV232" i="4"/>
  <c r="AO232" i="4"/>
  <c r="BK232" i="4"/>
  <c r="Z232" i="4"/>
  <c r="W232" i="4"/>
  <c r="T232" i="4"/>
  <c r="BG232" i="4"/>
  <c r="BB232" i="4"/>
  <c r="AR232" i="4"/>
  <c r="AZ232" i="4"/>
  <c r="AQ232" i="4"/>
  <c r="BH232" i="4"/>
  <c r="AX232" i="4"/>
  <c r="AW232" i="4"/>
  <c r="AK232" i="4"/>
  <c r="AJ232" i="4"/>
  <c r="AP232" i="4"/>
  <c r="U232" i="4"/>
  <c r="BL232" i="4"/>
  <c r="R232" i="4"/>
  <c r="W241" i="4" s="1"/>
  <c r="BM232" i="4"/>
  <c r="AH232" i="4"/>
  <c r="AG232" i="4"/>
  <c r="AE232" i="4"/>
  <c r="BU232" i="4"/>
  <c r="BR232" i="4"/>
  <c r="AC232" i="4"/>
  <c r="AN232" i="4"/>
  <c r="AS232" i="4"/>
  <c r="BF232" i="4"/>
  <c r="BS232" i="4"/>
  <c r="AL232" i="4"/>
  <c r="AT232" i="4"/>
  <c r="BN232" i="4"/>
  <c r="BO232" i="4"/>
  <c r="BP232" i="4"/>
  <c r="AF232" i="4"/>
  <c r="BD232" i="4"/>
  <c r="BA232" i="4"/>
  <c r="AY232" i="4"/>
  <c r="AM232" i="4"/>
  <c r="BE232" i="4"/>
  <c r="AU232" i="4"/>
  <c r="BC232" i="4"/>
  <c r="AA232" i="4"/>
  <c r="AD232" i="4"/>
  <c r="V232" i="4"/>
  <c r="X232" i="4"/>
  <c r="BQ225" i="4"/>
  <c r="BQ63" i="4" s="1"/>
  <c r="BQ241" i="4"/>
  <c r="BT225" i="4"/>
  <c r="BT63" i="4" s="1"/>
  <c r="BT241" i="4"/>
  <c r="BL225" i="4"/>
  <c r="BL63" i="4" s="1"/>
  <c r="BL241" i="4"/>
  <c r="BD241" i="4"/>
  <c r="AV241" i="4"/>
  <c r="AN241" i="4"/>
  <c r="AF241" i="4"/>
  <c r="X241" i="4"/>
  <c r="T241" i="4"/>
  <c r="W244" i="4" l="1"/>
  <c r="T244" i="4"/>
  <c r="X244" i="4"/>
  <c r="BT355" i="4"/>
  <c r="BT358" i="4" s="1"/>
  <c r="BT365" i="4" s="1"/>
  <c r="BT27" i="6"/>
  <c r="BT29" i="6" s="1"/>
  <c r="BT32" i="6" s="1"/>
  <c r="BT39" i="5"/>
  <c r="W256" i="4"/>
  <c r="BI256" i="4"/>
  <c r="BD256" i="4"/>
  <c r="BA256" i="4"/>
  <c r="BB256" i="4"/>
  <c r="X256" i="4"/>
  <c r="BO256" i="4"/>
  <c r="AB256" i="4"/>
  <c r="AJ256" i="4"/>
  <c r="AA256" i="4"/>
  <c r="BQ256" i="4"/>
  <c r="S256" i="4"/>
  <c r="BM256" i="4"/>
  <c r="AX256" i="4"/>
  <c r="AU256" i="4"/>
  <c r="AM256" i="4"/>
  <c r="BF256" i="4"/>
  <c r="U256" i="4"/>
  <c r="AV256" i="4"/>
  <c r="AO256" i="4"/>
  <c r="AQ256" i="4"/>
  <c r="AH256" i="4"/>
  <c r="AI256" i="4"/>
  <c r="BH256" i="4"/>
  <c r="AZ256" i="4"/>
  <c r="AC256" i="4"/>
  <c r="BT256" i="4"/>
  <c r="BC256" i="4"/>
  <c r="V256" i="4"/>
  <c r="BN256" i="4"/>
  <c r="BG256" i="4"/>
  <c r="AR256" i="4"/>
  <c r="AG256" i="4"/>
  <c r="BU256" i="4"/>
  <c r="BR256" i="4"/>
  <c r="BS256" i="4"/>
  <c r="BK256" i="4"/>
  <c r="BP256" i="4"/>
  <c r="AS256" i="4"/>
  <c r="AE256" i="4"/>
  <c r="BJ256" i="4"/>
  <c r="AW256" i="4"/>
  <c r="AY256" i="4"/>
  <c r="AK256" i="4"/>
  <c r="AN256" i="4"/>
  <c r="T256" i="4"/>
  <c r="AL256" i="4"/>
  <c r="Y256" i="4"/>
  <c r="Z256" i="4"/>
  <c r="BL256" i="4"/>
  <c r="AT256" i="4"/>
  <c r="AD256" i="4"/>
  <c r="BE256" i="4"/>
  <c r="R256" i="4"/>
  <c r="AP256" i="4"/>
  <c r="AF256" i="4"/>
  <c r="BE241" i="4"/>
  <c r="R234" i="4"/>
  <c r="S233" i="4"/>
  <c r="BG241" i="4"/>
  <c r="BH241" i="4"/>
  <c r="AD241" i="4"/>
  <c r="AE241" i="4"/>
  <c r="BQ244" i="4"/>
  <c r="BM241" i="4"/>
  <c r="Z241" i="4"/>
  <c r="BO241" i="4"/>
  <c r="U241" i="4"/>
  <c r="AL241" i="4"/>
  <c r="AM241" i="4"/>
  <c r="AN244" i="4"/>
  <c r="BQ27" i="6"/>
  <c r="BQ29" i="6" s="1"/>
  <c r="BQ32" i="6" s="1"/>
  <c r="BQ355" i="4"/>
  <c r="BQ358" i="4" s="1"/>
  <c r="BQ365" i="4" s="1"/>
  <c r="BQ39" i="5"/>
  <c r="BM355" i="4"/>
  <c r="BM358" i="4" s="1"/>
  <c r="BM365" i="4" s="1"/>
  <c r="BM27" i="6"/>
  <c r="BM29" i="6" s="1"/>
  <c r="BM32" i="6" s="1"/>
  <c r="BM39" i="5"/>
  <c r="AH241" i="4"/>
  <c r="BP241" i="4"/>
  <c r="BO355" i="4"/>
  <c r="BO358" i="4" s="1"/>
  <c r="BO365" i="4" s="1"/>
  <c r="BO27" i="6"/>
  <c r="BO29" i="6" s="1"/>
  <c r="BO32" i="6" s="1"/>
  <c r="BO39" i="5"/>
  <c r="AC241" i="4"/>
  <c r="AT241" i="4"/>
  <c r="AU241" i="4"/>
  <c r="AV244" i="4"/>
  <c r="BU241" i="4"/>
  <c r="AP241" i="4"/>
  <c r="BP355" i="4"/>
  <c r="BP358" i="4" s="1"/>
  <c r="BP365" i="4" s="1"/>
  <c r="BP27" i="6"/>
  <c r="BP29" i="6" s="1"/>
  <c r="BP32" i="6" s="1"/>
  <c r="BP39" i="5"/>
  <c r="S241" i="4"/>
  <c r="AK241" i="4"/>
  <c r="BB241" i="4"/>
  <c r="BC241" i="4"/>
  <c r="AF244" i="4"/>
  <c r="BD244" i="4"/>
  <c r="Y241" i="4"/>
  <c r="BU63" i="4"/>
  <c r="N225" i="4"/>
  <c r="AX241" i="4"/>
  <c r="AA241" i="4"/>
  <c r="AB241" i="4"/>
  <c r="AS241" i="4"/>
  <c r="BJ241" i="4"/>
  <c r="BK241" i="4"/>
  <c r="BL244" i="4"/>
  <c r="AG241" i="4"/>
  <c r="BF241" i="4"/>
  <c r="AI241" i="4"/>
  <c r="AJ241" i="4"/>
  <c r="BA241" i="4"/>
  <c r="BR241" i="4"/>
  <c r="BK27" i="6"/>
  <c r="BK29" i="6" s="1"/>
  <c r="BK32" i="6" s="1"/>
  <c r="BK355" i="4"/>
  <c r="BK358" i="4" s="1"/>
  <c r="BK365" i="4" s="1"/>
  <c r="BK39" i="5"/>
  <c r="BL27" i="6"/>
  <c r="BL29" i="6" s="1"/>
  <c r="BL32" i="6" s="1"/>
  <c r="BL355" i="4"/>
  <c r="BL358" i="4" s="1"/>
  <c r="BL365" i="4" s="1"/>
  <c r="BL39" i="5"/>
  <c r="AO241" i="4"/>
  <c r="BN241" i="4"/>
  <c r="AQ241" i="4"/>
  <c r="AR241" i="4"/>
  <c r="BI241" i="4"/>
  <c r="BR355" i="4"/>
  <c r="BR358" i="4" s="1"/>
  <c r="BR365" i="4" s="1"/>
  <c r="BR27" i="6"/>
  <c r="BR29" i="6" s="1"/>
  <c r="BR32" i="6" s="1"/>
  <c r="BR39" i="5"/>
  <c r="BS241" i="4"/>
  <c r="BT244" i="4"/>
  <c r="AW241" i="4"/>
  <c r="R241" i="4"/>
  <c r="BN27" i="6"/>
  <c r="BN29" i="6" s="1"/>
  <c r="BN32" i="6" s="1"/>
  <c r="BN355" i="4"/>
  <c r="BN358" i="4" s="1"/>
  <c r="BN365" i="4" s="1"/>
  <c r="BN39" i="5"/>
  <c r="R270" i="4"/>
  <c r="AY241" i="4"/>
  <c r="AZ241" i="4"/>
  <c r="V241" i="4"/>
  <c r="BS355" i="4"/>
  <c r="BS358" i="4" s="1"/>
  <c r="BS365" i="4" s="1"/>
  <c r="BS27" i="6"/>
  <c r="BS29" i="6" s="1"/>
  <c r="BS32" i="6" s="1"/>
  <c r="BS39" i="5"/>
  <c r="BR92" i="6" l="1"/>
  <c r="BR42" i="5"/>
  <c r="AA244" i="4"/>
  <c r="AG244" i="4"/>
  <c r="BB244" i="4"/>
  <c r="BM92" i="6"/>
  <c r="BM42" i="5"/>
  <c r="AM244" i="4"/>
  <c r="AD244" i="4"/>
  <c r="BF244" i="4"/>
  <c r="BK92" i="6"/>
  <c r="BK42" i="5"/>
  <c r="BK46" i="5" s="1"/>
  <c r="BU355" i="4"/>
  <c r="BU27" i="6"/>
  <c r="N63" i="4"/>
  <c r="BU39" i="5"/>
  <c r="AK244" i="4"/>
  <c r="AU244" i="4"/>
  <c r="AL244" i="4"/>
  <c r="BH244" i="4"/>
  <c r="AY244" i="4"/>
  <c r="BC244" i="4"/>
  <c r="R244" i="4"/>
  <c r="N241" i="4"/>
  <c r="Y244" i="4"/>
  <c r="S244" i="4"/>
  <c r="BP92" i="6"/>
  <c r="BP42" i="5"/>
  <c r="AT244" i="4"/>
  <c r="U244" i="4"/>
  <c r="BG244" i="4"/>
  <c r="S234" i="4"/>
  <c r="T233" i="4"/>
  <c r="AX244" i="4"/>
  <c r="BS92" i="6"/>
  <c r="BS42" i="5"/>
  <c r="BI244" i="4"/>
  <c r="AW244" i="4"/>
  <c r="AR244" i="4"/>
  <c r="BK244" i="4"/>
  <c r="AC244" i="4"/>
  <c r="BQ92" i="6"/>
  <c r="BQ42" i="5"/>
  <c r="BO244" i="4"/>
  <c r="Z244" i="4"/>
  <c r="BN92" i="6"/>
  <c r="BN42" i="5"/>
  <c r="AH244" i="4"/>
  <c r="R27" i="9"/>
  <c r="R275" i="4"/>
  <c r="R276" i="4" s="1"/>
  <c r="AQ244" i="4"/>
  <c r="BN244" i="4"/>
  <c r="BR244" i="4"/>
  <c r="BJ244" i="4"/>
  <c r="BO92" i="6"/>
  <c r="BO42" i="5"/>
  <c r="BM244" i="4"/>
  <c r="R249" i="4"/>
  <c r="R250" i="4" s="1"/>
  <c r="AO244" i="4"/>
  <c r="AP244" i="4"/>
  <c r="BE244" i="4"/>
  <c r="AI244" i="4"/>
  <c r="AE244" i="4"/>
  <c r="V244" i="4"/>
  <c r="BA244" i="4"/>
  <c r="AS244" i="4"/>
  <c r="AZ244" i="4"/>
  <c r="BS244" i="4"/>
  <c r="BL92" i="6"/>
  <c r="BL42" i="5"/>
  <c r="AJ244" i="4"/>
  <c r="AB244" i="4"/>
  <c r="BU244" i="4"/>
  <c r="BP244" i="4"/>
  <c r="BT92" i="6"/>
  <c r="BT42" i="5"/>
  <c r="N244" i="4" l="1"/>
  <c r="N27" i="6"/>
  <c r="BU29" i="6"/>
  <c r="T234" i="4"/>
  <c r="U233" i="4"/>
  <c r="BU358" i="4"/>
  <c r="N355" i="4"/>
  <c r="S249" i="4"/>
  <c r="S270" i="4"/>
  <c r="BK267" i="4"/>
  <c r="BK302" i="4"/>
  <c r="S250" i="4"/>
  <c r="R240" i="4"/>
  <c r="BU92" i="6"/>
  <c r="N39" i="5"/>
  <c r="BU42" i="5"/>
  <c r="V233" i="4" l="1"/>
  <c r="U234" i="4"/>
  <c r="T249" i="4"/>
  <c r="T270" i="4"/>
  <c r="BU32" i="6"/>
  <c r="N32" i="6" s="1"/>
  <c r="N29" i="6"/>
  <c r="S275" i="4"/>
  <c r="S27" i="9"/>
  <c r="S276" i="4"/>
  <c r="R301" i="4"/>
  <c r="S251" i="4"/>
  <c r="S48" i="5"/>
  <c r="BU365" i="4"/>
  <c r="N358" i="4"/>
  <c r="N92" i="6"/>
  <c r="N42" i="5"/>
  <c r="T27" i="9" l="1"/>
  <c r="S49" i="5"/>
  <c r="S240" i="4"/>
  <c r="S277" i="4"/>
  <c r="U270" i="4"/>
  <c r="S39" i="6"/>
  <c r="G153" i="1"/>
  <c r="S350" i="4"/>
  <c r="F123" i="1"/>
  <c r="Q15" i="1" s="1"/>
  <c r="V234" i="4"/>
  <c r="W233" i="4"/>
  <c r="T247" i="4"/>
  <c r="S67" i="4"/>
  <c r="F124" i="1" l="1"/>
  <c r="G154" i="1"/>
  <c r="S40" i="6"/>
  <c r="U27" i="9"/>
  <c r="W234" i="4"/>
  <c r="X233" i="4"/>
  <c r="T273" i="4"/>
  <c r="S68" i="4"/>
  <c r="V270" i="4"/>
  <c r="T323" i="4"/>
  <c r="T250" i="4"/>
  <c r="S353" i="4"/>
  <c r="S301" i="4"/>
  <c r="T48" i="5" l="1"/>
  <c r="T251" i="4"/>
  <c r="S305" i="4"/>
  <c r="S365" i="4"/>
  <c r="V27" i="9"/>
  <c r="Y233" i="4"/>
  <c r="X234" i="4"/>
  <c r="T324" i="4"/>
  <c r="T275" i="4"/>
  <c r="T276" i="4" s="1"/>
  <c r="W270" i="4"/>
  <c r="S15" i="1"/>
  <c r="U247" i="4" l="1"/>
  <c r="T67" i="4"/>
  <c r="H153" i="1"/>
  <c r="T350" i="4"/>
  <c r="G123" i="1"/>
  <c r="Q16" i="1" s="1"/>
  <c r="T39" i="6"/>
  <c r="T240" i="4"/>
  <c r="T49" i="5"/>
  <c r="Y234" i="4"/>
  <c r="Z233" i="4"/>
  <c r="T277" i="4"/>
  <c r="W27" i="9"/>
  <c r="X270" i="4"/>
  <c r="S306" i="4"/>
  <c r="S93" i="6"/>
  <c r="T353" i="4" l="1"/>
  <c r="T301" i="4"/>
  <c r="U323" i="4"/>
  <c r="S79" i="6"/>
  <c r="S307" i="4"/>
  <c r="T68" i="4"/>
  <c r="U273" i="4"/>
  <c r="S50" i="5"/>
  <c r="Z234" i="4"/>
  <c r="AA233" i="4"/>
  <c r="G124" i="1"/>
  <c r="H154" i="1"/>
  <c r="T40" i="6"/>
  <c r="Y270" i="4"/>
  <c r="X27" i="9"/>
  <c r="T305" i="4" l="1"/>
  <c r="AB233" i="4"/>
  <c r="AA234" i="4"/>
  <c r="S43" i="6"/>
  <c r="G155" i="1"/>
  <c r="F126" i="1"/>
  <c r="S52" i="5"/>
  <c r="S16" i="1"/>
  <c r="S82" i="6"/>
  <c r="Y27" i="9"/>
  <c r="U324" i="4"/>
  <c r="U275" i="4"/>
  <c r="T304" i="4"/>
  <c r="S69" i="4"/>
  <c r="S72" i="4" s="1"/>
  <c r="T306" i="4"/>
  <c r="Z270" i="4"/>
  <c r="T365" i="4"/>
  <c r="G165" i="1" l="1"/>
  <c r="G159" i="1"/>
  <c r="S38" i="6"/>
  <c r="T325" i="4"/>
  <c r="T307" i="4"/>
  <c r="AA270" i="4"/>
  <c r="AB234" i="4"/>
  <c r="AC233" i="4"/>
  <c r="U15" i="1"/>
  <c r="F130" i="1"/>
  <c r="Z27" i="9"/>
  <c r="U276" i="4"/>
  <c r="U277" i="4" s="1"/>
  <c r="T79" i="6"/>
  <c r="Z15" i="8"/>
  <c r="S156" i="4"/>
  <c r="S95" i="6"/>
  <c r="G156" i="1"/>
  <c r="G166" i="1" s="1"/>
  <c r="S56" i="6"/>
  <c r="T50" i="5"/>
  <c r="T43" i="6" s="1"/>
  <c r="T93" i="6"/>
  <c r="U68" i="4" l="1"/>
  <c r="V273" i="4"/>
  <c r="T38" i="6"/>
  <c r="Z59" i="8"/>
  <c r="Z60" i="8" s="1"/>
  <c r="S50" i="6"/>
  <c r="AA27" i="9"/>
  <c r="T82" i="6"/>
  <c r="G168" i="1"/>
  <c r="S54" i="6"/>
  <c r="S65" i="6" s="1"/>
  <c r="W15" i="1"/>
  <c r="F134" i="1"/>
  <c r="AA15" i="1" s="1"/>
  <c r="U49" i="5"/>
  <c r="S98" i="6"/>
  <c r="AC234" i="4"/>
  <c r="AD233" i="4"/>
  <c r="U240" i="4"/>
  <c r="T329" i="4"/>
  <c r="T330" i="4"/>
  <c r="Z17" i="8"/>
  <c r="Z22" i="8"/>
  <c r="H155" i="1"/>
  <c r="G126" i="1"/>
  <c r="T52" i="5"/>
  <c r="T56" i="6" s="1"/>
  <c r="AB270" i="4"/>
  <c r="T69" i="4"/>
  <c r="T72" i="4" s="1"/>
  <c r="U304" i="4"/>
  <c r="T54" i="6" l="1"/>
  <c r="T65" i="6" s="1"/>
  <c r="T338" i="4"/>
  <c r="U249" i="4"/>
  <c r="AD234" i="4"/>
  <c r="AE233" i="4"/>
  <c r="AC270" i="4"/>
  <c r="H165" i="1"/>
  <c r="H159" i="1"/>
  <c r="Z25" i="8"/>
  <c r="S67" i="6"/>
  <c r="AA59" i="8"/>
  <c r="AA60" i="8" s="1"/>
  <c r="T50" i="6"/>
  <c r="S101" i="6"/>
  <c r="U16" i="1"/>
  <c r="G130" i="1"/>
  <c r="AB27" i="9"/>
  <c r="V324" i="4"/>
  <c r="V275" i="4"/>
  <c r="U325" i="4"/>
  <c r="AA15" i="8"/>
  <c r="T95" i="6"/>
  <c r="H156" i="1"/>
  <c r="H166" i="1" s="1"/>
  <c r="T156" i="4"/>
  <c r="H124" i="1"/>
  <c r="I154" i="1"/>
  <c r="U40" i="6"/>
  <c r="Z72" i="8" l="1"/>
  <c r="U250" i="4"/>
  <c r="U251" i="4"/>
  <c r="H168" i="1"/>
  <c r="AD270" i="4"/>
  <c r="T98" i="6"/>
  <c r="S17" i="1"/>
  <c r="V276" i="4"/>
  <c r="V49" i="5" s="1"/>
  <c r="V277" i="4"/>
  <c r="AA22" i="8"/>
  <c r="AA17" i="8"/>
  <c r="AC27" i="9"/>
  <c r="T340" i="4"/>
  <c r="U330" i="4"/>
  <c r="U329" i="4"/>
  <c r="W16" i="1"/>
  <c r="G134" i="1"/>
  <c r="AA16" i="1" s="1"/>
  <c r="T67" i="6"/>
  <c r="AF233" i="4"/>
  <c r="AE234" i="4"/>
  <c r="I124" i="1" l="1"/>
  <c r="J154" i="1"/>
  <c r="V40" i="6"/>
  <c r="U48" i="5"/>
  <c r="U301" i="4"/>
  <c r="AE270" i="4"/>
  <c r="U67" i="4"/>
  <c r="V247" i="4"/>
  <c r="T24" i="9"/>
  <c r="T74" i="4"/>
  <c r="T101" i="6"/>
  <c r="V68" i="4"/>
  <c r="W273" i="4"/>
  <c r="V240" i="4"/>
  <c r="AD27" i="9"/>
  <c r="AF234" i="4"/>
  <c r="AG233" i="4"/>
  <c r="U338" i="4"/>
  <c r="AA25" i="8"/>
  <c r="U350" i="4" l="1"/>
  <c r="H123" i="1"/>
  <c r="I153" i="1"/>
  <c r="U39" i="6"/>
  <c r="V251" i="4"/>
  <c r="V323" i="4"/>
  <c r="V249" i="4"/>
  <c r="V250" i="4"/>
  <c r="U340" i="4"/>
  <c r="AF270" i="4"/>
  <c r="W324" i="4"/>
  <c r="W275" i="4"/>
  <c r="AE27" i="9"/>
  <c r="AA72" i="8"/>
  <c r="AG234" i="4"/>
  <c r="AH233" i="4"/>
  <c r="U305" i="4"/>
  <c r="V301" i="4"/>
  <c r="V305" i="4" s="1"/>
  <c r="S18" i="1"/>
  <c r="AF27" i="9" l="1"/>
  <c r="W247" i="4"/>
  <c r="V67" i="4"/>
  <c r="AH234" i="4"/>
  <c r="AI233" i="4"/>
  <c r="AG270" i="4"/>
  <c r="U306" i="4"/>
  <c r="U93" i="6"/>
  <c r="U74" i="4"/>
  <c r="U24" i="9"/>
  <c r="W276" i="4"/>
  <c r="W277" i="4" s="1"/>
  <c r="Q17" i="1"/>
  <c r="V48" i="5"/>
  <c r="V93" i="6"/>
  <c r="U353" i="4"/>
  <c r="W68" i="4" l="1"/>
  <c r="X273" i="4"/>
  <c r="U79" i="6"/>
  <c r="AH270" i="4"/>
  <c r="AJ233" i="4"/>
  <c r="AI234" i="4"/>
  <c r="U50" i="5"/>
  <c r="W323" i="4"/>
  <c r="W249" i="4"/>
  <c r="W240" i="4"/>
  <c r="AG27" i="9"/>
  <c r="U365" i="4"/>
  <c r="W49" i="5"/>
  <c r="J153" i="1"/>
  <c r="V350" i="4"/>
  <c r="I123" i="1"/>
  <c r="U307" i="4"/>
  <c r="V39" i="6"/>
  <c r="AK233" i="4" l="1"/>
  <c r="AJ234" i="4"/>
  <c r="U69" i="4"/>
  <c r="U72" i="4" s="1"/>
  <c r="V304" i="4"/>
  <c r="V306" i="4"/>
  <c r="W250" i="4"/>
  <c r="AH27" i="9"/>
  <c r="U82" i="6"/>
  <c r="W48" i="5"/>
  <c r="V353" i="4"/>
  <c r="K154" i="1"/>
  <c r="J124" i="1"/>
  <c r="W40" i="6"/>
  <c r="I155" i="1"/>
  <c r="H126" i="1"/>
  <c r="U43" i="6"/>
  <c r="U52" i="5"/>
  <c r="X324" i="4"/>
  <c r="X276" i="4"/>
  <c r="X275" i="4"/>
  <c r="Q18" i="1"/>
  <c r="W301" i="4"/>
  <c r="W305" i="4" s="1"/>
  <c r="AI270" i="4"/>
  <c r="U156" i="4" l="1"/>
  <c r="U95" i="6"/>
  <c r="I156" i="1"/>
  <c r="I166" i="1" s="1"/>
  <c r="AB15" i="8"/>
  <c r="U56" i="6"/>
  <c r="V43" i="6"/>
  <c r="U38" i="6"/>
  <c r="V79" i="6"/>
  <c r="V50" i="5"/>
  <c r="U17" i="1"/>
  <c r="H130" i="1"/>
  <c r="S19" i="1"/>
  <c r="V325" i="4"/>
  <c r="V307" i="4"/>
  <c r="X240" i="4"/>
  <c r="X49" i="5"/>
  <c r="X40" i="6" s="1"/>
  <c r="I159" i="1"/>
  <c r="I165" i="1"/>
  <c r="K153" i="1"/>
  <c r="J123" i="1"/>
  <c r="Q19" i="1" s="1"/>
  <c r="W350" i="4"/>
  <c r="AJ270" i="4"/>
  <c r="X277" i="4"/>
  <c r="V365" i="4"/>
  <c r="W39" i="6"/>
  <c r="AL233" i="4"/>
  <c r="AK234" i="4"/>
  <c r="AI27" i="9"/>
  <c r="W93" i="6"/>
  <c r="W251" i="4"/>
  <c r="I168" i="1" l="1"/>
  <c r="W17" i="1"/>
  <c r="H134" i="1"/>
  <c r="AA17" i="1" s="1"/>
  <c r="V38" i="6"/>
  <c r="AK270" i="4"/>
  <c r="U54" i="6"/>
  <c r="U65" i="6" s="1"/>
  <c r="W67" i="4"/>
  <c r="X247" i="4"/>
  <c r="I126" i="1"/>
  <c r="J155" i="1"/>
  <c r="V52" i="5"/>
  <c r="AB22" i="8"/>
  <c r="AB17" i="8"/>
  <c r="AJ27" i="9"/>
  <c r="W353" i="4"/>
  <c r="V69" i="4"/>
  <c r="V72" i="4" s="1"/>
  <c r="W304" i="4"/>
  <c r="W306" i="4"/>
  <c r="V82" i="6"/>
  <c r="AB59" i="8"/>
  <c r="AB60" i="8" s="1"/>
  <c r="U50" i="6"/>
  <c r="U98" i="6"/>
  <c r="K124" i="1"/>
  <c r="L154" i="1"/>
  <c r="AM233" i="4"/>
  <c r="AL234" i="4"/>
  <c r="V329" i="4"/>
  <c r="V330" i="4"/>
  <c r="Y273" i="4"/>
  <c r="X68" i="4"/>
  <c r="U157" i="4"/>
  <c r="U101" i="6" l="1"/>
  <c r="AK27" i="9"/>
  <c r="Y324" i="4"/>
  <c r="Y275" i="4"/>
  <c r="W325" i="4"/>
  <c r="W307" i="4"/>
  <c r="X323" i="4"/>
  <c r="X249" i="4"/>
  <c r="X250" i="4"/>
  <c r="AB25" i="8"/>
  <c r="AC59" i="8"/>
  <c r="AC60" i="8" s="1"/>
  <c r="V50" i="6"/>
  <c r="W79" i="6"/>
  <c r="W50" i="5"/>
  <c r="U67" i="6"/>
  <c r="U158" i="4"/>
  <c r="W365" i="4"/>
  <c r="V156" i="4"/>
  <c r="V157" i="4" s="1"/>
  <c r="V158" i="4" s="1"/>
  <c r="V23" i="9" s="1"/>
  <c r="AC15" i="8"/>
  <c r="V95" i="6"/>
  <c r="J156" i="1"/>
  <c r="J166" i="1" s="1"/>
  <c r="V56" i="6"/>
  <c r="AM234" i="4"/>
  <c r="AN233" i="4"/>
  <c r="J165" i="1"/>
  <c r="J159" i="1"/>
  <c r="J168" i="1" s="1"/>
  <c r="V338" i="4"/>
  <c r="U18" i="1"/>
  <c r="I130" i="1"/>
  <c r="AL270" i="4"/>
  <c r="S20" i="1"/>
  <c r="V340" i="4" l="1"/>
  <c r="K155" i="1"/>
  <c r="J126" i="1"/>
  <c r="W52" i="5"/>
  <c r="W43" i="6"/>
  <c r="AC22" i="8"/>
  <c r="AC17" i="8"/>
  <c r="X48" i="5"/>
  <c r="X301" i="4"/>
  <c r="X305" i="4" s="1"/>
  <c r="Y276" i="4"/>
  <c r="Y240" i="4" s="1"/>
  <c r="W82" i="6"/>
  <c r="AO233" i="4"/>
  <c r="AN234" i="4"/>
  <c r="X251" i="4"/>
  <c r="Y277" i="4"/>
  <c r="AM270" i="4"/>
  <c r="W56" i="6"/>
  <c r="V54" i="6"/>
  <c r="V65" i="6" s="1"/>
  <c r="V67" i="6" s="1"/>
  <c r="AL27" i="9"/>
  <c r="U23" i="9"/>
  <c r="W69" i="4"/>
  <c r="W72" i="4" s="1"/>
  <c r="X304" i="4"/>
  <c r="V98" i="6"/>
  <c r="W18" i="1"/>
  <c r="I134" i="1"/>
  <c r="AA18" i="1" s="1"/>
  <c r="AB72" i="8"/>
  <c r="W329" i="4"/>
  <c r="W330" i="4"/>
  <c r="AN270" i="4" l="1"/>
  <c r="L153" i="1"/>
  <c r="K123" i="1"/>
  <c r="X350" i="4"/>
  <c r="X353" i="4" s="1"/>
  <c r="X365" i="4" s="1"/>
  <c r="X39" i="6"/>
  <c r="AP233" i="4"/>
  <c r="AO234" i="4"/>
  <c r="X93" i="6"/>
  <c r="W38" i="6"/>
  <c r="W95" i="6"/>
  <c r="AD15" i="8"/>
  <c r="K156" i="1"/>
  <c r="K166" i="1" s="1"/>
  <c r="W156" i="4"/>
  <c r="W157" i="4" s="1"/>
  <c r="W54" i="6"/>
  <c r="W65" i="6" s="1"/>
  <c r="U19" i="1"/>
  <c r="J130" i="1"/>
  <c r="AM27" i="9"/>
  <c r="AC25" i="8"/>
  <c r="K165" i="1"/>
  <c r="K159" i="1"/>
  <c r="W338" i="4"/>
  <c r="W340" i="4" s="1"/>
  <c r="X306" i="4"/>
  <c r="X79" i="6" s="1"/>
  <c r="X82" i="6" s="1"/>
  <c r="Y49" i="5"/>
  <c r="V101" i="6"/>
  <c r="X67" i="4"/>
  <c r="Y247" i="4"/>
  <c r="X325" i="4"/>
  <c r="Y68" i="4"/>
  <c r="Z273" i="4"/>
  <c r="V24" i="9"/>
  <c r="V74" i="4"/>
  <c r="AD59" i="8" l="1"/>
  <c r="AD60" i="8" s="1"/>
  <c r="W50" i="6"/>
  <c r="W67" i="6" s="1"/>
  <c r="AC72" i="8"/>
  <c r="Q20" i="1"/>
  <c r="M154" i="1"/>
  <c r="L124" i="1"/>
  <c r="Y40" i="6"/>
  <c r="AO270" i="4"/>
  <c r="Z324" i="4"/>
  <c r="Z275" i="4"/>
  <c r="W158" i="4"/>
  <c r="AQ233" i="4"/>
  <c r="AP234" i="4"/>
  <c r="AN27" i="9"/>
  <c r="X329" i="4"/>
  <c r="X330" i="4"/>
  <c r="W19" i="1"/>
  <c r="J134" i="1"/>
  <c r="AA19" i="1" s="1"/>
  <c r="X307" i="4"/>
  <c r="W24" i="9"/>
  <c r="W74" i="4"/>
  <c r="AD22" i="8"/>
  <c r="AD17" i="8"/>
  <c r="X50" i="5"/>
  <c r="Y323" i="4"/>
  <c r="Y249" i="4"/>
  <c r="K168" i="1"/>
  <c r="W98" i="6"/>
  <c r="X69" i="4" l="1"/>
  <c r="X72" i="4" s="1"/>
  <c r="Y304" i="4"/>
  <c r="AR233" i="4"/>
  <c r="AQ234" i="4"/>
  <c r="W23" i="9"/>
  <c r="AO27" i="9"/>
  <c r="W101" i="6"/>
  <c r="X338" i="4"/>
  <c r="X340" i="4" s="1"/>
  <c r="Z276" i="4"/>
  <c r="Z277" i="4" s="1"/>
  <c r="AD25" i="8"/>
  <c r="S21" i="1"/>
  <c r="L155" i="1"/>
  <c r="K126" i="1"/>
  <c r="X43" i="6"/>
  <c r="X52" i="5"/>
  <c r="Y48" i="5"/>
  <c r="Y250" i="4"/>
  <c r="AP270" i="4"/>
  <c r="AA273" i="4" l="1"/>
  <c r="Z68" i="4"/>
  <c r="Y350" i="4"/>
  <c r="Y353" i="4" s="1"/>
  <c r="Y365" i="4" s="1"/>
  <c r="L123" i="1"/>
  <c r="M153" i="1"/>
  <c r="Y39" i="6"/>
  <c r="L156" i="1"/>
  <c r="L166" i="1" s="1"/>
  <c r="AE15" i="8"/>
  <c r="X95" i="6"/>
  <c r="X98" i="6" s="1"/>
  <c r="X101" i="6" s="1"/>
  <c r="X156" i="4"/>
  <c r="X157" i="4" s="1"/>
  <c r="X158" i="4" s="1"/>
  <c r="X23" i="9" s="1"/>
  <c r="X56" i="6"/>
  <c r="AD72" i="8"/>
  <c r="AP27" i="9"/>
  <c r="U20" i="1"/>
  <c r="K130" i="1"/>
  <c r="Z49" i="5"/>
  <c r="AQ270" i="4"/>
  <c r="X38" i="6"/>
  <c r="L159" i="1"/>
  <c r="L165" i="1"/>
  <c r="X24" i="9"/>
  <c r="X74" i="4"/>
  <c r="Z240" i="4"/>
  <c r="AS233" i="4"/>
  <c r="AR234" i="4"/>
  <c r="Y251" i="4"/>
  <c r="Y301" i="4"/>
  <c r="Y305" i="4" s="1"/>
  <c r="Y325" i="4"/>
  <c r="AQ27" i="9" l="1"/>
  <c r="Y329" i="4"/>
  <c r="Y330" i="4"/>
  <c r="N154" i="1"/>
  <c r="M124" i="1"/>
  <c r="Z40" i="6"/>
  <c r="X54" i="6"/>
  <c r="X65" i="6" s="1"/>
  <c r="Q21" i="1"/>
  <c r="L168" i="1"/>
  <c r="AS234" i="4"/>
  <c r="AT233" i="4"/>
  <c r="K134" i="1"/>
  <c r="AA20" i="1" s="1"/>
  <c r="W20" i="1"/>
  <c r="Z247" i="4"/>
  <c r="Y67" i="4"/>
  <c r="AE59" i="8"/>
  <c r="AE60" i="8" s="1"/>
  <c r="X50" i="6"/>
  <c r="AE22" i="8"/>
  <c r="AE25" i="8" s="1"/>
  <c r="AE72" i="8" s="1"/>
  <c r="AE17" i="8"/>
  <c r="Y50" i="5"/>
  <c r="Y93" i="6"/>
  <c r="Y306" i="4"/>
  <c r="Y79" i="6" s="1"/>
  <c r="Y82" i="6" s="1"/>
  <c r="AR270" i="4"/>
  <c r="AA324" i="4"/>
  <c r="AA275" i="4"/>
  <c r="X67" i="6" l="1"/>
  <c r="AT234" i="4"/>
  <c r="AU233" i="4"/>
  <c r="AS270" i="4"/>
  <c r="M155" i="1"/>
  <c r="L126" i="1"/>
  <c r="Y43" i="6"/>
  <c r="Y52" i="5"/>
  <c r="S22" i="1"/>
  <c r="AR27" i="9"/>
  <c r="AA49" i="5"/>
  <c r="AA40" i="6" s="1"/>
  <c r="AA276" i="4"/>
  <c r="AA277" i="4" s="1"/>
  <c r="Z323" i="4"/>
  <c r="Z249" i="4"/>
  <c r="Y338" i="4"/>
  <c r="Y340" i="4" s="1"/>
  <c r="Y307" i="4"/>
  <c r="AB273" i="4" l="1"/>
  <c r="AA68" i="4"/>
  <c r="AS27" i="9"/>
  <c r="M159" i="1"/>
  <c r="M165" i="1"/>
  <c r="Y24" i="9"/>
  <c r="Y74" i="4"/>
  <c r="Y95" i="6"/>
  <c r="Y98" i="6" s="1"/>
  <c r="Y101" i="6" s="1"/>
  <c r="M156" i="1"/>
  <c r="M166" i="1" s="1"/>
  <c r="AF15" i="8"/>
  <c r="Y156" i="4"/>
  <c r="Y157" i="4" s="1"/>
  <c r="Y158" i="4" s="1"/>
  <c r="Y23" i="9" s="1"/>
  <c r="Y56" i="6"/>
  <c r="AU234" i="4"/>
  <c r="AV233" i="4"/>
  <c r="N124" i="1"/>
  <c r="O154" i="1"/>
  <c r="Y38" i="6"/>
  <c r="AT270" i="4"/>
  <c r="Z250" i="4"/>
  <c r="Z48" i="5" s="1"/>
  <c r="Z304" i="4"/>
  <c r="Y69" i="4"/>
  <c r="Y72" i="4" s="1"/>
  <c r="AA240" i="4"/>
  <c r="U21" i="1"/>
  <c r="L130" i="1"/>
  <c r="Z350" i="4" l="1"/>
  <c r="Z353" i="4" s="1"/>
  <c r="Z365" i="4" s="1"/>
  <c r="N153" i="1"/>
  <c r="M123" i="1"/>
  <c r="Z39" i="6"/>
  <c r="Z251" i="4"/>
  <c r="S23" i="1"/>
  <c r="Z301" i="4"/>
  <c r="Z305" i="4" s="1"/>
  <c r="AW233" i="4"/>
  <c r="AV234" i="4"/>
  <c r="L134" i="1"/>
  <c r="AA21" i="1" s="1"/>
  <c r="W21" i="1"/>
  <c r="AU270" i="4"/>
  <c r="Z325" i="4"/>
  <c r="AT27" i="9"/>
  <c r="Y54" i="6"/>
  <c r="Y65" i="6" s="1"/>
  <c r="AB324" i="4"/>
  <c r="AB277" i="4"/>
  <c r="AB276" i="4"/>
  <c r="AB275" i="4"/>
  <c r="AF59" i="8"/>
  <c r="AF60" i="8" s="1"/>
  <c r="Y50" i="6"/>
  <c r="AF22" i="8"/>
  <c r="AF25" i="8" s="1"/>
  <c r="AF72" i="8" s="1"/>
  <c r="AF17" i="8"/>
  <c r="M168" i="1"/>
  <c r="Y67" i="6" l="1"/>
  <c r="AU27" i="9"/>
  <c r="Z67" i="4"/>
  <c r="AA247" i="4"/>
  <c r="AB49" i="5"/>
  <c r="AB240" i="4"/>
  <c r="Z329" i="4"/>
  <c r="Z338" i="4" s="1"/>
  <c r="Z340" i="4" s="1"/>
  <c r="Z330" i="4"/>
  <c r="AV270" i="4"/>
  <c r="Q22" i="1"/>
  <c r="AW234" i="4"/>
  <c r="AX233" i="4"/>
  <c r="AB68" i="4"/>
  <c r="AC273" i="4"/>
  <c r="Z306" i="4"/>
  <c r="Z79" i="6" s="1"/>
  <c r="Z82" i="6" s="1"/>
  <c r="Z93" i="6"/>
  <c r="AC324" i="4" l="1"/>
  <c r="AC275" i="4"/>
  <c r="AV27" i="9"/>
  <c r="Z50" i="5"/>
  <c r="AA323" i="4"/>
  <c r="AA249" i="4"/>
  <c r="AA250" i="4"/>
  <c r="Z74" i="4"/>
  <c r="Z24" i="9"/>
  <c r="P154" i="1"/>
  <c r="O124" i="1"/>
  <c r="AB40" i="6"/>
  <c r="AY233" i="4"/>
  <c r="AX234" i="4"/>
  <c r="AW270" i="4"/>
  <c r="Z307" i="4"/>
  <c r="M126" i="1" l="1"/>
  <c r="N155" i="1"/>
  <c r="Z43" i="6"/>
  <c r="Z52" i="5"/>
  <c r="AW27" i="9"/>
  <c r="AC240" i="4"/>
  <c r="S24" i="1"/>
  <c r="AC276" i="4"/>
  <c r="AC49" i="5" s="1"/>
  <c r="AZ233" i="4"/>
  <c r="AY234" i="4"/>
  <c r="AA48" i="5"/>
  <c r="AA301" i="4"/>
  <c r="AA305" i="4" s="1"/>
  <c r="AC277" i="4"/>
  <c r="Z69" i="4"/>
  <c r="Z72" i="4" s="1"/>
  <c r="AA304" i="4"/>
  <c r="AA306" i="4"/>
  <c r="AA79" i="6" s="1"/>
  <c r="AA82" i="6" s="1"/>
  <c r="AX270" i="4"/>
  <c r="AA251" i="4"/>
  <c r="Q154" i="1" l="1"/>
  <c r="P124" i="1"/>
  <c r="AC40" i="6"/>
  <c r="AZ234" i="4"/>
  <c r="BA233" i="4"/>
  <c r="AA325" i="4"/>
  <c r="AA307" i="4"/>
  <c r="AA67" i="4"/>
  <c r="AB247" i="4"/>
  <c r="AC68" i="4"/>
  <c r="AD273" i="4"/>
  <c r="AG15" i="8"/>
  <c r="Z156" i="4"/>
  <c r="Z157" i="4" s="1"/>
  <c r="Z158" i="4" s="1"/>
  <c r="Z23" i="9" s="1"/>
  <c r="N156" i="1"/>
  <c r="N166" i="1" s="1"/>
  <c r="Z95" i="6"/>
  <c r="Z98" i="6" s="1"/>
  <c r="Z101" i="6" s="1"/>
  <c r="Z56" i="6"/>
  <c r="AY270" i="4"/>
  <c r="AA50" i="5"/>
  <c r="AA43" i="6"/>
  <c r="Z38" i="6"/>
  <c r="AA350" i="4"/>
  <c r="AA353" i="4" s="1"/>
  <c r="AA365" i="4" s="1"/>
  <c r="O153" i="1"/>
  <c r="N123" i="1"/>
  <c r="AA52" i="5"/>
  <c r="AA39" i="6"/>
  <c r="N165" i="1"/>
  <c r="N159" i="1"/>
  <c r="AX27" i="9"/>
  <c r="AA93" i="6"/>
  <c r="U22" i="1"/>
  <c r="M130" i="1"/>
  <c r="AA56" i="6" l="1"/>
  <c r="Z54" i="6"/>
  <c r="Z65" i="6" s="1"/>
  <c r="AB304" i="4"/>
  <c r="AA69" i="4"/>
  <c r="AA72" i="4" s="1"/>
  <c r="BA234" i="4"/>
  <c r="BB233" i="4"/>
  <c r="N168" i="1"/>
  <c r="N126" i="1"/>
  <c r="U23" i="1" s="1"/>
  <c r="O155" i="1"/>
  <c r="O165" i="1" s="1"/>
  <c r="AG22" i="8"/>
  <c r="AG25" i="8" s="1"/>
  <c r="AG72" i="8" s="1"/>
  <c r="AG17" i="8"/>
  <c r="AZ270" i="4"/>
  <c r="AA329" i="4"/>
  <c r="AA330" i="4"/>
  <c r="M134" i="1"/>
  <c r="AA22" i="1" s="1"/>
  <c r="W22" i="1"/>
  <c r="AA38" i="6"/>
  <c r="AD324" i="4"/>
  <c r="AD275" i="4"/>
  <c r="AD276" i="4" s="1"/>
  <c r="AH15" i="8"/>
  <c r="AA156" i="4"/>
  <c r="AA157" i="4" s="1"/>
  <c r="AA158" i="4" s="1"/>
  <c r="AA23" i="9" s="1"/>
  <c r="AA95" i="6"/>
  <c r="AA98" i="6" s="1"/>
  <c r="AA101" i="6" s="1"/>
  <c r="O156" i="1"/>
  <c r="O166" i="1" s="1"/>
  <c r="AY27" i="9"/>
  <c r="S25" i="1"/>
  <c r="AG59" i="8"/>
  <c r="AG60" i="8" s="1"/>
  <c r="Z50" i="6"/>
  <c r="Q23" i="1"/>
  <c r="N130" i="1"/>
  <c r="AB323" i="4"/>
  <c r="AB249" i="4"/>
  <c r="AB250" i="4" s="1"/>
  <c r="AH59" i="8" l="1"/>
  <c r="AH60" i="8" s="1"/>
  <c r="AA50" i="6"/>
  <c r="AH22" i="8"/>
  <c r="AH25" i="8" s="1"/>
  <c r="AH72" i="8" s="1"/>
  <c r="AH17" i="8"/>
  <c r="AB325" i="4"/>
  <c r="AB48" i="5"/>
  <c r="AB301" i="4"/>
  <c r="AB305" i="4" s="1"/>
  <c r="Z67" i="6"/>
  <c r="AB329" i="4"/>
  <c r="AB330" i="4"/>
  <c r="AA338" i="4"/>
  <c r="AA340" i="4" s="1"/>
  <c r="AA54" i="6"/>
  <c r="AA65" i="6" s="1"/>
  <c r="AB251" i="4"/>
  <c r="N134" i="1"/>
  <c r="AA23" i="1" s="1"/>
  <c r="W23" i="1"/>
  <c r="BC233" i="4"/>
  <c r="BB234" i="4"/>
  <c r="O159" i="1"/>
  <c r="O168" i="1" s="1"/>
  <c r="AD49" i="5"/>
  <c r="AD240" i="4"/>
  <c r="AD277" i="4"/>
  <c r="AZ27" i="9"/>
  <c r="BA270" i="4"/>
  <c r="AA67" i="6" l="1"/>
  <c r="O123" i="1"/>
  <c r="AB350" i="4"/>
  <c r="AB353" i="4" s="1"/>
  <c r="AB365" i="4" s="1"/>
  <c r="P153" i="1"/>
  <c r="AB39" i="6"/>
  <c r="AA24" i="9"/>
  <c r="AA74" i="4"/>
  <c r="AB338" i="4"/>
  <c r="AB340" i="4" s="1"/>
  <c r="R154" i="1"/>
  <c r="Q124" i="1"/>
  <c r="AD40" i="6"/>
  <c r="BB270" i="4"/>
  <c r="AB50" i="5"/>
  <c r="AB52" i="5" s="1"/>
  <c r="AB306" i="4"/>
  <c r="BA27" i="9"/>
  <c r="BD233" i="4"/>
  <c r="BC234" i="4"/>
  <c r="AE273" i="4"/>
  <c r="AD68" i="4"/>
  <c r="AB67" i="4"/>
  <c r="AC247" i="4"/>
  <c r="AB93" i="6"/>
  <c r="AB95" i="6" l="1"/>
  <c r="AB98" i="6" s="1"/>
  <c r="P156" i="1"/>
  <c r="P166" i="1" s="1"/>
  <c r="AB156" i="4"/>
  <c r="AB157" i="4" s="1"/>
  <c r="AB158" i="4" s="1"/>
  <c r="AB23" i="9" s="1"/>
  <c r="AI15" i="8"/>
  <c r="AB56" i="6"/>
  <c r="AE324" i="4"/>
  <c r="AE276" i="4"/>
  <c r="AE277" i="4" s="1"/>
  <c r="AE275" i="4"/>
  <c r="BB27" i="9"/>
  <c r="BC270" i="4"/>
  <c r="BE233" i="4"/>
  <c r="BD234" i="4"/>
  <c r="P155" i="1"/>
  <c r="P165" i="1" s="1"/>
  <c r="O126" i="1"/>
  <c r="U24" i="1" s="1"/>
  <c r="AB43" i="6"/>
  <c r="S26" i="1"/>
  <c r="P159" i="1"/>
  <c r="AC323" i="4"/>
  <c r="AC249" i="4"/>
  <c r="AB79" i="6"/>
  <c r="AB82" i="6" s="1"/>
  <c r="AB307" i="4"/>
  <c r="AB24" i="9"/>
  <c r="AB74" i="4"/>
  <c r="Q24" i="1"/>
  <c r="O130" i="1"/>
  <c r="AF273" i="4" l="1"/>
  <c r="AE68" i="4"/>
  <c r="AC250" i="4"/>
  <c r="AB38" i="6"/>
  <c r="AB54" i="6"/>
  <c r="AB65" i="6" s="1"/>
  <c r="AI22" i="8"/>
  <c r="AI25" i="8" s="1"/>
  <c r="AI72" i="8" s="1"/>
  <c r="AI17" i="8"/>
  <c r="P168" i="1"/>
  <c r="AC48" i="5"/>
  <c r="AC301" i="4"/>
  <c r="AC305" i="4" s="1"/>
  <c r="BE234" i="4"/>
  <c r="BF233" i="4"/>
  <c r="BC27" i="9"/>
  <c r="O134" i="1"/>
  <c r="AA24" i="1" s="1"/>
  <c r="W24" i="1"/>
  <c r="BD270" i="4"/>
  <c r="AC304" i="4"/>
  <c r="AB69" i="4"/>
  <c r="AB72" i="4" s="1"/>
  <c r="AE49" i="5"/>
  <c r="AE240" i="4"/>
  <c r="AB101" i="6"/>
  <c r="AC93" i="6" l="1"/>
  <c r="BD27" i="9"/>
  <c r="AI59" i="8"/>
  <c r="AI60" i="8" s="1"/>
  <c r="AB50" i="6"/>
  <c r="AB67" i="6" s="1"/>
  <c r="Q153" i="1"/>
  <c r="P123" i="1"/>
  <c r="AC350" i="4"/>
  <c r="AC353" i="4" s="1"/>
  <c r="AC365" i="4" s="1"/>
  <c r="AC39" i="6"/>
  <c r="AC251" i="4"/>
  <c r="S154" i="1"/>
  <c r="R124" i="1"/>
  <c r="AE40" i="6"/>
  <c r="BG233" i="4"/>
  <c r="BF234" i="4"/>
  <c r="AC306" i="4"/>
  <c r="AC50" i="5" s="1"/>
  <c r="AC307" i="4"/>
  <c r="AC325" i="4"/>
  <c r="BE270" i="4"/>
  <c r="AF324" i="4"/>
  <c r="AF275" i="4"/>
  <c r="P126" i="1" l="1"/>
  <c r="U25" i="1" s="1"/>
  <c r="Q155" i="1"/>
  <c r="AC43" i="6"/>
  <c r="AC52" i="5"/>
  <c r="Q165" i="1"/>
  <c r="Q159" i="1"/>
  <c r="S27" i="1"/>
  <c r="AD304" i="4"/>
  <c r="AC69" i="4"/>
  <c r="AF276" i="4"/>
  <c r="AF49" i="5" s="1"/>
  <c r="AC67" i="4"/>
  <c r="AC72" i="4" s="1"/>
  <c r="AD247" i="4"/>
  <c r="AC329" i="4"/>
  <c r="AC338" i="4" s="1"/>
  <c r="AC340" i="4" s="1"/>
  <c r="AC330" i="4"/>
  <c r="AC38" i="6"/>
  <c r="AC79" i="6"/>
  <c r="AC82" i="6" s="1"/>
  <c r="BF270" i="4"/>
  <c r="BE27" i="9"/>
  <c r="BH233" i="4"/>
  <c r="BG234" i="4"/>
  <c r="Q25" i="1"/>
  <c r="P130" i="1"/>
  <c r="S124" i="1" l="1"/>
  <c r="T154" i="1"/>
  <c r="AF40" i="6"/>
  <c r="AF277" i="4"/>
  <c r="BH234" i="4"/>
  <c r="BI233" i="4"/>
  <c r="BG270" i="4"/>
  <c r="AJ59" i="8"/>
  <c r="AJ60" i="8" s="1"/>
  <c r="AC50" i="6"/>
  <c r="AD325" i="4"/>
  <c r="Q156" i="1"/>
  <c r="Q166" i="1" s="1"/>
  <c r="Q168" i="1" s="1"/>
  <c r="AC156" i="4"/>
  <c r="AC157" i="4" s="1"/>
  <c r="AC158" i="4" s="1"/>
  <c r="AC23" i="9" s="1"/>
  <c r="AJ15" i="8"/>
  <c r="AC95" i="6"/>
  <c r="AC98" i="6" s="1"/>
  <c r="AC101" i="6" s="1"/>
  <c r="AC56" i="6"/>
  <c r="P134" i="1"/>
  <c r="AA25" i="1" s="1"/>
  <c r="W25" i="1"/>
  <c r="AF240" i="4"/>
  <c r="AC24" i="9"/>
  <c r="AC74" i="4"/>
  <c r="BF27" i="9"/>
  <c r="AD323" i="4"/>
  <c r="AD249" i="4"/>
  <c r="BJ233" i="4" l="1"/>
  <c r="BI234" i="4"/>
  <c r="BH270" i="4"/>
  <c r="AG273" i="4"/>
  <c r="AF68" i="4"/>
  <c r="AD329" i="4"/>
  <c r="AD338" i="4" s="1"/>
  <c r="AD340" i="4" s="1"/>
  <c r="AD330" i="4"/>
  <c r="AD251" i="4"/>
  <c r="AC54" i="6"/>
  <c r="AC65" i="6" s="1"/>
  <c r="AC67" i="6" s="1"/>
  <c r="AD250" i="4"/>
  <c r="AD301" i="4" s="1"/>
  <c r="AD305" i="4" s="1"/>
  <c r="AJ22" i="8"/>
  <c r="AJ25" i="8" s="1"/>
  <c r="AJ72" i="8" s="1"/>
  <c r="AJ17" i="8"/>
  <c r="BG27" i="9"/>
  <c r="AD306" i="4" l="1"/>
  <c r="AD50" i="5" s="1"/>
  <c r="AD307" i="4"/>
  <c r="AD93" i="6"/>
  <c r="AG324" i="4"/>
  <c r="AG275" i="4"/>
  <c r="BH27" i="9"/>
  <c r="AE247" i="4"/>
  <c r="AD67" i="4"/>
  <c r="AD74" i="4"/>
  <c r="AD24" i="9"/>
  <c r="BI270" i="4"/>
  <c r="AD79" i="6"/>
  <c r="AD82" i="6" s="1"/>
  <c r="AD48" i="5"/>
  <c r="BK233" i="4"/>
  <c r="BJ234" i="4"/>
  <c r="Q126" i="1" l="1"/>
  <c r="U26" i="1" s="1"/>
  <c r="R155" i="1"/>
  <c r="AD43" i="6"/>
  <c r="AG276" i="4"/>
  <c r="AG277" i="4" s="1"/>
  <c r="BI27" i="9"/>
  <c r="BJ270" i="4"/>
  <c r="AE304" i="4"/>
  <c r="AD69" i="4"/>
  <c r="AD72" i="4" s="1"/>
  <c r="BK234" i="4"/>
  <c r="BL233" i="4"/>
  <c r="AD350" i="4"/>
  <c r="AD353" i="4" s="1"/>
  <c r="AD365" i="4" s="1"/>
  <c r="R153" i="1"/>
  <c r="Q123" i="1"/>
  <c r="AD52" i="5"/>
  <c r="AD39" i="6"/>
  <c r="AE323" i="4"/>
  <c r="AE249" i="4"/>
  <c r="AG68" i="4" l="1"/>
  <c r="AH273" i="4"/>
  <c r="AG240" i="4"/>
  <c r="AD38" i="6"/>
  <c r="AK15" i="8"/>
  <c r="AD156" i="4"/>
  <c r="AD157" i="4" s="1"/>
  <c r="AD158" i="4" s="1"/>
  <c r="AD23" i="9" s="1"/>
  <c r="R156" i="1"/>
  <c r="R166" i="1" s="1"/>
  <c r="AD95" i="6"/>
  <c r="AD98" i="6" s="1"/>
  <c r="AD101" i="6" s="1"/>
  <c r="AD56" i="6"/>
  <c r="AE325" i="4"/>
  <c r="R165" i="1"/>
  <c r="R159" i="1"/>
  <c r="R168" i="1" s="1"/>
  <c r="BJ27" i="9"/>
  <c r="Q26" i="1"/>
  <c r="Q130" i="1"/>
  <c r="AE250" i="4"/>
  <c r="AE251" i="4" s="1"/>
  <c r="BL234" i="4"/>
  <c r="BM233" i="4"/>
  <c r="AE329" i="4"/>
  <c r="AE338" i="4" s="1"/>
  <c r="AE340" i="4" s="1"/>
  <c r="AE330" i="4"/>
  <c r="BK270" i="4"/>
  <c r="AG49" i="5"/>
  <c r="AF247" i="4" l="1"/>
  <c r="AE67" i="4"/>
  <c r="AK17" i="8"/>
  <c r="AK22" i="8"/>
  <c r="AK25" i="8" s="1"/>
  <c r="AK72" i="8" s="1"/>
  <c r="BK27" i="9"/>
  <c r="Q134" i="1"/>
  <c r="AA26" i="1" s="1"/>
  <c r="W26" i="1"/>
  <c r="AE301" i="4"/>
  <c r="AE305" i="4" s="1"/>
  <c r="AK59" i="8"/>
  <c r="AK60" i="8" s="1"/>
  <c r="AD50" i="6"/>
  <c r="U154" i="1"/>
  <c r="T124" i="1"/>
  <c r="AG40" i="6"/>
  <c r="AE48" i="5"/>
  <c r="AE74" i="4"/>
  <c r="AE24" i="9"/>
  <c r="AD54" i="6"/>
  <c r="AD65" i="6" s="1"/>
  <c r="AH324" i="4"/>
  <c r="AH276" i="4"/>
  <c r="AH277" i="4" s="1"/>
  <c r="AH275" i="4"/>
  <c r="BN233" i="4"/>
  <c r="BM234" i="4"/>
  <c r="BL270" i="4"/>
  <c r="AD67" i="6" l="1"/>
  <c r="AI273" i="4"/>
  <c r="AH68" i="4"/>
  <c r="S153" i="1"/>
  <c r="R123" i="1"/>
  <c r="AE350" i="4"/>
  <c r="AE353" i="4" s="1"/>
  <c r="AE365" i="4" s="1"/>
  <c r="AE39" i="6"/>
  <c r="BM270" i="4"/>
  <c r="BO233" i="4"/>
  <c r="BN234" i="4"/>
  <c r="BL27" i="9"/>
  <c r="AH240" i="4"/>
  <c r="AH49" i="5"/>
  <c r="AH40" i="6" s="1"/>
  <c r="AE306" i="4"/>
  <c r="AE79" i="6" s="1"/>
  <c r="AE82" i="6" s="1"/>
  <c r="AE93" i="6"/>
  <c r="AE307" i="4"/>
  <c r="AF323" i="4"/>
  <c r="AF249" i="4"/>
  <c r="Q27" i="1" l="1"/>
  <c r="BP233" i="4"/>
  <c r="BO234" i="4"/>
  <c r="AE50" i="5"/>
  <c r="BM27" i="9"/>
  <c r="BN270" i="4"/>
  <c r="AF304" i="4"/>
  <c r="AE69" i="4"/>
  <c r="AE72" i="4" s="1"/>
  <c r="U124" i="1"/>
  <c r="V154" i="1"/>
  <c r="AF250" i="4"/>
  <c r="AI324" i="4"/>
  <c r="AI275" i="4"/>
  <c r="AI276" i="4" s="1"/>
  <c r="AF251" i="4" l="1"/>
  <c r="S30" i="1"/>
  <c r="BO270" i="4"/>
  <c r="AF301" i="4"/>
  <c r="AF305" i="4" s="1"/>
  <c r="BN27" i="9"/>
  <c r="BP234" i="4"/>
  <c r="BQ233" i="4"/>
  <c r="AF325" i="4"/>
  <c r="AF48" i="5"/>
  <c r="AI240" i="4"/>
  <c r="AI49" i="5"/>
  <c r="AI277" i="4"/>
  <c r="S155" i="1"/>
  <c r="R126" i="1"/>
  <c r="AE43" i="6"/>
  <c r="AE52" i="5"/>
  <c r="BO27" i="9" l="1"/>
  <c r="S123" i="1"/>
  <c r="T153" i="1"/>
  <c r="AF350" i="4"/>
  <c r="AF353" i="4" s="1"/>
  <c r="AF365" i="4" s="1"/>
  <c r="AF39" i="6"/>
  <c r="AF329" i="4"/>
  <c r="AF338" i="4" s="1"/>
  <c r="AF340" i="4" s="1"/>
  <c r="AF330" i="4"/>
  <c r="AF306" i="4"/>
  <c r="AF79" i="6" s="1"/>
  <c r="AF82" i="6" s="1"/>
  <c r="AF93" i="6"/>
  <c r="AE38" i="6"/>
  <c r="U27" i="1"/>
  <c r="R130" i="1"/>
  <c r="BR233" i="4"/>
  <c r="BQ234" i="4"/>
  <c r="AE95" i="6"/>
  <c r="AE98" i="6" s="1"/>
  <c r="AE101" i="6" s="1"/>
  <c r="AE156" i="4"/>
  <c r="AE157" i="4" s="1"/>
  <c r="AE158" i="4" s="1"/>
  <c r="AE23" i="9" s="1"/>
  <c r="S156" i="1"/>
  <c r="S166" i="1" s="1"/>
  <c r="AL15" i="8"/>
  <c r="AE56" i="6"/>
  <c r="S165" i="1"/>
  <c r="S159" i="1"/>
  <c r="S168" i="1" s="1"/>
  <c r="BP270" i="4"/>
  <c r="AI68" i="4"/>
  <c r="AJ273" i="4"/>
  <c r="AG247" i="4"/>
  <c r="AF67" i="4"/>
  <c r="AF307" i="4"/>
  <c r="W154" i="1"/>
  <c r="V124" i="1"/>
  <c r="AI40" i="6"/>
  <c r="AF24" i="9" l="1"/>
  <c r="AF74" i="4"/>
  <c r="AE54" i="6"/>
  <c r="AE65" i="6" s="1"/>
  <c r="AJ324" i="4"/>
  <c r="AJ275" i="4"/>
  <c r="R134" i="1"/>
  <c r="AA27" i="1" s="1"/>
  <c r="W27" i="1"/>
  <c r="AL22" i="8"/>
  <c r="AL25" i="8" s="1"/>
  <c r="AL72" i="8" s="1"/>
  <c r="AL17" i="8"/>
  <c r="AL59" i="8"/>
  <c r="AL60" i="8" s="1"/>
  <c r="AE50" i="6"/>
  <c r="BP27" i="9"/>
  <c r="S31" i="1"/>
  <c r="AF69" i="4"/>
  <c r="AG304" i="4"/>
  <c r="BQ270" i="4"/>
  <c r="AF50" i="5"/>
  <c r="AG323" i="4"/>
  <c r="AG249" i="4"/>
  <c r="AG250" i="4"/>
  <c r="AF72" i="4"/>
  <c r="BR234" i="4"/>
  <c r="BS233" i="4"/>
  <c r="AJ276" i="4" l="1"/>
  <c r="AJ49" i="5" s="1"/>
  <c r="AJ277" i="4"/>
  <c r="T155" i="1"/>
  <c r="S126" i="1"/>
  <c r="S130" i="1" s="1"/>
  <c r="S134" i="1" s="1"/>
  <c r="AF43" i="6"/>
  <c r="AF52" i="5"/>
  <c r="AE67" i="6"/>
  <c r="BQ27" i="9"/>
  <c r="BR270" i="4"/>
  <c r="BT233" i="4"/>
  <c r="BS234" i="4"/>
  <c r="AG48" i="5"/>
  <c r="AG301" i="4"/>
  <c r="AG305" i="4" s="1"/>
  <c r="AG325" i="4"/>
  <c r="AG330" i="4" s="1"/>
  <c r="AG251" i="4"/>
  <c r="W124" i="1" l="1"/>
  <c r="X154" i="1"/>
  <c r="AJ40" i="6"/>
  <c r="BR27" i="9"/>
  <c r="T165" i="1"/>
  <c r="T159" i="1"/>
  <c r="T168" i="1" s="1"/>
  <c r="AG329" i="4"/>
  <c r="AG338" i="4" s="1"/>
  <c r="AG340" i="4" s="1"/>
  <c r="AJ68" i="4"/>
  <c r="AK273" i="4"/>
  <c r="BS270" i="4"/>
  <c r="T156" i="1"/>
  <c r="T166" i="1" s="1"/>
  <c r="AM15" i="8"/>
  <c r="AF95" i="6"/>
  <c r="AF98" i="6" s="1"/>
  <c r="AF101" i="6" s="1"/>
  <c r="AF156" i="4"/>
  <c r="AF157" i="4" s="1"/>
  <c r="AF158" i="4" s="1"/>
  <c r="AF23" i="9" s="1"/>
  <c r="AF56" i="6"/>
  <c r="AJ240" i="4"/>
  <c r="AG306" i="4"/>
  <c r="AG79" i="6" s="1"/>
  <c r="AG82" i="6" s="1"/>
  <c r="AG350" i="4"/>
  <c r="AG353" i="4" s="1"/>
  <c r="AG365" i="4" s="1"/>
  <c r="U153" i="1"/>
  <c r="T123" i="1"/>
  <c r="AG39" i="6"/>
  <c r="AG93" i="6"/>
  <c r="AG67" i="4"/>
  <c r="AH247" i="4"/>
  <c r="BU233" i="4"/>
  <c r="BT234" i="4"/>
  <c r="AF38" i="6"/>
  <c r="BU234" i="4" l="1"/>
  <c r="N233" i="4"/>
  <c r="AG50" i="5"/>
  <c r="BS27" i="9"/>
  <c r="BT270" i="4"/>
  <c r="AM22" i="8"/>
  <c r="AM25" i="8" s="1"/>
  <c r="AM72" i="8" s="1"/>
  <c r="AM17" i="8"/>
  <c r="AH323" i="4"/>
  <c r="AH249" i="4"/>
  <c r="AF54" i="6"/>
  <c r="AF65" i="6" s="1"/>
  <c r="AK324" i="4"/>
  <c r="AK276" i="4"/>
  <c r="AK277" i="4" s="1"/>
  <c r="AK275" i="4"/>
  <c r="AM59" i="8"/>
  <c r="AM60" i="8" s="1"/>
  <c r="AF50" i="6"/>
  <c r="S32" i="1"/>
  <c r="AG74" i="4"/>
  <c r="AG24" i="9"/>
  <c r="AG307" i="4"/>
  <c r="AL273" i="4" l="1"/>
  <c r="AK68" i="4"/>
  <c r="AH301" i="4"/>
  <c r="AH305" i="4" s="1"/>
  <c r="AF67" i="6"/>
  <c r="U155" i="1"/>
  <c r="T126" i="1"/>
  <c r="AG52" i="5"/>
  <c r="AG43" i="6"/>
  <c r="AH251" i="4"/>
  <c r="AH304" i="4"/>
  <c r="AG69" i="4"/>
  <c r="AG72" i="4" s="1"/>
  <c r="AK240" i="4"/>
  <c r="AK49" i="5"/>
  <c r="AH250" i="4"/>
  <c r="AH48" i="5" s="1"/>
  <c r="BT27" i="9"/>
  <c r="BU270" i="4"/>
  <c r="N234" i="4"/>
  <c r="U123" i="1" l="1"/>
  <c r="AH350" i="4"/>
  <c r="AH353" i="4" s="1"/>
  <c r="AH365" i="4" s="1"/>
  <c r="V153" i="1"/>
  <c r="AH39" i="6"/>
  <c r="AG38" i="6"/>
  <c r="BU27" i="9"/>
  <c r="N27" i="9" s="1"/>
  <c r="M27" i="9" s="1"/>
  <c r="M36" i="9" s="1"/>
  <c r="AH325" i="4"/>
  <c r="AG95" i="6"/>
  <c r="AG98" i="6" s="1"/>
  <c r="AG101" i="6" s="1"/>
  <c r="U156" i="1"/>
  <c r="U166" i="1" s="1"/>
  <c r="AN15" i="8"/>
  <c r="AG156" i="4"/>
  <c r="AG157" i="4" s="1"/>
  <c r="AG158" i="4" s="1"/>
  <c r="AG23" i="9" s="1"/>
  <c r="AG56" i="6"/>
  <c r="AH93" i="6"/>
  <c r="X124" i="1"/>
  <c r="Y154" i="1"/>
  <c r="AK40" i="6"/>
  <c r="U29" i="1"/>
  <c r="T130" i="1"/>
  <c r="T134" i="1" s="1"/>
  <c r="AA29" i="1" s="1"/>
  <c r="AH306" i="4"/>
  <c r="AH307" i="4" s="1"/>
  <c r="AH67" i="4"/>
  <c r="AI247" i="4"/>
  <c r="U165" i="1"/>
  <c r="U159" i="1"/>
  <c r="U168" i="1" s="1"/>
  <c r="AL324" i="4"/>
  <c r="AL276" i="4"/>
  <c r="AL275" i="4"/>
  <c r="AL277" i="4" s="1"/>
  <c r="AH69" i="4" l="1"/>
  <c r="AI304" i="4"/>
  <c r="AM273" i="4"/>
  <c r="AL68" i="4"/>
  <c r="AN22" i="8"/>
  <c r="AN25" i="8" s="1"/>
  <c r="AN72" i="8" s="1"/>
  <c r="AN17" i="8"/>
  <c r="AN59" i="8"/>
  <c r="AN60" i="8" s="1"/>
  <c r="AG50" i="6"/>
  <c r="AH50" i="5"/>
  <c r="AH79" i="6"/>
  <c r="AH82" i="6" s="1"/>
  <c r="S33" i="1"/>
  <c r="AI323" i="4"/>
  <c r="AI249" i="4"/>
  <c r="AI250" i="4" s="1"/>
  <c r="AH330" i="4"/>
  <c r="AH329" i="4"/>
  <c r="AH338" i="4" s="1"/>
  <c r="AH340" i="4" s="1"/>
  <c r="AL240" i="4"/>
  <c r="AL49" i="5"/>
  <c r="AH72" i="4"/>
  <c r="AG54" i="6"/>
  <c r="AG65" i="6" s="1"/>
  <c r="Q30" i="1"/>
  <c r="AG67" i="6" l="1"/>
  <c r="AM324" i="4"/>
  <c r="AM275" i="4"/>
  <c r="U126" i="1"/>
  <c r="V155" i="1"/>
  <c r="AH52" i="5"/>
  <c r="AH43" i="6"/>
  <c r="Y124" i="1"/>
  <c r="Z154" i="1"/>
  <c r="AL40" i="6"/>
  <c r="AI325" i="4"/>
  <c r="AI330" i="4" s="1"/>
  <c r="AH24" i="9"/>
  <c r="AH74" i="4"/>
  <c r="AI48" i="5"/>
  <c r="AI301" i="4"/>
  <c r="AI305" i="4" s="1"/>
  <c r="AI93" i="6" s="1"/>
  <c r="AI251" i="4"/>
  <c r="V165" i="1" l="1"/>
  <c r="V159" i="1"/>
  <c r="U30" i="1"/>
  <c r="U130" i="1"/>
  <c r="AM240" i="4"/>
  <c r="AI67" i="4"/>
  <c r="AJ247" i="4"/>
  <c r="AM276" i="4"/>
  <c r="AM49" i="5" s="1"/>
  <c r="AH95" i="6"/>
  <c r="AH98" i="6" s="1"/>
  <c r="AH101" i="6" s="1"/>
  <c r="AO15" i="8"/>
  <c r="V156" i="1"/>
  <c r="V166" i="1" s="1"/>
  <c r="AH156" i="4"/>
  <c r="AH157" i="4" s="1"/>
  <c r="AH158" i="4" s="1"/>
  <c r="AH23" i="9" s="1"/>
  <c r="AH56" i="6"/>
  <c r="AI329" i="4"/>
  <c r="AI338" i="4" s="1"/>
  <c r="AI340" i="4" s="1"/>
  <c r="AI306" i="4"/>
  <c r="S34" i="1"/>
  <c r="AM277" i="4"/>
  <c r="V123" i="1"/>
  <c r="AI350" i="4"/>
  <c r="AI353" i="4" s="1"/>
  <c r="AI365" i="4" s="1"/>
  <c r="W153" i="1"/>
  <c r="AI39" i="6"/>
  <c r="AH38" i="6"/>
  <c r="AA154" i="1" l="1"/>
  <c r="Z124" i="1"/>
  <c r="AM40" i="6"/>
  <c r="AI74" i="4"/>
  <c r="AI24" i="9"/>
  <c r="AM68" i="4"/>
  <c r="AN273" i="4"/>
  <c r="U134" i="1"/>
  <c r="AA30" i="1" s="1"/>
  <c r="W30" i="1"/>
  <c r="AO59" i="8"/>
  <c r="AO60" i="8" s="1"/>
  <c r="AH50" i="6"/>
  <c r="AO22" i="8"/>
  <c r="AO25" i="8" s="1"/>
  <c r="AO72" i="8" s="1"/>
  <c r="AO17" i="8"/>
  <c r="AH54" i="6"/>
  <c r="AH65" i="6" s="1"/>
  <c r="AI79" i="6"/>
  <c r="AI82" i="6" s="1"/>
  <c r="AI307" i="4"/>
  <c r="V168" i="1"/>
  <c r="Q31" i="1"/>
  <c r="AI50" i="5"/>
  <c r="AJ323" i="4"/>
  <c r="AJ249" i="4"/>
  <c r="AN324" i="4" l="1"/>
  <c r="AN275" i="4"/>
  <c r="AJ48" i="5"/>
  <c r="AJ301" i="4"/>
  <c r="AJ305" i="4" s="1"/>
  <c r="AJ251" i="4"/>
  <c r="AJ250" i="4"/>
  <c r="AI69" i="4"/>
  <c r="AI72" i="4" s="1"/>
  <c r="AJ304" i="4"/>
  <c r="V126" i="1"/>
  <c r="W155" i="1"/>
  <c r="AI52" i="5"/>
  <c r="AI43" i="6"/>
  <c r="AH67" i="6"/>
  <c r="S35" i="1"/>
  <c r="AJ306" i="4" l="1"/>
  <c r="AJ50" i="5" s="1"/>
  <c r="W123" i="1"/>
  <c r="AJ350" i="4"/>
  <c r="AJ353" i="4" s="1"/>
  <c r="AJ365" i="4" s="1"/>
  <c r="X153" i="1"/>
  <c r="AJ39" i="6"/>
  <c r="AJ307" i="4"/>
  <c r="AJ325" i="4"/>
  <c r="AJ93" i="6"/>
  <c r="U31" i="1"/>
  <c r="V130" i="1"/>
  <c r="AN276" i="4"/>
  <c r="AN277" i="4" s="1"/>
  <c r="W165" i="1"/>
  <c r="W159" i="1"/>
  <c r="AK247" i="4"/>
  <c r="AJ67" i="4"/>
  <c r="AI38" i="6"/>
  <c r="W156" i="1"/>
  <c r="W166" i="1" s="1"/>
  <c r="AI95" i="6"/>
  <c r="AI98" i="6" s="1"/>
  <c r="AI101" i="6" s="1"/>
  <c r="AP15" i="8"/>
  <c r="AI156" i="4"/>
  <c r="AI157" i="4" s="1"/>
  <c r="AI158" i="4" s="1"/>
  <c r="AI23" i="9" s="1"/>
  <c r="AI56" i="6"/>
  <c r="AJ79" i="6"/>
  <c r="AJ82" i="6" s="1"/>
  <c r="AO273" i="4" l="1"/>
  <c r="AN68" i="4"/>
  <c r="W126" i="1"/>
  <c r="U32" i="1" s="1"/>
  <c r="X155" i="1"/>
  <c r="AJ43" i="6"/>
  <c r="AJ52" i="5"/>
  <c r="AJ38" i="6"/>
  <c r="AP17" i="8"/>
  <c r="AP22" i="8"/>
  <c r="AP25" i="8" s="1"/>
  <c r="AP72" i="8" s="1"/>
  <c r="AJ69" i="4"/>
  <c r="AK304" i="4"/>
  <c r="AN240" i="4"/>
  <c r="AP59" i="8"/>
  <c r="AP60" i="8" s="1"/>
  <c r="AI50" i="6"/>
  <c r="AN49" i="5"/>
  <c r="X165" i="1"/>
  <c r="X159" i="1"/>
  <c r="V134" i="1"/>
  <c r="AA31" i="1" s="1"/>
  <c r="W31" i="1"/>
  <c r="AJ72" i="4"/>
  <c r="Q32" i="1"/>
  <c r="W130" i="1"/>
  <c r="AI54" i="6"/>
  <c r="AI65" i="6" s="1"/>
  <c r="AK323" i="4"/>
  <c r="AK249" i="4"/>
  <c r="W168" i="1"/>
  <c r="AJ330" i="4"/>
  <c r="AJ329" i="4"/>
  <c r="W134" i="1" l="1"/>
  <c r="AA32" i="1" s="1"/>
  <c r="W32" i="1"/>
  <c r="AQ59" i="8"/>
  <c r="AQ60" i="8" s="1"/>
  <c r="AJ50" i="6"/>
  <c r="X156" i="1"/>
  <c r="X166" i="1" s="1"/>
  <c r="AQ15" i="8"/>
  <c r="AJ95" i="6"/>
  <c r="AJ98" i="6" s="1"/>
  <c r="AJ101" i="6" s="1"/>
  <c r="AJ156" i="4"/>
  <c r="AJ157" i="4" s="1"/>
  <c r="AJ158" i="4" s="1"/>
  <c r="AJ23" i="9" s="1"/>
  <c r="AK250" i="4"/>
  <c r="AK301" i="4" s="1"/>
  <c r="AK305" i="4" s="1"/>
  <c r="AK329" i="4"/>
  <c r="AK330" i="4"/>
  <c r="AK325" i="4"/>
  <c r="X168" i="1"/>
  <c r="AI67" i="6"/>
  <c r="AJ338" i="4"/>
  <c r="AJ340" i="4" s="1"/>
  <c r="AJ56" i="6"/>
  <c r="AA124" i="1"/>
  <c r="AB154" i="1"/>
  <c r="AN40" i="6"/>
  <c r="AO324" i="4"/>
  <c r="AO275" i="4"/>
  <c r="AK306" i="4" l="1"/>
  <c r="AK50" i="5" s="1"/>
  <c r="AK307" i="4"/>
  <c r="AK93" i="6"/>
  <c r="AK338" i="4"/>
  <c r="AK340" i="4" s="1"/>
  <c r="S36" i="1"/>
  <c r="AJ24" i="9"/>
  <c r="AJ74" i="4"/>
  <c r="AK79" i="6"/>
  <c r="AK82" i="6" s="1"/>
  <c r="AO276" i="4"/>
  <c r="AO277" i="4" s="1"/>
  <c r="AK251" i="4"/>
  <c r="AK48" i="5"/>
  <c r="AJ54" i="6"/>
  <c r="AJ65" i="6" s="1"/>
  <c r="AJ67" i="6" s="1"/>
  <c r="AQ22" i="8"/>
  <c r="AQ25" i="8" s="1"/>
  <c r="AQ72" i="8" s="1"/>
  <c r="AQ17" i="8"/>
  <c r="AO68" i="4" l="1"/>
  <c r="AP273" i="4"/>
  <c r="X126" i="1"/>
  <c r="U33" i="1" s="1"/>
  <c r="Y155" i="1"/>
  <c r="AK43" i="6"/>
  <c r="AK24" i="9"/>
  <c r="AK74" i="4"/>
  <c r="AL304" i="4"/>
  <c r="AK69" i="4"/>
  <c r="AK67" i="4"/>
  <c r="AK72" i="4" s="1"/>
  <c r="AL247" i="4"/>
  <c r="AK350" i="4"/>
  <c r="AK353" i="4" s="1"/>
  <c r="AK365" i="4" s="1"/>
  <c r="Y153" i="1"/>
  <c r="X123" i="1"/>
  <c r="AK52" i="5"/>
  <c r="AK39" i="6"/>
  <c r="AO49" i="5"/>
  <c r="AO240" i="4"/>
  <c r="Q33" i="1" l="1"/>
  <c r="X130" i="1"/>
  <c r="AK95" i="6"/>
  <c r="AK98" i="6" s="1"/>
  <c r="AK101" i="6" s="1"/>
  <c r="AR15" i="8"/>
  <c r="AK156" i="4"/>
  <c r="AK157" i="4" s="1"/>
  <c r="AK158" i="4" s="1"/>
  <c r="AK23" i="9" s="1"/>
  <c r="Y156" i="1"/>
  <c r="Y166" i="1" s="1"/>
  <c r="AK56" i="6"/>
  <c r="Y165" i="1"/>
  <c r="Y159" i="1"/>
  <c r="AL325" i="4"/>
  <c r="AL323" i="4"/>
  <c r="AL249" i="4"/>
  <c r="AP324" i="4"/>
  <c r="AP276" i="4"/>
  <c r="AP275" i="4"/>
  <c r="AC154" i="1"/>
  <c r="AB124" i="1"/>
  <c r="AO40" i="6"/>
  <c r="AK38" i="6"/>
  <c r="AK54" i="6" l="1"/>
  <c r="AK65" i="6" s="1"/>
  <c r="S37" i="1"/>
  <c r="AP240" i="4"/>
  <c r="AP49" i="5"/>
  <c r="AR17" i="8"/>
  <c r="AR22" i="8"/>
  <c r="AR25" i="8" s="1"/>
  <c r="AR72" i="8" s="1"/>
  <c r="AL330" i="4"/>
  <c r="AL329" i="4"/>
  <c r="AL338" i="4" s="1"/>
  <c r="AL340" i="4" s="1"/>
  <c r="AR59" i="8"/>
  <c r="AR60" i="8" s="1"/>
  <c r="AK50" i="6"/>
  <c r="X134" i="1"/>
  <c r="AA33" i="1" s="1"/>
  <c r="W33" i="1"/>
  <c r="AL250" i="4"/>
  <c r="AL301" i="4" s="1"/>
  <c r="AL305" i="4" s="1"/>
  <c r="AP277" i="4"/>
  <c r="Y168" i="1"/>
  <c r="AK67" i="6" l="1"/>
  <c r="AL306" i="4"/>
  <c r="AL50" i="5" s="1"/>
  <c r="AL93" i="6"/>
  <c r="AL74" i="4"/>
  <c r="AL24" i="9"/>
  <c r="AD154" i="1"/>
  <c r="AC124" i="1"/>
  <c r="AQ273" i="4"/>
  <c r="AP68" i="4"/>
  <c r="AL79" i="6"/>
  <c r="AL82" i="6" s="1"/>
  <c r="AP40" i="6"/>
  <c r="AL48" i="5"/>
  <c r="AL251" i="4"/>
  <c r="Y126" i="1" l="1"/>
  <c r="U34" i="1" s="1"/>
  <c r="Z155" i="1"/>
  <c r="AL43" i="6"/>
  <c r="Z153" i="1"/>
  <c r="AL350" i="4"/>
  <c r="AL353" i="4" s="1"/>
  <c r="AL365" i="4" s="1"/>
  <c r="Y123" i="1"/>
  <c r="AL52" i="5"/>
  <c r="AL39" i="6"/>
  <c r="AL307" i="4"/>
  <c r="AQ324" i="4"/>
  <c r="AQ275" i="4"/>
  <c r="S38" i="1"/>
  <c r="AM247" i="4"/>
  <c r="AL67" i="4"/>
  <c r="AL95" i="6" l="1"/>
  <c r="AL98" i="6" s="1"/>
  <c r="AL101" i="6" s="1"/>
  <c r="AL156" i="4"/>
  <c r="AL157" i="4" s="1"/>
  <c r="AL158" i="4" s="1"/>
  <c r="AL23" i="9" s="1"/>
  <c r="AS15" i="8"/>
  <c r="Z156" i="1"/>
  <c r="Z166" i="1" s="1"/>
  <c r="AL56" i="6"/>
  <c r="Q34" i="1"/>
  <c r="Y130" i="1"/>
  <c r="Z165" i="1"/>
  <c r="Z159" i="1"/>
  <c r="Z168" i="1" s="1"/>
  <c r="AL38" i="6"/>
  <c r="AL72" i="4"/>
  <c r="AM304" i="4"/>
  <c r="AL69" i="4"/>
  <c r="AQ276" i="4"/>
  <c r="AQ277" i="4" s="1"/>
  <c r="AM323" i="4"/>
  <c r="AM249" i="4"/>
  <c r="AQ68" i="4" l="1"/>
  <c r="AR273" i="4"/>
  <c r="AM250" i="4"/>
  <c r="AS59" i="8"/>
  <c r="AS60" i="8" s="1"/>
  <c r="AL50" i="6"/>
  <c r="AL54" i="6"/>
  <c r="AL65" i="6" s="1"/>
  <c r="AQ49" i="5"/>
  <c r="AS17" i="8"/>
  <c r="AS22" i="8"/>
  <c r="AS25" i="8" s="1"/>
  <c r="AS72" i="8" s="1"/>
  <c r="Y134" i="1"/>
  <c r="AA34" i="1" s="1"/>
  <c r="W34" i="1"/>
  <c r="AM329" i="4"/>
  <c r="AQ240" i="4"/>
  <c r="AM325" i="4"/>
  <c r="AM330" i="4" s="1"/>
  <c r="AL67" i="6" l="1"/>
  <c r="AE154" i="1"/>
  <c r="AD124" i="1"/>
  <c r="AQ40" i="6"/>
  <c r="AM301" i="4"/>
  <c r="AM305" i="4" s="1"/>
  <c r="AR324" i="4"/>
  <c r="AR275" i="4"/>
  <c r="AM338" i="4"/>
  <c r="AM340" i="4" s="1"/>
  <c r="AM48" i="5"/>
  <c r="AM251" i="4"/>
  <c r="AM306" i="4" l="1"/>
  <c r="AM79" i="6" s="1"/>
  <c r="AM82" i="6" s="1"/>
  <c r="AM93" i="6"/>
  <c r="AM307" i="4"/>
  <c r="AN247" i="4"/>
  <c r="AM67" i="4"/>
  <c r="AA153" i="1"/>
  <c r="AM350" i="4"/>
  <c r="AM353" i="4" s="1"/>
  <c r="AM365" i="4" s="1"/>
  <c r="Z123" i="1"/>
  <c r="AM39" i="6"/>
  <c r="AM24" i="9"/>
  <c r="AM74" i="4"/>
  <c r="AR240" i="4"/>
  <c r="AR49" i="5"/>
  <c r="S39" i="1"/>
  <c r="AR276" i="4"/>
  <c r="AR277" i="4" s="1"/>
  <c r="AS273" i="4" l="1"/>
  <c r="AR68" i="4"/>
  <c r="AE124" i="1"/>
  <c r="AF154" i="1"/>
  <c r="AR40" i="6"/>
  <c r="AM72" i="4"/>
  <c r="AN323" i="4"/>
  <c r="AN249" i="4"/>
  <c r="AN304" i="4"/>
  <c r="AM69" i="4"/>
  <c r="Q35" i="1"/>
  <c r="AM50" i="5"/>
  <c r="S40" i="1" l="1"/>
  <c r="Z126" i="1"/>
  <c r="AA155" i="1"/>
  <c r="AM43" i="6"/>
  <c r="AM52" i="5"/>
  <c r="AN250" i="4"/>
  <c r="AN325" i="4"/>
  <c r="AN48" i="5"/>
  <c r="AN301" i="4"/>
  <c r="AN305" i="4" s="1"/>
  <c r="AN329" i="4"/>
  <c r="AN338" i="4" s="1"/>
  <c r="AN340" i="4" s="1"/>
  <c r="AN330" i="4"/>
  <c r="AS324" i="4"/>
  <c r="AS275" i="4"/>
  <c r="AM38" i="6" l="1"/>
  <c r="AN306" i="4"/>
  <c r="AN50" i="5" s="1"/>
  <c r="AA165" i="1"/>
  <c r="AA159" i="1"/>
  <c r="AA168" i="1" s="1"/>
  <c r="AN93" i="6"/>
  <c r="U35" i="1"/>
  <c r="Z130" i="1"/>
  <c r="AB153" i="1"/>
  <c r="AN350" i="4"/>
  <c r="AN353" i="4" s="1"/>
  <c r="AN365" i="4" s="1"/>
  <c r="AA123" i="1"/>
  <c r="AN39" i="6"/>
  <c r="AT15" i="8"/>
  <c r="AA156" i="1"/>
  <c r="AA166" i="1" s="1"/>
  <c r="AM95" i="6"/>
  <c r="AM98" i="6" s="1"/>
  <c r="AM101" i="6" s="1"/>
  <c r="AM156" i="4"/>
  <c r="AM157" i="4" s="1"/>
  <c r="AM158" i="4" s="1"/>
  <c r="AM23" i="9" s="1"/>
  <c r="AM56" i="6"/>
  <c r="AN24" i="9"/>
  <c r="AN74" i="4"/>
  <c r="AN307" i="4"/>
  <c r="AS276" i="4"/>
  <c r="AS277" i="4" s="1"/>
  <c r="AN79" i="6"/>
  <c r="AN82" i="6" s="1"/>
  <c r="AN251" i="4"/>
  <c r="AS68" i="4" l="1"/>
  <c r="AT273" i="4"/>
  <c r="AA126" i="1"/>
  <c r="U36" i="1" s="1"/>
  <c r="AB155" i="1"/>
  <c r="AN43" i="6"/>
  <c r="AN52" i="5"/>
  <c r="AB165" i="1"/>
  <c r="AB159" i="1"/>
  <c r="AN69" i="4"/>
  <c r="AO304" i="4"/>
  <c r="AS49" i="5"/>
  <c r="AN38" i="6"/>
  <c r="Q36" i="1"/>
  <c r="AA130" i="1"/>
  <c r="AS240" i="4"/>
  <c r="AT59" i="8"/>
  <c r="AT60" i="8" s="1"/>
  <c r="AM50" i="6"/>
  <c r="AM54" i="6"/>
  <c r="AM65" i="6" s="1"/>
  <c r="AM67" i="6" s="1"/>
  <c r="AN67" i="4"/>
  <c r="AN72" i="4" s="1"/>
  <c r="AO247" i="4"/>
  <c r="AT17" i="8"/>
  <c r="AT22" i="8"/>
  <c r="AT25" i="8" s="1"/>
  <c r="AT72" i="8" s="1"/>
  <c r="Z134" i="1"/>
  <c r="AA35" i="1" s="1"/>
  <c r="W35" i="1"/>
  <c r="AO323" i="4" l="1"/>
  <c r="AO249" i="4"/>
  <c r="AO250" i="4" s="1"/>
  <c r="AN95" i="6"/>
  <c r="AN98" i="6" s="1"/>
  <c r="AN101" i="6" s="1"/>
  <c r="AN156" i="4"/>
  <c r="AN157" i="4" s="1"/>
  <c r="AN158" i="4" s="1"/>
  <c r="AN23" i="9" s="1"/>
  <c r="AU15" i="8"/>
  <c r="AB156" i="1"/>
  <c r="AB166" i="1" s="1"/>
  <c r="AB168" i="1" s="1"/>
  <c r="AU59" i="8"/>
  <c r="AU60" i="8" s="1"/>
  <c r="AN50" i="6"/>
  <c r="AN56" i="6"/>
  <c r="AG154" i="1"/>
  <c r="AF124" i="1"/>
  <c r="AS40" i="6"/>
  <c r="AA134" i="1"/>
  <c r="AA36" i="1" s="1"/>
  <c r="W36" i="1"/>
  <c r="AO325" i="4"/>
  <c r="AT324" i="4"/>
  <c r="AT275" i="4"/>
  <c r="AU17" i="8" l="1"/>
  <c r="AU22" i="8"/>
  <c r="AU25" i="8" s="1"/>
  <c r="AU72" i="8" s="1"/>
  <c r="AT240" i="4"/>
  <c r="AT49" i="5"/>
  <c r="AN54" i="6"/>
  <c r="AN65" i="6" s="1"/>
  <c r="AN67" i="6" s="1"/>
  <c r="S41" i="1"/>
  <c r="AO48" i="5"/>
  <c r="AO301" i="4"/>
  <c r="AO305" i="4" s="1"/>
  <c r="AT40" i="6"/>
  <c r="AT277" i="4"/>
  <c r="AO329" i="4"/>
  <c r="AO330" i="4"/>
  <c r="AT276" i="4"/>
  <c r="AO251" i="4"/>
  <c r="AH154" i="1" l="1"/>
  <c r="AG124" i="1"/>
  <c r="AO338" i="4"/>
  <c r="AO340" i="4" s="1"/>
  <c r="AT68" i="4"/>
  <c r="AU273" i="4"/>
  <c r="AO306" i="4"/>
  <c r="AO79" i="6" s="1"/>
  <c r="AO82" i="6" s="1"/>
  <c r="AO67" i="4"/>
  <c r="AP247" i="4"/>
  <c r="AC153" i="1"/>
  <c r="AB123" i="1"/>
  <c r="AO350" i="4"/>
  <c r="AO353" i="4" s="1"/>
  <c r="AO365" i="4" s="1"/>
  <c r="AO39" i="6"/>
  <c r="AO93" i="6"/>
  <c r="Q37" i="1" l="1"/>
  <c r="AO24" i="9"/>
  <c r="AO74" i="4"/>
  <c r="AO50" i="5"/>
  <c r="S42" i="1"/>
  <c r="AU324" i="4"/>
  <c r="AU275" i="4"/>
  <c r="AP323" i="4"/>
  <c r="AP249" i="4"/>
  <c r="AO307" i="4"/>
  <c r="AU276" i="4" l="1"/>
  <c r="AU240" i="4" s="1"/>
  <c r="AP304" i="4"/>
  <c r="AO69" i="4"/>
  <c r="AO72" i="4" s="1"/>
  <c r="AP250" i="4"/>
  <c r="AC155" i="1"/>
  <c r="AB126" i="1"/>
  <c r="AO43" i="6"/>
  <c r="AO52" i="5"/>
  <c r="AC165" i="1" l="1"/>
  <c r="AC159" i="1"/>
  <c r="AC168" i="1" s="1"/>
  <c r="AU277" i="4"/>
  <c r="AU49" i="5"/>
  <c r="U37" i="1"/>
  <c r="AB130" i="1"/>
  <c r="AP325" i="4"/>
  <c r="AO95" i="6"/>
  <c r="AO98" i="6" s="1"/>
  <c r="AO101" i="6" s="1"/>
  <c r="AV15" i="8"/>
  <c r="AC156" i="1"/>
  <c r="AC166" i="1" s="1"/>
  <c r="AO156" i="4"/>
  <c r="AO157" i="4" s="1"/>
  <c r="AO158" i="4" s="1"/>
  <c r="AO23" i="9" s="1"/>
  <c r="AO56" i="6"/>
  <c r="AP301" i="4"/>
  <c r="AP305" i="4" s="1"/>
  <c r="AO38" i="6"/>
  <c r="AP48" i="5"/>
  <c r="AP251" i="4"/>
  <c r="AP93" i="6" l="1"/>
  <c r="AP306" i="4"/>
  <c r="AP79" i="6" s="1"/>
  <c r="AP82" i="6" s="1"/>
  <c r="AI154" i="1"/>
  <c r="AH124" i="1"/>
  <c r="AU40" i="6"/>
  <c r="AB134" i="1"/>
  <c r="AA37" i="1" s="1"/>
  <c r="W37" i="1"/>
  <c r="AU68" i="4"/>
  <c r="AV273" i="4"/>
  <c r="AP67" i="4"/>
  <c r="AQ247" i="4"/>
  <c r="AV22" i="8"/>
  <c r="AV25" i="8" s="1"/>
  <c r="AV72" i="8" s="1"/>
  <c r="AV17" i="8"/>
  <c r="AD153" i="1"/>
  <c r="AC123" i="1"/>
  <c r="AP350" i="4"/>
  <c r="AP353" i="4" s="1"/>
  <c r="AP365" i="4" s="1"/>
  <c r="AP39" i="6"/>
  <c r="AP330" i="4"/>
  <c r="AP329" i="4"/>
  <c r="AP338" i="4" s="1"/>
  <c r="AP340" i="4" s="1"/>
  <c r="AO54" i="6"/>
  <c r="AO65" i="6" s="1"/>
  <c r="AV59" i="8"/>
  <c r="AV60" i="8" s="1"/>
  <c r="AO50" i="6"/>
  <c r="AP307" i="4"/>
  <c r="AO67" i="6" l="1"/>
  <c r="S43" i="1"/>
  <c r="AQ323" i="4"/>
  <c r="AQ249" i="4"/>
  <c r="Q38" i="1"/>
  <c r="AP24" i="9"/>
  <c r="AP74" i="4"/>
  <c r="AP69" i="4"/>
  <c r="AP72" i="4" s="1"/>
  <c r="AQ304" i="4"/>
  <c r="AV324" i="4"/>
  <c r="AV275" i="4"/>
  <c r="AP50" i="5"/>
  <c r="AD155" i="1" l="1"/>
  <c r="AC126" i="1"/>
  <c r="AP43" i="6"/>
  <c r="AP52" i="5"/>
  <c r="AQ250" i="4"/>
  <c r="AQ301" i="4" s="1"/>
  <c r="AQ305" i="4" s="1"/>
  <c r="AV276" i="4"/>
  <c r="AV49" i="5" s="1"/>
  <c r="AQ325" i="4"/>
  <c r="AQ329" i="4" s="1"/>
  <c r="AI124" i="1" l="1"/>
  <c r="AJ154" i="1"/>
  <c r="AV40" i="6"/>
  <c r="AQ306" i="4"/>
  <c r="AQ50" i="5" s="1"/>
  <c r="AQ93" i="6"/>
  <c r="AQ307" i="4"/>
  <c r="AQ251" i="4"/>
  <c r="AW15" i="8"/>
  <c r="AP156" i="4"/>
  <c r="AP157" i="4" s="1"/>
  <c r="AP158" i="4" s="1"/>
  <c r="AP23" i="9" s="1"/>
  <c r="AP95" i="6"/>
  <c r="AP98" i="6" s="1"/>
  <c r="AP101" i="6" s="1"/>
  <c r="AD156" i="1"/>
  <c r="AD166" i="1" s="1"/>
  <c r="AP56" i="6"/>
  <c r="U38" i="1"/>
  <c r="AC130" i="1"/>
  <c r="AP38" i="6"/>
  <c r="AD165" i="1"/>
  <c r="AD159" i="1"/>
  <c r="AD168" i="1" s="1"/>
  <c r="AQ79" i="6"/>
  <c r="AQ82" i="6" s="1"/>
  <c r="AQ330" i="4"/>
  <c r="AQ338" i="4" s="1"/>
  <c r="AQ340" i="4" s="1"/>
  <c r="AV240" i="4"/>
  <c r="AV277" i="4"/>
  <c r="AQ48" i="5"/>
  <c r="AD126" i="1" l="1"/>
  <c r="U39" i="1" s="1"/>
  <c r="AE155" i="1"/>
  <c r="AQ43" i="6"/>
  <c r="AQ24" i="9"/>
  <c r="AQ74" i="4"/>
  <c r="AQ69" i="4"/>
  <c r="AR304" i="4"/>
  <c r="AC134" i="1"/>
  <c r="AA38" i="1" s="1"/>
  <c r="W38" i="1"/>
  <c r="AP54" i="6"/>
  <c r="AP65" i="6" s="1"/>
  <c r="AW273" i="4"/>
  <c r="AV68" i="4"/>
  <c r="AW59" i="8"/>
  <c r="AW60" i="8" s="1"/>
  <c r="AP50" i="6"/>
  <c r="AW17" i="8"/>
  <c r="AW22" i="8"/>
  <c r="AW25" i="8" s="1"/>
  <c r="AW72" i="8" s="1"/>
  <c r="AQ350" i="4"/>
  <c r="AQ353" i="4" s="1"/>
  <c r="AQ365" i="4" s="1"/>
  <c r="AD123" i="1"/>
  <c r="AE153" i="1"/>
  <c r="AQ52" i="5"/>
  <c r="AQ39" i="6"/>
  <c r="AR247" i="4"/>
  <c r="AQ67" i="4"/>
  <c r="AQ72" i="4" s="1"/>
  <c r="S44" i="1"/>
  <c r="AP67" i="6" l="1"/>
  <c r="AX15" i="8"/>
  <c r="AQ95" i="6"/>
  <c r="AQ98" i="6" s="1"/>
  <c r="AQ101" i="6" s="1"/>
  <c r="AE156" i="1"/>
  <c r="AE166" i="1" s="1"/>
  <c r="AQ156" i="4"/>
  <c r="AQ157" i="4" s="1"/>
  <c r="AQ158" i="4" s="1"/>
  <c r="AQ23" i="9" s="1"/>
  <c r="AE165" i="1"/>
  <c r="AE159" i="1"/>
  <c r="AE168" i="1" s="1"/>
  <c r="AR325" i="4"/>
  <c r="Q39" i="1"/>
  <c r="AD130" i="1"/>
  <c r="AW324" i="4"/>
  <c r="AW275" i="4"/>
  <c r="AW276" i="4" s="1"/>
  <c r="AQ56" i="6"/>
  <c r="AR323" i="4"/>
  <c r="AR249" i="4"/>
  <c r="AR250" i="4"/>
  <c r="AQ38" i="6"/>
  <c r="AQ54" i="6" l="1"/>
  <c r="AQ65" i="6" s="1"/>
  <c r="AW240" i="4"/>
  <c r="AW49" i="5"/>
  <c r="AW277" i="4"/>
  <c r="AD134" i="1"/>
  <c r="AA39" i="1" s="1"/>
  <c r="W39" i="1"/>
  <c r="AX59" i="8"/>
  <c r="AX60" i="8" s="1"/>
  <c r="AQ50" i="6"/>
  <c r="AR48" i="5"/>
  <c r="AR301" i="4"/>
  <c r="AR305" i="4" s="1"/>
  <c r="AR330" i="4"/>
  <c r="AR329" i="4"/>
  <c r="AR338" i="4" s="1"/>
  <c r="AR340" i="4" s="1"/>
  <c r="AR251" i="4"/>
  <c r="AX22" i="8"/>
  <c r="AX25" i="8" s="1"/>
  <c r="AX72" i="8" s="1"/>
  <c r="AX17" i="8"/>
  <c r="AR74" i="4" l="1"/>
  <c r="AR24" i="9"/>
  <c r="AS247" i="4"/>
  <c r="AR67" i="4"/>
  <c r="AX273" i="4"/>
  <c r="AW68" i="4"/>
  <c r="AK154" i="1"/>
  <c r="AJ124" i="1"/>
  <c r="AW40" i="6"/>
  <c r="AF153" i="1"/>
  <c r="AE123" i="1"/>
  <c r="AR350" i="4"/>
  <c r="AR353" i="4" s="1"/>
  <c r="AR365" i="4" s="1"/>
  <c r="AR39" i="6"/>
  <c r="AR50" i="5"/>
  <c r="AR306" i="4"/>
  <c r="AR79" i="6" s="1"/>
  <c r="AR82" i="6" s="1"/>
  <c r="AR307" i="4"/>
  <c r="AQ67" i="6"/>
  <c r="AR93" i="6"/>
  <c r="AE126" i="1" l="1"/>
  <c r="U40" i="1" s="1"/>
  <c r="AF155" i="1"/>
  <c r="AR43" i="6"/>
  <c r="AX324" i="4"/>
  <c r="AX275" i="4"/>
  <c r="AX276" i="4" s="1"/>
  <c r="Q40" i="1"/>
  <c r="AE130" i="1"/>
  <c r="AF165" i="1"/>
  <c r="AF159" i="1"/>
  <c r="AS323" i="4"/>
  <c r="AS249" i="4"/>
  <c r="S45" i="1"/>
  <c r="AR69" i="4"/>
  <c r="AR72" i="4" s="1"/>
  <c r="AS304" i="4"/>
  <c r="AR38" i="6"/>
  <c r="AR52" i="5"/>
  <c r="AS301" i="4" l="1"/>
  <c r="AS305" i="4" s="1"/>
  <c r="AR156" i="4"/>
  <c r="AR95" i="6"/>
  <c r="AR98" i="6" s="1"/>
  <c r="AR101" i="6" s="1"/>
  <c r="AF156" i="1"/>
  <c r="AF166" i="1" s="1"/>
  <c r="AY15" i="8"/>
  <c r="AR56" i="6"/>
  <c r="AS250" i="4"/>
  <c r="AF168" i="1"/>
  <c r="AX277" i="4"/>
  <c r="AS325" i="4"/>
  <c r="AS330" i="4" s="1"/>
  <c r="AX49" i="5"/>
  <c r="AX240" i="4"/>
  <c r="AY59" i="8"/>
  <c r="AY60" i="8" s="1"/>
  <c r="AR50" i="6"/>
  <c r="AE134" i="1"/>
  <c r="AA40" i="1" s="1"/>
  <c r="W40" i="1"/>
  <c r="AY22" i="8" l="1"/>
  <c r="AY25" i="8" s="1"/>
  <c r="AY72" i="8" s="1"/>
  <c r="AY17" i="8"/>
  <c r="AX68" i="4"/>
  <c r="AY273" i="4"/>
  <c r="AR54" i="6"/>
  <c r="AR65" i="6" s="1"/>
  <c r="AR67" i="6" s="1"/>
  <c r="AS329" i="4"/>
  <c r="AS338" i="4" s="1"/>
  <c r="AS340" i="4" s="1"/>
  <c r="AS50" i="5"/>
  <c r="AS306" i="4"/>
  <c r="AL154" i="1"/>
  <c r="AK124" i="1"/>
  <c r="AX40" i="6"/>
  <c r="AS79" i="6"/>
  <c r="AS82" i="6" s="1"/>
  <c r="AS93" i="6"/>
  <c r="AS307" i="4"/>
  <c r="AS251" i="4"/>
  <c r="AS48" i="5"/>
  <c r="AS74" i="4" l="1"/>
  <c r="AS24" i="9"/>
  <c r="S46" i="1"/>
  <c r="AY324" i="4"/>
  <c r="AY275" i="4"/>
  <c r="AG155" i="1"/>
  <c r="AF126" i="1"/>
  <c r="U41" i="1" s="1"/>
  <c r="AS43" i="6"/>
  <c r="AG153" i="1"/>
  <c r="AS350" i="4"/>
  <c r="AS353" i="4" s="1"/>
  <c r="AS365" i="4" s="1"/>
  <c r="AF123" i="1"/>
  <c r="AS52" i="5"/>
  <c r="AS39" i="6"/>
  <c r="AT304" i="4"/>
  <c r="AS69" i="4"/>
  <c r="AS67" i="4"/>
  <c r="AS72" i="4" s="1"/>
  <c r="AT247" i="4"/>
  <c r="AS38" i="6" l="1"/>
  <c r="AT323" i="4"/>
  <c r="AT249" i="4"/>
  <c r="AT250" i="4"/>
  <c r="AG165" i="1"/>
  <c r="AG159" i="1"/>
  <c r="AY276" i="4"/>
  <c r="AY277" i="4" s="1"/>
  <c r="AS156" i="4"/>
  <c r="AS157" i="4" s="1"/>
  <c r="AS158" i="4" s="1"/>
  <c r="AS23" i="9" s="1"/>
  <c r="AZ15" i="8"/>
  <c r="AS95" i="6"/>
  <c r="AS98" i="6" s="1"/>
  <c r="AS101" i="6" s="1"/>
  <c r="AG156" i="1"/>
  <c r="AG166" i="1" s="1"/>
  <c r="AS56" i="6"/>
  <c r="Q41" i="1"/>
  <c r="AF130" i="1"/>
  <c r="AT325" i="4"/>
  <c r="AY68" i="4" l="1"/>
  <c r="AZ273" i="4"/>
  <c r="AT48" i="5"/>
  <c r="AT301" i="4"/>
  <c r="AT305" i="4" s="1"/>
  <c r="AT251" i="4"/>
  <c r="AT329" i="4"/>
  <c r="AT338" i="4" s="1"/>
  <c r="AT340" i="4" s="1"/>
  <c r="AT330" i="4"/>
  <c r="AF134" i="1"/>
  <c r="AA41" i="1" s="1"/>
  <c r="W41" i="1"/>
  <c r="AY240" i="4"/>
  <c r="AZ59" i="8"/>
  <c r="AZ60" i="8" s="1"/>
  <c r="AS50" i="6"/>
  <c r="AZ17" i="8"/>
  <c r="AZ22" i="8"/>
  <c r="AZ25" i="8" s="1"/>
  <c r="AZ72" i="8" s="1"/>
  <c r="AY49" i="5"/>
  <c r="AS54" i="6"/>
  <c r="AS65" i="6" s="1"/>
  <c r="AS67" i="6" s="1"/>
  <c r="AG168" i="1"/>
  <c r="AT67" i="4" l="1"/>
  <c r="AU247" i="4"/>
  <c r="AT306" i="4"/>
  <c r="AT79" i="6" s="1"/>
  <c r="AT82" i="6" s="1"/>
  <c r="AT74" i="4"/>
  <c r="AT24" i="9"/>
  <c r="AG123" i="1"/>
  <c r="AH153" i="1"/>
  <c r="AT350" i="4"/>
  <c r="AT353" i="4" s="1"/>
  <c r="AT365" i="4" s="1"/>
  <c r="AT39" i="6"/>
  <c r="AT93" i="6"/>
  <c r="AZ324" i="4"/>
  <c r="AZ275" i="4"/>
  <c r="AL124" i="1"/>
  <c r="AM154" i="1"/>
  <c r="AY40" i="6"/>
  <c r="Q42" i="1" l="1"/>
  <c r="AT307" i="4"/>
  <c r="S47" i="1"/>
  <c r="AT50" i="5"/>
  <c r="AU323" i="4"/>
  <c r="AU249" i="4"/>
  <c r="AZ276" i="4"/>
  <c r="AZ277" i="4" s="1"/>
  <c r="AZ240" i="4" l="1"/>
  <c r="AU250" i="4"/>
  <c r="AU304" i="4"/>
  <c r="AT69" i="4"/>
  <c r="AT72" i="4" s="1"/>
  <c r="BA273" i="4"/>
  <c r="AZ68" i="4"/>
  <c r="AU251" i="4"/>
  <c r="AG126" i="1"/>
  <c r="AH155" i="1"/>
  <c r="AT43" i="6"/>
  <c r="AT52" i="5"/>
  <c r="AZ49" i="5"/>
  <c r="AU325" i="4" l="1"/>
  <c r="AH165" i="1"/>
  <c r="AH159" i="1"/>
  <c r="AU67" i="4"/>
  <c r="AV247" i="4"/>
  <c r="AU301" i="4"/>
  <c r="AU305" i="4" s="1"/>
  <c r="U42" i="1"/>
  <c r="AG130" i="1"/>
  <c r="BA324" i="4"/>
  <c r="BA275" i="4"/>
  <c r="AT38" i="6"/>
  <c r="AM124" i="1"/>
  <c r="AN154" i="1"/>
  <c r="AZ40" i="6"/>
  <c r="AU48" i="5"/>
  <c r="BA15" i="8"/>
  <c r="AT95" i="6"/>
  <c r="AT98" i="6" s="1"/>
  <c r="AT101" i="6" s="1"/>
  <c r="AH156" i="1"/>
  <c r="AH166" i="1" s="1"/>
  <c r="AT156" i="4"/>
  <c r="AT157" i="4" s="1"/>
  <c r="AT158" i="4" s="1"/>
  <c r="AT23" i="9" s="1"/>
  <c r="AT56" i="6"/>
  <c r="BA59" i="8" l="1"/>
  <c r="BA60" i="8" s="1"/>
  <c r="AT50" i="6"/>
  <c r="AV323" i="4"/>
  <c r="AV249" i="4"/>
  <c r="AV250" i="4" s="1"/>
  <c r="BA240" i="4"/>
  <c r="BA49" i="5"/>
  <c r="BA40" i="6" s="1"/>
  <c r="AH168" i="1"/>
  <c r="AU93" i="6"/>
  <c r="AU306" i="4"/>
  <c r="AU79" i="6" s="1"/>
  <c r="AU82" i="6" s="1"/>
  <c r="BA22" i="8"/>
  <c r="BA25" i="8" s="1"/>
  <c r="BA72" i="8" s="1"/>
  <c r="BA17" i="8"/>
  <c r="AU350" i="4"/>
  <c r="AU353" i="4" s="1"/>
  <c r="AU365" i="4" s="1"/>
  <c r="AH123" i="1"/>
  <c r="AI153" i="1"/>
  <c r="AU39" i="6"/>
  <c r="BA277" i="4"/>
  <c r="AG134" i="1"/>
  <c r="AA42" i="1" s="1"/>
  <c r="W42" i="1"/>
  <c r="BA276" i="4"/>
  <c r="AT54" i="6"/>
  <c r="AT65" i="6" s="1"/>
  <c r="AT67" i="6" s="1"/>
  <c r="S48" i="1"/>
  <c r="AU330" i="4"/>
  <c r="AU329" i="4"/>
  <c r="AU338" i="4" s="1"/>
  <c r="AU340" i="4" s="1"/>
  <c r="AV48" i="5" l="1"/>
  <c r="AV301" i="4"/>
  <c r="AV305" i="4" s="1"/>
  <c r="AU24" i="9"/>
  <c r="AU74" i="4"/>
  <c r="AU50" i="5"/>
  <c r="AV251" i="4"/>
  <c r="AO154" i="1"/>
  <c r="AN124" i="1"/>
  <c r="BA68" i="4"/>
  <c r="BB273" i="4"/>
  <c r="Q43" i="1"/>
  <c r="AU307" i="4"/>
  <c r="AV67" i="4" l="1"/>
  <c r="AW247" i="4"/>
  <c r="AV93" i="6"/>
  <c r="BB324" i="4"/>
  <c r="BB275" i="4"/>
  <c r="AV350" i="4"/>
  <c r="AV353" i="4" s="1"/>
  <c r="AV365" i="4" s="1"/>
  <c r="AI123" i="1"/>
  <c r="AJ153" i="1"/>
  <c r="AV39" i="6"/>
  <c r="AH126" i="1"/>
  <c r="AI155" i="1"/>
  <c r="AU43" i="6"/>
  <c r="AU52" i="5"/>
  <c r="S49" i="1"/>
  <c r="AU69" i="4"/>
  <c r="AU72" i="4" s="1"/>
  <c r="AV304" i="4"/>
  <c r="AV306" i="4"/>
  <c r="AV79" i="6" s="1"/>
  <c r="AV82" i="6" s="1"/>
  <c r="AI159" i="1" l="1"/>
  <c r="AI165" i="1"/>
  <c r="AV325" i="4"/>
  <c r="AV307" i="4"/>
  <c r="BB276" i="4"/>
  <c r="BB277" i="4" s="1"/>
  <c r="U43" i="1"/>
  <c r="AH130" i="1"/>
  <c r="AW323" i="4"/>
  <c r="AW251" i="4"/>
  <c r="AW249" i="4"/>
  <c r="AW250" i="4"/>
  <c r="Q44" i="1"/>
  <c r="AV43" i="6"/>
  <c r="AV38" i="6" s="1"/>
  <c r="AU38" i="6"/>
  <c r="AU95" i="6"/>
  <c r="AU98" i="6" s="1"/>
  <c r="AU101" i="6" s="1"/>
  <c r="AI156" i="1"/>
  <c r="AI166" i="1" s="1"/>
  <c r="BB15" i="8"/>
  <c r="AU156" i="4"/>
  <c r="AU157" i="4" s="1"/>
  <c r="AU158" i="4" s="1"/>
  <c r="AU23" i="9" s="1"/>
  <c r="AU56" i="6"/>
  <c r="AV50" i="5"/>
  <c r="BC59" i="8" l="1"/>
  <c r="BC60" i="8" s="1"/>
  <c r="AV50" i="6"/>
  <c r="BC273" i="4"/>
  <c r="BB68" i="4"/>
  <c r="AW67" i="4"/>
  <c r="AX247" i="4"/>
  <c r="BB59" i="8"/>
  <c r="BB60" i="8" s="1"/>
  <c r="AU50" i="6"/>
  <c r="AV69" i="4"/>
  <c r="AV72" i="4" s="1"/>
  <c r="AW304" i="4"/>
  <c r="AI126" i="1"/>
  <c r="AJ155" i="1"/>
  <c r="AV52" i="5"/>
  <c r="AV56" i="6" s="1"/>
  <c r="AV329" i="4"/>
  <c r="AV338" i="4" s="1"/>
  <c r="AV340" i="4" s="1"/>
  <c r="AV330" i="4"/>
  <c r="AU54" i="6"/>
  <c r="AU65" i="6" s="1"/>
  <c r="AH134" i="1"/>
  <c r="AA43" i="1" s="1"/>
  <c r="W43" i="1"/>
  <c r="BB49" i="5"/>
  <c r="BB240" i="4"/>
  <c r="BB22" i="8"/>
  <c r="BB25" i="8" s="1"/>
  <c r="BB72" i="8" s="1"/>
  <c r="BB17" i="8"/>
  <c r="AW48" i="5"/>
  <c r="AW301" i="4"/>
  <c r="AW305" i="4" s="1"/>
  <c r="AW306" i="4" s="1"/>
  <c r="AW79" i="6" s="1"/>
  <c r="AW82" i="6" s="1"/>
  <c r="AI168" i="1"/>
  <c r="AV54" i="6" l="1"/>
  <c r="AV65" i="6" s="1"/>
  <c r="AV67" i="6" s="1"/>
  <c r="AJ123" i="1"/>
  <c r="AK153" i="1"/>
  <c r="AW350" i="4"/>
  <c r="AW353" i="4" s="1"/>
  <c r="AW365" i="4" s="1"/>
  <c r="AW39" i="6"/>
  <c r="AX323" i="4"/>
  <c r="AX249" i="4"/>
  <c r="U44" i="1"/>
  <c r="AI130" i="1"/>
  <c r="AV24" i="9"/>
  <c r="AV74" i="4"/>
  <c r="BC324" i="4"/>
  <c r="BC276" i="4"/>
  <c r="BC275" i="4"/>
  <c r="AP154" i="1"/>
  <c r="AO124" i="1"/>
  <c r="BB40" i="6"/>
  <c r="AJ165" i="1"/>
  <c r="AJ159" i="1"/>
  <c r="AU67" i="6"/>
  <c r="AW325" i="4"/>
  <c r="AW307" i="4"/>
  <c r="AW50" i="5"/>
  <c r="AW52" i="5" s="1"/>
  <c r="BC15" i="8"/>
  <c r="AJ156" i="1"/>
  <c r="AJ166" i="1" s="1"/>
  <c r="AV95" i="6"/>
  <c r="AV98" i="6" s="1"/>
  <c r="AV101" i="6" s="1"/>
  <c r="AV156" i="4"/>
  <c r="AV157" i="4" s="1"/>
  <c r="AV158" i="4" s="1"/>
  <c r="AV23" i="9" s="1"/>
  <c r="AW93" i="6"/>
  <c r="AK156" i="1" l="1"/>
  <c r="AK166" i="1" s="1"/>
  <c r="BD15" i="8"/>
  <c r="AW156" i="4"/>
  <c r="AW157" i="4" s="1"/>
  <c r="AW158" i="4" s="1"/>
  <c r="AW23" i="9" s="1"/>
  <c r="AW95" i="6"/>
  <c r="AW98" i="6" s="1"/>
  <c r="AW101" i="6" s="1"/>
  <c r="AW56" i="6"/>
  <c r="AW38" i="6"/>
  <c r="BC17" i="8"/>
  <c r="BC22" i="8"/>
  <c r="BC25" i="8" s="1"/>
  <c r="BC72" i="8" s="1"/>
  <c r="S50" i="1"/>
  <c r="AI134" i="1"/>
  <c r="AA44" i="1" s="1"/>
  <c r="W44" i="1"/>
  <c r="AX304" i="4"/>
  <c r="AW69" i="4"/>
  <c r="AW72" i="4" s="1"/>
  <c r="BC240" i="4"/>
  <c r="BC49" i="5"/>
  <c r="BC40" i="6" s="1"/>
  <c r="AK159" i="1"/>
  <c r="AW330" i="4"/>
  <c r="AW329" i="4"/>
  <c r="AW338" i="4" s="1"/>
  <c r="AW340" i="4" s="1"/>
  <c r="Q45" i="1"/>
  <c r="AJ126" i="1"/>
  <c r="U45" i="1" s="1"/>
  <c r="AK155" i="1"/>
  <c r="AK165" i="1" s="1"/>
  <c r="AW43" i="6"/>
  <c r="BC277" i="4"/>
  <c r="AX250" i="4"/>
  <c r="AX301" i="4" s="1"/>
  <c r="AX305" i="4" s="1"/>
  <c r="AJ168" i="1"/>
  <c r="AX306" i="4" l="1"/>
  <c r="AX50" i="5" s="1"/>
  <c r="AX93" i="6"/>
  <c r="AW74" i="4"/>
  <c r="AW24" i="9"/>
  <c r="AX325" i="4"/>
  <c r="AX307" i="4"/>
  <c r="BC68" i="4"/>
  <c r="BD273" i="4"/>
  <c r="AK168" i="1"/>
  <c r="AW54" i="6"/>
  <c r="AW65" i="6" s="1"/>
  <c r="AJ130" i="1"/>
  <c r="BD59" i="8"/>
  <c r="BD60" i="8" s="1"/>
  <c r="AW50" i="6"/>
  <c r="BD22" i="8"/>
  <c r="BD25" i="8" s="1"/>
  <c r="BD72" i="8" s="1"/>
  <c r="BD17" i="8"/>
  <c r="AP124" i="1"/>
  <c r="AQ154" i="1"/>
  <c r="AX79" i="6"/>
  <c r="AX82" i="6" s="1"/>
  <c r="AX251" i="4"/>
  <c r="AX48" i="5"/>
  <c r="AL155" i="1" l="1"/>
  <c r="AK126" i="1"/>
  <c r="U46" i="1" s="1"/>
  <c r="AX43" i="6"/>
  <c r="AY247" i="4"/>
  <c r="AX67" i="4"/>
  <c r="AX72" i="4" s="1"/>
  <c r="AW67" i="6"/>
  <c r="AJ134" i="1"/>
  <c r="AA45" i="1" s="1"/>
  <c r="W45" i="1"/>
  <c r="AY304" i="4"/>
  <c r="AX69" i="4"/>
  <c r="BD324" i="4"/>
  <c r="BD275" i="4"/>
  <c r="AX330" i="4"/>
  <c r="AX329" i="4"/>
  <c r="S51" i="1"/>
  <c r="AX350" i="4"/>
  <c r="AX353" i="4" s="1"/>
  <c r="AX365" i="4" s="1"/>
  <c r="AK123" i="1"/>
  <c r="AL153" i="1"/>
  <c r="AX52" i="5"/>
  <c r="AX39" i="6"/>
  <c r="Q46" i="1" l="1"/>
  <c r="AK130" i="1"/>
  <c r="AX38" i="6"/>
  <c r="AY323" i="4"/>
  <c r="AY249" i="4"/>
  <c r="AY250" i="4"/>
  <c r="AX95" i="6"/>
  <c r="AX98" i="6" s="1"/>
  <c r="AX101" i="6" s="1"/>
  <c r="AX156" i="4"/>
  <c r="AX157" i="4" s="1"/>
  <c r="BE15" i="8"/>
  <c r="AL156" i="1"/>
  <c r="AL166" i="1" s="1"/>
  <c r="AX56" i="6"/>
  <c r="AL165" i="1"/>
  <c r="AL159" i="1"/>
  <c r="BD276" i="4"/>
  <c r="BD240" i="4" s="1"/>
  <c r="AX338" i="4"/>
  <c r="AX340" i="4" s="1"/>
  <c r="AY325" i="4"/>
  <c r="BE59" i="8" l="1"/>
  <c r="BE60" i="8" s="1"/>
  <c r="AX50" i="6"/>
  <c r="BD277" i="4"/>
  <c r="BE17" i="8"/>
  <c r="BE22" i="8"/>
  <c r="BE25" i="8" s="1"/>
  <c r="BE72" i="8" s="1"/>
  <c r="AK134" i="1"/>
  <c r="AA46" i="1" s="1"/>
  <c r="W46" i="1"/>
  <c r="AL168" i="1"/>
  <c r="AY329" i="4"/>
  <c r="AY330" i="4"/>
  <c r="AX74" i="4"/>
  <c r="AX24" i="9"/>
  <c r="AY48" i="5"/>
  <c r="AY301" i="4"/>
  <c r="AY305" i="4" s="1"/>
  <c r="AY93" i="6" s="1"/>
  <c r="BD49" i="5"/>
  <c r="AX158" i="4"/>
  <c r="N157" i="4"/>
  <c r="AX54" i="6"/>
  <c r="AX65" i="6" s="1"/>
  <c r="AY251" i="4"/>
  <c r="AX67" i="6" l="1"/>
  <c r="BD68" i="4"/>
  <c r="BE273" i="4"/>
  <c r="AY306" i="4"/>
  <c r="AY79" i="6" s="1"/>
  <c r="AY82" i="6" s="1"/>
  <c r="AY307" i="4"/>
  <c r="AY67" i="4"/>
  <c r="AZ247" i="4"/>
  <c r="AY338" i="4"/>
  <c r="AY340" i="4" s="1"/>
  <c r="AY350" i="4"/>
  <c r="AY353" i="4" s="1"/>
  <c r="AY365" i="4" s="1"/>
  <c r="AL123" i="1"/>
  <c r="AM153" i="1"/>
  <c r="AY39" i="6"/>
  <c r="AX23" i="9"/>
  <c r="N23" i="9" s="1"/>
  <c r="M23" i="9" s="1"/>
  <c r="N158" i="4"/>
  <c r="AQ124" i="1"/>
  <c r="AR154" i="1"/>
  <c r="BD40" i="6"/>
  <c r="S52" i="1" l="1"/>
  <c r="AZ323" i="4"/>
  <c r="AZ249" i="4"/>
  <c r="AY69" i="4"/>
  <c r="AY72" i="4" s="1"/>
  <c r="AZ304" i="4"/>
  <c r="M32" i="9"/>
  <c r="AY50" i="5"/>
  <c r="AY74" i="4"/>
  <c r="AY24" i="9"/>
  <c r="Q47" i="1"/>
  <c r="BE324" i="4"/>
  <c r="BE275" i="4"/>
  <c r="BE276" i="4" s="1"/>
  <c r="BE240" i="4" l="1"/>
  <c r="BE49" i="5"/>
  <c r="AZ250" i="4"/>
  <c r="AL126" i="1"/>
  <c r="AM155" i="1"/>
  <c r="AY43" i="6"/>
  <c r="AY52" i="5"/>
  <c r="AZ330" i="4"/>
  <c r="AZ329" i="4"/>
  <c r="AZ338" i="4" s="1"/>
  <c r="AZ340" i="4" s="1"/>
  <c r="AZ325" i="4"/>
  <c r="BE277" i="4"/>
  <c r="AM165" i="1" l="1"/>
  <c r="AM159" i="1"/>
  <c r="U47" i="1"/>
  <c r="AL130" i="1"/>
  <c r="AR124" i="1"/>
  <c r="AS154" i="1"/>
  <c r="BE40" i="6"/>
  <c r="BE68" i="4"/>
  <c r="BF273" i="4"/>
  <c r="AZ301" i="4"/>
  <c r="AZ305" i="4" s="1"/>
  <c r="AY95" i="6"/>
  <c r="AY98" i="6" s="1"/>
  <c r="AY101" i="6" s="1"/>
  <c r="BF15" i="8"/>
  <c r="AM156" i="1"/>
  <c r="AM166" i="1" s="1"/>
  <c r="AY156" i="4"/>
  <c r="AY56" i="6"/>
  <c r="AZ48" i="5"/>
  <c r="AZ74" i="4"/>
  <c r="AZ24" i="9"/>
  <c r="AZ251" i="4"/>
  <c r="AY38" i="6"/>
  <c r="BF22" i="8" l="1"/>
  <c r="BF25" i="8" s="1"/>
  <c r="BF72" i="8" s="1"/>
  <c r="BF17" i="8"/>
  <c r="S53" i="1"/>
  <c r="BF59" i="8"/>
  <c r="BF60" i="8" s="1"/>
  <c r="AY50" i="6"/>
  <c r="AZ50" i="5"/>
  <c r="AZ52" i="5" s="1"/>
  <c r="AZ306" i="4"/>
  <c r="AZ79" i="6" s="1"/>
  <c r="AZ82" i="6" s="1"/>
  <c r="AZ93" i="6"/>
  <c r="AZ307" i="4"/>
  <c r="AL134" i="1"/>
  <c r="AA47" i="1" s="1"/>
  <c r="W47" i="1"/>
  <c r="AZ67" i="4"/>
  <c r="BA247" i="4"/>
  <c r="AM123" i="1"/>
  <c r="AZ350" i="4"/>
  <c r="AZ353" i="4" s="1"/>
  <c r="AZ365" i="4" s="1"/>
  <c r="AN153" i="1"/>
  <c r="AZ39" i="6"/>
  <c r="AM168" i="1"/>
  <c r="AY54" i="6"/>
  <c r="AY65" i="6" s="1"/>
  <c r="BF324" i="4"/>
  <c r="BF275" i="4"/>
  <c r="AY67" i="6" l="1"/>
  <c r="AZ156" i="4"/>
  <c r="AZ95" i="6"/>
  <c r="AZ98" i="6" s="1"/>
  <c r="AZ101" i="6" s="1"/>
  <c r="AN156" i="1"/>
  <c r="AN166" i="1" s="1"/>
  <c r="BG15" i="8"/>
  <c r="AZ56" i="6"/>
  <c r="BA323" i="4"/>
  <c r="BA250" i="4"/>
  <c r="BA251" i="4" s="1"/>
  <c r="BA249" i="4"/>
  <c r="Q48" i="1"/>
  <c r="BF240" i="4"/>
  <c r="AZ69" i="4"/>
  <c r="AZ72" i="4" s="1"/>
  <c r="BA304" i="4"/>
  <c r="AZ38" i="6"/>
  <c r="BF276" i="4"/>
  <c r="BF277" i="4" s="1"/>
  <c r="AN159" i="1"/>
  <c r="AN155" i="1"/>
  <c r="AN165" i="1" s="1"/>
  <c r="AM126" i="1"/>
  <c r="U48" i="1" s="1"/>
  <c r="AZ43" i="6"/>
  <c r="BF68" i="4" l="1"/>
  <c r="BG273" i="4"/>
  <c r="BA67" i="4"/>
  <c r="BB247" i="4"/>
  <c r="BA330" i="4"/>
  <c r="BA325" i="4"/>
  <c r="BA329" i="4" s="1"/>
  <c r="BA338" i="4" s="1"/>
  <c r="BA340" i="4" s="1"/>
  <c r="BF49" i="5"/>
  <c r="AZ54" i="6"/>
  <c r="AZ65" i="6" s="1"/>
  <c r="AM130" i="1"/>
  <c r="BG17" i="8"/>
  <c r="BG22" i="8"/>
  <c r="BG25" i="8" s="1"/>
  <c r="BG72" i="8" s="1"/>
  <c r="BG59" i="8"/>
  <c r="BG60" i="8" s="1"/>
  <c r="AZ50" i="6"/>
  <c r="AN168" i="1"/>
  <c r="BA93" i="6"/>
  <c r="BA48" i="5"/>
  <c r="BA301" i="4"/>
  <c r="BA305" i="4" s="1"/>
  <c r="BA74" i="4" l="1"/>
  <c r="BA24" i="9"/>
  <c r="AZ67" i="6"/>
  <c r="BB323" i="4"/>
  <c r="BB249" i="4"/>
  <c r="BB250" i="4" s="1"/>
  <c r="AM134" i="1"/>
  <c r="AA48" i="1" s="1"/>
  <c r="W48" i="1"/>
  <c r="AT154" i="1"/>
  <c r="AS124" i="1"/>
  <c r="BF40" i="6"/>
  <c r="BG324" i="4"/>
  <c r="BG276" i="4"/>
  <c r="BG277" i="4" s="1"/>
  <c r="BG275" i="4"/>
  <c r="AO153" i="1"/>
  <c r="BA350" i="4"/>
  <c r="BA353" i="4" s="1"/>
  <c r="BA365" i="4" s="1"/>
  <c r="AN123" i="1"/>
  <c r="BA39" i="6"/>
  <c r="BA306" i="4"/>
  <c r="BA79" i="6" s="1"/>
  <c r="BA82" i="6" s="1"/>
  <c r="BH273" i="4" l="1"/>
  <c r="BG68" i="4"/>
  <c r="BB48" i="5"/>
  <c r="BB301" i="4"/>
  <c r="BB305" i="4" s="1"/>
  <c r="BA50" i="5"/>
  <c r="BG40" i="6"/>
  <c r="BB251" i="4"/>
  <c r="Q49" i="1"/>
  <c r="S54" i="1"/>
  <c r="BA307" i="4"/>
  <c r="BG240" i="4"/>
  <c r="BG49" i="5"/>
  <c r="AO155" i="1" l="1"/>
  <c r="AN126" i="1"/>
  <c r="BA43" i="6"/>
  <c r="BA52" i="5"/>
  <c r="BB93" i="6"/>
  <c r="BB350" i="4"/>
  <c r="BB353" i="4" s="1"/>
  <c r="BB365" i="4" s="1"/>
  <c r="AP153" i="1"/>
  <c r="AO123" i="1"/>
  <c r="BB39" i="6"/>
  <c r="BA69" i="4"/>
  <c r="BA72" i="4" s="1"/>
  <c r="BB304" i="4"/>
  <c r="BB306" i="4"/>
  <c r="BB79" i="6" s="1"/>
  <c r="BB82" i="6" s="1"/>
  <c r="BH324" i="4"/>
  <c r="BH275" i="4"/>
  <c r="BH276" i="4" s="1"/>
  <c r="AU154" i="1"/>
  <c r="AT124" i="1"/>
  <c r="BB67" i="4"/>
  <c r="BC247" i="4"/>
  <c r="BC323" i="4" l="1"/>
  <c r="BC249" i="4"/>
  <c r="BB50" i="5"/>
  <c r="BA156" i="4"/>
  <c r="AO156" i="1"/>
  <c r="AO166" i="1" s="1"/>
  <c r="BH15" i="8"/>
  <c r="BA95" i="6"/>
  <c r="BA98" i="6" s="1"/>
  <c r="BA101" i="6" s="1"/>
  <c r="BA56" i="6"/>
  <c r="BA38" i="6"/>
  <c r="BH240" i="4"/>
  <c r="BH49" i="5"/>
  <c r="Q50" i="1"/>
  <c r="U49" i="1"/>
  <c r="AN130" i="1"/>
  <c r="BB325" i="4"/>
  <c r="BB307" i="4"/>
  <c r="S55" i="1"/>
  <c r="BH277" i="4"/>
  <c r="AO165" i="1"/>
  <c r="AO159" i="1"/>
  <c r="AO168" i="1" s="1"/>
  <c r="AU124" i="1" l="1"/>
  <c r="AV154" i="1"/>
  <c r="BH40" i="6"/>
  <c r="AP155" i="1"/>
  <c r="AO126" i="1"/>
  <c r="BB52" i="5"/>
  <c r="AN134" i="1"/>
  <c r="AA49" i="1" s="1"/>
  <c r="W49" i="1"/>
  <c r="BH59" i="8"/>
  <c r="BH60" i="8" s="1"/>
  <c r="BA50" i="6"/>
  <c r="BB43" i="6"/>
  <c r="BC48" i="5"/>
  <c r="BC301" i="4"/>
  <c r="BC305" i="4" s="1"/>
  <c r="BC306" i="4" s="1"/>
  <c r="BA54" i="6"/>
  <c r="BA65" i="6" s="1"/>
  <c r="BC250" i="4"/>
  <c r="BB69" i="4"/>
  <c r="BB72" i="4" s="1"/>
  <c r="BC304" i="4"/>
  <c r="BB329" i="4"/>
  <c r="BB338" i="4" s="1"/>
  <c r="BB340" i="4" s="1"/>
  <c r="BB330" i="4"/>
  <c r="BH68" i="4"/>
  <c r="BI273" i="4"/>
  <c r="BH22" i="8"/>
  <c r="BH25" i="8" s="1"/>
  <c r="BH72" i="8" s="1"/>
  <c r="BH17" i="8"/>
  <c r="BC251" i="4"/>
  <c r="AP156" i="1" l="1"/>
  <c r="AP166" i="1" s="1"/>
  <c r="BB156" i="4"/>
  <c r="BB95" i="6"/>
  <c r="BB98" i="6" s="1"/>
  <c r="BB101" i="6" s="1"/>
  <c r="BI15" i="8"/>
  <c r="BC93" i="6"/>
  <c r="U50" i="1"/>
  <c r="AO130" i="1"/>
  <c r="BB56" i="6"/>
  <c r="AQ153" i="1"/>
  <c r="BC350" i="4"/>
  <c r="BC353" i="4" s="1"/>
  <c r="BC365" i="4" s="1"/>
  <c r="AP123" i="1"/>
  <c r="BC39" i="6"/>
  <c r="AP165" i="1"/>
  <c r="AP159" i="1"/>
  <c r="AP168" i="1" s="1"/>
  <c r="BB24" i="9"/>
  <c r="BB74" i="4"/>
  <c r="BC307" i="4"/>
  <c r="BC325" i="4"/>
  <c r="BB38" i="6"/>
  <c r="BC50" i="5"/>
  <c r="BC67" i="4"/>
  <c r="BD247" i="4"/>
  <c r="BC79" i="6"/>
  <c r="BC82" i="6" s="1"/>
  <c r="BI324" i="4"/>
  <c r="BI275" i="4"/>
  <c r="BA67" i="6"/>
  <c r="S56" i="1"/>
  <c r="BB54" i="6" l="1"/>
  <c r="BB65" i="6" s="1"/>
  <c r="AO134" i="1"/>
  <c r="AA50" i="1" s="1"/>
  <c r="W50" i="1"/>
  <c r="BI240" i="4"/>
  <c r="BI49" i="5"/>
  <c r="AP126" i="1"/>
  <c r="U51" i="1" s="1"/>
  <c r="AQ155" i="1"/>
  <c r="BI276" i="4"/>
  <c r="BI59" i="8"/>
  <c r="BI60" i="8" s="1"/>
  <c r="BB50" i="6"/>
  <c r="BI277" i="4"/>
  <c r="BC43" i="6"/>
  <c r="BC38" i="6" s="1"/>
  <c r="BC52" i="5"/>
  <c r="BI17" i="8"/>
  <c r="BI22" i="8"/>
  <c r="BI25" i="8" s="1"/>
  <c r="BI72" i="8" s="1"/>
  <c r="BD323" i="4"/>
  <c r="BD249" i="4"/>
  <c r="BC330" i="4"/>
  <c r="BC329" i="4"/>
  <c r="Q51" i="1"/>
  <c r="BD304" i="4"/>
  <c r="BC69" i="4"/>
  <c r="BC72" i="4" s="1"/>
  <c r="AQ165" i="1"/>
  <c r="AQ159" i="1"/>
  <c r="BJ59" i="8" l="1"/>
  <c r="BJ60" i="8" s="1"/>
  <c r="BC50" i="6"/>
  <c r="BI68" i="4"/>
  <c r="BJ273" i="4"/>
  <c r="AV124" i="1"/>
  <c r="AW154" i="1"/>
  <c r="BI40" i="6"/>
  <c r="BD250" i="4"/>
  <c r="BD48" i="5" s="1"/>
  <c r="BD325" i="4"/>
  <c r="BD330" i="4" s="1"/>
  <c r="BD329" i="4"/>
  <c r="AP130" i="1"/>
  <c r="AQ168" i="1"/>
  <c r="BB67" i="6"/>
  <c r="BC338" i="4"/>
  <c r="BC340" i="4" s="1"/>
  <c r="BC156" i="4"/>
  <c r="BC95" i="6"/>
  <c r="BC98" i="6" s="1"/>
  <c r="BC101" i="6" s="1"/>
  <c r="BJ15" i="8"/>
  <c r="AQ156" i="1"/>
  <c r="AQ166" i="1" s="1"/>
  <c r="BC56" i="6"/>
  <c r="BD350" i="4" l="1"/>
  <c r="BD353" i="4" s="1"/>
  <c r="BD365" i="4" s="1"/>
  <c r="AR153" i="1"/>
  <c r="AQ123" i="1"/>
  <c r="BD39" i="6"/>
  <c r="BJ324" i="4"/>
  <c r="BJ276" i="4"/>
  <c r="BJ277" i="4" s="1"/>
  <c r="BJ275" i="4"/>
  <c r="BC24" i="9"/>
  <c r="BC74" i="4"/>
  <c r="BD251" i="4"/>
  <c r="BD301" i="4"/>
  <c r="BD305" i="4" s="1"/>
  <c r="BD338" i="4"/>
  <c r="BD340" i="4" s="1"/>
  <c r="BC54" i="6"/>
  <c r="BC65" i="6" s="1"/>
  <c r="BC67" i="6" s="1"/>
  <c r="AP134" i="1"/>
  <c r="AA51" i="1" s="1"/>
  <c r="W51" i="1"/>
  <c r="BJ17" i="8"/>
  <c r="BJ22" i="8"/>
  <c r="BJ25" i="8" s="1"/>
  <c r="BJ72" i="8" s="1"/>
  <c r="BK273" i="4" l="1"/>
  <c r="BJ68" i="4"/>
  <c r="BD24" i="9"/>
  <c r="BD74" i="4"/>
  <c r="BD306" i="4"/>
  <c r="BD79" i="6" s="1"/>
  <c r="BD82" i="6" s="1"/>
  <c r="BD93" i="6"/>
  <c r="BD307" i="4"/>
  <c r="BE247" i="4"/>
  <c r="BD67" i="4"/>
  <c r="Q52" i="1"/>
  <c r="BJ240" i="4"/>
  <c r="BJ49" i="5"/>
  <c r="BD69" i="4" l="1"/>
  <c r="BE304" i="4"/>
  <c r="BD50" i="5"/>
  <c r="AW124" i="1"/>
  <c r="AX154" i="1"/>
  <c r="BJ40" i="6"/>
  <c r="BD72" i="4"/>
  <c r="BE323" i="4"/>
  <c r="BE249" i="4"/>
  <c r="BK324" i="4"/>
  <c r="BK276" i="4"/>
  <c r="BK277" i="4" s="1"/>
  <c r="BK275" i="4"/>
  <c r="BK68" i="4" l="1"/>
  <c r="BL273" i="4"/>
  <c r="BE301" i="4"/>
  <c r="BE305" i="4" s="1"/>
  <c r="S29" i="1"/>
  <c r="S28" i="1"/>
  <c r="S59" i="1" s="1"/>
  <c r="S57" i="1"/>
  <c r="S58" i="1"/>
  <c r="BE250" i="4"/>
  <c r="AQ126" i="1"/>
  <c r="AR155" i="1"/>
  <c r="BD43" i="6"/>
  <c r="BD52" i="5"/>
  <c r="BE329" i="4"/>
  <c r="BE338" i="4" s="1"/>
  <c r="BE340" i="4" s="1"/>
  <c r="BE330" i="4"/>
  <c r="BE325" i="4"/>
  <c r="BK49" i="5"/>
  <c r="BK40" i="6" s="1"/>
  <c r="BK240" i="4"/>
  <c r="BE306" i="4" l="1"/>
  <c r="BE50" i="5" s="1"/>
  <c r="BD38" i="6"/>
  <c r="AR159" i="1"/>
  <c r="AR165" i="1"/>
  <c r="BE307" i="4"/>
  <c r="U52" i="1"/>
  <c r="AQ130" i="1"/>
  <c r="BE93" i="6"/>
  <c r="BE79" i="6"/>
  <c r="BE82" i="6" s="1"/>
  <c r="BE48" i="5"/>
  <c r="BD95" i="6"/>
  <c r="BD98" i="6" s="1"/>
  <c r="BD101" i="6" s="1"/>
  <c r="BK15" i="8"/>
  <c r="AR156" i="1"/>
  <c r="AR166" i="1" s="1"/>
  <c r="BD156" i="4"/>
  <c r="BD56" i="6"/>
  <c r="BE74" i="4"/>
  <c r="BE24" i="9"/>
  <c r="BL324" i="4"/>
  <c r="BE251" i="4"/>
  <c r="AS155" i="1" l="1"/>
  <c r="AR126" i="1"/>
  <c r="U53" i="1" s="1"/>
  <c r="BE43" i="6"/>
  <c r="BK17" i="8"/>
  <c r="BK22" i="8"/>
  <c r="BK25" i="8" s="1"/>
  <c r="BK72" i="8" s="1"/>
  <c r="AR168" i="1"/>
  <c r="AR123" i="1"/>
  <c r="BE350" i="4"/>
  <c r="BE353" i="4" s="1"/>
  <c r="BE365" i="4" s="1"/>
  <c r="AS153" i="1"/>
  <c r="BE52" i="5"/>
  <c r="BE39" i="6"/>
  <c r="BK59" i="8"/>
  <c r="BK60" i="8" s="1"/>
  <c r="BD50" i="6"/>
  <c r="BF247" i="4"/>
  <c r="BE67" i="4"/>
  <c r="BE72" i="4" s="1"/>
  <c r="BE56" i="6"/>
  <c r="BD54" i="6"/>
  <c r="BD65" i="6" s="1"/>
  <c r="AQ134" i="1"/>
  <c r="AA52" i="1" s="1"/>
  <c r="W52" i="1"/>
  <c r="BF304" i="4"/>
  <c r="BE69" i="4"/>
  <c r="Q53" i="1" l="1"/>
  <c r="AR130" i="1"/>
  <c r="BF323" i="4"/>
  <c r="BF249" i="4"/>
  <c r="BE54" i="6"/>
  <c r="BE65" i="6" s="1"/>
  <c r="L366" i="4"/>
  <c r="L367" i="4"/>
  <c r="L368" i="4" s="1"/>
  <c r="BF325" i="4"/>
  <c r="BE38" i="6"/>
  <c r="AS156" i="1"/>
  <c r="AS166" i="1" s="1"/>
  <c r="BE156" i="4"/>
  <c r="BE95" i="6"/>
  <c r="BE98" i="6" s="1"/>
  <c r="BE101" i="6" s="1"/>
  <c r="BL15" i="8"/>
  <c r="BD67" i="6"/>
  <c r="AS165" i="1"/>
  <c r="AS159" i="1"/>
  <c r="AS168" i="1" s="1"/>
  <c r="BL59" i="8" l="1"/>
  <c r="BL60" i="8" s="1"/>
  <c r="BE50" i="6"/>
  <c r="BF250" i="4"/>
  <c r="BE67" i="6"/>
  <c r="BF329" i="4"/>
  <c r="BF338" i="4" s="1"/>
  <c r="BF340" i="4" s="1"/>
  <c r="BF330" i="4"/>
  <c r="BL17" i="8"/>
  <c r="BL22" i="8"/>
  <c r="BL25" i="8" s="1"/>
  <c r="BL72" i="8" s="1"/>
  <c r="AR134" i="1"/>
  <c r="AA53" i="1" s="1"/>
  <c r="W53" i="1"/>
  <c r="BF301" i="4" l="1"/>
  <c r="BF305" i="4" s="1"/>
  <c r="BF24" i="9"/>
  <c r="BF74" i="4"/>
  <c r="BF251" i="4"/>
  <c r="BF48" i="5"/>
  <c r="AS123" i="1" l="1"/>
  <c r="AT153" i="1"/>
  <c r="BF350" i="4"/>
  <c r="BF353" i="4" s="1"/>
  <c r="BF39" i="6"/>
  <c r="BF67" i="4"/>
  <c r="BG247" i="4"/>
  <c r="BF50" i="5"/>
  <c r="BF306" i="4"/>
  <c r="BF79" i="6" s="1"/>
  <c r="BF82" i="6" s="1"/>
  <c r="BF307" i="4"/>
  <c r="BF93" i="6"/>
  <c r="BG323" i="4" l="1"/>
  <c r="BG249" i="4"/>
  <c r="BG250" i="4" s="1"/>
  <c r="BF38" i="6"/>
  <c r="AT155" i="1"/>
  <c r="AT165" i="1" s="1"/>
  <c r="AS126" i="1"/>
  <c r="U54" i="1" s="1"/>
  <c r="BF43" i="6"/>
  <c r="BF52" i="5"/>
  <c r="BG304" i="4"/>
  <c r="BF69" i="4"/>
  <c r="BF72" i="4" s="1"/>
  <c r="AT159" i="1"/>
  <c r="Q54" i="1"/>
  <c r="AS130" i="1"/>
  <c r="BM59" i="8" l="1"/>
  <c r="BM60" i="8" s="1"/>
  <c r="BF50" i="6"/>
  <c r="BG325" i="4"/>
  <c r="AT156" i="1"/>
  <c r="AT166" i="1" s="1"/>
  <c r="AT168" i="1" s="1"/>
  <c r="BM15" i="8"/>
  <c r="BF95" i="6"/>
  <c r="BF98" i="6" s="1"/>
  <c r="BF101" i="6" s="1"/>
  <c r="BF156" i="4"/>
  <c r="BF56" i="6"/>
  <c r="BG48" i="5"/>
  <c r="BG301" i="4"/>
  <c r="BG305" i="4" s="1"/>
  <c r="AS134" i="1"/>
  <c r="AA54" i="1" s="1"/>
  <c r="W54" i="1"/>
  <c r="BG251" i="4"/>
  <c r="BG329" i="4"/>
  <c r="BG338" i="4" s="1"/>
  <c r="BG340" i="4" s="1"/>
  <c r="BG330" i="4"/>
  <c r="BG306" i="4" l="1"/>
  <c r="BG79" i="6" s="1"/>
  <c r="BG82" i="6" s="1"/>
  <c r="BG307" i="4"/>
  <c r="BM17" i="8"/>
  <c r="BM22" i="8"/>
  <c r="BM25" i="8" s="1"/>
  <c r="BM72" i="8" s="1"/>
  <c r="BG93" i="6"/>
  <c r="AT123" i="1"/>
  <c r="BG350" i="4"/>
  <c r="BG353" i="4" s="1"/>
  <c r="AU153" i="1"/>
  <c r="BG39" i="6"/>
  <c r="BG74" i="4"/>
  <c r="BG24" i="9"/>
  <c r="BF54" i="6"/>
  <c r="BF65" i="6" s="1"/>
  <c r="BF67" i="6" s="1"/>
  <c r="BG67" i="4"/>
  <c r="BH247" i="4"/>
  <c r="Q55" i="1" l="1"/>
  <c r="BG69" i="4"/>
  <c r="BG72" i="4" s="1"/>
  <c r="BH304" i="4"/>
  <c r="BH323" i="4"/>
  <c r="BH249" i="4"/>
  <c r="BH250" i="4" s="1"/>
  <c r="BG50" i="5"/>
  <c r="BH325" i="4" l="1"/>
  <c r="AU155" i="1"/>
  <c r="AT126" i="1"/>
  <c r="BG43" i="6"/>
  <c r="BG52" i="5"/>
  <c r="BH93" i="6"/>
  <c r="BH48" i="5"/>
  <c r="BH301" i="4"/>
  <c r="BH305" i="4" s="1"/>
  <c r="BH251" i="4"/>
  <c r="BH330" i="4"/>
  <c r="BH329" i="4"/>
  <c r="BH338" i="4" s="1"/>
  <c r="BH340" i="4" s="1"/>
  <c r="BN15" i="8" l="1"/>
  <c r="BG156" i="4"/>
  <c r="BG95" i="6"/>
  <c r="BG98" i="6" s="1"/>
  <c r="BG101" i="6" s="1"/>
  <c r="AU156" i="1"/>
  <c r="AU166" i="1" s="1"/>
  <c r="BG56" i="6"/>
  <c r="BG38" i="6"/>
  <c r="BH24" i="9"/>
  <c r="BH74" i="4"/>
  <c r="U55" i="1"/>
  <c r="AT130" i="1"/>
  <c r="AU165" i="1"/>
  <c r="AU159" i="1"/>
  <c r="AU168" i="1" s="1"/>
  <c r="BH67" i="4"/>
  <c r="BI247" i="4"/>
  <c r="BH50" i="5"/>
  <c r="BH306" i="4"/>
  <c r="BH79" i="6" s="1"/>
  <c r="BH82" i="6" s="1"/>
  <c r="BH307" i="4"/>
  <c r="AU123" i="1"/>
  <c r="BH350" i="4"/>
  <c r="BH353" i="4" s="1"/>
  <c r="AV153" i="1"/>
  <c r="BH39" i="6"/>
  <c r="BI323" i="4" l="1"/>
  <c r="BI249" i="4"/>
  <c r="BN59" i="8"/>
  <c r="BN60" i="8" s="1"/>
  <c r="BG50" i="6"/>
  <c r="AU126" i="1"/>
  <c r="U56" i="1" s="1"/>
  <c r="AV155" i="1"/>
  <c r="BH52" i="5"/>
  <c r="BH43" i="6"/>
  <c r="AV165" i="1"/>
  <c r="AV159" i="1"/>
  <c r="BH56" i="6"/>
  <c r="BG54" i="6"/>
  <c r="BG65" i="6" s="1"/>
  <c r="Q56" i="1"/>
  <c r="AU130" i="1"/>
  <c r="AT134" i="1"/>
  <c r="AA55" i="1" s="1"/>
  <c r="W55" i="1"/>
  <c r="BI304" i="4"/>
  <c r="BH69" i="4"/>
  <c r="BH72" i="4" s="1"/>
  <c r="BN22" i="8"/>
  <c r="BN25" i="8" s="1"/>
  <c r="BN72" i="8" s="1"/>
  <c r="BN17" i="8"/>
  <c r="BI325" i="4" l="1"/>
  <c r="BI48" i="5"/>
  <c r="BI301" i="4"/>
  <c r="BI305" i="4" s="1"/>
  <c r="BH54" i="6"/>
  <c r="BH65" i="6" s="1"/>
  <c r="BI250" i="4"/>
  <c r="BI330" i="4"/>
  <c r="BI329" i="4"/>
  <c r="BI338" i="4" s="1"/>
  <c r="BI340" i="4" s="1"/>
  <c r="AU134" i="1"/>
  <c r="W56" i="1"/>
  <c r="BO15" i="8"/>
  <c r="AV156" i="1"/>
  <c r="AV166" i="1" s="1"/>
  <c r="AV168" i="1" s="1"/>
  <c r="BH95" i="6"/>
  <c r="BH98" i="6" s="1"/>
  <c r="BH101" i="6" s="1"/>
  <c r="BH156" i="4"/>
  <c r="BI251" i="4"/>
  <c r="BG67" i="6"/>
  <c r="BH38" i="6"/>
  <c r="BO17" i="8" l="1"/>
  <c r="BO22" i="8"/>
  <c r="BO25" i="8" s="1"/>
  <c r="BO72" i="8" s="1"/>
  <c r="BI306" i="4"/>
  <c r="BI79" i="6" s="1"/>
  <c r="BI82" i="6" s="1"/>
  <c r="BO59" i="8"/>
  <c r="BO60" i="8" s="1"/>
  <c r="BH50" i="6"/>
  <c r="BH67" i="6" s="1"/>
  <c r="BI350" i="4"/>
  <c r="BI353" i="4" s="1"/>
  <c r="AW153" i="1"/>
  <c r="AV123" i="1"/>
  <c r="BI39" i="6"/>
  <c r="BI74" i="4"/>
  <c r="BI24" i="9"/>
  <c r="BI93" i="6"/>
  <c r="BI67" i="4"/>
  <c r="BJ247" i="4"/>
  <c r="BI50" i="5" l="1"/>
  <c r="BI307" i="4"/>
  <c r="Q57" i="1"/>
  <c r="BJ323" i="4"/>
  <c r="BJ249" i="4"/>
  <c r="BJ250" i="4"/>
  <c r="BI69" i="4" l="1"/>
  <c r="BI72" i="4" s="1"/>
  <c r="BJ304" i="4"/>
  <c r="AW155" i="1"/>
  <c r="AV126" i="1"/>
  <c r="BI43" i="6"/>
  <c r="BI52" i="5"/>
  <c r="BJ48" i="5"/>
  <c r="BJ301" i="4"/>
  <c r="BJ305" i="4" s="1"/>
  <c r="BJ251" i="4"/>
  <c r="U57" i="1" l="1"/>
  <c r="AV130" i="1"/>
  <c r="AV134" i="1" s="1"/>
  <c r="AA57" i="1" s="1"/>
  <c r="AW165" i="1"/>
  <c r="AW159" i="1"/>
  <c r="BK247" i="4"/>
  <c r="BJ67" i="4"/>
  <c r="BJ306" i="4"/>
  <c r="BJ79" i="6" s="1"/>
  <c r="BJ82" i="6" s="1"/>
  <c r="AX153" i="1"/>
  <c r="AW123" i="1"/>
  <c r="BJ350" i="4"/>
  <c r="BJ353" i="4" s="1"/>
  <c r="BJ39" i="6"/>
  <c r="BJ325" i="4"/>
  <c r="BJ93" i="6"/>
  <c r="BP15" i="8"/>
  <c r="BI156" i="4"/>
  <c r="AW156" i="1"/>
  <c r="AW166" i="1" s="1"/>
  <c r="BI95" i="6"/>
  <c r="BI98" i="6" s="1"/>
  <c r="BI101" i="6" s="1"/>
  <c r="BI56" i="6"/>
  <c r="BI38" i="6"/>
  <c r="BP59" i="8" l="1"/>
  <c r="BP60" i="8" s="1"/>
  <c r="BI50" i="6"/>
  <c r="BJ330" i="4"/>
  <c r="BJ329" i="4"/>
  <c r="BJ338" i="4" s="1"/>
  <c r="BJ340" i="4" s="1"/>
  <c r="BJ50" i="5"/>
  <c r="BJ307" i="4"/>
  <c r="BI54" i="6"/>
  <c r="BI65" i="6" s="1"/>
  <c r="BI67" i="6" s="1"/>
  <c r="BK323" i="4"/>
  <c r="BK249" i="4"/>
  <c r="AW168" i="1"/>
  <c r="Q29" i="1"/>
  <c r="Q28" i="1"/>
  <c r="Q58" i="1"/>
  <c r="BP17" i="8"/>
  <c r="BP22" i="8"/>
  <c r="BP25" i="8" s="1"/>
  <c r="BP72" i="8" s="1"/>
  <c r="BK250" i="4" l="1"/>
  <c r="BJ69" i="4"/>
  <c r="BJ72" i="4" s="1"/>
  <c r="BK304" i="4"/>
  <c r="AW126" i="1"/>
  <c r="AX155" i="1"/>
  <c r="BJ52" i="5"/>
  <c r="BJ43" i="6"/>
  <c r="BK251" i="4"/>
  <c r="BJ74" i="4"/>
  <c r="BJ24" i="9"/>
  <c r="Q59" i="1"/>
  <c r="BK67" i="4" l="1"/>
  <c r="BL247" i="4"/>
  <c r="BK325" i="4"/>
  <c r="BJ38" i="6"/>
  <c r="AX156" i="1"/>
  <c r="AX166" i="1" s="1"/>
  <c r="BJ95" i="6"/>
  <c r="BJ98" i="6" s="1"/>
  <c r="BJ101" i="6" s="1"/>
  <c r="BJ156" i="4"/>
  <c r="BQ15" i="8"/>
  <c r="BJ56" i="6"/>
  <c r="AX159" i="1"/>
  <c r="AX165" i="1"/>
  <c r="BK301" i="4"/>
  <c r="BK305" i="4" s="1"/>
  <c r="U28" i="1"/>
  <c r="U59" i="1" s="1"/>
  <c r="U58" i="1"/>
  <c r="AW130" i="1"/>
  <c r="BK48" i="5"/>
  <c r="BQ59" i="8" l="1"/>
  <c r="BQ60" i="8" s="1"/>
  <c r="BJ50" i="6"/>
  <c r="AX168" i="1"/>
  <c r="D168" i="1" s="1"/>
  <c r="BJ54" i="6"/>
  <c r="BJ65" i="6" s="1"/>
  <c r="BJ67" i="6" s="1"/>
  <c r="BK350" i="4"/>
  <c r="BK353" i="4" s="1"/>
  <c r="BK39" i="6"/>
  <c r="AW134" i="1"/>
  <c r="W28" i="1"/>
  <c r="W29" i="1"/>
  <c r="W57" i="1"/>
  <c r="W58" i="1"/>
  <c r="BQ22" i="8"/>
  <c r="BQ17" i="8"/>
  <c r="N15" i="8"/>
  <c r="BL323" i="4"/>
  <c r="BK93" i="6"/>
  <c r="BK306" i="4"/>
  <c r="BK79" i="6" s="1"/>
  <c r="AA28" i="1" l="1"/>
  <c r="AA56" i="1"/>
  <c r="AA58" i="1"/>
  <c r="N17" i="8"/>
  <c r="N19" i="8"/>
  <c r="L8" i="1" s="1"/>
  <c r="BQ25" i="8"/>
  <c r="N22" i="8"/>
  <c r="BK50" i="5"/>
  <c r="BK307" i="4"/>
  <c r="BL304" i="4" l="1"/>
  <c r="BK69" i="4"/>
  <c r="BK72" i="4" s="1"/>
  <c r="BK43" i="6"/>
  <c r="BK55" i="5"/>
  <c r="BK52" i="5"/>
  <c r="BQ72" i="8"/>
  <c r="N25" i="8"/>
  <c r="N27" i="8"/>
  <c r="L9" i="1" s="1"/>
  <c r="M68" i="8" l="1"/>
  <c r="M76" i="8"/>
  <c r="M78" i="8" s="1"/>
  <c r="BK95" i="6"/>
  <c r="BK98" i="6" s="1"/>
  <c r="BK101" i="6" s="1"/>
  <c r="BK156" i="4"/>
  <c r="BK56" i="6"/>
  <c r="BK327" i="4"/>
  <c r="BK44" i="6"/>
  <c r="BK38" i="6" s="1"/>
  <c r="BK50" i="6" s="1"/>
  <c r="BL23" i="5"/>
  <c r="BL46" i="5" s="1"/>
  <c r="BK80" i="6"/>
  <c r="BK82" i="6" s="1"/>
  <c r="BL325" i="4"/>
  <c r="BK330" i="4" l="1"/>
  <c r="BK329" i="4"/>
  <c r="BK338" i="4" s="1"/>
  <c r="BK340" i="4" s="1"/>
  <c r="BK54" i="6"/>
  <c r="BK65" i="6" s="1"/>
  <c r="BK67" i="6" s="1"/>
  <c r="M79" i="8"/>
  <c r="M34" i="8" s="1"/>
  <c r="O9" i="1" s="1"/>
  <c r="M33" i="8"/>
  <c r="O8" i="1" s="1"/>
  <c r="BL267" i="4"/>
  <c r="BL275" i="4" s="1"/>
  <c r="BL302" i="4"/>
  <c r="BK74" i="4" l="1"/>
  <c r="BK24" i="9"/>
  <c r="BL276" i="4"/>
  <c r="BL240" i="4" s="1"/>
  <c r="BL249" i="4" l="1"/>
  <c r="BL49" i="5"/>
  <c r="BL40" i="6" s="1"/>
  <c r="BL277" i="4"/>
  <c r="BM273" i="4" l="1"/>
  <c r="BL68" i="4"/>
  <c r="BL250" i="4"/>
  <c r="BL48" i="5" s="1"/>
  <c r="BL251" i="4"/>
  <c r="BL301" i="4"/>
  <c r="BL305" i="4" s="1"/>
  <c r="BL93" i="6" s="1"/>
  <c r="BL350" i="4" l="1"/>
  <c r="BL353" i="4" s="1"/>
  <c r="BL39" i="6"/>
  <c r="BL306" i="4"/>
  <c r="BL79" i="6" s="1"/>
  <c r="BL67" i="4"/>
  <c r="BM247" i="4"/>
  <c r="BM324" i="4"/>
  <c r="BL307" i="4" l="1"/>
  <c r="BL50" i="5"/>
  <c r="BM323" i="4"/>
  <c r="BL43" i="6" l="1"/>
  <c r="BL52" i="5"/>
  <c r="BL55" i="5"/>
  <c r="BM304" i="4"/>
  <c r="BL69" i="4"/>
  <c r="BL72" i="4" s="1"/>
  <c r="BL327" i="4" l="1"/>
  <c r="BL80" i="6"/>
  <c r="BL82" i="6" s="1"/>
  <c r="BM23" i="5"/>
  <c r="BM46" i="5" s="1"/>
  <c r="BL44" i="6"/>
  <c r="BL38" i="6" s="1"/>
  <c r="BL50" i="6" s="1"/>
  <c r="BL95" i="6"/>
  <c r="BL98" i="6" s="1"/>
  <c r="BL101" i="6" s="1"/>
  <c r="BL156" i="4"/>
  <c r="BL56" i="6"/>
  <c r="BM325" i="4"/>
  <c r="BM302" i="4" l="1"/>
  <c r="BM267" i="4"/>
  <c r="BM275" i="4" s="1"/>
  <c r="BL54" i="6"/>
  <c r="BL65" i="6" s="1"/>
  <c r="BL67" i="6" s="1"/>
  <c r="BL330" i="4"/>
  <c r="BL329" i="4"/>
  <c r="BL338" i="4" s="1"/>
  <c r="BL340" i="4" s="1"/>
  <c r="BM276" i="4" l="1"/>
  <c r="BM49" i="5" s="1"/>
  <c r="BM40" i="6" s="1"/>
  <c r="BL74" i="4"/>
  <c r="BL24" i="9"/>
  <c r="BM277" i="4" l="1"/>
  <c r="BM240" i="4"/>
  <c r="BM249" i="4" l="1"/>
  <c r="BN273" i="4"/>
  <c r="BM68" i="4"/>
  <c r="BN324" i="4" l="1"/>
  <c r="BM250" i="4"/>
  <c r="BM251" i="4"/>
  <c r="BM48" i="5" l="1"/>
  <c r="BM67" i="4"/>
  <c r="BN247" i="4"/>
  <c r="BM301" i="4"/>
  <c r="BM305" i="4" s="1"/>
  <c r="BM306" i="4" l="1"/>
  <c r="BM79" i="6" s="1"/>
  <c r="BM93" i="6"/>
  <c r="BN323" i="4"/>
  <c r="BM350" i="4"/>
  <c r="BM353" i="4" s="1"/>
  <c r="BM39" i="6"/>
  <c r="BM307" i="4" l="1"/>
  <c r="BM50" i="5"/>
  <c r="BM43" i="6" l="1"/>
  <c r="BM52" i="5"/>
  <c r="BM55" i="5"/>
  <c r="BN304" i="4"/>
  <c r="BM69" i="4"/>
  <c r="BM72" i="4" s="1"/>
  <c r="BN325" i="4" l="1"/>
  <c r="BM327" i="4"/>
  <c r="BN23" i="5"/>
  <c r="BN46" i="5" s="1"/>
  <c r="BM44" i="6"/>
  <c r="BM38" i="6" s="1"/>
  <c r="BM50" i="6" s="1"/>
  <c r="BM80" i="6"/>
  <c r="BM82" i="6" s="1"/>
  <c r="BM95" i="6"/>
  <c r="BM98" i="6" s="1"/>
  <c r="BM101" i="6" s="1"/>
  <c r="BM156" i="4"/>
  <c r="BM56" i="6"/>
  <c r="BN302" i="4" l="1"/>
  <c r="BN267" i="4"/>
  <c r="BN275" i="4" s="1"/>
  <c r="BM330" i="4"/>
  <c r="BM329" i="4"/>
  <c r="BM338" i="4" s="1"/>
  <c r="BM340" i="4" s="1"/>
  <c r="BM54" i="6"/>
  <c r="BM65" i="6" s="1"/>
  <c r="BM67" i="6" s="1"/>
  <c r="BM24" i="9" l="1"/>
  <c r="BM74" i="4"/>
  <c r="BN276" i="4"/>
  <c r="BN49" i="5" s="1"/>
  <c r="BN40" i="6" s="1"/>
  <c r="BN240" i="4" l="1"/>
  <c r="BN277" i="4"/>
  <c r="BN68" i="4" l="1"/>
  <c r="BO273" i="4"/>
  <c r="BN249" i="4"/>
  <c r="BN250" i="4" l="1"/>
  <c r="BN301" i="4"/>
  <c r="BN305" i="4" s="1"/>
  <c r="BO324" i="4"/>
  <c r="BN306" i="4" l="1"/>
  <c r="BN50" i="5" s="1"/>
  <c r="BN43" i="6" s="1"/>
  <c r="BN251" i="4"/>
  <c r="BN48" i="5"/>
  <c r="BN93" i="6"/>
  <c r="BN350" i="4" l="1"/>
  <c r="BN353" i="4" s="1"/>
  <c r="BN39" i="6"/>
  <c r="BN52" i="5"/>
  <c r="BN55" i="5"/>
  <c r="BO247" i="4"/>
  <c r="BN67" i="4"/>
  <c r="BN79" i="6"/>
  <c r="BN307" i="4"/>
  <c r="BO323" i="4" l="1"/>
  <c r="BN80" i="6"/>
  <c r="BN82" i="6" s="1"/>
  <c r="BO23" i="5"/>
  <c r="BO46" i="5" s="1"/>
  <c r="BN44" i="6"/>
  <c r="BN38" i="6" s="1"/>
  <c r="BN50" i="6" s="1"/>
  <c r="BN327" i="4"/>
  <c r="BN95" i="6"/>
  <c r="BN98" i="6" s="1"/>
  <c r="BN156" i="4"/>
  <c r="BN56" i="6"/>
  <c r="BN72" i="4"/>
  <c r="BO304" i="4"/>
  <c r="BN69" i="4"/>
  <c r="BO302" i="4" l="1"/>
  <c r="BO267" i="4"/>
  <c r="BO275" i="4" s="1"/>
  <c r="BN54" i="6"/>
  <c r="BN65" i="6" s="1"/>
  <c r="BN67" i="6" s="1"/>
  <c r="BO325" i="4"/>
  <c r="BN101" i="6"/>
  <c r="BN329" i="4"/>
  <c r="BN330" i="4"/>
  <c r="BN338" i="4" l="1"/>
  <c r="BN340" i="4" s="1"/>
  <c r="BO276" i="4"/>
  <c r="BO49" i="5" s="1"/>
  <c r="BO40" i="6" s="1"/>
  <c r="BO277" i="4" l="1"/>
  <c r="BO240" i="4"/>
  <c r="BN74" i="4"/>
  <c r="BN24" i="9"/>
  <c r="BO249" i="4" l="1"/>
  <c r="BP273" i="4"/>
  <c r="BO68" i="4"/>
  <c r="BP324" i="4" l="1"/>
  <c r="BO250" i="4"/>
  <c r="BO48" i="5" s="1"/>
  <c r="BO350" i="4" l="1"/>
  <c r="BO353" i="4" s="1"/>
  <c r="BO39" i="6"/>
  <c r="BO251" i="4"/>
  <c r="BO301" i="4"/>
  <c r="BO305" i="4" s="1"/>
  <c r="BO67" i="4" l="1"/>
  <c r="BP247" i="4"/>
  <c r="BO306" i="4"/>
  <c r="BO79" i="6" s="1"/>
  <c r="BO93" i="6"/>
  <c r="BO50" i="5" l="1"/>
  <c r="BO307" i="4"/>
  <c r="BP323" i="4"/>
  <c r="BO69" i="4" l="1"/>
  <c r="BO72" i="4" s="1"/>
  <c r="BP304" i="4"/>
  <c r="BO43" i="6"/>
  <c r="BO52" i="5"/>
  <c r="BO55" i="5"/>
  <c r="BP23" i="5" l="1"/>
  <c r="BP46" i="5" s="1"/>
  <c r="BO327" i="4"/>
  <c r="BO44" i="6"/>
  <c r="BO38" i="6" s="1"/>
  <c r="BO50" i="6" s="1"/>
  <c r="BO80" i="6"/>
  <c r="BO82" i="6" s="1"/>
  <c r="BO156" i="4"/>
  <c r="BO95" i="6"/>
  <c r="BO98" i="6" s="1"/>
  <c r="BO101" i="6" s="1"/>
  <c r="BO56" i="6"/>
  <c r="BP325" i="4"/>
  <c r="BO330" i="4" l="1"/>
  <c r="BO329" i="4"/>
  <c r="BO338" i="4" s="1"/>
  <c r="BO340" i="4" s="1"/>
  <c r="BO54" i="6"/>
  <c r="BO65" i="6" s="1"/>
  <c r="BO67" i="6" s="1"/>
  <c r="BP302" i="4"/>
  <c r="BP267" i="4"/>
  <c r="BP275" i="4" s="1"/>
  <c r="BO74" i="4" l="1"/>
  <c r="BO24" i="9"/>
  <c r="BP276" i="4"/>
  <c r="BP240" i="4" s="1"/>
  <c r="BP249" i="4" l="1"/>
  <c r="BP49" i="5"/>
  <c r="BP40" i="6" s="1"/>
  <c r="BP277" i="4"/>
  <c r="BQ273" i="4" l="1"/>
  <c r="BP68" i="4"/>
  <c r="BP250" i="4"/>
  <c r="BP48" i="5" s="1"/>
  <c r="BP301" i="4"/>
  <c r="BP305" i="4" s="1"/>
  <c r="BP93" i="6" s="1"/>
  <c r="BP350" i="4" l="1"/>
  <c r="BP353" i="4" s="1"/>
  <c r="BP39" i="6"/>
  <c r="BP306" i="4"/>
  <c r="BP50" i="5" s="1"/>
  <c r="BP251" i="4"/>
  <c r="BQ324" i="4"/>
  <c r="BP43" i="6" l="1"/>
  <c r="BP55" i="5"/>
  <c r="BP52" i="5"/>
  <c r="BP79" i="6"/>
  <c r="BP307" i="4"/>
  <c r="BQ247" i="4"/>
  <c r="BP67" i="4"/>
  <c r="BP69" i="4" l="1"/>
  <c r="BQ304" i="4"/>
  <c r="BQ323" i="4"/>
  <c r="BP82" i="6"/>
  <c r="BP156" i="4"/>
  <c r="BP95" i="6"/>
  <c r="BP98" i="6" s="1"/>
  <c r="BP56" i="6"/>
  <c r="BP44" i="6"/>
  <c r="BP38" i="6" s="1"/>
  <c r="BP50" i="6" s="1"/>
  <c r="BP327" i="4"/>
  <c r="BP80" i="6"/>
  <c r="BQ23" i="5"/>
  <c r="BQ46" i="5" s="1"/>
  <c r="BP72" i="4"/>
  <c r="BQ302" i="4" l="1"/>
  <c r="BQ267" i="4"/>
  <c r="BQ275" i="4" s="1"/>
  <c r="BP329" i="4"/>
  <c r="BP330" i="4"/>
  <c r="BP54" i="6"/>
  <c r="BP65" i="6" s="1"/>
  <c r="BP67" i="6" s="1"/>
  <c r="BQ325" i="4"/>
  <c r="BP101" i="6"/>
  <c r="BP338" i="4" l="1"/>
  <c r="BP340" i="4" s="1"/>
  <c r="BQ276" i="4"/>
  <c r="BQ240" i="4" s="1"/>
  <c r="BQ249" i="4" l="1"/>
  <c r="BQ277" i="4"/>
  <c r="BQ49" i="5"/>
  <c r="BQ40" i="6" s="1"/>
  <c r="BP24" i="9"/>
  <c r="BP74" i="4"/>
  <c r="BQ68" i="4" l="1"/>
  <c r="BR273" i="4"/>
  <c r="BQ250" i="4"/>
  <c r="BQ251" i="4" s="1"/>
  <c r="BR247" i="4" l="1"/>
  <c r="BQ67" i="4"/>
  <c r="BQ301" i="4"/>
  <c r="BQ305" i="4" s="1"/>
  <c r="BQ48" i="5"/>
  <c r="BR324" i="4"/>
  <c r="BQ350" i="4" l="1"/>
  <c r="BQ353" i="4" s="1"/>
  <c r="BQ39" i="6"/>
  <c r="BQ306" i="4"/>
  <c r="BQ79" i="6" s="1"/>
  <c r="BQ93" i="6"/>
  <c r="BR323" i="4"/>
  <c r="BQ307" i="4" l="1"/>
  <c r="BQ50" i="5"/>
  <c r="BQ43" i="6" l="1"/>
  <c r="BQ52" i="5"/>
  <c r="BQ55" i="5"/>
  <c r="BR304" i="4"/>
  <c r="BQ69" i="4"/>
  <c r="BQ72" i="4" s="1"/>
  <c r="BR325" i="4" l="1"/>
  <c r="BQ44" i="6"/>
  <c r="BQ80" i="6"/>
  <c r="BQ82" i="6" s="1"/>
  <c r="BR23" i="5"/>
  <c r="BR46" i="5" s="1"/>
  <c r="BQ327" i="4"/>
  <c r="BQ95" i="6"/>
  <c r="BQ98" i="6" s="1"/>
  <c r="BQ101" i="6" s="1"/>
  <c r="BQ156" i="4"/>
  <c r="BQ56" i="6"/>
  <c r="BQ38" i="6"/>
  <c r="BQ50" i="6" s="1"/>
  <c r="BQ330" i="4" l="1"/>
  <c r="BQ329" i="4"/>
  <c r="BQ338" i="4" s="1"/>
  <c r="BQ340" i="4" s="1"/>
  <c r="BR267" i="4"/>
  <c r="BR275" i="4" s="1"/>
  <c r="BR302" i="4"/>
  <c r="BQ54" i="6"/>
  <c r="BQ65" i="6" s="1"/>
  <c r="BQ67" i="6" s="1"/>
  <c r="BR276" i="4" l="1"/>
  <c r="BR49" i="5" s="1"/>
  <c r="BR40" i="6" s="1"/>
  <c r="BQ24" i="9"/>
  <c r="BQ74" i="4"/>
  <c r="BR277" i="4" l="1"/>
  <c r="BR240" i="4"/>
  <c r="BR249" i="4" l="1"/>
  <c r="BR68" i="4"/>
  <c r="BS273" i="4"/>
  <c r="BS324" i="4" l="1"/>
  <c r="BR250" i="4"/>
  <c r="BR251" i="4" s="1"/>
  <c r="BS247" i="4" l="1"/>
  <c r="BR67" i="4"/>
  <c r="BR48" i="5"/>
  <c r="BR301" i="4"/>
  <c r="BR305" i="4" s="1"/>
  <c r="BR306" i="4" l="1"/>
  <c r="BR79" i="6" s="1"/>
  <c r="BR93" i="6"/>
  <c r="BR350" i="4"/>
  <c r="BR353" i="4" s="1"/>
  <c r="BR39" i="6"/>
  <c r="BS323" i="4"/>
  <c r="BR307" i="4" l="1"/>
  <c r="BR50" i="5"/>
  <c r="BR69" i="4" l="1"/>
  <c r="BR72" i="4" s="1"/>
  <c r="BS304" i="4"/>
  <c r="BR43" i="6"/>
  <c r="BR55" i="5"/>
  <c r="BR52" i="5"/>
  <c r="BR44" i="6" l="1"/>
  <c r="BS23" i="5"/>
  <c r="BS46" i="5" s="1"/>
  <c r="BR327" i="4"/>
  <c r="BR80" i="6"/>
  <c r="BR82" i="6" s="1"/>
  <c r="BR38" i="6"/>
  <c r="BR50" i="6" s="1"/>
  <c r="BR95" i="6"/>
  <c r="BR98" i="6" s="1"/>
  <c r="BR101" i="6" s="1"/>
  <c r="BR156" i="4"/>
  <c r="BR56" i="6"/>
  <c r="BS325" i="4"/>
  <c r="BR329" i="4" l="1"/>
  <c r="BR338" i="4" s="1"/>
  <c r="BR340" i="4" s="1"/>
  <c r="BR330" i="4"/>
  <c r="BS302" i="4"/>
  <c r="BS267" i="4"/>
  <c r="BS275" i="4" s="1"/>
  <c r="BR54" i="6"/>
  <c r="BR65" i="6" s="1"/>
  <c r="BR67" i="6" s="1"/>
  <c r="BS276" i="4" l="1"/>
  <c r="BS49" i="5" s="1"/>
  <c r="BS40" i="6" s="1"/>
  <c r="BR24" i="9"/>
  <c r="BR74" i="4"/>
  <c r="BS277" i="4" l="1"/>
  <c r="BS240" i="4"/>
  <c r="BS249" i="4" l="1"/>
  <c r="BS68" i="4"/>
  <c r="BT273" i="4"/>
  <c r="BT324" i="4" l="1"/>
  <c r="BS250" i="4"/>
  <c r="BS48" i="5" l="1"/>
  <c r="BS251" i="4"/>
  <c r="BS301" i="4"/>
  <c r="BS305" i="4" s="1"/>
  <c r="BS306" i="4" l="1"/>
  <c r="BS79" i="6" s="1"/>
  <c r="BS93" i="6"/>
  <c r="BT247" i="4"/>
  <c r="BS67" i="4"/>
  <c r="BS350" i="4"/>
  <c r="BS353" i="4" s="1"/>
  <c r="BS39" i="6"/>
  <c r="BT323" i="4" l="1"/>
  <c r="BS307" i="4"/>
  <c r="BS50" i="5"/>
  <c r="BS43" i="6" l="1"/>
  <c r="BS52" i="5"/>
  <c r="BS55" i="5"/>
  <c r="BS69" i="4"/>
  <c r="BS72" i="4" s="1"/>
  <c r="BT304" i="4"/>
  <c r="BT325" i="4" l="1"/>
  <c r="BT23" i="5"/>
  <c r="BT46" i="5" s="1"/>
  <c r="BS44" i="6"/>
  <c r="BS38" i="6" s="1"/>
  <c r="BS50" i="6" s="1"/>
  <c r="BS80" i="6"/>
  <c r="BS82" i="6" s="1"/>
  <c r="BS327" i="4"/>
  <c r="BS95" i="6"/>
  <c r="BS98" i="6" s="1"/>
  <c r="BS101" i="6" s="1"/>
  <c r="BS156" i="4"/>
  <c r="BS56" i="6"/>
  <c r="BS329" i="4" l="1"/>
  <c r="BS338" i="4" s="1"/>
  <c r="BS340" i="4" s="1"/>
  <c r="BS330" i="4"/>
  <c r="BT267" i="4"/>
  <c r="BT275" i="4" s="1"/>
  <c r="BT302" i="4"/>
  <c r="BS54" i="6"/>
  <c r="BS65" i="6" s="1"/>
  <c r="BS67" i="6" s="1"/>
  <c r="BT276" i="4" l="1"/>
  <c r="BT49" i="5" s="1"/>
  <c r="BT40" i="6" s="1"/>
  <c r="BS74" i="4"/>
  <c r="BS24" i="9"/>
  <c r="BT277" i="4" l="1"/>
  <c r="BT240" i="4"/>
  <c r="BT68" i="4" l="1"/>
  <c r="BU273" i="4"/>
  <c r="BT249" i="4"/>
  <c r="BU324" i="4" l="1"/>
  <c r="BT48" i="5"/>
  <c r="BT251" i="4"/>
  <c r="BT250" i="4"/>
  <c r="BU247" i="4" l="1"/>
  <c r="BT67" i="4"/>
  <c r="BT350" i="4"/>
  <c r="BT353" i="4" s="1"/>
  <c r="BT39" i="6"/>
  <c r="BT301" i="4"/>
  <c r="BT305" i="4" s="1"/>
  <c r="BT306" i="4" l="1"/>
  <c r="BT79" i="6" s="1"/>
  <c r="BT93" i="6"/>
  <c r="BU323" i="4"/>
  <c r="BT307" i="4" l="1"/>
  <c r="BT50" i="5"/>
  <c r="BT43" i="6" l="1"/>
  <c r="BT55" i="5"/>
  <c r="BT52" i="5"/>
  <c r="BT69" i="4"/>
  <c r="BT72" i="4" s="1"/>
  <c r="BU304" i="4"/>
  <c r="BU325" i="4" l="1"/>
  <c r="BT156" i="4"/>
  <c r="BT95" i="6"/>
  <c r="BT98" i="6" s="1"/>
  <c r="BT101" i="6" s="1"/>
  <c r="BT56" i="6"/>
  <c r="BU23" i="5"/>
  <c r="BU46" i="5" s="1"/>
  <c r="BT44" i="6"/>
  <c r="BT38" i="6" s="1"/>
  <c r="BT50" i="6" s="1"/>
  <c r="BT327" i="4"/>
  <c r="BT80" i="6"/>
  <c r="BT82" i="6" s="1"/>
  <c r="BT330" i="4" l="1"/>
  <c r="BT329" i="4"/>
  <c r="BT338" i="4" s="1"/>
  <c r="BT340" i="4" s="1"/>
  <c r="BU302" i="4"/>
  <c r="BU267" i="4"/>
  <c r="BT54" i="6"/>
  <c r="BT65" i="6" s="1"/>
  <c r="BT67" i="6" s="1"/>
  <c r="N267" i="4" l="1"/>
  <c r="BU275" i="4"/>
  <c r="BT74" i="4"/>
  <c r="BT24" i="9"/>
  <c r="N275" i="4" l="1"/>
  <c r="BU276" i="4"/>
  <c r="N276" i="4" s="1"/>
  <c r="BU277" i="4" l="1"/>
  <c r="BU68" i="4" s="1"/>
  <c r="N277" i="4"/>
  <c r="L199" i="2" s="1"/>
  <c r="BU240" i="4"/>
  <c r="BU49" i="5"/>
  <c r="N49" i="5" l="1"/>
  <c r="BU40" i="6"/>
  <c r="BV40" i="6" s="1"/>
  <c r="BW40" i="6" s="1"/>
  <c r="BX40" i="6" s="1"/>
  <c r="BY40" i="6" s="1"/>
  <c r="BZ40" i="6" s="1"/>
  <c r="CA40" i="6" s="1"/>
  <c r="CB40" i="6" s="1"/>
  <c r="CC40" i="6" s="1"/>
  <c r="CD40" i="6" s="1"/>
  <c r="CE40" i="6" s="1"/>
  <c r="CF40" i="6" s="1"/>
  <c r="CG40" i="6" s="1"/>
  <c r="CH40" i="6" s="1"/>
  <c r="CI40" i="6" s="1"/>
  <c r="CJ40" i="6" s="1"/>
  <c r="CK40" i="6" s="1"/>
  <c r="CL40" i="6" s="1"/>
  <c r="CM40" i="6" s="1"/>
  <c r="CN40" i="6" s="1"/>
  <c r="CO40" i="6" s="1"/>
  <c r="CP40" i="6" s="1"/>
  <c r="CQ40" i="6" s="1"/>
  <c r="CR40" i="6" s="1"/>
  <c r="CS40" i="6" s="1"/>
  <c r="CT40" i="6" s="1"/>
  <c r="CU40" i="6" s="1"/>
  <c r="CV40" i="6" s="1"/>
  <c r="CW40" i="6" s="1"/>
  <c r="CX40" i="6" s="1"/>
  <c r="CY40" i="6" s="1"/>
  <c r="CZ40" i="6" s="1"/>
  <c r="DA40" i="6" s="1"/>
  <c r="DB40" i="6" s="1"/>
  <c r="DC40" i="6" s="1"/>
  <c r="DD40" i="6" s="1"/>
  <c r="DE40" i="6" s="1"/>
  <c r="DF40" i="6" s="1"/>
  <c r="DG40" i="6" s="1"/>
  <c r="DH40" i="6" s="1"/>
  <c r="DI40" i="6" s="1"/>
  <c r="DJ40" i="6" s="1"/>
  <c r="DK40" i="6" s="1"/>
  <c r="DL40" i="6" s="1"/>
  <c r="DM40" i="6" s="1"/>
  <c r="DN40" i="6" s="1"/>
  <c r="DO40" i="6" s="1"/>
  <c r="DP40" i="6" s="1"/>
  <c r="N240" i="4"/>
  <c r="BU249" i="4"/>
  <c r="N249" i="4" l="1"/>
  <c r="BU250" i="4"/>
  <c r="BU301" i="4"/>
  <c r="BU305" i="4" l="1"/>
  <c r="N301" i="4"/>
  <c r="N250" i="4"/>
  <c r="BU251" i="4"/>
  <c r="BU67" i="4" s="1"/>
  <c r="N251" i="4"/>
  <c r="L200" i="2" s="1"/>
  <c r="BU48" i="5"/>
  <c r="BU350" i="4" l="1"/>
  <c r="N48" i="5"/>
  <c r="BU39" i="6"/>
  <c r="BU52" i="5"/>
  <c r="BU55" i="5"/>
  <c r="BU50" i="5"/>
  <c r="N305" i="4"/>
  <c r="BU306" i="4"/>
  <c r="BU93" i="6"/>
  <c r="N93" i="6" s="1"/>
  <c r="BV23" i="5" l="1"/>
  <c r="BV46" i="5" s="1"/>
  <c r="BU327" i="4"/>
  <c r="BU44" i="6"/>
  <c r="BU80" i="6"/>
  <c r="BU156" i="4"/>
  <c r="N156" i="4" s="1"/>
  <c r="BU95" i="6"/>
  <c r="BU98" i="6" s="1"/>
  <c r="BU56" i="6"/>
  <c r="N308" i="4"/>
  <c r="L198" i="2" s="1"/>
  <c r="BV39" i="6"/>
  <c r="BU353" i="4"/>
  <c r="N353" i="4" s="1"/>
  <c r="N350" i="4"/>
  <c r="N50" i="5"/>
  <c r="BU43" i="6"/>
  <c r="BV43" i="6" s="1"/>
  <c r="BW43" i="6" s="1"/>
  <c r="BX43" i="6" s="1"/>
  <c r="BY43" i="6" s="1"/>
  <c r="BZ43" i="6" s="1"/>
  <c r="CA43" i="6" s="1"/>
  <c r="CB43" i="6" s="1"/>
  <c r="CC43" i="6" s="1"/>
  <c r="CD43" i="6" s="1"/>
  <c r="CE43" i="6" s="1"/>
  <c r="CF43" i="6" s="1"/>
  <c r="CG43" i="6" s="1"/>
  <c r="CH43" i="6" s="1"/>
  <c r="CI43" i="6" s="1"/>
  <c r="CJ43" i="6" s="1"/>
  <c r="CK43" i="6" s="1"/>
  <c r="CL43" i="6" s="1"/>
  <c r="CM43" i="6" s="1"/>
  <c r="CN43" i="6" s="1"/>
  <c r="CO43" i="6" s="1"/>
  <c r="CP43" i="6" s="1"/>
  <c r="CQ43" i="6" s="1"/>
  <c r="CR43" i="6" s="1"/>
  <c r="CS43" i="6" s="1"/>
  <c r="CT43" i="6" s="1"/>
  <c r="CU43" i="6" s="1"/>
  <c r="CV43" i="6" s="1"/>
  <c r="CW43" i="6" s="1"/>
  <c r="CX43" i="6" s="1"/>
  <c r="CY43" i="6" s="1"/>
  <c r="CZ43" i="6" s="1"/>
  <c r="DA43" i="6" s="1"/>
  <c r="DB43" i="6" s="1"/>
  <c r="DC43" i="6" s="1"/>
  <c r="DD43" i="6" s="1"/>
  <c r="DE43" i="6" s="1"/>
  <c r="DF43" i="6" s="1"/>
  <c r="DG43" i="6" s="1"/>
  <c r="DH43" i="6" s="1"/>
  <c r="DI43" i="6" s="1"/>
  <c r="DJ43" i="6" s="1"/>
  <c r="DK43" i="6" s="1"/>
  <c r="DL43" i="6" s="1"/>
  <c r="DM43" i="6" s="1"/>
  <c r="DN43" i="6" s="1"/>
  <c r="DO43" i="6" s="1"/>
  <c r="DP43" i="6" s="1"/>
  <c r="N306" i="4"/>
  <c r="BU79" i="6"/>
  <c r="BU307" i="4"/>
  <c r="BU69" i="4" s="1"/>
  <c r="BU72" i="4" s="1"/>
  <c r="BU54" i="6" l="1"/>
  <c r="BU65" i="6" s="1"/>
  <c r="BW39" i="6"/>
  <c r="BU330" i="4"/>
  <c r="N330" i="4" s="1"/>
  <c r="BU329" i="4"/>
  <c r="BU82" i="6"/>
  <c r="BU101" i="6" s="1"/>
  <c r="N79" i="6"/>
  <c r="BU38" i="6"/>
  <c r="BU50" i="6" s="1"/>
  <c r="BV52" i="5"/>
  <c r="BV95" i="6" s="1"/>
  <c r="BV98" i="6" s="1"/>
  <c r="BV55" i="5"/>
  <c r="BU338" i="4" l="1"/>
  <c r="N329" i="4"/>
  <c r="BX39" i="6"/>
  <c r="BU67" i="6"/>
  <c r="BW23" i="5"/>
  <c r="BW46" i="5" s="1"/>
  <c r="BV80" i="6"/>
  <c r="BV82" i="6" s="1"/>
  <c r="BV101" i="6" s="1"/>
  <c r="BV44" i="6"/>
  <c r="BV38" i="6" s="1"/>
  <c r="BV50" i="6" s="1"/>
  <c r="BV56" i="6"/>
  <c r="BY39" i="6" l="1"/>
  <c r="BW56" i="6"/>
  <c r="BV54" i="6"/>
  <c r="BV65" i="6" s="1"/>
  <c r="BV67" i="6" s="1"/>
  <c r="BW52" i="5"/>
  <c r="BW95" i="6" s="1"/>
  <c r="BW98" i="6" s="1"/>
  <c r="BW55" i="5"/>
  <c r="BU340" i="4"/>
  <c r="N338" i="4"/>
  <c r="BW44" i="6" l="1"/>
  <c r="BW38" i="6" s="1"/>
  <c r="BW50" i="6" s="1"/>
  <c r="BX23" i="5"/>
  <c r="BX46" i="5" s="1"/>
  <c r="BW80" i="6"/>
  <c r="BW82" i="6" s="1"/>
  <c r="BW101" i="6" s="1"/>
  <c r="BU24" i="9"/>
  <c r="N24" i="9" s="1"/>
  <c r="M24" i="9" s="1"/>
  <c r="BU74" i="4"/>
  <c r="N340" i="4"/>
  <c r="BW54" i="6"/>
  <c r="BW65" i="6" s="1"/>
  <c r="BW67" i="6" s="1"/>
  <c r="N67" i="6" s="1"/>
  <c r="L192" i="2" s="1"/>
  <c r="BZ39" i="6"/>
  <c r="M33" i="9" l="1"/>
  <c r="M21" i="9"/>
  <c r="L204" i="2" s="1"/>
  <c r="CA39" i="6"/>
  <c r="BX52" i="5"/>
  <c r="BX55" i="5"/>
  <c r="BX44" i="6" l="1"/>
  <c r="BX38" i="6" s="1"/>
  <c r="BX50" i="6" s="1"/>
  <c r="BX80" i="6"/>
  <c r="BX82" i="6" s="1"/>
  <c r="BY23" i="5"/>
  <c r="BY46" i="5" s="1"/>
  <c r="BX95" i="6"/>
  <c r="BX98" i="6" s="1"/>
  <c r="BX101" i="6" s="1"/>
  <c r="BX56" i="6"/>
  <c r="CB39" i="6"/>
  <c r="CC39" i="6" l="1"/>
  <c r="BX54" i="6"/>
  <c r="BX65" i="6" s="1"/>
  <c r="BX67" i="6" s="1"/>
  <c r="BY52" i="5"/>
  <c r="BY95" i="6" s="1"/>
  <c r="BY98" i="6" s="1"/>
  <c r="BY55" i="5"/>
  <c r="BY80" i="6" l="1"/>
  <c r="BY82" i="6" s="1"/>
  <c r="BY44" i="6"/>
  <c r="BY38" i="6" s="1"/>
  <c r="BY50" i="6" s="1"/>
  <c r="BZ23" i="5"/>
  <c r="BZ46" i="5" s="1"/>
  <c r="BY101" i="6"/>
  <c r="BY56" i="6"/>
  <c r="CD39" i="6"/>
  <c r="CE39" i="6" l="1"/>
  <c r="BY54" i="6"/>
  <c r="BY65" i="6" s="1"/>
  <c r="BY67" i="6" s="1"/>
  <c r="BZ52" i="5"/>
  <c r="BZ95" i="6" s="1"/>
  <c r="BZ98" i="6" s="1"/>
  <c r="BZ55" i="5"/>
  <c r="BZ80" i="6" l="1"/>
  <c r="BZ82" i="6" s="1"/>
  <c r="CA23" i="5"/>
  <c r="CA46" i="5" s="1"/>
  <c r="BZ44" i="6"/>
  <c r="BZ38" i="6" s="1"/>
  <c r="BZ50" i="6" s="1"/>
  <c r="BZ56" i="6"/>
  <c r="BZ101" i="6"/>
  <c r="CF39" i="6"/>
  <c r="BZ54" i="6" l="1"/>
  <c r="BZ65" i="6" s="1"/>
  <c r="BZ67" i="6" s="1"/>
  <c r="CG39" i="6"/>
  <c r="CA52" i="5"/>
  <c r="CA95" i="6" s="1"/>
  <c r="CA98" i="6" s="1"/>
  <c r="CA55" i="5"/>
  <c r="CH39" i="6" l="1"/>
  <c r="CB23" i="5"/>
  <c r="CB46" i="5" s="1"/>
  <c r="CA44" i="6"/>
  <c r="CA38" i="6" s="1"/>
  <c r="CA50" i="6" s="1"/>
  <c r="CA80" i="6"/>
  <c r="CA82" i="6" s="1"/>
  <c r="CA101" i="6" s="1"/>
  <c r="CA56" i="6"/>
  <c r="CA54" i="6" l="1"/>
  <c r="CA65" i="6" s="1"/>
  <c r="CA67" i="6" s="1"/>
  <c r="CB52" i="5"/>
  <c r="CB95" i="6" s="1"/>
  <c r="CB98" i="6" s="1"/>
  <c r="CB55" i="5"/>
  <c r="CI39" i="6"/>
  <c r="CJ39" i="6" l="1"/>
  <c r="CB80" i="6"/>
  <c r="CB82" i="6" s="1"/>
  <c r="CB44" i="6"/>
  <c r="CB38" i="6" s="1"/>
  <c r="CB50" i="6" s="1"/>
  <c r="CC23" i="5"/>
  <c r="CC46" i="5" s="1"/>
  <c r="CB101" i="6"/>
  <c r="CB56" i="6"/>
  <c r="CB54" i="6" l="1"/>
  <c r="CB65" i="6" s="1"/>
  <c r="CB67" i="6" s="1"/>
  <c r="CC52" i="5"/>
  <c r="CC95" i="6" s="1"/>
  <c r="CC98" i="6" s="1"/>
  <c r="CC55" i="5"/>
  <c r="CK39" i="6"/>
  <c r="CD23" i="5" l="1"/>
  <c r="CD46" i="5" s="1"/>
  <c r="CC44" i="6"/>
  <c r="CC38" i="6" s="1"/>
  <c r="CC50" i="6" s="1"/>
  <c r="CC80" i="6"/>
  <c r="CC82" i="6" s="1"/>
  <c r="CL39" i="6"/>
  <c r="CC101" i="6"/>
  <c r="CC56" i="6"/>
  <c r="CC54" i="6" l="1"/>
  <c r="CC65" i="6" s="1"/>
  <c r="CC67" i="6" s="1"/>
  <c r="CM39" i="6"/>
  <c r="CD52" i="5"/>
  <c r="CD95" i="6" s="1"/>
  <c r="CD98" i="6" s="1"/>
  <c r="CD55" i="5"/>
  <c r="CD80" i="6" l="1"/>
  <c r="CD82" i="6" s="1"/>
  <c r="CD101" i="6" s="1"/>
  <c r="CE23" i="5"/>
  <c r="CE46" i="5" s="1"/>
  <c r="CD44" i="6"/>
  <c r="CD38" i="6" s="1"/>
  <c r="CD50" i="6" s="1"/>
  <c r="CN39" i="6"/>
  <c r="CD56" i="6"/>
  <c r="CD54" i="6" l="1"/>
  <c r="CD65" i="6" s="1"/>
  <c r="CD67" i="6" s="1"/>
  <c r="CO39" i="6"/>
  <c r="CE52" i="5"/>
  <c r="CE95" i="6" s="1"/>
  <c r="CE98" i="6" s="1"/>
  <c r="CE55" i="5"/>
  <c r="CF23" i="5" l="1"/>
  <c r="CF46" i="5" s="1"/>
  <c r="CE80" i="6"/>
  <c r="CE82" i="6" s="1"/>
  <c r="CE101" i="6" s="1"/>
  <c r="CE44" i="6"/>
  <c r="CE38" i="6" s="1"/>
  <c r="CE50" i="6" s="1"/>
  <c r="CP39" i="6"/>
  <c r="CE56" i="6"/>
  <c r="CE54" i="6" l="1"/>
  <c r="CE65" i="6" s="1"/>
  <c r="CE67" i="6" s="1"/>
  <c r="CQ39" i="6"/>
  <c r="CF52" i="5"/>
  <c r="CF95" i="6" s="1"/>
  <c r="CF98" i="6" s="1"/>
  <c r="CF55" i="5"/>
  <c r="CF80" i="6" l="1"/>
  <c r="CF82" i="6" s="1"/>
  <c r="CG23" i="5"/>
  <c r="CG46" i="5" s="1"/>
  <c r="CF44" i="6"/>
  <c r="CF38" i="6" s="1"/>
  <c r="CF50" i="6" s="1"/>
  <c r="CR39" i="6"/>
  <c r="CF101" i="6"/>
  <c r="CF56" i="6"/>
  <c r="CF54" i="6" l="1"/>
  <c r="CF65" i="6" s="1"/>
  <c r="CF67" i="6" s="1"/>
  <c r="CS39" i="6"/>
  <c r="CG52" i="5"/>
  <c r="CG95" i="6" s="1"/>
  <c r="CG98" i="6" s="1"/>
  <c r="CG55" i="5"/>
  <c r="CT39" i="6" l="1"/>
  <c r="CG80" i="6"/>
  <c r="CG82" i="6" s="1"/>
  <c r="CG101" i="6" s="1"/>
  <c r="CG44" i="6"/>
  <c r="CG38" i="6" s="1"/>
  <c r="CG50" i="6" s="1"/>
  <c r="CH23" i="5"/>
  <c r="CH46" i="5" s="1"/>
  <c r="CG56" i="6"/>
  <c r="CG54" i="6" l="1"/>
  <c r="CG65" i="6" s="1"/>
  <c r="CG67" i="6" s="1"/>
  <c r="CH52" i="5"/>
  <c r="CH95" i="6" s="1"/>
  <c r="CH98" i="6" s="1"/>
  <c r="CH55" i="5"/>
  <c r="CU39" i="6"/>
  <c r="CH80" i="6" l="1"/>
  <c r="CH82" i="6" s="1"/>
  <c r="CI23" i="5"/>
  <c r="CI46" i="5" s="1"/>
  <c r="CH44" i="6"/>
  <c r="CH38" i="6" s="1"/>
  <c r="CH50" i="6" s="1"/>
  <c r="CH101" i="6"/>
  <c r="CV39" i="6"/>
  <c r="CH56" i="6"/>
  <c r="CH54" i="6" l="1"/>
  <c r="CH65" i="6" s="1"/>
  <c r="CH67" i="6" s="1"/>
  <c r="CW39" i="6"/>
  <c r="CI52" i="5"/>
  <c r="CI95" i="6" s="1"/>
  <c r="CI98" i="6" s="1"/>
  <c r="CI55" i="5"/>
  <c r="CJ23" i="5" l="1"/>
  <c r="CJ46" i="5" s="1"/>
  <c r="CI44" i="6"/>
  <c r="CI38" i="6" s="1"/>
  <c r="CI50" i="6" s="1"/>
  <c r="CI80" i="6"/>
  <c r="CI82" i="6" s="1"/>
  <c r="CX39" i="6"/>
  <c r="CI101" i="6"/>
  <c r="CI56" i="6"/>
  <c r="CI54" i="6" l="1"/>
  <c r="CI65" i="6" s="1"/>
  <c r="CI67" i="6" s="1"/>
  <c r="CY39" i="6"/>
  <c r="CJ52" i="5"/>
  <c r="CJ95" i="6" s="1"/>
  <c r="CJ98" i="6" s="1"/>
  <c r="CJ55" i="5"/>
  <c r="CZ39" i="6" l="1"/>
  <c r="CK23" i="5"/>
  <c r="CK46" i="5" s="1"/>
  <c r="CJ80" i="6"/>
  <c r="CJ82" i="6" s="1"/>
  <c r="CJ101" i="6" s="1"/>
  <c r="CJ44" i="6"/>
  <c r="CJ38" i="6" s="1"/>
  <c r="CJ50" i="6" s="1"/>
  <c r="CJ56" i="6"/>
  <c r="CJ54" i="6" l="1"/>
  <c r="CJ65" i="6" s="1"/>
  <c r="CJ67" i="6" s="1"/>
  <c r="CK52" i="5"/>
  <c r="CK95" i="6" s="1"/>
  <c r="CK98" i="6" s="1"/>
  <c r="CK55" i="5"/>
  <c r="DA39" i="6"/>
  <c r="CL23" i="5" l="1"/>
  <c r="CL46" i="5" s="1"/>
  <c r="CK80" i="6"/>
  <c r="CK82" i="6" s="1"/>
  <c r="CK44" i="6"/>
  <c r="CK38" i="6" s="1"/>
  <c r="CK50" i="6" s="1"/>
  <c r="CK101" i="6"/>
  <c r="DB39" i="6"/>
  <c r="CK56" i="6"/>
  <c r="CK54" i="6" l="1"/>
  <c r="CK65" i="6" s="1"/>
  <c r="CK67" i="6" s="1"/>
  <c r="DC39" i="6"/>
  <c r="CL52" i="5"/>
  <c r="CL95" i="6" s="1"/>
  <c r="CL98" i="6" s="1"/>
  <c r="CL55" i="5"/>
  <c r="CL44" i="6" l="1"/>
  <c r="CL38" i="6" s="1"/>
  <c r="CL50" i="6" s="1"/>
  <c r="CL80" i="6"/>
  <c r="CL82" i="6" s="1"/>
  <c r="CM23" i="5"/>
  <c r="CM46" i="5" s="1"/>
  <c r="CL101" i="6"/>
  <c r="DD39" i="6"/>
  <c r="CL56" i="6"/>
  <c r="CL54" i="6" l="1"/>
  <c r="CL65" i="6" s="1"/>
  <c r="CL67" i="6" s="1"/>
  <c r="CM52" i="5"/>
  <c r="CM95" i="6" s="1"/>
  <c r="CM98" i="6" s="1"/>
  <c r="CM55" i="5"/>
  <c r="DE39" i="6"/>
  <c r="DF39" i="6" l="1"/>
  <c r="CM80" i="6"/>
  <c r="CM82" i="6" s="1"/>
  <c r="CM44" i="6"/>
  <c r="CM38" i="6" s="1"/>
  <c r="CM50" i="6" s="1"/>
  <c r="CN23" i="5"/>
  <c r="CN46" i="5" s="1"/>
  <c r="CM101" i="6"/>
  <c r="CM56" i="6"/>
  <c r="CM54" i="6" l="1"/>
  <c r="CM65" i="6" s="1"/>
  <c r="CM67" i="6" s="1"/>
  <c r="CN52" i="5"/>
  <c r="CN95" i="6" s="1"/>
  <c r="CN98" i="6" s="1"/>
  <c r="CN55" i="5"/>
  <c r="DG39" i="6"/>
  <c r="DH39" i="6" l="1"/>
  <c r="CO23" i="5"/>
  <c r="CO46" i="5" s="1"/>
  <c r="CN80" i="6"/>
  <c r="CN82" i="6" s="1"/>
  <c r="CN44" i="6"/>
  <c r="CN38" i="6" s="1"/>
  <c r="CN50" i="6" s="1"/>
  <c r="CN101" i="6"/>
  <c r="CN56" i="6"/>
  <c r="CN54" i="6" l="1"/>
  <c r="CN65" i="6" s="1"/>
  <c r="CN67" i="6" s="1"/>
  <c r="CO52" i="5"/>
  <c r="CO95" i="6" s="1"/>
  <c r="CO98" i="6" s="1"/>
  <c r="CO55" i="5"/>
  <c r="DI39" i="6"/>
  <c r="DJ39" i="6" l="1"/>
  <c r="CO80" i="6"/>
  <c r="CO82" i="6" s="1"/>
  <c r="CO44" i="6"/>
  <c r="CO38" i="6" s="1"/>
  <c r="CO50" i="6" s="1"/>
  <c r="CP23" i="5"/>
  <c r="CP46" i="5" s="1"/>
  <c r="CO101" i="6"/>
  <c r="CO56" i="6"/>
  <c r="CP52" i="5" l="1"/>
  <c r="CP95" i="6" s="1"/>
  <c r="CP98" i="6" s="1"/>
  <c r="CP55" i="5"/>
  <c r="CP56" i="6"/>
  <c r="CO54" i="6"/>
  <c r="CO65" i="6" s="1"/>
  <c r="CO67" i="6" s="1"/>
  <c r="DK39" i="6"/>
  <c r="DL39" i="6" l="1"/>
  <c r="CP54" i="6"/>
  <c r="CP65" i="6" s="1"/>
  <c r="CQ23" i="5"/>
  <c r="CQ46" i="5" s="1"/>
  <c r="CP80" i="6"/>
  <c r="CP82" i="6" s="1"/>
  <c r="CP44" i="6"/>
  <c r="CP38" i="6" s="1"/>
  <c r="CP50" i="6" s="1"/>
  <c r="CP101" i="6"/>
  <c r="CQ52" i="5" l="1"/>
  <c r="CQ55" i="5"/>
  <c r="CP67" i="6"/>
  <c r="DM39" i="6"/>
  <c r="DN39" i="6" l="1"/>
  <c r="CQ44" i="6"/>
  <c r="CQ38" i="6" s="1"/>
  <c r="CQ50" i="6" s="1"/>
  <c r="CR23" i="5"/>
  <c r="CR46" i="5" s="1"/>
  <c r="CQ80" i="6"/>
  <c r="CQ82" i="6" s="1"/>
  <c r="CQ95" i="6"/>
  <c r="CQ98" i="6" s="1"/>
  <c r="CQ101" i="6" s="1"/>
  <c r="CQ56" i="6"/>
  <c r="CQ54" i="6" l="1"/>
  <c r="CQ65" i="6" s="1"/>
  <c r="CQ67" i="6" s="1"/>
  <c r="CR52" i="5"/>
  <c r="CR95" i="6" s="1"/>
  <c r="CR98" i="6" s="1"/>
  <c r="CR55" i="5"/>
  <c r="DO39" i="6"/>
  <c r="DP39" i="6" l="1"/>
  <c r="CS23" i="5"/>
  <c r="CS46" i="5" s="1"/>
  <c r="CR44" i="6"/>
  <c r="CR38" i="6" s="1"/>
  <c r="CR50" i="6" s="1"/>
  <c r="CR80" i="6"/>
  <c r="CR82" i="6" s="1"/>
  <c r="CR101" i="6"/>
  <c r="CR56" i="6"/>
  <c r="CR54" i="6" l="1"/>
  <c r="CR65" i="6" s="1"/>
  <c r="CR67" i="6" s="1"/>
  <c r="CS52" i="5"/>
  <c r="CS95" i="6" s="1"/>
  <c r="CS98" i="6" s="1"/>
  <c r="CS55" i="5"/>
  <c r="CT23" i="5" l="1"/>
  <c r="CT46" i="5" s="1"/>
  <c r="CS80" i="6"/>
  <c r="CS82" i="6" s="1"/>
  <c r="CS44" i="6"/>
  <c r="CS38" i="6" s="1"/>
  <c r="CS50" i="6" s="1"/>
  <c r="CS101" i="6"/>
  <c r="CS56" i="6"/>
  <c r="CS54" i="6" l="1"/>
  <c r="CS65" i="6" s="1"/>
  <c r="CS67" i="6" s="1"/>
  <c r="CT52" i="5"/>
  <c r="CT95" i="6" s="1"/>
  <c r="CT98" i="6" s="1"/>
  <c r="CT55" i="5"/>
  <c r="CT80" i="6" l="1"/>
  <c r="CT82" i="6" s="1"/>
  <c r="CT44" i="6"/>
  <c r="CT38" i="6" s="1"/>
  <c r="CT50" i="6" s="1"/>
  <c r="CU23" i="5"/>
  <c r="CU46" i="5" s="1"/>
  <c r="CT101" i="6"/>
  <c r="CT56" i="6"/>
  <c r="CT54" i="6" l="1"/>
  <c r="CT65" i="6" s="1"/>
  <c r="CT67" i="6" s="1"/>
  <c r="CU52" i="5"/>
  <c r="CU95" i="6" s="1"/>
  <c r="CU98" i="6" s="1"/>
  <c r="CU55" i="5"/>
  <c r="CU44" i="6" l="1"/>
  <c r="CU38" i="6" s="1"/>
  <c r="CU50" i="6" s="1"/>
  <c r="CV23" i="5"/>
  <c r="CV46" i="5" s="1"/>
  <c r="CU80" i="6"/>
  <c r="CU82" i="6" s="1"/>
  <c r="CU101" i="6" s="1"/>
  <c r="CU56" i="6"/>
  <c r="CU54" i="6" l="1"/>
  <c r="CU65" i="6" s="1"/>
  <c r="CU67" i="6" s="1"/>
  <c r="CV52" i="5"/>
  <c r="CV95" i="6" s="1"/>
  <c r="CV98" i="6" s="1"/>
  <c r="CV55" i="5"/>
  <c r="CV80" i="6" l="1"/>
  <c r="CV82" i="6" s="1"/>
  <c r="CV44" i="6"/>
  <c r="CV38" i="6" s="1"/>
  <c r="CV50" i="6" s="1"/>
  <c r="CW23" i="5"/>
  <c r="CW46" i="5" s="1"/>
  <c r="CV101" i="6"/>
  <c r="CV56" i="6"/>
  <c r="CV54" i="6" l="1"/>
  <c r="CV65" i="6" s="1"/>
  <c r="CV67" i="6" s="1"/>
  <c r="CW52" i="5"/>
  <c r="CW95" i="6" s="1"/>
  <c r="CW98" i="6" s="1"/>
  <c r="CW55" i="5"/>
  <c r="CX23" i="5" l="1"/>
  <c r="CX46" i="5" s="1"/>
  <c r="CW80" i="6"/>
  <c r="CW82" i="6" s="1"/>
  <c r="CW44" i="6"/>
  <c r="CW38" i="6" s="1"/>
  <c r="CW50" i="6" s="1"/>
  <c r="CW101" i="6"/>
  <c r="CW56" i="6"/>
  <c r="CW54" i="6" l="1"/>
  <c r="CW65" i="6" s="1"/>
  <c r="CW67" i="6" s="1"/>
  <c r="CX52" i="5"/>
  <c r="CX95" i="6" s="1"/>
  <c r="CX98" i="6" s="1"/>
  <c r="CX55" i="5"/>
  <c r="CY23" i="5" l="1"/>
  <c r="CY46" i="5" s="1"/>
  <c r="CX80" i="6"/>
  <c r="CX82" i="6" s="1"/>
  <c r="CX44" i="6"/>
  <c r="CX38" i="6" s="1"/>
  <c r="CX50" i="6" s="1"/>
  <c r="CX101" i="6"/>
  <c r="CX56" i="6"/>
  <c r="CX54" i="6" l="1"/>
  <c r="CX65" i="6" s="1"/>
  <c r="CX67" i="6" s="1"/>
  <c r="CY52" i="5"/>
  <c r="CY95" i="6" s="1"/>
  <c r="CY98" i="6" s="1"/>
  <c r="CY55" i="5"/>
  <c r="CY80" i="6" l="1"/>
  <c r="CY82" i="6" s="1"/>
  <c r="CY44" i="6"/>
  <c r="CY38" i="6" s="1"/>
  <c r="CY50" i="6" s="1"/>
  <c r="CZ23" i="5"/>
  <c r="CZ46" i="5" s="1"/>
  <c r="CY101" i="6"/>
  <c r="CY56" i="6"/>
  <c r="CY54" i="6" l="1"/>
  <c r="CY65" i="6" s="1"/>
  <c r="CY67" i="6" s="1"/>
  <c r="CZ52" i="5"/>
  <c r="CZ95" i="6" s="1"/>
  <c r="CZ98" i="6" s="1"/>
  <c r="CZ55" i="5"/>
  <c r="CZ44" i="6" l="1"/>
  <c r="CZ38" i="6" s="1"/>
  <c r="CZ50" i="6" s="1"/>
  <c r="CZ80" i="6"/>
  <c r="CZ82" i="6" s="1"/>
  <c r="DA23" i="5"/>
  <c r="DA46" i="5" s="1"/>
  <c r="CZ101" i="6"/>
  <c r="CZ56" i="6"/>
  <c r="DA52" i="5" l="1"/>
  <c r="DA95" i="6" s="1"/>
  <c r="DA98" i="6" s="1"/>
  <c r="DA55" i="5"/>
  <c r="DA56" i="6"/>
  <c r="CZ54" i="6"/>
  <c r="CZ65" i="6" s="1"/>
  <c r="CZ67" i="6" s="1"/>
  <c r="DA54" i="6" l="1"/>
  <c r="DA65" i="6" s="1"/>
  <c r="DA80" i="6"/>
  <c r="DA82" i="6" s="1"/>
  <c r="DA44" i="6"/>
  <c r="DA38" i="6" s="1"/>
  <c r="DA50" i="6" s="1"/>
  <c r="DB23" i="5"/>
  <c r="DB46" i="5" s="1"/>
  <c r="DA101" i="6"/>
  <c r="DB52" i="5" l="1"/>
  <c r="DB55" i="5"/>
  <c r="DA67" i="6"/>
  <c r="DB80" i="6" l="1"/>
  <c r="DB82" i="6" s="1"/>
  <c r="DB44" i="6"/>
  <c r="DB38" i="6" s="1"/>
  <c r="DB50" i="6" s="1"/>
  <c r="DC23" i="5"/>
  <c r="DC46" i="5" s="1"/>
  <c r="DB95" i="6"/>
  <c r="DB98" i="6" s="1"/>
  <c r="DB101" i="6" s="1"/>
  <c r="DB56" i="6"/>
  <c r="DB54" i="6" l="1"/>
  <c r="DB65" i="6" s="1"/>
  <c r="DB67" i="6" s="1"/>
  <c r="DC52" i="5"/>
  <c r="DC95" i="6" s="1"/>
  <c r="DC98" i="6" s="1"/>
  <c r="DC55" i="5"/>
  <c r="DC80" i="6" l="1"/>
  <c r="DC82" i="6" s="1"/>
  <c r="DC44" i="6"/>
  <c r="DC38" i="6" s="1"/>
  <c r="DC50" i="6" s="1"/>
  <c r="DD23" i="5"/>
  <c r="DD46" i="5" s="1"/>
  <c r="DC101" i="6"/>
  <c r="DC56" i="6"/>
  <c r="DC54" i="6" l="1"/>
  <c r="DC65" i="6" s="1"/>
  <c r="DC67" i="6" s="1"/>
  <c r="DD52" i="5"/>
  <c r="DD95" i="6" s="1"/>
  <c r="DD98" i="6" s="1"/>
  <c r="DD55" i="5"/>
  <c r="DE23" i="5" l="1"/>
  <c r="DE46" i="5" s="1"/>
  <c r="DD44" i="6"/>
  <c r="DD38" i="6" s="1"/>
  <c r="DD50" i="6" s="1"/>
  <c r="DD80" i="6"/>
  <c r="DD82" i="6" s="1"/>
  <c r="DD101" i="6" s="1"/>
  <c r="DD56" i="6"/>
  <c r="DD54" i="6" l="1"/>
  <c r="DD65" i="6" s="1"/>
  <c r="DD67" i="6" s="1"/>
  <c r="DE52" i="5"/>
  <c r="DE95" i="6" s="1"/>
  <c r="DE98" i="6" s="1"/>
  <c r="DE55" i="5"/>
  <c r="DE80" i="6" l="1"/>
  <c r="DE82" i="6" s="1"/>
  <c r="DE44" i="6"/>
  <c r="DE38" i="6" s="1"/>
  <c r="DE50" i="6" s="1"/>
  <c r="DF23" i="5"/>
  <c r="DF46" i="5" s="1"/>
  <c r="DE101" i="6"/>
  <c r="DE56" i="6"/>
  <c r="DF52" i="5" l="1"/>
  <c r="DF95" i="6" s="1"/>
  <c r="DF98" i="6" s="1"/>
  <c r="DF55" i="5"/>
  <c r="DF56" i="6"/>
  <c r="DE54" i="6"/>
  <c r="DE65" i="6" s="1"/>
  <c r="DE67" i="6" s="1"/>
  <c r="DF54" i="6" l="1"/>
  <c r="DF65" i="6" s="1"/>
  <c r="DG23" i="5"/>
  <c r="DG46" i="5" s="1"/>
  <c r="DF44" i="6"/>
  <c r="DF38" i="6" s="1"/>
  <c r="DF50" i="6" s="1"/>
  <c r="DF80" i="6"/>
  <c r="DF82" i="6" s="1"/>
  <c r="DF101" i="6" s="1"/>
  <c r="DG52" i="5" l="1"/>
  <c r="DG55" i="5"/>
  <c r="DF67" i="6"/>
  <c r="DG80" i="6" l="1"/>
  <c r="DG82" i="6" s="1"/>
  <c r="DH23" i="5"/>
  <c r="DH46" i="5" s="1"/>
  <c r="DG44" i="6"/>
  <c r="DG38" i="6" s="1"/>
  <c r="DG50" i="6" s="1"/>
  <c r="DG95" i="6"/>
  <c r="DG98" i="6" s="1"/>
  <c r="DG101" i="6" s="1"/>
  <c r="DG56" i="6"/>
  <c r="DG54" i="6" l="1"/>
  <c r="DG65" i="6" s="1"/>
  <c r="DG67" i="6" s="1"/>
  <c r="DH52" i="5"/>
  <c r="DH95" i="6" s="1"/>
  <c r="DH98" i="6" s="1"/>
  <c r="DH55" i="5"/>
  <c r="DH80" i="6" l="1"/>
  <c r="DH82" i="6" s="1"/>
  <c r="DH101" i="6" s="1"/>
  <c r="DH44" i="6"/>
  <c r="DH38" i="6" s="1"/>
  <c r="DH50" i="6" s="1"/>
  <c r="DI23" i="5"/>
  <c r="DI46" i="5" s="1"/>
  <c r="DH56" i="6"/>
  <c r="DH54" i="6" l="1"/>
  <c r="DH65" i="6" s="1"/>
  <c r="DH67" i="6" s="1"/>
  <c r="DI52" i="5"/>
  <c r="DI95" i="6" s="1"/>
  <c r="DI98" i="6" s="1"/>
  <c r="DI55" i="5"/>
  <c r="DI80" i="6" l="1"/>
  <c r="DI82" i="6" s="1"/>
  <c r="DI44" i="6"/>
  <c r="DI38" i="6" s="1"/>
  <c r="DI50" i="6" s="1"/>
  <c r="DJ23" i="5"/>
  <c r="DJ46" i="5" s="1"/>
  <c r="DI101" i="6"/>
  <c r="DI56" i="6"/>
  <c r="DI54" i="6" l="1"/>
  <c r="DI65" i="6" s="1"/>
  <c r="DI67" i="6" s="1"/>
  <c r="DJ52" i="5"/>
  <c r="DJ95" i="6" s="1"/>
  <c r="DJ98" i="6" s="1"/>
  <c r="DJ55" i="5"/>
  <c r="DK23" i="5" l="1"/>
  <c r="DK46" i="5" s="1"/>
  <c r="DJ44" i="6"/>
  <c r="DJ38" i="6" s="1"/>
  <c r="DJ50" i="6" s="1"/>
  <c r="DJ80" i="6"/>
  <c r="DJ82" i="6" s="1"/>
  <c r="DJ101" i="6"/>
  <c r="DJ56" i="6"/>
  <c r="DJ54" i="6" l="1"/>
  <c r="DJ65" i="6" s="1"/>
  <c r="DJ67" i="6" s="1"/>
  <c r="DK52" i="5"/>
  <c r="DK95" i="6" s="1"/>
  <c r="DK98" i="6" s="1"/>
  <c r="DK55" i="5"/>
  <c r="DK44" i="6" l="1"/>
  <c r="DK38" i="6" s="1"/>
  <c r="DK50" i="6" s="1"/>
  <c r="DL23" i="5"/>
  <c r="DL46" i="5" s="1"/>
  <c r="DK80" i="6"/>
  <c r="DK82" i="6" s="1"/>
  <c r="DK101" i="6"/>
  <c r="DK56" i="6"/>
  <c r="DK54" i="6" l="1"/>
  <c r="DK65" i="6" s="1"/>
  <c r="DK67" i="6" s="1"/>
  <c r="DL52" i="5"/>
  <c r="DL95" i="6" s="1"/>
  <c r="DL98" i="6" s="1"/>
  <c r="DL55" i="5"/>
  <c r="DL80" i="6" l="1"/>
  <c r="DL82" i="6" s="1"/>
  <c r="DL44" i="6"/>
  <c r="DL38" i="6" s="1"/>
  <c r="DL50" i="6" s="1"/>
  <c r="DM23" i="5"/>
  <c r="DM46" i="5" s="1"/>
  <c r="DL101" i="6"/>
  <c r="DL56" i="6"/>
  <c r="DL54" i="6" l="1"/>
  <c r="DL65" i="6" s="1"/>
  <c r="DL67" i="6" s="1"/>
  <c r="DM52" i="5"/>
  <c r="DM95" i="6" s="1"/>
  <c r="DM98" i="6" s="1"/>
  <c r="DM55" i="5"/>
  <c r="DN23" i="5" l="1"/>
  <c r="DN46" i="5" s="1"/>
  <c r="DM44" i="6"/>
  <c r="DM38" i="6" s="1"/>
  <c r="DM50" i="6" s="1"/>
  <c r="DM80" i="6"/>
  <c r="DM82" i="6" s="1"/>
  <c r="DM101" i="6"/>
  <c r="DM56" i="6"/>
  <c r="DM54" i="6" l="1"/>
  <c r="DM65" i="6" s="1"/>
  <c r="DM67" i="6" s="1"/>
  <c r="DN52" i="5"/>
  <c r="DN95" i="6" s="1"/>
  <c r="DN98" i="6" s="1"/>
  <c r="DN55" i="5"/>
  <c r="DN80" i="6" l="1"/>
  <c r="DN82" i="6" s="1"/>
  <c r="DN44" i="6"/>
  <c r="DN38" i="6" s="1"/>
  <c r="DN50" i="6" s="1"/>
  <c r="DO23" i="5"/>
  <c r="DO46" i="5" s="1"/>
  <c r="DN101" i="6"/>
  <c r="DN56" i="6"/>
  <c r="DN54" i="6" l="1"/>
  <c r="DN65" i="6" s="1"/>
  <c r="DN67" i="6" s="1"/>
  <c r="DO52" i="5"/>
  <c r="DO95" i="6" s="1"/>
  <c r="DO98" i="6" s="1"/>
  <c r="DO55" i="5"/>
  <c r="DO80" i="6" l="1"/>
  <c r="DO82" i="6" s="1"/>
  <c r="DO44" i="6"/>
  <c r="DO38" i="6" s="1"/>
  <c r="DO50" i="6" s="1"/>
  <c r="DP23" i="5"/>
  <c r="DO101" i="6"/>
  <c r="DO56" i="6"/>
  <c r="DO54" i="6" l="1"/>
  <c r="DO65" i="6" s="1"/>
  <c r="DO67" i="6" s="1"/>
  <c r="N23" i="5"/>
  <c r="DP46" i="5"/>
  <c r="DP52" i="5" l="1"/>
  <c r="N46" i="5"/>
  <c r="DP55" i="5"/>
  <c r="DP80" i="6" l="1"/>
  <c r="DP44" i="6"/>
  <c r="DP38" i="6" s="1"/>
  <c r="DP50" i="6" s="1"/>
  <c r="N55" i="5"/>
  <c r="N58" i="5" s="1"/>
  <c r="L203" i="2" s="1"/>
  <c r="DP95" i="6"/>
  <c r="N52" i="5"/>
  <c r="DP56" i="6"/>
  <c r="DP54" i="6" s="1"/>
  <c r="DP65" i="6" s="1"/>
  <c r="DP67" i="6" s="1"/>
  <c r="DP98" i="6" l="1"/>
  <c r="N95" i="6"/>
  <c r="N80" i="6"/>
  <c r="DP82" i="6"/>
  <c r="N82" i="6" s="1"/>
  <c r="DP101" i="6" l="1"/>
  <c r="N101" i="6" s="1"/>
  <c r="L193" i="2" s="1"/>
  <c r="G4" i="2" s="1"/>
  <c r="N98" i="6"/>
  <c r="F4" i="5" l="1"/>
  <c r="F4" i="3"/>
  <c r="F4" i="4"/>
  <c r="G4" i="9"/>
  <c r="F4" i="6"/>
  <c r="F4" i="8"/>
  <c r="F4" i="7"/>
</calcChain>
</file>

<file path=xl/sharedStrings.xml><?xml version="1.0" encoding="utf-8"?>
<sst xmlns="http://schemas.openxmlformats.org/spreadsheetml/2006/main" count="1273" uniqueCount="510">
  <si>
    <t>Toll Revenues (net of Revenue sharing)</t>
  </si>
  <si>
    <t>Distributions to Equity</t>
  </si>
  <si>
    <t>Project:</t>
  </si>
  <si>
    <t>Worksheet:</t>
  </si>
  <si>
    <t>Model Integrity :</t>
  </si>
  <si>
    <t xml:space="preserve">Concession Start </t>
  </si>
  <si>
    <t xml:space="preserve"> (1=Yes,0=No)    </t>
  </si>
  <si>
    <t>TIFIA</t>
  </si>
  <si>
    <t>Construction Start</t>
  </si>
  <si>
    <t>Base rate</t>
  </si>
  <si>
    <t>Margin</t>
  </si>
  <si>
    <t xml:space="preserve">Construction End </t>
  </si>
  <si>
    <t>Credit Spread</t>
  </si>
  <si>
    <t>Repayment start date</t>
  </si>
  <si>
    <t>Operation Start</t>
  </si>
  <si>
    <t>Repayment end date</t>
  </si>
  <si>
    <t xml:space="preserve">Concession End </t>
  </si>
  <si>
    <t xml:space="preserve">Upfront fee </t>
  </si>
  <si>
    <t>Revenue Sharing</t>
  </si>
  <si>
    <t>Year</t>
  </si>
  <si>
    <t>%</t>
  </si>
  <si>
    <t>Agency fees</t>
  </si>
  <si>
    <t>Start Date</t>
  </si>
  <si>
    <t>% to  share</t>
  </si>
  <si>
    <t>Capex Facility</t>
  </si>
  <si>
    <t>Repayment Interest start date</t>
  </si>
  <si>
    <t>Facility 3</t>
  </si>
  <si>
    <t>% to TIFIA Refinancing</t>
  </si>
  <si>
    <t>Refinancing Facility</t>
  </si>
  <si>
    <t>Interest rate paid on negative cash balances (p.a.)</t>
  </si>
  <si>
    <t>Date</t>
  </si>
  <si>
    <t>Tail</t>
  </si>
  <si>
    <t xml:space="preserve">Repayment Period </t>
  </si>
  <si>
    <t>MMRA</t>
  </si>
  <si>
    <t>Balance Sheet</t>
  </si>
  <si>
    <t>Sources &amp; Uses ?</t>
  </si>
  <si>
    <t xml:space="preserve">Start Date </t>
  </si>
  <si>
    <t>Debt Facilities</t>
  </si>
  <si>
    <t xml:space="preserve">End Date </t>
  </si>
  <si>
    <t>Depreciation</t>
  </si>
  <si>
    <t>% of future period debt service to reserve for</t>
  </si>
  <si>
    <t>TAXES</t>
  </si>
  <si>
    <t>Cash Trapped</t>
  </si>
  <si>
    <t>DSRA</t>
  </si>
  <si>
    <t>Cash Balances</t>
  </si>
  <si>
    <t>Copy / Paste macro fully run</t>
  </si>
  <si>
    <t>Period start date</t>
  </si>
  <si>
    <t>Period end date</t>
  </si>
  <si>
    <t>Unit</t>
  </si>
  <si>
    <t>Value</t>
  </si>
  <si>
    <t>Sum</t>
  </si>
  <si>
    <t>Flag</t>
  </si>
  <si>
    <t>Concession flag</t>
  </si>
  <si>
    <t>Concession period in %</t>
  </si>
  <si>
    <t>Operation Flag</t>
  </si>
  <si>
    <t>End Project Flag</t>
  </si>
  <si>
    <t>Days in Year Assumption</t>
  </si>
  <si>
    <t>Number</t>
  </si>
  <si>
    <t xml:space="preserve">Distributions of Equity </t>
  </si>
  <si>
    <t>Cashflow waterfall</t>
  </si>
  <si>
    <t>Initial Period</t>
  </si>
  <si>
    <t>No. of Periods</t>
  </si>
  <si>
    <t>Initial Cash Balances</t>
  </si>
  <si>
    <t>$000s</t>
  </si>
  <si>
    <t>Toll Revenues</t>
  </si>
  <si>
    <t>O&amp;M</t>
  </si>
  <si>
    <t>Major Maintenance Capex</t>
  </si>
  <si>
    <t xml:space="preserve">Project Cash flow </t>
  </si>
  <si>
    <t>Debt draws</t>
  </si>
  <si>
    <t>Debt Fees</t>
  </si>
  <si>
    <t>Debt Interests</t>
  </si>
  <si>
    <t>Debt Principal Repayments</t>
  </si>
  <si>
    <t xml:space="preserve">Total Debt Cash flow </t>
  </si>
  <si>
    <t>Interest earned / (paid) on cash balances</t>
  </si>
  <si>
    <t>Cash Flow after Debt Service</t>
  </si>
  <si>
    <t>TIFIA Cash Trapped</t>
  </si>
  <si>
    <t>Cash Available for Distribution</t>
  </si>
  <si>
    <t>Final Cash Balances</t>
  </si>
  <si>
    <t>Income Statement</t>
  </si>
  <si>
    <t>O&amp;M Costs</t>
  </si>
  <si>
    <t>EBITDA</t>
  </si>
  <si>
    <t>EBIT</t>
  </si>
  <si>
    <t>Senior Debt Interests</t>
  </si>
  <si>
    <t>Bond Debt Interests</t>
  </si>
  <si>
    <t xml:space="preserve">TIFIA  Interest </t>
  </si>
  <si>
    <t xml:space="preserve">Debt Fees </t>
  </si>
  <si>
    <t>EBT</t>
  </si>
  <si>
    <t>Net Income</t>
  </si>
  <si>
    <t>Opening Balance</t>
  </si>
  <si>
    <t>Closing Balance</t>
  </si>
  <si>
    <t>Current Assets</t>
  </si>
  <si>
    <t>Cash</t>
  </si>
  <si>
    <t>Non-current assets</t>
  </si>
  <si>
    <t>Gross book value</t>
  </si>
  <si>
    <t>Total assets</t>
  </si>
  <si>
    <t>Equity</t>
  </si>
  <si>
    <t>Shared capital</t>
  </si>
  <si>
    <t>Retained earnings</t>
  </si>
  <si>
    <t>Non-current liabilities</t>
  </si>
  <si>
    <t>Capex facility outstanding</t>
  </si>
  <si>
    <t>Bond Facility  (PABs)  outstanding</t>
  </si>
  <si>
    <t>TIFIA  outstanding</t>
  </si>
  <si>
    <t>Refinance Debt  outstanding</t>
  </si>
  <si>
    <t xml:space="preserve">Total liabilities </t>
  </si>
  <si>
    <t>Balance sheet balances</t>
  </si>
  <si>
    <t>Sources &amp; Uses</t>
  </si>
  <si>
    <t>Sources</t>
  </si>
  <si>
    <t xml:space="preserve">Toll Revenues </t>
  </si>
  <si>
    <t>Senior Debt</t>
  </si>
  <si>
    <t>TIFIA Facility Draws</t>
  </si>
  <si>
    <t>Reserves Acc. Releases</t>
  </si>
  <si>
    <t>Total Sources</t>
  </si>
  <si>
    <t>Uses</t>
  </si>
  <si>
    <t>Major Maintenance</t>
  </si>
  <si>
    <t>Debt principal repayment</t>
  </si>
  <si>
    <t>Debt Interest</t>
  </si>
  <si>
    <t>Reserves Acc. Funding</t>
  </si>
  <si>
    <t>Total Uses</t>
  </si>
  <si>
    <t>Sources and uses balance ?</t>
  </si>
  <si>
    <t>Taxes</t>
  </si>
  <si>
    <t>Interest paid</t>
  </si>
  <si>
    <t>Carried Forward Loss</t>
  </si>
  <si>
    <t>Taxable Income</t>
  </si>
  <si>
    <t>Tax Losses Expired</t>
  </si>
  <si>
    <t>Years</t>
  </si>
  <si>
    <t>Tax Losses</t>
  </si>
  <si>
    <t>Tax Losses Accrued</t>
  </si>
  <si>
    <t>Tax Losses Used</t>
  </si>
  <si>
    <t>Loss Carried Forward to Next Period</t>
  </si>
  <si>
    <t>Use?</t>
  </si>
  <si>
    <t>Switch</t>
  </si>
  <si>
    <t>Inputs</t>
  </si>
  <si>
    <t>Facility</t>
  </si>
  <si>
    <t>Total Depreciable items</t>
  </si>
  <si>
    <t>B/F</t>
  </si>
  <si>
    <t>Depreciable costs</t>
  </si>
  <si>
    <t>Depreciation charge</t>
  </si>
  <si>
    <t>Final period write down</t>
  </si>
  <si>
    <t>C/F</t>
  </si>
  <si>
    <t>Repayment Flag</t>
  </si>
  <si>
    <t>Addition</t>
  </si>
  <si>
    <t>Tax depreciation</t>
  </si>
  <si>
    <t>Sliding schedule width</t>
  </si>
  <si>
    <t xml:space="preserve">Tax value </t>
  </si>
  <si>
    <t xml:space="preserve">Operation Flag </t>
  </si>
  <si>
    <t>Periods Remainig</t>
  </si>
  <si>
    <t>Debt Summary</t>
  </si>
  <si>
    <t>Opening balances</t>
  </si>
  <si>
    <t>Draws</t>
  </si>
  <si>
    <t>Interest due</t>
  </si>
  <si>
    <t>Amortized</t>
  </si>
  <si>
    <t>Refinanced</t>
  </si>
  <si>
    <t>Closing balances</t>
  </si>
  <si>
    <t>Mandatory Interest Paid</t>
  </si>
  <si>
    <t>TIFIA Revenue Sharing</t>
  </si>
  <si>
    <t>Mandatory Principal Paid</t>
  </si>
  <si>
    <t>Scheduled Principal Paid</t>
  </si>
  <si>
    <t>TIFIA Refi payments</t>
  </si>
  <si>
    <t>TIFIA Refi  payments from Rev Share</t>
  </si>
  <si>
    <t>Refinance</t>
  </si>
  <si>
    <t>Draws (TIFIA)</t>
  </si>
  <si>
    <t>Draws (TIFIA Rev Share)</t>
  </si>
  <si>
    <t>Fees</t>
  </si>
  <si>
    <t>Commitment Fees</t>
  </si>
  <si>
    <t>Upfront  fees</t>
  </si>
  <si>
    <t>TIFIA Mantenaince fee</t>
  </si>
  <si>
    <t>Bond Facility  (PABs)</t>
  </si>
  <si>
    <t>Setup</t>
  </si>
  <si>
    <t>Use ?</t>
  </si>
  <si>
    <t>Max</t>
  </si>
  <si>
    <t>Repayment flag</t>
  </si>
  <si>
    <t>Cumulative repayment counter</t>
  </si>
  <si>
    <t>#</t>
  </si>
  <si>
    <t>Interest</t>
  </si>
  <si>
    <t>All in interest rate</t>
  </si>
  <si>
    <t>Days of Interest</t>
  </si>
  <si>
    <t>Draw</t>
  </si>
  <si>
    <t>Commitment fee</t>
  </si>
  <si>
    <t>Ratio</t>
  </si>
  <si>
    <t xml:space="preserve">Interest due </t>
  </si>
  <si>
    <t>Amortised</t>
  </si>
  <si>
    <t>TIFIA Facility</t>
  </si>
  <si>
    <t>Interest Payment Flag</t>
  </si>
  <si>
    <t>Interest 4 years after Flag</t>
  </si>
  <si>
    <t>TIFIA Credit Rating &amp; Mantenaince fee Flag</t>
  </si>
  <si>
    <t xml:space="preserve">Interest due after 5 year </t>
  </si>
  <si>
    <t>Interest due operation</t>
  </si>
  <si>
    <t xml:space="preserve">TIFIA Mantenaince Fee </t>
  </si>
  <si>
    <t>Drawdowns</t>
  </si>
  <si>
    <t>Scheduled Interest Paid (Net of Mandatory)</t>
  </si>
  <si>
    <t xml:space="preserve">TIFIA Repayments from Refi  </t>
  </si>
  <si>
    <t>TIFIA Repayments from Refi Rev Share</t>
  </si>
  <si>
    <t>End TIFIA debt</t>
  </si>
  <si>
    <t>TIFIA Mandatory profile</t>
  </si>
  <si>
    <t>Factor</t>
  </si>
  <si>
    <t>%  to share</t>
  </si>
  <si>
    <t>Cashflow after TIFIA Cash Trapped</t>
  </si>
  <si>
    <t>TIFIA Revenue  to share</t>
  </si>
  <si>
    <t>Total Revenue Share Repayment</t>
  </si>
  <si>
    <t>Total Revenue Share Repayment in values</t>
  </si>
  <si>
    <t>Draw Date</t>
  </si>
  <si>
    <t>Concession Periods Remaining</t>
  </si>
  <si>
    <t>Tail Flag</t>
  </si>
  <si>
    <t>Draw Bond debt</t>
  </si>
  <si>
    <t xml:space="preserve">Draws Capex </t>
  </si>
  <si>
    <t>Draws to Refi TIFIA Facility</t>
  </si>
  <si>
    <t>Draws to Refi TIFIA Rev Share Facility</t>
  </si>
  <si>
    <t>Ratios</t>
  </si>
  <si>
    <t xml:space="preserve">Operating Cash flow </t>
  </si>
  <si>
    <t>Reserves Acc. (Releases/Funding)</t>
  </si>
  <si>
    <t>Maintenance Capex</t>
  </si>
  <si>
    <t>Capex Facility Drawdowns</t>
  </si>
  <si>
    <t>Cash Flow Available for Debt Service</t>
  </si>
  <si>
    <t>Senior Debt Fees</t>
  </si>
  <si>
    <t xml:space="preserve">Senior Debt Interest </t>
  </si>
  <si>
    <t xml:space="preserve">Senior Debt Principal Repayments </t>
  </si>
  <si>
    <t>Senior Debt Service</t>
  </si>
  <si>
    <t>TIFIA Fees</t>
  </si>
  <si>
    <t>TIFIA  Interest</t>
  </si>
  <si>
    <t>TIFIA Mandatory Principal Repayments</t>
  </si>
  <si>
    <t>TIFIA Debt Service</t>
  </si>
  <si>
    <t>Min</t>
  </si>
  <si>
    <t>Average</t>
  </si>
  <si>
    <t>MMRA in use</t>
  </si>
  <si>
    <t>MMRA ends</t>
  </si>
  <si>
    <t>MMRA Counter</t>
  </si>
  <si>
    <t>Counter</t>
  </si>
  <si>
    <t>MMRA without Releases</t>
  </si>
  <si>
    <t>CF for MMRA</t>
  </si>
  <si>
    <t>Target C/F balance</t>
  </si>
  <si>
    <t>Account</t>
  </si>
  <si>
    <t>Funding in construction</t>
  </si>
  <si>
    <t>Funding  in operation</t>
  </si>
  <si>
    <t>Releases</t>
  </si>
  <si>
    <t>Debt Service Reserve Account</t>
  </si>
  <si>
    <t>DSRA in use</t>
  </si>
  <si>
    <t>DSRA ends</t>
  </si>
  <si>
    <t>A)   Senior Debt Service + Mandatory</t>
  </si>
  <si>
    <t>Amortised (including TIFIA Mandatory)</t>
  </si>
  <si>
    <t>Debt service to be reserved for</t>
  </si>
  <si>
    <t xml:space="preserve"> B)   Senior Debt balance </t>
  </si>
  <si>
    <t>Maximum CF Available for DSRA</t>
  </si>
  <si>
    <t>Used balance (copied)</t>
  </si>
  <si>
    <t>Used balance (pasted)</t>
  </si>
  <si>
    <t>Funding during construction</t>
  </si>
  <si>
    <t>Funding during operation</t>
  </si>
  <si>
    <t>Release</t>
  </si>
  <si>
    <t>Cash Trapped  flag</t>
  </si>
  <si>
    <t>flag</t>
  </si>
  <si>
    <t>Cash Trapped Released  flag</t>
  </si>
  <si>
    <t>Cashflow available for TIFIA Cash Trapped</t>
  </si>
  <si>
    <t>Funding</t>
  </si>
  <si>
    <t>B/F cash balances</t>
  </si>
  <si>
    <t>Total positive balances</t>
  </si>
  <si>
    <t>Total negative balances</t>
  </si>
  <si>
    <t>Total Interest earned</t>
  </si>
  <si>
    <t>Macro</t>
  </si>
  <si>
    <t>Model Integrity</t>
  </si>
  <si>
    <t xml:space="preserve">shortcut  -------&gt;   Ctrl +q </t>
  </si>
  <si>
    <t>MacroDiff</t>
  </si>
  <si>
    <t>TIFIA Revenue Share Repayment</t>
  </si>
  <si>
    <t>PRE-SHAREHOLDER TAX EQUITY IRR</t>
  </si>
  <si>
    <t>Total Distributions to Equity</t>
  </si>
  <si>
    <t>Shareholder Pre-Tax Equity IRR</t>
  </si>
  <si>
    <t>Shareholder Post-Tax Equity IRR</t>
  </si>
  <si>
    <t>Total</t>
  </si>
  <si>
    <t>Pre-Tax Equity Cash Flows</t>
  </si>
  <si>
    <t>POST-SHAREHOLDER TAX EQUITY IRR</t>
  </si>
  <si>
    <t xml:space="preserve">Income Tax </t>
  </si>
  <si>
    <t>Post-Tax Equity Cash Flows</t>
  </si>
  <si>
    <t>Revenues</t>
  </si>
  <si>
    <t>Input Cases</t>
  </si>
  <si>
    <t>Major Maintenance Reserve Account</t>
  </si>
  <si>
    <t>State Tax</t>
  </si>
  <si>
    <t>Margin Tax</t>
  </si>
  <si>
    <t>Applicable to __% of Total Revenue</t>
  </si>
  <si>
    <t>Revenue Sharing TxDOT</t>
  </si>
  <si>
    <t>Total Revenue Payment</t>
  </si>
  <si>
    <t>Revenue Payments TxDOT</t>
  </si>
  <si>
    <t>Toll Revenues (less Revenue Sharing TxDOT)</t>
  </si>
  <si>
    <t>PABs</t>
  </si>
  <si>
    <t xml:space="preserve">Revenues </t>
  </si>
  <si>
    <t>End Date</t>
  </si>
  <si>
    <t>Federal Rate</t>
  </si>
  <si>
    <t>ERROR CHECK</t>
  </si>
  <si>
    <t>Revenue</t>
  </si>
  <si>
    <t>Revenues (NOMINAL)</t>
  </si>
  <si>
    <t xml:space="preserve">CPI </t>
  </si>
  <si>
    <t>Annual Basis</t>
  </si>
  <si>
    <t>Maintenance Fee</t>
  </si>
  <si>
    <t xml:space="preserve">Cumulative Base Case Toll Revenues </t>
  </si>
  <si>
    <t>Band 1 Floor</t>
  </si>
  <si>
    <t>Band 1 Ceiling</t>
  </si>
  <si>
    <t>Band 2 Floor</t>
  </si>
  <si>
    <t>Band 2 Ceiling</t>
  </si>
  <si>
    <t>Band 3 Floor</t>
  </si>
  <si>
    <t>Band 3 Ceilling</t>
  </si>
  <si>
    <t>Band 4 Floor</t>
  </si>
  <si>
    <t>Band 4 Ceilling</t>
  </si>
  <si>
    <t>Band 5 Floor</t>
  </si>
  <si>
    <t>Band 1</t>
  </si>
  <si>
    <t>Revenue Share %</t>
  </si>
  <si>
    <t>Revenues within Band 1</t>
  </si>
  <si>
    <t>Band 1 Revenue Share</t>
  </si>
  <si>
    <t>Band 2</t>
  </si>
  <si>
    <t>Revenues within Band 2</t>
  </si>
  <si>
    <t>Band 2 Revenue Share</t>
  </si>
  <si>
    <t>Band 3</t>
  </si>
  <si>
    <t>Revenues within Band 3</t>
  </si>
  <si>
    <t>Band 3 Revenue Share</t>
  </si>
  <si>
    <t>Band 4</t>
  </si>
  <si>
    <t>Revenues within Band 4</t>
  </si>
  <si>
    <t>Band 4 Revenue Share</t>
  </si>
  <si>
    <t>Band 5</t>
  </si>
  <si>
    <t>Working Capital</t>
  </si>
  <si>
    <t>Period Start</t>
  </si>
  <si>
    <t>Active Period</t>
  </si>
  <si>
    <t>Handback Reserve Account</t>
  </si>
  <si>
    <t>Handback Reserve</t>
  </si>
  <si>
    <t>Capex</t>
  </si>
  <si>
    <t>PABs Premium</t>
  </si>
  <si>
    <t>Handback</t>
  </si>
  <si>
    <t>Indexation</t>
  </si>
  <si>
    <t>Release to TxDOT</t>
  </si>
  <si>
    <t>Funding Target (% Capex)</t>
  </si>
  <si>
    <t>Tax Depreciation Summary</t>
  </si>
  <si>
    <t>Forecast Nominal Revenue</t>
  </si>
  <si>
    <t>Actual Nominal Revenue</t>
  </si>
  <si>
    <t>All in interest rate - Tranche 1</t>
  </si>
  <si>
    <t>Cashflow Deficit</t>
  </si>
  <si>
    <t>Refinancing Date</t>
  </si>
  <si>
    <t>% Full Period</t>
  </si>
  <si>
    <t>CPI Factor</t>
  </si>
  <si>
    <t>% Full Period Schedule</t>
  </si>
  <si>
    <t>Net Operating Income</t>
  </si>
  <si>
    <t>Interest earned on Net Operating Income (Operations)</t>
  </si>
  <si>
    <t>Interest rate paid on Net Operating cash</t>
  </si>
  <si>
    <t>Partner's Equity IRR: Annual-Annual</t>
  </si>
  <si>
    <t xml:space="preserve">LBJ Infrastructure Group LLC IH-635 Mananged Lanes Project </t>
  </si>
  <si>
    <t>CPI Maintenance Fee</t>
  </si>
  <si>
    <t>CPI Credit Rating Fee</t>
  </si>
  <si>
    <t>Credit Rating Fee</t>
  </si>
  <si>
    <t>Scenario Description</t>
  </si>
  <si>
    <t>Scenario</t>
  </si>
  <si>
    <t>Base Case</t>
  </si>
  <si>
    <t>OPERATING SENSITIVITIES</t>
  </si>
  <si>
    <t>CPI Assumptions</t>
  </si>
  <si>
    <t>Draws (PABs)</t>
  </si>
  <si>
    <t>Cash Accounts</t>
  </si>
  <si>
    <t>CAPEX Facility</t>
  </si>
  <si>
    <t>Operating Cash Balance</t>
  </si>
  <si>
    <t>Cash Distributions</t>
  </si>
  <si>
    <t>Operating Cash Account</t>
  </si>
  <si>
    <t>Tax Summary</t>
  </si>
  <si>
    <t>Income Tax Paid</t>
  </si>
  <si>
    <t>Draws (Capex, Liq)</t>
  </si>
  <si>
    <t>Tax Asset Depreciation</t>
  </si>
  <si>
    <t>FREE CASH FLOW</t>
  </si>
  <si>
    <t>DEBT SERVICE</t>
  </si>
  <si>
    <t>TIFIA cash trapped</t>
  </si>
  <si>
    <t>OPEX</t>
  </si>
  <si>
    <t>CAPEX</t>
  </si>
  <si>
    <t>CFADS proforma</t>
  </si>
  <si>
    <t>Interests and fees</t>
  </si>
  <si>
    <t>Repayment</t>
  </si>
  <si>
    <t>Total Debt Service</t>
  </si>
  <si>
    <t>Outstanding Debt</t>
  </si>
  <si>
    <t>MMRA net movements</t>
  </si>
  <si>
    <t>DSRA net movements</t>
  </si>
  <si>
    <t>TIFIA cash trapped net movements</t>
  </si>
  <si>
    <t>CFADS</t>
  </si>
  <si>
    <t>Debt</t>
  </si>
  <si>
    <t>MMRA movements</t>
  </si>
  <si>
    <t>DSRA movements</t>
  </si>
  <si>
    <t>Capitalized interest</t>
  </si>
  <si>
    <t>N.A</t>
  </si>
  <si>
    <t>Cash Flow available for distributions</t>
  </si>
  <si>
    <t xml:space="preserve">                                                                                         </t>
  </si>
  <si>
    <t>PROJECT CF SUMMARY</t>
  </si>
  <si>
    <t>OPERATIONS</t>
  </si>
  <si>
    <t>Major Maintenance Capex Scenario 1</t>
  </si>
  <si>
    <t>Major Maintenance Capex (NOMINAL)</t>
  </si>
  <si>
    <t>Interest income</t>
  </si>
  <si>
    <t>Ke</t>
  </si>
  <si>
    <t>Cintra share</t>
  </si>
  <si>
    <t>FINANCIAL ASSUMPTIONS</t>
  </si>
  <si>
    <t xml:space="preserve">TIFIA </t>
  </si>
  <si>
    <t>VALUATION</t>
  </si>
  <si>
    <t>NPV %Cintra (million $)</t>
  </si>
  <si>
    <t>NPV %Cintra (million EUR)</t>
  </si>
  <si>
    <t>Scheduled interest Paid</t>
  </si>
  <si>
    <t>OPERATING ASSUMPTIONS</t>
  </si>
  <si>
    <t>a) Current Debt Assumptions</t>
  </si>
  <si>
    <t>b) Refinancing Assumptions</t>
  </si>
  <si>
    <t>Valuation</t>
  </si>
  <si>
    <t>Balance</t>
  </si>
  <si>
    <t>O&amp;M (NOMINAL)</t>
  </si>
  <si>
    <t>Assets</t>
  </si>
  <si>
    <t>Ku</t>
  </si>
  <si>
    <t>Beta unlevered</t>
  </si>
  <si>
    <t>ERP</t>
  </si>
  <si>
    <t>Exchange rate</t>
  </si>
  <si>
    <t>$</t>
  </si>
  <si>
    <t>Valuation (1. APV 2. DDM)</t>
  </si>
  <si>
    <t>Methodoly applied (1. APV 2. DDM)</t>
  </si>
  <si>
    <t>Rfr</t>
  </si>
  <si>
    <t>Project CF</t>
  </si>
  <si>
    <t>Taxes with no leverage</t>
  </si>
  <si>
    <t>Unleverage Free Cash Flow</t>
  </si>
  <si>
    <t>Tax shield</t>
  </si>
  <si>
    <t>Kd</t>
  </si>
  <si>
    <t>Discounted tax shield</t>
  </si>
  <si>
    <t>Enterprise Value</t>
  </si>
  <si>
    <t>Net debt</t>
  </si>
  <si>
    <t>Equity value</t>
  </si>
  <si>
    <t>Equity value (Cintra share)</t>
  </si>
  <si>
    <t>Valuation Cintra share</t>
  </si>
  <si>
    <t>1) APV</t>
  </si>
  <si>
    <t>2) DDM</t>
  </si>
  <si>
    <t>Beta unleverage</t>
  </si>
  <si>
    <t>Discounted unleveraged Free Cash Flow</t>
  </si>
  <si>
    <t xml:space="preserve">Used balance operation </t>
  </si>
  <si>
    <t>Construction Capex</t>
  </si>
  <si>
    <t>Net Book Value</t>
  </si>
  <si>
    <t>Tax Carry Forward Loss</t>
  </si>
  <si>
    <t>Refinance TIFIA Repayments</t>
  </si>
  <si>
    <t>Total Cash Balances</t>
  </si>
  <si>
    <t>Cash Accounts Closing Balances</t>
  </si>
  <si>
    <t>Facility size</t>
  </si>
  <si>
    <t>Capex Facility End</t>
  </si>
  <si>
    <t>Control Account</t>
  </si>
  <si>
    <t>Interest  paid</t>
  </si>
  <si>
    <t>Refinancing date 1</t>
  </si>
  <si>
    <t>Refinancing date 2</t>
  </si>
  <si>
    <t>Equivalent constant Ke</t>
  </si>
  <si>
    <t xml:space="preserve">Tax Depreciation </t>
  </si>
  <si>
    <t>Growth</t>
  </si>
  <si>
    <t>Construction cost</t>
  </si>
  <si>
    <t>Construction costs</t>
  </si>
  <si>
    <t>LBJ</t>
  </si>
  <si>
    <t>Oper</t>
  </si>
  <si>
    <t>Fin</t>
  </si>
  <si>
    <t>CF</t>
  </si>
  <si>
    <t>Acc</t>
  </si>
  <si>
    <t>Tax</t>
  </si>
  <si>
    <t>Valuation &amp; IRR</t>
  </si>
  <si>
    <t>Mac</t>
  </si>
  <si>
    <t>Minimum amount  until 2019</t>
  </si>
  <si>
    <t>Base Case Capex to Handback Reserve Account</t>
  </si>
  <si>
    <t>Final Handback payment to TxDOT</t>
  </si>
  <si>
    <t>Income tax</t>
  </si>
  <si>
    <t>Cash Flow available for distributions post tax</t>
  </si>
  <si>
    <t>CF for distribution pre tax</t>
  </si>
  <si>
    <t>CF for distribution post tax</t>
  </si>
  <si>
    <t>All-in interest rate</t>
  </si>
  <si>
    <t>Cash accounts</t>
  </si>
  <si>
    <t xml:space="preserve">Major Maintenance Reserve account </t>
  </si>
  <si>
    <t>1st year</t>
  </si>
  <si>
    <t>2nd year</t>
  </si>
  <si>
    <t>3rd year</t>
  </si>
  <si>
    <t>4th year</t>
  </si>
  <si>
    <t>5th year</t>
  </si>
  <si>
    <t>Funding targget (%Capex)</t>
  </si>
  <si>
    <t>Cash Trapped Release Flag</t>
  </si>
  <si>
    <t>FINANCIAL STATEMENTS</t>
  </si>
  <si>
    <t>DISCLAIMER</t>
  </si>
  <si>
    <t>Revenues Base Case</t>
  </si>
  <si>
    <t>O&amp;M Base Case</t>
  </si>
  <si>
    <t>Major Maintenance Capex Base Case</t>
  </si>
  <si>
    <t>Interest rate earned on positive cash balances (p.a.) (LIBOR)</t>
  </si>
  <si>
    <t>Check</t>
  </si>
  <si>
    <t>Equity distribution</t>
  </si>
  <si>
    <t>Reserve Accounts</t>
  </si>
  <si>
    <t>Drawdowns/Repayments</t>
  </si>
  <si>
    <t>Financial costs</t>
  </si>
  <si>
    <t>Life Cycle CAPEX</t>
  </si>
  <si>
    <t>Operation Costs</t>
  </si>
  <si>
    <t>Cash changes</t>
  </si>
  <si>
    <t>Forecast Real Revenue by financial contract</t>
  </si>
  <si>
    <t>TxDOT Revenue Sharing (Wishbone)</t>
  </si>
  <si>
    <t>Revenue Sharing Wishbone</t>
  </si>
  <si>
    <t>EBIT  for Tax purpose</t>
  </si>
  <si>
    <t>Income tax rate</t>
  </si>
  <si>
    <t>Income tax payable</t>
  </si>
  <si>
    <t>Federal Tax Carried Forward Losses</t>
  </si>
  <si>
    <t>Tax Carried Forward Losses</t>
  </si>
  <si>
    <t>Taxable income after tax losses applied</t>
  </si>
  <si>
    <t>Minimun interest deduction</t>
  </si>
  <si>
    <t>Minimum Interest Deduction Limitation</t>
  </si>
  <si>
    <t>EBIT/EBITDA</t>
  </si>
  <si>
    <t>Max Allowed Interest Used</t>
  </si>
  <si>
    <t>Interest Deduction ACCRUED</t>
  </si>
  <si>
    <t>Interest Deduction USED</t>
  </si>
  <si>
    <t>Interest Use Account</t>
  </si>
  <si>
    <t>Interest Deduction Accrued</t>
  </si>
  <si>
    <t>Interest Deduction Used</t>
  </si>
  <si>
    <t>Interests Expired</t>
  </si>
  <si>
    <t>Interest Expires</t>
  </si>
  <si>
    <t>EBT - Tax Purposes</t>
  </si>
  <si>
    <t>Financial Expenses Deducibility Limit</t>
  </si>
  <si>
    <t>Limit</t>
  </si>
  <si>
    <t>Expired</t>
  </si>
  <si>
    <t>year</t>
  </si>
  <si>
    <t>Days</t>
  </si>
  <si>
    <t>EUR'000s</t>
  </si>
  <si>
    <t>Government subsidy</t>
  </si>
  <si>
    <t>Government Subsidy</t>
  </si>
  <si>
    <t>DSCR for distributions purpose</t>
  </si>
  <si>
    <t>CPI (2017-2021)</t>
  </si>
  <si>
    <t>LT CPI (2022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</si>
</sst>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0\ &quot;€&quot;;[Red]\-#,##0\ &quot;€&quot;"/>
    <numFmt numFmtId="165" formatCode="#,##0.00\ &quot;€&quot;;[Red]\-#,##0.00\ &quot;€&quot;"/>
    <numFmt numFmtId="166" formatCode="_(* #,##0_);_(* \(#,##0\);_(* &quot;-&quot;_);_(@_)"/>
    <numFmt numFmtId="167" formatCode="_(&quot;$&quot;* #,##0.00_);_(&quot;$&quot;* \(#,##0.00\);_(&quot;$&quot;* &quot;-&quot;??_);_(@_)"/>
    <numFmt numFmtId="168" formatCode="_(* #,##0.00_);_(* \(#,##0.00\);_(* &quot;-&quot;??_);_(@_)"/>
    <numFmt numFmtId="169" formatCode="&quot;Error&quot;;&quot;Error&quot;;&quot;OK&quot;"/>
    <numFmt numFmtId="170" formatCode="[$-409]d\-mmm\-yy;@"/>
    <numFmt numFmtId="171" formatCode="&quot;Yes&quot;;&quot;Yes&quot;;&quot;No&quot;"/>
    <numFmt numFmtId="172" formatCode="0.00%;\(0.00%\);\-\%"/>
    <numFmt numFmtId="173" formatCode="0.00&quot;x&quot;"/>
    <numFmt numFmtId="174" formatCode="0.0%"/>
    <numFmt numFmtId="175" formatCode="0\ &quot;Yr SL&quot;"/>
    <numFmt numFmtId="176" formatCode="0.00%_);\(0.00%\);0.00%_);@_)"/>
    <numFmt numFmtId="177" formatCode="&quot;Error&quot;;&quot;OK&quot;;&quot;OK&quot;"/>
    <numFmt numFmtId="178" formatCode="0\ &quot;Days&quot;"/>
    <numFmt numFmtId="179" formatCode="_(* #,##0_);_(* \(#,##0\);_(* &quot;-&quot;??_);_(@_)"/>
    <numFmt numFmtId="180" formatCode="0\ &quot;yr&quot;\ "/>
    <numFmt numFmtId="181" formatCode="_(* #,##0.0000_);_(* \(#,##0.0000\);_(* &quot;-&quot;_);_(@_)"/>
    <numFmt numFmtId="182" formatCode="0.0000"/>
    <numFmt numFmtId="183" formatCode="\ ;\ ;"/>
    <numFmt numFmtId="184" formatCode="&quot;Yes&quot;;;&quot;No&quot;"/>
    <numFmt numFmtId="185" formatCode="_(* #,##0.0_);_(* \(#,##0.0\);_(* &quot;-&quot;?_);_(@_)"/>
    <numFmt numFmtId="186" formatCode="_(* #,##0.0000_);_(* \(#,##0.0000\);_(* &quot;-&quot;??_);_(@_)"/>
    <numFmt numFmtId="187" formatCode="0.000%"/>
    <numFmt numFmtId="188" formatCode="0\ &quot;SL&quot;"/>
    <numFmt numFmtId="189" formatCode="0.0000000"/>
    <numFmt numFmtId="190" formatCode="#,##0.000"/>
    <numFmt numFmtId="191" formatCode="_(* #,##0.0_);_(* \(#,##0.0\);_(* &quot;-&quot;_);_(@_)"/>
    <numFmt numFmtId="192" formatCode="#,##0.00;\-#,##0.00;\-"/>
    <numFmt numFmtId="193" formatCode="0.0000%"/>
    <numFmt numFmtId="194" formatCode="[$-409]dd\-mmm\-yy;@"/>
    <numFmt numFmtId="195" formatCode="#,##0.0"/>
    <numFmt numFmtId="196" formatCode="0.00000"/>
    <numFmt numFmtId="197" formatCode="#,##0;\-#,##0;\-"/>
    <numFmt numFmtId="198" formatCode="#,##0.0000"/>
  </numFmts>
  <fonts count="63"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name val="Arial"/>
      <family val="2"/>
    </font>
    <font>
      <b/>
      <sz val="10"/>
      <name val="Arial"/>
      <family val="2"/>
    </font>
    <font>
      <b/>
      <sz val="10"/>
      <color indexed="9"/>
      <name val="Arial"/>
      <family val="2"/>
    </font>
    <font>
      <sz val="10"/>
      <color indexed="10"/>
      <name val="Arial"/>
      <family val="2"/>
    </font>
    <font>
      <b/>
      <sz val="14"/>
      <color indexed="17"/>
      <name val="Arial"/>
      <family val="2"/>
    </font>
    <font>
      <b/>
      <sz val="12"/>
      <name val="Arial"/>
      <family val="2"/>
    </font>
    <font>
      <sz val="10"/>
      <color indexed="12"/>
      <name val="Arial"/>
      <family val="2"/>
    </font>
    <font>
      <sz val="10"/>
      <color indexed="12"/>
      <name val="Arial"/>
      <family val="2"/>
    </font>
    <font>
      <u/>
      <sz val="10"/>
      <name val="Arial"/>
      <family val="2"/>
    </font>
    <font>
      <b/>
      <sz val="10"/>
      <name val="Arial"/>
      <family val="2"/>
    </font>
    <font>
      <sz val="10"/>
      <color indexed="8"/>
      <name val="Arial"/>
      <family val="2"/>
    </font>
    <font>
      <sz val="12"/>
      <name val="Arial"/>
      <family val="2"/>
    </font>
    <font>
      <b/>
      <sz val="12"/>
      <color indexed="9"/>
      <name val="Arial"/>
      <family val="2"/>
    </font>
    <font>
      <b/>
      <sz val="16"/>
      <color indexed="48"/>
      <name val="Arial"/>
      <family val="2"/>
    </font>
    <font>
      <u/>
      <sz val="10"/>
      <name val="Arial"/>
      <family val="2"/>
    </font>
    <font>
      <sz val="10"/>
      <color indexed="23"/>
      <name val="Arial"/>
      <family val="2"/>
    </font>
    <font>
      <b/>
      <sz val="11"/>
      <color indexed="9"/>
      <name val="Arial"/>
      <family val="2"/>
    </font>
    <font>
      <u/>
      <sz val="10"/>
      <color indexed="23"/>
      <name val="Arial"/>
      <family val="2"/>
    </font>
    <font>
      <b/>
      <u/>
      <sz val="12"/>
      <name val="Arial"/>
      <family val="2"/>
    </font>
    <font>
      <sz val="10"/>
      <color indexed="63"/>
      <name val="Arial"/>
      <family val="2"/>
    </font>
    <font>
      <sz val="11"/>
      <color indexed="9"/>
      <name val="Arial"/>
      <family val="2"/>
    </font>
    <font>
      <b/>
      <sz val="10"/>
      <color indexed="63"/>
      <name val="Arial"/>
      <family val="2"/>
    </font>
    <font>
      <b/>
      <u/>
      <sz val="10"/>
      <name val="Arial"/>
      <family val="2"/>
    </font>
    <font>
      <b/>
      <sz val="10"/>
      <color indexed="12"/>
      <name val="Arial"/>
      <family val="2"/>
    </font>
    <font>
      <sz val="10"/>
      <color indexed="9"/>
      <name val="Arial"/>
      <family val="2"/>
    </font>
    <font>
      <sz val="12"/>
      <color indexed="9"/>
      <name val="Arial"/>
      <family val="2"/>
    </font>
    <font>
      <sz val="10"/>
      <color indexed="46"/>
      <name val="Arial"/>
      <family val="2"/>
    </font>
    <font>
      <sz val="10"/>
      <color rgb="FF0000FF"/>
      <name val="Arial"/>
      <family val="2"/>
    </font>
    <font>
      <b/>
      <sz val="12"/>
      <color rgb="FF000000"/>
      <name val="Arial"/>
      <family val="2"/>
    </font>
    <font>
      <b/>
      <sz val="10"/>
      <color rgb="FF0000FF"/>
      <name val="Arial"/>
      <family val="2"/>
    </font>
    <font>
      <sz val="10"/>
      <color rgb="FFFF0000"/>
      <name val="Arial"/>
      <family val="2"/>
    </font>
    <font>
      <sz val="10"/>
      <color theme="1"/>
      <name val="Arial"/>
      <family val="2"/>
    </font>
    <font>
      <sz val="10"/>
      <color theme="1" tint="0.499984740745262"/>
      <name val="Arial"/>
      <family val="2"/>
    </font>
    <font>
      <i/>
      <sz val="10"/>
      <color rgb="FF0000FF"/>
      <name val="Arial"/>
      <family val="2"/>
    </font>
    <font>
      <b/>
      <sz val="10"/>
      <color rgb="FFFF0000"/>
      <name val="Arial"/>
      <family val="2"/>
    </font>
    <font>
      <sz val="10"/>
      <name val="Arial"/>
      <family val="2"/>
    </font>
    <font>
      <b/>
      <sz val="18"/>
      <color theme="3"/>
      <name val="Cambria"/>
      <family val="2"/>
      <scheme val="major"/>
    </font>
    <font>
      <b/>
      <sz val="12"/>
      <color theme="0"/>
      <name val="Arial"/>
      <family val="2"/>
    </font>
    <font>
      <i/>
      <sz val="10"/>
      <color theme="1"/>
      <name val="Arial"/>
      <family val="2"/>
    </font>
    <font>
      <b/>
      <sz val="10"/>
      <color theme="1"/>
      <name val="Arial"/>
      <family val="2"/>
    </font>
    <font>
      <b/>
      <sz val="10"/>
      <color theme="0"/>
      <name val="Arial"/>
      <family val="2"/>
    </font>
    <font>
      <sz val="10"/>
      <color rgb="FF2414F4"/>
      <name val="Arial"/>
      <family val="2"/>
    </font>
    <font>
      <b/>
      <u/>
      <sz val="12"/>
      <color theme="1" tint="0.34998626667073579"/>
      <name val="Tahoma"/>
      <family val="2"/>
    </font>
    <font>
      <b/>
      <u/>
      <sz val="15"/>
      <color theme="1" tint="0.34998626667073579"/>
      <name val="Tahoma"/>
      <family val="2"/>
    </font>
    <font>
      <u/>
      <sz val="10"/>
      <color theme="1"/>
      <name val="Arial"/>
      <family val="2"/>
    </font>
    <font>
      <b/>
      <sz val="16"/>
      <color theme="1"/>
      <name val="Arial"/>
      <family val="2"/>
    </font>
    <font>
      <b/>
      <sz val="13"/>
      <name val="Arial"/>
      <family val="2"/>
    </font>
    <font>
      <i/>
      <sz val="10"/>
      <name val="Arial"/>
      <family val="2"/>
    </font>
    <font>
      <b/>
      <sz val="14"/>
      <color theme="1"/>
      <name val="Tahoma"/>
      <family val="2"/>
    </font>
    <font>
      <sz val="10"/>
      <color rgb="FF00B050"/>
      <name val="Arial"/>
      <family val="2"/>
    </font>
    <font>
      <sz val="10"/>
      <color theme="6" tint="-0.24994659260841701"/>
      <name val="Arial"/>
      <family val="2"/>
    </font>
    <font>
      <sz val="10"/>
      <color theme="5"/>
      <name val="Arial"/>
      <family val="2"/>
    </font>
    <font>
      <sz val="10"/>
      <color theme="1"/>
      <name val="Tahoma"/>
      <family val="2"/>
    </font>
    <font>
      <b/>
      <i/>
      <sz val="10"/>
      <color theme="0" tint="-0.499984740745262"/>
      <name val="Tahoma"/>
      <family val="2"/>
    </font>
    <font>
      <sz val="10"/>
      <name val="Tahoma"/>
      <family val="2"/>
    </font>
    <font>
      <b/>
      <sz val="10"/>
      <color theme="1"/>
      <name val="Tahoma"/>
      <family val="2"/>
    </font>
    <font>
      <b/>
      <sz val="10"/>
      <color indexed="17"/>
      <name val="Arial"/>
      <family val="2"/>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808080"/>
        <bgColor indexed="64"/>
      </patternFill>
    </fill>
    <fill>
      <patternFill patternType="solid">
        <fgColor rgb="FFBFBFBF"/>
        <bgColor indexed="64"/>
      </patternFill>
    </fill>
    <fill>
      <patternFill patternType="solid">
        <fgColor rgb="FFD9D9D9"/>
        <bgColor indexed="64"/>
      </patternFill>
    </fill>
    <fill>
      <patternFill patternType="solid">
        <fgColor rgb="FFFFFFFF"/>
        <bgColor indexed="64"/>
      </patternFill>
    </fill>
    <fill>
      <patternFill patternType="solid">
        <fgColor rgb="FFC0C0C0"/>
        <bgColor indexed="64"/>
      </patternFill>
    </fill>
    <fill>
      <patternFill patternType="solid">
        <fgColor rgb="FF333333"/>
        <bgColor indexed="64"/>
      </patternFill>
    </fill>
  </fills>
  <borders count="5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hair">
        <color indexed="64"/>
      </right>
      <top/>
      <bottom/>
      <diagonal/>
    </border>
    <border>
      <left style="thin">
        <color indexed="64"/>
      </left>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right/>
      <top/>
      <bottom style="hair">
        <color indexed="64"/>
      </bottom>
      <diagonal/>
    </border>
    <border>
      <left style="hair">
        <color indexed="51"/>
      </left>
      <right/>
      <top style="hair">
        <color indexed="64"/>
      </top>
      <bottom style="hair">
        <color indexed="64"/>
      </bottom>
      <diagonal/>
    </border>
    <border>
      <left style="thin">
        <color indexed="63"/>
      </left>
      <right style="thin">
        <color indexed="63"/>
      </right>
      <top style="thin">
        <color indexed="63"/>
      </top>
      <bottom style="hair">
        <color indexed="64"/>
      </bottom>
      <diagonal/>
    </border>
    <border>
      <left style="thin">
        <color indexed="63"/>
      </left>
      <right style="thin">
        <color indexed="63"/>
      </right>
      <top style="hair">
        <color indexed="64"/>
      </top>
      <bottom style="hair">
        <color indexed="64"/>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right style="medium">
        <color indexed="64"/>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top/>
      <bottom style="mediumDashed">
        <color theme="0" tint="-0.34998626667073579"/>
      </bottom>
      <diagonal/>
    </border>
    <border>
      <left style="mediumDashed">
        <color theme="0" tint="-0.34998626667073579"/>
      </left>
      <right/>
      <top/>
      <bottom style="mediumDashed">
        <color theme="0" tint="-0.34998626667073579"/>
      </bottom>
      <diagonal/>
    </border>
    <border>
      <left style="mediumDashed">
        <color theme="0" tint="-0.34998626667073579"/>
      </left>
      <right/>
      <top/>
      <bottom/>
      <diagonal/>
    </border>
    <border>
      <left/>
      <right/>
      <top style="mediumDashed">
        <color theme="0" tint="-0.34998626667073579"/>
      </top>
      <bottom/>
      <diagonal/>
    </border>
    <border>
      <left style="mediumDashed">
        <color theme="0" tint="-0.34998626667073579"/>
      </left>
      <right/>
      <top style="mediumDashed">
        <color theme="0" tint="-0.34998626667073579"/>
      </top>
      <bottom/>
      <diagonal/>
    </border>
    <border>
      <left style="medium">
        <color indexed="9"/>
      </left>
      <right style="medium">
        <color indexed="9"/>
      </right>
      <top style="medium">
        <color indexed="9"/>
      </top>
      <bottom style="medium">
        <color indexed="9"/>
      </bottom>
      <diagonal/>
    </border>
  </borders>
  <cellStyleXfs count="16">
    <xf numFmtId="0" fontId="0" fillId="0" borderId="0"/>
    <xf numFmtId="0" fontId="6" fillId="0" borderId="0" xfId="0" applyNumberFormat="1" applyFont="1" applyFill="1" applyBorder="1" applyAlignment="1"/>
    <xf numFmtId="0" fontId="6" fillId="2" borderId="0" xfId="0" applyNumberFormat="1" applyFont="1" applyFill="1" applyBorder="1" applyAlignment="1"/>
    <xf numFmtId="9" fontId="3" fillId="0" borderId="0" applyFont="0" applyFill="0" applyBorder="0" applyAlignment="0" applyProtection="0"/>
    <xf numFmtId="0" fontId="3" fillId="0" borderId="0" applyProtection="0"/>
    <xf numFmtId="0" fontId="37" fillId="0" borderId="0"/>
    <xf numFmtId="0" fontId="37" fillId="0" borderId="0"/>
    <xf numFmtId="167" fontId="41" fillId="0" borderId="0" applyFont="0" applyFill="0" applyBorder="0" applyAlignment="0" applyProtection="0"/>
    <xf numFmtId="0" fontId="42" fillId="0" borderId="0" applyNumberFormat="0" applyFill="0" applyBorder="0" applyAlignment="0" applyProtection="0"/>
    <xf numFmtId="0" fontId="2"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alignment vertical="top"/>
    </xf>
    <xf numFmtId="0" fontId="1" fillId="0" borderId="0"/>
  </cellStyleXfs>
  <cellXfs count="812">
    <xf numFmtId="0" fontId="0" fillId="0" borderId="0" xfId="0"/>
    <xf numFmtId="0" fontId="6" fillId="0" borderId="0" xfId="1" applyNumberFormat="1" applyFont="1" applyFill="1" applyBorder="1" applyAlignment="1"/>
    <xf numFmtId="0" fontId="6" fillId="2" borderId="0" xfId="1" applyNumberFormat="1" applyFont="1" applyFill="1" applyBorder="1" applyAlignment="1"/>
    <xf numFmtId="0" fontId="6" fillId="0" borderId="0" xfId="1" applyNumberFormat="1" applyFont="1" applyFill="1" applyBorder="1" applyAlignment="1">
      <alignment horizontal="right"/>
    </xf>
    <xf numFmtId="0" fontId="7" fillId="0" borderId="0" xfId="1" applyNumberFormat="1" applyFont="1" applyFill="1" applyBorder="1" applyAlignment="1"/>
    <xf numFmtId="0" fontId="6" fillId="2" borderId="0" xfId="1" applyNumberFormat="1" applyFont="1" applyFill="1" applyBorder="1" applyAlignment="1"/>
    <xf numFmtId="0" fontId="0" fillId="0" borderId="0" xfId="1" applyNumberFormat="1" applyFont="1" applyFill="1" applyBorder="1" applyAlignment="1">
      <alignment horizontal="right"/>
    </xf>
    <xf numFmtId="0" fontId="6" fillId="2" borderId="0" xfId="1" applyNumberFormat="1" applyFont="1" applyFill="1" applyBorder="1" applyAlignment="1">
      <alignment horizontal="center"/>
    </xf>
    <xf numFmtId="176" fontId="6" fillId="2" borderId="0" xfId="1" applyNumberFormat="1" applyFont="1" applyFill="1" applyBorder="1" applyAlignment="1">
      <alignment horizontal="center"/>
    </xf>
    <xf numFmtId="177" fontId="6" fillId="0" borderId="0" xfId="1" applyNumberFormat="1" applyFont="1" applyFill="1" applyBorder="1" applyAlignment="1">
      <alignment horizontal="left"/>
    </xf>
    <xf numFmtId="166" fontId="16" fillId="2" borderId="0" xfId="1" applyNumberFormat="1" applyFont="1" applyFill="1" applyBorder="1" applyAlignment="1"/>
    <xf numFmtId="0" fontId="18" fillId="2" borderId="0" xfId="1" applyNumberFormat="1" applyFont="1" applyFill="1" applyBorder="1" applyAlignment="1"/>
    <xf numFmtId="0" fontId="22" fillId="4" borderId="0" xfId="1" applyNumberFormat="1" applyFont="1" applyFill="1" applyBorder="1" applyAlignment="1"/>
    <xf numFmtId="0" fontId="7" fillId="2" borderId="0" xfId="1" applyNumberFormat="1" applyFont="1" applyFill="1" applyBorder="1" applyAlignment="1"/>
    <xf numFmtId="171" fontId="6" fillId="0" borderId="0" xfId="1" applyNumberFormat="1" applyFont="1" applyFill="1" applyBorder="1" applyAlignment="1"/>
    <xf numFmtId="166" fontId="6" fillId="2" borderId="1" xfId="1" applyNumberFormat="1" applyFont="1" applyFill="1" applyBorder="1" applyAlignment="1"/>
    <xf numFmtId="166" fontId="6" fillId="2" borderId="0" xfId="1" applyNumberFormat="1" applyFont="1" applyFill="1" applyBorder="1" applyAlignment="1"/>
    <xf numFmtId="0" fontId="7" fillId="3" borderId="0" xfId="1" applyNumberFormat="1" applyFont="1" applyFill="1" applyBorder="1" applyAlignment="1"/>
    <xf numFmtId="170" fontId="6" fillId="0" borderId="0" xfId="1" applyNumberFormat="1" applyFont="1" applyFill="1" applyBorder="1" applyAlignment="1"/>
    <xf numFmtId="0" fontId="6" fillId="2" borderId="0" xfId="1" applyNumberFormat="1" applyFont="1" applyFill="1" applyBorder="1" applyAlignment="1">
      <alignment horizontal="left"/>
    </xf>
    <xf numFmtId="0" fontId="7" fillId="2" borderId="0" xfId="1" applyNumberFormat="1" applyFont="1" applyFill="1" applyBorder="1" applyAlignment="1">
      <alignment horizontal="center"/>
    </xf>
    <xf numFmtId="183" fontId="6" fillId="2" borderId="0" xfId="1" applyNumberFormat="1" applyFont="1" applyFill="1" applyBorder="1" applyAlignment="1" applyProtection="1">
      <protection hidden="1"/>
    </xf>
    <xf numFmtId="1" fontId="6" fillId="2" borderId="0" xfId="1" applyNumberFormat="1" applyFont="1" applyFill="1" applyBorder="1" applyAlignment="1"/>
    <xf numFmtId="170" fontId="3" fillId="0" borderId="0" xfId="1" applyNumberFormat="1" applyFont="1" applyFill="1" applyBorder="1" applyAlignment="1"/>
    <xf numFmtId="0" fontId="6" fillId="0" borderId="0" xfId="1" applyNumberFormat="1" applyFont="1" applyFill="1" applyBorder="1" applyAlignment="1">
      <alignment horizontal="center"/>
    </xf>
    <xf numFmtId="166" fontId="7" fillId="3" borderId="0" xfId="1" applyNumberFormat="1" applyFont="1" applyFill="1" applyBorder="1" applyAlignment="1"/>
    <xf numFmtId="0" fontId="0" fillId="0" borderId="1" xfId="1" applyNumberFormat="1" applyFont="1" applyFill="1" applyBorder="1" applyAlignment="1"/>
    <xf numFmtId="0" fontId="0" fillId="2" borderId="1" xfId="1" applyNumberFormat="1" applyFont="1" applyFill="1" applyBorder="1" applyAlignment="1"/>
    <xf numFmtId="0" fontId="7" fillId="0" borderId="1" xfId="1" applyNumberFormat="1" applyFont="1" applyFill="1" applyBorder="1" applyAlignment="1"/>
    <xf numFmtId="166" fontId="7" fillId="0" borderId="1" xfId="1" applyNumberFormat="1" applyFont="1" applyFill="1" applyBorder="1" applyAlignment="1"/>
    <xf numFmtId="170" fontId="6" fillId="2" borderId="0" xfId="1" applyNumberFormat="1" applyFont="1" applyFill="1" applyBorder="1" applyAlignment="1"/>
    <xf numFmtId="166" fontId="7" fillId="2" borderId="0" xfId="1" applyNumberFormat="1" applyFont="1" applyFill="1" applyBorder="1" applyAlignment="1"/>
    <xf numFmtId="0" fontId="8" fillId="4" borderId="0" xfId="1" applyNumberFormat="1" applyFont="1" applyFill="1" applyBorder="1" applyAlignment="1"/>
    <xf numFmtId="166" fontId="8" fillId="4" borderId="0" xfId="1" applyNumberFormat="1" applyFont="1" applyFill="1" applyBorder="1" applyAlignment="1"/>
    <xf numFmtId="0" fontId="0" fillId="0" borderId="0" xfId="1" applyNumberFormat="1" applyFont="1" applyFill="1" applyBorder="1" applyAlignment="1">
      <alignment horizontal="left" indent="1"/>
    </xf>
    <xf numFmtId="166" fontId="0" fillId="0" borderId="1" xfId="1" applyNumberFormat="1" applyFont="1" applyFill="1" applyBorder="1" applyAlignment="1"/>
    <xf numFmtId="166" fontId="0" fillId="0" borderId="0" xfId="1" applyNumberFormat="1" applyFont="1" applyFill="1" applyBorder="1" applyAlignment="1"/>
    <xf numFmtId="0" fontId="6" fillId="0" borderId="3" xfId="1" applyNumberFormat="1" applyFont="1" applyFill="1" applyBorder="1" applyAlignment="1">
      <alignment horizontal="left"/>
    </xf>
    <xf numFmtId="166" fontId="15" fillId="3" borderId="0" xfId="1" applyNumberFormat="1" applyFont="1" applyFill="1" applyBorder="1" applyAlignment="1"/>
    <xf numFmtId="0" fontId="0" fillId="0" borderId="0" xfId="1" applyNumberFormat="1" applyFont="1" applyFill="1" applyBorder="1" applyAlignment="1"/>
    <xf numFmtId="0" fontId="0" fillId="0" borderId="9" xfId="1" applyNumberFormat="1" applyFont="1" applyFill="1" applyBorder="1" applyAlignment="1"/>
    <xf numFmtId="0" fontId="0" fillId="0" borderId="10" xfId="1" applyNumberFormat="1" applyFont="1" applyFill="1" applyBorder="1" applyAlignment="1"/>
    <xf numFmtId="0" fontId="0" fillId="2" borderId="0" xfId="1" applyNumberFormat="1" applyFont="1" applyFill="1" applyBorder="1" applyAlignment="1"/>
    <xf numFmtId="166" fontId="8" fillId="0" borderId="0" xfId="1" applyNumberFormat="1" applyFont="1" applyFill="1" applyBorder="1" applyAlignment="1"/>
    <xf numFmtId="38" fontId="8" fillId="4" borderId="0" xfId="1" applyNumberFormat="1" applyFont="1" applyFill="1" applyBorder="1" applyAlignment="1"/>
    <xf numFmtId="166" fontId="8" fillId="2" borderId="0" xfId="1" applyNumberFormat="1" applyFont="1" applyFill="1" applyBorder="1" applyAlignment="1"/>
    <xf numFmtId="10" fontId="0" fillId="2" borderId="0" xfId="1" applyNumberFormat="1" applyFont="1" applyFill="1" applyBorder="1" applyAlignment="1"/>
    <xf numFmtId="0" fontId="15" fillId="2" borderId="3" xfId="1" applyNumberFormat="1" applyFont="1" applyFill="1" applyBorder="1" applyAlignment="1"/>
    <xf numFmtId="166" fontId="15" fillId="2" borderId="3" xfId="1" applyNumberFormat="1" applyFont="1" applyFill="1" applyBorder="1" applyAlignment="1"/>
    <xf numFmtId="0" fontId="31" fillId="0" borderId="0" xfId="1" applyNumberFormat="1" applyFont="1" applyFill="1" applyBorder="1" applyAlignment="1"/>
    <xf numFmtId="10" fontId="31" fillId="0" borderId="0" xfId="1" applyNumberFormat="1" applyFont="1" applyFill="1" applyBorder="1" applyAlignment="1"/>
    <xf numFmtId="0" fontId="31" fillId="0" borderId="0" xfId="1" applyNumberFormat="1" applyFont="1" applyFill="1" applyBorder="1" applyAlignment="1"/>
    <xf numFmtId="0" fontId="31" fillId="2" borderId="0" xfId="1" applyNumberFormat="1" applyFont="1" applyFill="1" applyBorder="1" applyAlignment="1"/>
    <xf numFmtId="3" fontId="6" fillId="0" borderId="0" xfId="1" applyNumberFormat="1" applyFont="1" applyFill="1" applyBorder="1" applyAlignment="1"/>
    <xf numFmtId="166" fontId="15" fillId="2" borderId="0" xfId="1" applyNumberFormat="1" applyFont="1" applyFill="1" applyBorder="1" applyAlignment="1"/>
    <xf numFmtId="0" fontId="7" fillId="0" borderId="0" xfId="0" applyFont="1"/>
    <xf numFmtId="10" fontId="0" fillId="0" borderId="0" xfId="2" applyNumberFormat="1" applyFont="1" applyFill="1" applyBorder="1" applyAlignment="1"/>
    <xf numFmtId="10" fontId="0" fillId="0" borderId="0" xfId="0" applyNumberFormat="1"/>
    <xf numFmtId="0" fontId="0" fillId="0" borderId="0" xfId="0" applyBorder="1"/>
    <xf numFmtId="0" fontId="6" fillId="0" borderId="0" xfId="1" applyNumberFormat="1" applyFont="1" applyFill="1" applyBorder="1" applyAlignment="1">
      <alignment horizontal="right"/>
    </xf>
    <xf numFmtId="169" fontId="8" fillId="0" borderId="7" xfId="1" applyNumberFormat="1" applyFont="1" applyFill="1" applyBorder="1" applyAlignment="1">
      <alignment horizontal="left"/>
    </xf>
    <xf numFmtId="0" fontId="0" fillId="0" borderId="0" xfId="0" applyFill="1"/>
    <xf numFmtId="0" fontId="6" fillId="0" borderId="0" xfId="1" applyNumberFormat="1" applyFont="1" applyFill="1" applyBorder="1" applyAlignment="1">
      <alignment horizontal="left"/>
    </xf>
    <xf numFmtId="166" fontId="6" fillId="0" borderId="0" xfId="1" applyNumberFormat="1" applyFont="1" applyFill="1" applyBorder="1" applyAlignment="1"/>
    <xf numFmtId="0" fontId="7" fillId="0" borderId="0" xfId="1" applyNumberFormat="1" applyFont="1" applyFill="1" applyBorder="1" applyAlignment="1"/>
    <xf numFmtId="166" fontId="7" fillId="0" borderId="0" xfId="1" applyNumberFormat="1" applyFont="1" applyFill="1" applyBorder="1" applyAlignment="1"/>
    <xf numFmtId="10" fontId="6" fillId="0" borderId="0" xfId="1" applyNumberFormat="1" applyFont="1" applyFill="1" applyBorder="1" applyAlignment="1"/>
    <xf numFmtId="0" fontId="17" fillId="0" borderId="0" xfId="1" applyNumberFormat="1" applyFont="1" applyFill="1" applyBorder="1" applyAlignment="1"/>
    <xf numFmtId="166" fontId="6" fillId="0" borderId="1" xfId="1" applyNumberFormat="1" applyFont="1" applyFill="1" applyBorder="1" applyAlignment="1"/>
    <xf numFmtId="171" fontId="6" fillId="0" borderId="0" xfId="1" applyNumberFormat="1" applyFont="1" applyFill="1" applyBorder="1" applyAlignment="1"/>
    <xf numFmtId="170" fontId="6" fillId="0" borderId="0" xfId="1" applyNumberFormat="1" applyFont="1" applyFill="1" applyBorder="1" applyAlignment="1"/>
    <xf numFmtId="168" fontId="6" fillId="0" borderId="0" xfId="1" applyNumberFormat="1" applyFont="1" applyFill="1" applyBorder="1" applyAlignment="1"/>
    <xf numFmtId="0" fontId="11" fillId="0" borderId="0" xfId="1" applyNumberFormat="1" applyFont="1" applyFill="1" applyBorder="1" applyAlignment="1"/>
    <xf numFmtId="0" fontId="7" fillId="0" borderId="0" xfId="1" applyNumberFormat="1" applyFont="1" applyFill="1" applyBorder="1" applyAlignment="1">
      <alignment horizontal="left"/>
    </xf>
    <xf numFmtId="0" fontId="6" fillId="0" borderId="0" xfId="1" applyNumberFormat="1" applyFont="1" applyFill="1" applyBorder="1" applyAlignment="1">
      <alignment horizontal="center"/>
    </xf>
    <xf numFmtId="176" fontId="6" fillId="0" borderId="0" xfId="1" applyNumberFormat="1" applyFont="1" applyFill="1" applyBorder="1" applyAlignment="1">
      <alignment horizontal="center"/>
    </xf>
    <xf numFmtId="0" fontId="0" fillId="0" borderId="1" xfId="1" applyNumberFormat="1" applyFont="1" applyFill="1" applyBorder="1" applyAlignment="1">
      <alignment horizontal="right"/>
    </xf>
    <xf numFmtId="10" fontId="0" fillId="0" borderId="0" xfId="1" applyNumberFormat="1" applyFont="1" applyFill="1" applyBorder="1" applyAlignment="1"/>
    <xf numFmtId="0" fontId="0" fillId="0" borderId="0" xfId="0" applyFill="1" applyBorder="1"/>
    <xf numFmtId="166" fontId="6" fillId="0" borderId="10" xfId="1" applyNumberFormat="1" applyFont="1" applyFill="1" applyBorder="1" applyAlignment="1"/>
    <xf numFmtId="0" fontId="6" fillId="0" borderId="3" xfId="1" applyNumberFormat="1" applyFont="1" applyFill="1" applyBorder="1" applyAlignment="1"/>
    <xf numFmtId="0" fontId="4" fillId="0" borderId="0" xfId="0" applyFont="1"/>
    <xf numFmtId="0" fontId="28" fillId="0" borderId="0" xfId="0" applyFont="1"/>
    <xf numFmtId="10" fontId="4" fillId="0" borderId="0" xfId="2" applyNumberFormat="1" applyFont="1" applyFill="1" applyBorder="1" applyAlignment="1"/>
    <xf numFmtId="179" fontId="6" fillId="0" borderId="0" xfId="1" applyNumberFormat="1" applyFont="1" applyFill="1" applyBorder="1" applyAlignment="1"/>
    <xf numFmtId="0" fontId="4" fillId="0" borderId="0" xfId="1" applyNumberFormat="1" applyFont="1" applyFill="1" applyBorder="1" applyAlignment="1">
      <alignment horizontal="left" indent="1"/>
    </xf>
    <xf numFmtId="166" fontId="33" fillId="0" borderId="0" xfId="0" applyNumberFormat="1" applyFont="1"/>
    <xf numFmtId="166" fontId="33" fillId="0" borderId="3" xfId="0" applyNumberFormat="1" applyFont="1" applyBorder="1"/>
    <xf numFmtId="166" fontId="33" fillId="0" borderId="1" xfId="0" applyNumberFormat="1" applyFont="1" applyBorder="1"/>
    <xf numFmtId="3" fontId="0" fillId="0" borderId="0" xfId="0" applyNumberFormat="1"/>
    <xf numFmtId="166" fontId="0" fillId="0" borderId="1" xfId="0" applyNumberFormat="1" applyBorder="1"/>
    <xf numFmtId="0" fontId="0" fillId="0" borderId="2" xfId="0" applyBorder="1"/>
    <xf numFmtId="171" fontId="6" fillId="0" borderId="1" xfId="1" applyNumberFormat="1" applyFont="1" applyFill="1" applyBorder="1" applyAlignment="1"/>
    <xf numFmtId="0" fontId="0" fillId="0" borderId="1" xfId="0" applyBorder="1"/>
    <xf numFmtId="0" fontId="0" fillId="0" borderId="12" xfId="0" applyBorder="1"/>
    <xf numFmtId="171" fontId="6" fillId="0" borderId="3" xfId="1" applyNumberFormat="1" applyFont="1" applyFill="1" applyBorder="1" applyAlignment="1"/>
    <xf numFmtId="0" fontId="0" fillId="0" borderId="3" xfId="0" applyBorder="1"/>
    <xf numFmtId="0" fontId="0" fillId="0" borderId="6" xfId="0" applyBorder="1"/>
    <xf numFmtId="166" fontId="0" fillId="0" borderId="0" xfId="0" applyNumberFormat="1"/>
    <xf numFmtId="0" fontId="0" fillId="0" borderId="4" xfId="0" applyBorder="1"/>
    <xf numFmtId="166" fontId="6" fillId="0" borderId="3" xfId="1" applyNumberFormat="1" applyFont="1" applyFill="1" applyBorder="1" applyAlignment="1"/>
    <xf numFmtId="168" fontId="0" fillId="0" borderId="0" xfId="0" applyNumberFormat="1"/>
    <xf numFmtId="0" fontId="0" fillId="8" borderId="0" xfId="0" applyFill="1"/>
    <xf numFmtId="166" fontId="6" fillId="8" borderId="0" xfId="1" applyNumberFormat="1" applyFont="1" applyFill="1" applyBorder="1" applyAlignment="1"/>
    <xf numFmtId="168" fontId="0" fillId="0" borderId="0" xfId="0" applyNumberFormat="1" applyFill="1"/>
    <xf numFmtId="175" fontId="33" fillId="0" borderId="7" xfId="1" applyNumberFormat="1" applyFont="1" applyFill="1" applyBorder="1" applyAlignment="1">
      <alignment horizontal="right"/>
    </xf>
    <xf numFmtId="166" fontId="6" fillId="7" borderId="0" xfId="1" applyNumberFormat="1" applyFont="1" applyFill="1" applyBorder="1" applyAlignment="1"/>
    <xf numFmtId="166" fontId="33" fillId="7" borderId="0" xfId="1" applyNumberFormat="1" applyFont="1" applyFill="1" applyBorder="1" applyAlignment="1"/>
    <xf numFmtId="0" fontId="3" fillId="0" borderId="0" xfId="4" applyFont="1" applyFill="1"/>
    <xf numFmtId="0" fontId="39" fillId="0" borderId="0" xfId="0" applyFont="1"/>
    <xf numFmtId="3" fontId="36" fillId="0" borderId="0" xfId="0" applyNumberFormat="1" applyFont="1"/>
    <xf numFmtId="166" fontId="3" fillId="0" borderId="3" xfId="0" applyNumberFormat="1" applyFont="1" applyBorder="1"/>
    <xf numFmtId="166" fontId="3" fillId="0" borderId="2" xfId="0" applyNumberFormat="1" applyFont="1" applyBorder="1"/>
    <xf numFmtId="3" fontId="6" fillId="0" borderId="1" xfId="1" applyNumberFormat="1" applyFont="1" applyFill="1" applyBorder="1" applyAlignment="1"/>
    <xf numFmtId="3" fontId="6" fillId="0" borderId="3" xfId="1" applyNumberFormat="1" applyFont="1" applyFill="1" applyBorder="1" applyAlignment="1"/>
    <xf numFmtId="3" fontId="6" fillId="0" borderId="2" xfId="1" applyNumberFormat="1" applyFont="1" applyFill="1" applyBorder="1" applyAlignment="1"/>
    <xf numFmtId="166" fontId="3" fillId="0" borderId="0" xfId="1" applyNumberFormat="1" applyFont="1" applyFill="1" applyBorder="1" applyAlignment="1"/>
    <xf numFmtId="10" fontId="36" fillId="0" borderId="0" xfId="3" applyNumberFormat="1" applyFont="1"/>
    <xf numFmtId="10" fontId="11" fillId="0" borderId="0" xfId="1" applyNumberFormat="1" applyFont="1" applyFill="1" applyBorder="1" applyAlignment="1">
      <alignment horizontal="center"/>
    </xf>
    <xf numFmtId="0" fontId="8" fillId="0" borderId="0" xfId="1" applyNumberFormat="1" applyFont="1" applyFill="1" applyBorder="1" applyAlignment="1"/>
    <xf numFmtId="0" fontId="11" fillId="9" borderId="0" xfId="8" applyNumberFormat="1" applyFont="1" applyFill="1" applyBorder="1" applyAlignment="1"/>
    <xf numFmtId="0" fontId="43" fillId="9" borderId="0" xfId="7" applyNumberFormat="1" applyFont="1" applyFill="1" applyBorder="1" applyAlignment="1"/>
    <xf numFmtId="0" fontId="3" fillId="0" borderId="0" xfId="7" applyNumberFormat="1" applyFont="1" applyFill="1" applyBorder="1" applyAlignment="1"/>
    <xf numFmtId="0" fontId="3" fillId="5" borderId="0" xfId="7" applyNumberFormat="1" applyFont="1" applyFill="1" applyBorder="1" applyAlignment="1"/>
    <xf numFmtId="0" fontId="0" fillId="0" borderId="0" xfId="0" applyAlignment="1">
      <alignment vertical="top"/>
    </xf>
    <xf numFmtId="179" fontId="33" fillId="0" borderId="0" xfId="1" applyNumberFormat="1" applyFont="1" applyFill="1" applyBorder="1" applyAlignment="1"/>
    <xf numFmtId="166" fontId="33" fillId="0" borderId="0" xfId="1" applyNumberFormat="1" applyFont="1" applyFill="1" applyBorder="1" applyAlignment="1"/>
    <xf numFmtId="166" fontId="33" fillId="0" borderId="1" xfId="1" applyNumberFormat="1" applyFont="1" applyFill="1" applyBorder="1" applyAlignment="1"/>
    <xf numFmtId="168" fontId="33" fillId="0" borderId="0" xfId="1" applyNumberFormat="1" applyFont="1" applyFill="1" applyBorder="1" applyAlignment="1"/>
    <xf numFmtId="166" fontId="7" fillId="6" borderId="0" xfId="1" applyNumberFormat="1" applyFont="1" applyFill="1" applyBorder="1" applyAlignment="1"/>
    <xf numFmtId="0" fontId="0" fillId="7" borderId="0" xfId="0" applyFill="1"/>
    <xf numFmtId="166" fontId="36" fillId="7" borderId="0" xfId="1" applyNumberFormat="1" applyFont="1" applyFill="1" applyBorder="1" applyAlignment="1"/>
    <xf numFmtId="0" fontId="14" fillId="0" borderId="0" xfId="0" applyFont="1"/>
    <xf numFmtId="10" fontId="7" fillId="2" borderId="0" xfId="1" applyNumberFormat="1" applyFont="1" applyFill="1" applyBorder="1" applyAlignment="1"/>
    <xf numFmtId="10" fontId="7" fillId="0" borderId="0" xfId="1" applyNumberFormat="1" applyFont="1" applyFill="1" applyBorder="1" applyAlignment="1"/>
    <xf numFmtId="0" fontId="3" fillId="0" borderId="0" xfId="0" applyFont="1"/>
    <xf numFmtId="10" fontId="5" fillId="0" borderId="0" xfId="1" applyNumberFormat="1" applyFont="1" applyFill="1" applyBorder="1" applyAlignment="1"/>
    <xf numFmtId="189" fontId="39" fillId="0" borderId="0" xfId="1" applyNumberFormat="1" applyFont="1" applyFill="1" applyBorder="1" applyAlignment="1">
      <alignment horizontal="center"/>
    </xf>
    <xf numFmtId="0" fontId="7" fillId="6" borderId="0" xfId="0" applyFont="1" applyFill="1"/>
    <xf numFmtId="166" fontId="3" fillId="6" borderId="0" xfId="1" applyNumberFormat="1" applyFont="1" applyFill="1" applyBorder="1" applyAlignment="1"/>
    <xf numFmtId="166" fontId="35" fillId="6" borderId="0" xfId="1" applyNumberFormat="1" applyFont="1" applyFill="1" applyBorder="1" applyAlignment="1"/>
    <xf numFmtId="0" fontId="11" fillId="0" borderId="0" xfId="0" applyFont="1"/>
    <xf numFmtId="0" fontId="33" fillId="0" borderId="0" xfId="0" applyFont="1" applyAlignment="1">
      <alignment horizontal="center"/>
    </xf>
    <xf numFmtId="4" fontId="0" fillId="0" borderId="0" xfId="0" applyNumberFormat="1"/>
    <xf numFmtId="0" fontId="0" fillId="0" borderId="0" xfId="0" applyAlignment="1">
      <alignment horizontal="center"/>
    </xf>
    <xf numFmtId="165" fontId="0" fillId="0" borderId="0" xfId="0" applyNumberFormat="1"/>
    <xf numFmtId="166" fontId="33" fillId="0" borderId="3" xfId="1" applyNumberFormat="1" applyFont="1" applyFill="1" applyBorder="1" applyAlignment="1"/>
    <xf numFmtId="193" fontId="0" fillId="0" borderId="0" xfId="1" applyNumberFormat="1" applyFont="1" applyFill="1" applyBorder="1" applyAlignment="1"/>
    <xf numFmtId="170" fontId="33" fillId="0" borderId="0" xfId="1" applyNumberFormat="1" applyFont="1" applyFill="1" applyBorder="1" applyAlignment="1"/>
    <xf numFmtId="166" fontId="36" fillId="0" borderId="0" xfId="1" applyNumberFormat="1" applyFont="1" applyFill="1" applyBorder="1" applyAlignment="1"/>
    <xf numFmtId="0" fontId="0" fillId="0" borderId="1" xfId="0" applyFill="1" applyBorder="1"/>
    <xf numFmtId="166" fontId="36" fillId="0" borderId="1" xfId="1" applyNumberFormat="1" applyFont="1" applyFill="1" applyBorder="1" applyAlignment="1"/>
    <xf numFmtId="166" fontId="4" fillId="0" borderId="1" xfId="1" applyNumberFormat="1" applyFont="1" applyFill="1" applyBorder="1" applyAlignment="1"/>
    <xf numFmtId="166" fontId="35" fillId="4" borderId="0" xfId="1" applyNumberFormat="1" applyFont="1" applyFill="1" applyBorder="1" applyAlignment="1"/>
    <xf numFmtId="0" fontId="52" fillId="0" borderId="0" xfId="0" applyFont="1"/>
    <xf numFmtId="4" fontId="0" fillId="0" borderId="3" xfId="0" applyNumberFormat="1" applyBorder="1"/>
    <xf numFmtId="4" fontId="7" fillId="0" borderId="0" xfId="0" applyNumberFormat="1" applyFont="1"/>
    <xf numFmtId="165" fontId="7" fillId="0" borderId="0" xfId="0" applyNumberFormat="1" applyFont="1"/>
    <xf numFmtId="0" fontId="52" fillId="0" borderId="0" xfId="0" applyFont="1" applyBorder="1"/>
    <xf numFmtId="0" fontId="3" fillId="0" borderId="6" xfId="0" applyFont="1" applyBorder="1"/>
    <xf numFmtId="0" fontId="3" fillId="0" borderId="44" xfId="0" applyFont="1" applyBorder="1"/>
    <xf numFmtId="0" fontId="7" fillId="7" borderId="4" xfId="0" applyFont="1" applyFill="1" applyBorder="1"/>
    <xf numFmtId="0" fontId="0" fillId="7" borderId="2" xfId="0" applyFill="1" applyBorder="1"/>
    <xf numFmtId="0" fontId="4" fillId="0" borderId="0" xfId="0" applyFont="1" applyFill="1"/>
    <xf numFmtId="3" fontId="7" fillId="0" borderId="0" xfId="0" applyNumberFormat="1" applyFont="1" applyAlignment="1">
      <alignment horizontal="center"/>
    </xf>
    <xf numFmtId="0" fontId="7" fillId="0" borderId="0" xfId="0" applyFont="1" applyAlignment="1">
      <alignment horizontal="center"/>
    </xf>
    <xf numFmtId="0" fontId="6" fillId="0" borderId="0" xfId="1" applyNumberFormat="1" applyFont="1" applyFill="1" applyBorder="1" applyAlignment="1"/>
    <xf numFmtId="0" fontId="0" fillId="0" borderId="0" xfId="0" applyNumberFormat="1" applyFont="1" applyFill="1" applyBorder="1" applyAlignment="1" applyProtection="1">
      <alignment horizontal="left" indent="1"/>
    </xf>
    <xf numFmtId="175" fontId="33" fillId="0" borderId="0" xfId="1" applyNumberFormat="1" applyFont="1" applyFill="1" applyBorder="1" applyAlignment="1">
      <alignment horizontal="right"/>
    </xf>
    <xf numFmtId="166" fontId="37" fillId="7" borderId="0" xfId="1" applyNumberFormat="1" applyFont="1" applyFill="1" applyBorder="1" applyAlignment="1"/>
    <xf numFmtId="187" fontId="0" fillId="0" borderId="0" xfId="0" applyNumberFormat="1"/>
    <xf numFmtId="195" fontId="0" fillId="0" borderId="0" xfId="0" applyNumberFormat="1"/>
    <xf numFmtId="0" fontId="12" fillId="0" borderId="22" xfId="1" applyNumberFormat="1" applyFont="1" applyFill="1" applyBorder="1" applyAlignment="1">
      <alignment horizontal="center" vertical="center"/>
    </xf>
    <xf numFmtId="166" fontId="45" fillId="10" borderId="0" xfId="1" applyNumberFormat="1" applyFont="1" applyFill="1" applyBorder="1" applyAlignment="1"/>
    <xf numFmtId="166" fontId="0" fillId="0" borderId="0" xfId="0" applyNumberFormat="1" applyBorder="1"/>
    <xf numFmtId="9" fontId="0" fillId="0" borderId="0" xfId="0" applyNumberFormat="1"/>
    <xf numFmtId="174" fontId="0" fillId="0" borderId="0" xfId="0" applyNumberFormat="1"/>
    <xf numFmtId="166" fontId="0" fillId="0" borderId="0" xfId="0" applyNumberFormat="1" applyFill="1"/>
    <xf numFmtId="187" fontId="0" fillId="0" borderId="1" xfId="1" applyNumberFormat="1" applyFont="1" applyFill="1" applyBorder="1" applyAlignment="1"/>
    <xf numFmtId="174" fontId="36" fillId="0" borderId="0" xfId="0" applyNumberFormat="1" applyFont="1"/>
    <xf numFmtId="0" fontId="53" fillId="0" borderId="0" xfId="0" applyFont="1"/>
    <xf numFmtId="174" fontId="53" fillId="0" borderId="0" xfId="0" applyNumberFormat="1" applyFont="1"/>
    <xf numFmtId="3" fontId="0" fillId="0" borderId="1" xfId="0" applyNumberFormat="1" applyBorder="1"/>
    <xf numFmtId="10" fontId="3" fillId="0" borderId="0" xfId="2" applyNumberFormat="1" applyFont="1" applyFill="1" applyBorder="1" applyAlignment="1"/>
    <xf numFmtId="0" fontId="3" fillId="0" borderId="0" xfId="0" applyFont="1" applyFill="1"/>
    <xf numFmtId="0" fontId="0" fillId="0" borderId="0" xfId="0" applyProtection="1"/>
    <xf numFmtId="0" fontId="6" fillId="0" borderId="0" xfId="1" applyNumberFormat="1" applyFont="1" applyFill="1" applyBorder="1" applyAlignment="1" applyProtection="1"/>
    <xf numFmtId="0" fontId="4" fillId="0" borderId="0" xfId="1" applyNumberFormat="1" applyFont="1" applyFill="1" applyBorder="1" applyAlignment="1" applyProtection="1">
      <alignment horizontal="left"/>
    </xf>
    <xf numFmtId="0" fontId="6" fillId="0" borderId="0" xfId="1" applyNumberFormat="1" applyFont="1" applyFill="1" applyBorder="1" applyAlignment="1" applyProtection="1">
      <alignment horizontal="right"/>
    </xf>
    <xf numFmtId="0" fontId="9" fillId="0" borderId="0" xfId="1" applyNumberFormat="1" applyFont="1" applyFill="1" applyBorder="1" applyAlignment="1" applyProtection="1"/>
    <xf numFmtId="187" fontId="9" fillId="0" borderId="0" xfId="1" applyNumberFormat="1" applyFont="1" applyFill="1" applyBorder="1" applyAlignment="1" applyProtection="1">
      <alignment horizontal="center"/>
    </xf>
    <xf numFmtId="169" fontId="7" fillId="0" borderId="7" xfId="1" applyNumberFormat="1" applyFont="1" applyFill="1" applyBorder="1" applyAlignment="1" applyProtection="1">
      <alignment horizontal="left"/>
    </xf>
    <xf numFmtId="0" fontId="0" fillId="0" borderId="0" xfId="0" applyFill="1" applyProtection="1"/>
    <xf numFmtId="0" fontId="9" fillId="0" borderId="0" xfId="1" applyNumberFormat="1" applyFont="1" applyFill="1" applyBorder="1" applyAlignment="1" applyProtection="1">
      <alignment horizontal="center"/>
    </xf>
    <xf numFmtId="10" fontId="6" fillId="0" borderId="0" xfId="1" applyNumberFormat="1" applyFont="1" applyFill="1" applyBorder="1" applyAlignment="1" applyProtection="1"/>
    <xf numFmtId="0" fontId="3" fillId="0" borderId="0" xfId="8" applyNumberFormat="1" applyFont="1" applyFill="1" applyBorder="1" applyAlignment="1" applyProtection="1"/>
    <xf numFmtId="0" fontId="3" fillId="0" borderId="0" xfId="8" applyNumberFormat="1" applyFont="1" applyFill="1" applyBorder="1" applyAlignment="1" applyProtection="1">
      <alignment horizontal="center"/>
    </xf>
    <xf numFmtId="0" fontId="9" fillId="0" borderId="0" xfId="1" applyNumberFormat="1" applyFont="1" applyFill="1" applyBorder="1" applyAlignment="1" applyProtection="1">
      <alignment horizontal="right"/>
    </xf>
    <xf numFmtId="4" fontId="3" fillId="0" borderId="0" xfId="8" applyNumberFormat="1" applyFont="1" applyFill="1" applyBorder="1" applyAlignment="1" applyProtection="1">
      <alignment horizontal="center"/>
    </xf>
    <xf numFmtId="170" fontId="56" fillId="7" borderId="0" xfId="0" applyNumberFormat="1" applyFont="1" applyFill="1" applyBorder="1" applyAlignment="1" applyProtection="1">
      <alignment horizontal="center" vertical="center" wrapText="1"/>
    </xf>
    <xf numFmtId="0" fontId="9" fillId="7" borderId="0" xfId="1" applyNumberFormat="1" applyFont="1" applyFill="1" applyBorder="1" applyAlignment="1" applyProtection="1"/>
    <xf numFmtId="0" fontId="7" fillId="7" borderId="0" xfId="1" applyNumberFormat="1" applyFont="1" applyFill="1" applyBorder="1" applyAlignment="1" applyProtection="1"/>
    <xf numFmtId="0" fontId="33" fillId="7" borderId="0" xfId="1" applyNumberFormat="1" applyFont="1" applyFill="1" applyBorder="1" applyAlignment="1" applyProtection="1"/>
    <xf numFmtId="0" fontId="33" fillId="0" borderId="0" xfId="1" applyNumberFormat="1" applyFont="1" applyFill="1" applyBorder="1" applyAlignment="1" applyProtection="1"/>
    <xf numFmtId="3" fontId="3" fillId="0" borderId="0" xfId="1" applyNumberFormat="1" applyFont="1" applyFill="1" applyBorder="1" applyAlignment="1" applyProtection="1">
      <alignment horizontal="right"/>
    </xf>
    <xf numFmtId="10" fontId="3" fillId="7" borderId="0" xfId="1" applyNumberFormat="1" applyFont="1" applyFill="1" applyBorder="1" applyAlignment="1" applyProtection="1">
      <alignment horizontal="right"/>
    </xf>
    <xf numFmtId="10" fontId="33" fillId="0" borderId="0" xfId="1" applyNumberFormat="1" applyFont="1" applyFill="1" applyBorder="1" applyAlignment="1" applyProtection="1">
      <alignment horizontal="right"/>
    </xf>
    <xf numFmtId="10" fontId="3" fillId="0" borderId="0" xfId="1" applyNumberFormat="1" applyFont="1" applyFill="1" applyBorder="1" applyAlignment="1" applyProtection="1">
      <alignment horizontal="right"/>
    </xf>
    <xf numFmtId="10" fontId="12" fillId="7" borderId="0" xfId="8" applyNumberFormat="1" applyFont="1" applyFill="1" applyBorder="1" applyAlignment="1" applyProtection="1">
      <alignment horizontal="right" vertical="top"/>
    </xf>
    <xf numFmtId="10" fontId="12" fillId="7" borderId="0" xfId="1" applyNumberFormat="1" applyFont="1" applyFill="1" applyBorder="1" applyAlignment="1" applyProtection="1">
      <alignment horizontal="right"/>
    </xf>
    <xf numFmtId="0" fontId="4" fillId="0" borderId="0" xfId="1" applyNumberFormat="1" applyFont="1" applyFill="1" applyBorder="1" applyAlignment="1" applyProtection="1"/>
    <xf numFmtId="10" fontId="33" fillId="7" borderId="0" xfId="1" applyNumberFormat="1" applyFont="1" applyFill="1" applyBorder="1" applyAlignment="1" applyProtection="1">
      <alignment horizontal="right"/>
    </xf>
    <xf numFmtId="0" fontId="14" fillId="7" borderId="0" xfId="1" applyNumberFormat="1" applyFont="1" applyFill="1" applyBorder="1" applyAlignment="1" applyProtection="1"/>
    <xf numFmtId="0" fontId="55" fillId="0" borderId="0" xfId="0" applyFont="1" applyFill="1" applyProtection="1"/>
    <xf numFmtId="0" fontId="3" fillId="7" borderId="0" xfId="14" applyFont="1" applyFill="1" applyBorder="1" applyAlignment="1" applyProtection="1">
      <alignment horizontal="left"/>
    </xf>
    <xf numFmtId="3" fontId="12" fillId="7" borderId="0" xfId="8" applyNumberFormat="1" applyFont="1" applyFill="1" applyBorder="1" applyAlignment="1" applyProtection="1">
      <alignment horizontal="right" vertical="top"/>
    </xf>
    <xf numFmtId="3" fontId="3" fillId="7" borderId="0" xfId="1" applyNumberFormat="1" applyFont="1" applyFill="1" applyBorder="1" applyAlignment="1" applyProtection="1">
      <alignment horizontal="right"/>
    </xf>
    <xf numFmtId="3" fontId="33" fillId="0" borderId="0" xfId="1" applyNumberFormat="1" applyFont="1" applyFill="1" applyBorder="1" applyAlignment="1" applyProtection="1">
      <alignment horizontal="right"/>
    </xf>
    <xf numFmtId="0" fontId="33" fillId="7" borderId="0" xfId="1" applyNumberFormat="1" applyFont="1" applyFill="1" applyBorder="1" applyAlignment="1" applyProtection="1">
      <alignment horizontal="right"/>
    </xf>
    <xf numFmtId="171" fontId="3" fillId="0" borderId="0" xfId="1" applyNumberFormat="1" applyFont="1" applyFill="1" applyBorder="1" applyAlignment="1" applyProtection="1">
      <alignment horizontal="right"/>
    </xf>
    <xf numFmtId="0" fontId="11" fillId="0" borderId="0" xfId="1" applyNumberFormat="1" applyFont="1" applyFill="1" applyBorder="1" applyAlignment="1" applyProtection="1"/>
    <xf numFmtId="0" fontId="7" fillId="7" borderId="0" xfId="0" applyFont="1" applyFill="1" applyProtection="1"/>
    <xf numFmtId="170" fontId="3" fillId="0" borderId="0" xfId="1" applyNumberFormat="1" applyFont="1" applyFill="1" applyBorder="1" applyAlignment="1" applyProtection="1">
      <alignment horizontal="right"/>
    </xf>
    <xf numFmtId="170" fontId="12" fillId="0" borderId="0" xfId="8" applyNumberFormat="1" applyFont="1" applyFill="1" applyBorder="1" applyAlignment="1" applyProtection="1">
      <alignment horizontal="right" vertical="top"/>
    </xf>
    <xf numFmtId="1" fontId="12" fillId="0" borderId="0" xfId="8" applyNumberFormat="1" applyFont="1" applyFill="1" applyBorder="1" applyAlignment="1" applyProtection="1">
      <alignment horizontal="right" vertical="top"/>
    </xf>
    <xf numFmtId="10" fontId="12" fillId="0" borderId="0" xfId="8" applyNumberFormat="1" applyFont="1" applyFill="1" applyBorder="1" applyAlignment="1" applyProtection="1"/>
    <xf numFmtId="171" fontId="12" fillId="0" borderId="0" xfId="8" applyNumberFormat="1" applyFont="1" applyFill="1" applyBorder="1" applyAlignment="1" applyProtection="1"/>
    <xf numFmtId="0" fontId="33" fillId="0" borderId="0" xfId="0" applyFont="1" applyFill="1" applyProtection="1"/>
    <xf numFmtId="0" fontId="3" fillId="7" borderId="0" xfId="1" applyNumberFormat="1" applyFont="1" applyFill="1" applyBorder="1" applyAlignment="1" applyProtection="1"/>
    <xf numFmtId="0" fontId="3" fillId="7" borderId="0" xfId="0" applyFont="1" applyFill="1" applyProtection="1"/>
    <xf numFmtId="0" fontId="7" fillId="7" borderId="0" xfId="1" applyNumberFormat="1" applyFont="1" applyFill="1" applyBorder="1" applyAlignment="1" applyProtection="1">
      <alignment horizontal="left"/>
    </xf>
    <xf numFmtId="171" fontId="33" fillId="7" borderId="0" xfId="1" applyNumberFormat="1" applyFont="1" applyFill="1" applyBorder="1" applyAlignment="1" applyProtection="1">
      <alignment horizontal="right"/>
    </xf>
    <xf numFmtId="0" fontId="3" fillId="0" borderId="0" xfId="1" applyNumberFormat="1" applyFont="1" applyFill="1" applyBorder="1" applyAlignment="1" applyProtection="1"/>
    <xf numFmtId="3" fontId="3" fillId="0" borderId="0" xfId="1" applyNumberFormat="1" applyFont="1" applyFill="1" applyBorder="1" applyAlignment="1" applyProtection="1"/>
    <xf numFmtId="3" fontId="33" fillId="0" borderId="0" xfId="1" applyNumberFormat="1" applyFont="1" applyFill="1" applyBorder="1" applyAlignment="1" applyProtection="1"/>
    <xf numFmtId="9" fontId="3" fillId="0" borderId="0" xfId="1" applyNumberFormat="1" applyFont="1" applyFill="1" applyBorder="1" applyAlignment="1" applyProtection="1"/>
    <xf numFmtId="0" fontId="8" fillId="7" borderId="0" xfId="1" applyNumberFormat="1" applyFont="1" applyFill="1" applyBorder="1" applyAlignment="1" applyProtection="1"/>
    <xf numFmtId="0" fontId="3" fillId="7" borderId="0" xfId="1" applyNumberFormat="1" applyFont="1" applyFill="1" applyBorder="1" applyAlignment="1" applyProtection="1">
      <alignment horizontal="left"/>
    </xf>
    <xf numFmtId="171" fontId="32" fillId="7" borderId="0" xfId="1" applyNumberFormat="1" applyFont="1" applyFill="1" applyBorder="1" applyAlignment="1" applyProtection="1">
      <alignment horizontal="right"/>
    </xf>
    <xf numFmtId="3" fontId="33" fillId="7" borderId="0" xfId="1" applyNumberFormat="1" applyFont="1" applyFill="1" applyBorder="1" applyAlignment="1" applyProtection="1"/>
    <xf numFmtId="0" fontId="3" fillId="0" borderId="0" xfId="0" applyFont="1" applyFill="1" applyProtection="1"/>
    <xf numFmtId="172" fontId="3" fillId="7" borderId="0" xfId="1" applyNumberFormat="1" applyFont="1" applyFill="1" applyBorder="1" applyAlignment="1" applyProtection="1"/>
    <xf numFmtId="0" fontId="28" fillId="7" borderId="0" xfId="0" applyFont="1" applyFill="1" applyProtection="1"/>
    <xf numFmtId="166" fontId="3" fillId="0" borderId="0" xfId="1" applyNumberFormat="1" applyFont="1" applyFill="1" applyBorder="1" applyAlignment="1" applyProtection="1">
      <alignment horizontal="right"/>
    </xf>
    <xf numFmtId="2" fontId="3" fillId="0" borderId="0" xfId="1" applyNumberFormat="1" applyFont="1" applyFill="1" applyBorder="1" applyAlignment="1" applyProtection="1">
      <alignment horizontal="right"/>
    </xf>
    <xf numFmtId="10" fontId="37" fillId="0" borderId="0" xfId="1" applyNumberFormat="1" applyFont="1" applyFill="1" applyBorder="1" applyAlignment="1" applyProtection="1">
      <alignment horizontal="right"/>
    </xf>
    <xf numFmtId="0" fontId="9" fillId="7" borderId="0" xfId="1" applyNumberFormat="1" applyFont="1" applyFill="1" applyBorder="1" applyAlignment="1" applyProtection="1">
      <alignment horizontal="right"/>
    </xf>
    <xf numFmtId="169" fontId="7" fillId="0" borderId="7" xfId="1" applyNumberFormat="1" applyFont="1" applyFill="1" applyBorder="1" applyAlignment="1" applyProtection="1">
      <alignment horizontal="right"/>
    </xf>
    <xf numFmtId="0" fontId="7" fillId="7" borderId="0" xfId="12" applyFont="1" applyFill="1" applyBorder="1" applyProtection="1"/>
    <xf numFmtId="0" fontId="3" fillId="7" borderId="0" xfId="0" applyFont="1" applyFill="1" applyBorder="1" applyProtection="1"/>
    <xf numFmtId="0" fontId="7" fillId="7" borderId="1" xfId="1" applyNumberFormat="1" applyFont="1" applyFill="1" applyBorder="1" applyAlignment="1" applyProtection="1"/>
    <xf numFmtId="0" fontId="3" fillId="7" borderId="1" xfId="1" applyNumberFormat="1" applyFont="1" applyFill="1" applyBorder="1" applyAlignment="1" applyProtection="1"/>
    <xf numFmtId="0" fontId="3" fillId="7" borderId="1" xfId="0" applyFont="1" applyFill="1" applyBorder="1" applyProtection="1"/>
    <xf numFmtId="166" fontId="7" fillId="0" borderId="1" xfId="1" applyNumberFormat="1" applyFont="1" applyFill="1" applyBorder="1" applyAlignment="1" applyProtection="1"/>
    <xf numFmtId="0" fontId="0" fillId="0" borderId="0" xfId="0" applyFill="1" applyBorder="1" applyProtection="1"/>
    <xf numFmtId="0" fontId="0" fillId="0" borderId="0" xfId="0" applyBorder="1" applyProtection="1"/>
    <xf numFmtId="0" fontId="7" fillId="4" borderId="0" xfId="1" applyNumberFormat="1" applyFont="1" applyFill="1" applyBorder="1" applyAlignment="1" applyProtection="1"/>
    <xf numFmtId="166" fontId="3" fillId="0" borderId="0" xfId="1" applyNumberFormat="1" applyFont="1" applyFill="1" applyBorder="1" applyAlignment="1" applyProtection="1"/>
    <xf numFmtId="0" fontId="6" fillId="0" borderId="0" xfId="1" applyNumberFormat="1" applyFont="1" applyFill="1" applyBorder="1" applyAlignment="1" applyProtection="1">
      <protection locked="0"/>
    </xf>
    <xf numFmtId="187" fontId="9" fillId="0" borderId="0" xfId="1" applyNumberFormat="1" applyFont="1" applyFill="1" applyBorder="1" applyAlignment="1" applyProtection="1">
      <alignment horizontal="right"/>
      <protection locked="0"/>
    </xf>
    <xf numFmtId="0" fontId="9" fillId="0" borderId="0" xfId="1" applyNumberFormat="1" applyFont="1" applyFill="1" applyBorder="1" applyAlignment="1" applyProtection="1">
      <alignment horizontal="right"/>
      <protection locked="0"/>
    </xf>
    <xf numFmtId="0" fontId="3" fillId="0" borderId="0" xfId="8" applyNumberFormat="1" applyFont="1" applyFill="1" applyBorder="1" applyAlignment="1" applyProtection="1">
      <alignment horizontal="center"/>
      <protection locked="0"/>
    </xf>
    <xf numFmtId="170" fontId="56" fillId="7" borderId="0" xfId="0" applyNumberFormat="1" applyFont="1" applyFill="1" applyBorder="1" applyAlignment="1" applyProtection="1">
      <alignment horizontal="center" vertical="center" wrapText="1"/>
      <protection locked="0"/>
    </xf>
    <xf numFmtId="0" fontId="33" fillId="0" borderId="0" xfId="1" applyNumberFormat="1" applyFont="1" applyFill="1" applyBorder="1" applyAlignment="1" applyProtection="1">
      <protection locked="0"/>
    </xf>
    <xf numFmtId="1" fontId="12" fillId="11" borderId="0" xfId="8" applyNumberFormat="1" applyFont="1" applyFill="1" applyBorder="1" applyAlignment="1" applyProtection="1">
      <alignment horizontal="right" vertical="top"/>
      <protection locked="0"/>
    </xf>
    <xf numFmtId="10" fontId="33" fillId="0" borderId="0" xfId="1" applyNumberFormat="1" applyFont="1" applyFill="1" applyBorder="1" applyAlignment="1" applyProtection="1">
      <alignment horizontal="right"/>
      <protection locked="0"/>
    </xf>
    <xf numFmtId="10" fontId="12" fillId="7" borderId="0" xfId="8" applyNumberFormat="1" applyFont="1" applyFill="1" applyBorder="1" applyAlignment="1" applyProtection="1">
      <alignment horizontal="right" vertical="top"/>
      <protection locked="0"/>
    </xf>
    <xf numFmtId="3" fontId="33" fillId="0" borderId="0" xfId="1" applyNumberFormat="1" applyFont="1" applyFill="1" applyBorder="1" applyAlignment="1" applyProtection="1">
      <alignment horizontal="right"/>
      <protection locked="0"/>
    </xf>
    <xf numFmtId="10" fontId="12" fillId="7" borderId="0" xfId="8" applyNumberFormat="1" applyFont="1" applyFill="1" applyBorder="1" applyAlignment="1" applyProtection="1">
      <protection locked="0"/>
    </xf>
    <xf numFmtId="171" fontId="12" fillId="7" borderId="0" xfId="8" applyNumberFormat="1" applyFont="1" applyFill="1" applyBorder="1" applyAlignment="1" applyProtection="1">
      <protection locked="0"/>
    </xf>
    <xf numFmtId="0" fontId="0" fillId="0" borderId="0" xfId="0" applyProtection="1">
      <protection locked="0"/>
    </xf>
    <xf numFmtId="1" fontId="12" fillId="0" borderId="0" xfId="8" applyNumberFormat="1" applyFont="1" applyFill="1" applyBorder="1" applyAlignment="1" applyProtection="1">
      <alignment horizontal="right" vertical="top"/>
      <protection locked="0"/>
    </xf>
    <xf numFmtId="170" fontId="12" fillId="7" borderId="0" xfId="8" applyNumberFormat="1" applyFont="1" applyFill="1" applyBorder="1" applyAlignment="1" applyProtection="1">
      <alignment horizontal="right" vertical="top"/>
      <protection locked="0"/>
    </xf>
    <xf numFmtId="1" fontId="12" fillId="7" borderId="0" xfId="8" applyNumberFormat="1" applyFont="1" applyFill="1" applyBorder="1" applyAlignment="1" applyProtection="1">
      <alignment horizontal="right" vertical="top"/>
      <protection locked="0"/>
    </xf>
    <xf numFmtId="194" fontId="12" fillId="7" borderId="0" xfId="8" applyNumberFormat="1" applyFont="1" applyFill="1" applyBorder="1" applyAlignment="1" applyProtection="1">
      <alignment horizontal="right" vertical="top"/>
      <protection locked="0"/>
    </xf>
    <xf numFmtId="3" fontId="12" fillId="11" borderId="0" xfId="8" applyNumberFormat="1" applyFont="1" applyFill="1" applyBorder="1" applyAlignment="1" applyProtection="1">
      <alignment horizontal="right" vertical="top"/>
      <protection locked="0"/>
    </xf>
    <xf numFmtId="10" fontId="12" fillId="0" borderId="0" xfId="8" applyNumberFormat="1" applyFont="1" applyFill="1" applyBorder="1" applyAlignment="1" applyProtection="1">
      <protection locked="0"/>
    </xf>
    <xf numFmtId="194" fontId="12" fillId="11" borderId="0" xfId="8" applyNumberFormat="1" applyFont="1" applyFill="1" applyBorder="1" applyAlignment="1" applyProtection="1">
      <alignment horizontal="right" vertical="top"/>
      <protection locked="0"/>
    </xf>
    <xf numFmtId="194" fontId="12" fillId="0" borderId="0" xfId="8" applyNumberFormat="1" applyFont="1" applyFill="1" applyBorder="1" applyAlignment="1" applyProtection="1">
      <alignment horizontal="right" vertical="top"/>
      <protection locked="0"/>
    </xf>
    <xf numFmtId="10" fontId="12" fillId="11" borderId="0" xfId="8" applyNumberFormat="1" applyFont="1" applyFill="1" applyBorder="1" applyAlignment="1" applyProtection="1">
      <protection locked="0"/>
    </xf>
    <xf numFmtId="0" fontId="3" fillId="0" borderId="0" xfId="12" applyProtection="1"/>
    <xf numFmtId="0" fontId="37" fillId="0" borderId="0" xfId="9" applyFont="1" applyAlignment="1" applyProtection="1">
      <alignment vertical="center"/>
    </xf>
    <xf numFmtId="0" fontId="36" fillId="0" borderId="0" xfId="9" applyFont="1" applyAlignment="1" applyProtection="1">
      <alignment vertical="center"/>
    </xf>
    <xf numFmtId="0" fontId="37" fillId="0" borderId="0" xfId="9" applyFont="1" applyAlignment="1" applyProtection="1">
      <alignment horizontal="right" vertical="center"/>
    </xf>
    <xf numFmtId="0" fontId="37" fillId="0" borderId="0" xfId="9" applyFont="1" applyFill="1" applyBorder="1" applyAlignment="1" applyProtection="1">
      <alignment horizontal="right" vertical="center"/>
    </xf>
    <xf numFmtId="0" fontId="10" fillId="0" borderId="0" xfId="1" applyNumberFormat="1" applyFont="1" applyFill="1" applyBorder="1" applyAlignment="1" applyProtection="1"/>
    <xf numFmtId="0" fontId="37" fillId="0" borderId="0" xfId="9" applyFont="1" applyBorder="1" applyAlignment="1" applyProtection="1">
      <alignment horizontal="right" vertical="center"/>
    </xf>
    <xf numFmtId="14" fontId="54" fillId="0" borderId="0" xfId="15" applyNumberFormat="1" applyFont="1" applyAlignment="1" applyProtection="1">
      <alignment horizontal="center" vertical="center"/>
    </xf>
    <xf numFmtId="0" fontId="3" fillId="0" borderId="0" xfId="10" applyFont="1" applyProtection="1"/>
    <xf numFmtId="0" fontId="37" fillId="0" borderId="0" xfId="9" applyFont="1" applyFill="1" applyBorder="1" applyAlignment="1" applyProtection="1">
      <alignment vertical="center"/>
    </xf>
    <xf numFmtId="0" fontId="29" fillId="0" borderId="0" xfId="9" applyFont="1" applyFill="1" applyBorder="1" applyAlignment="1" applyProtection="1">
      <alignment vertical="center"/>
    </xf>
    <xf numFmtId="0" fontId="7" fillId="0" borderId="0" xfId="0" applyNumberFormat="1" applyFont="1" applyFill="1" applyBorder="1" applyAlignment="1" applyProtection="1"/>
    <xf numFmtId="192" fontId="3" fillId="0" borderId="0" xfId="9" applyNumberFormat="1" applyFont="1" applyFill="1" applyBorder="1" applyAlignment="1" applyProtection="1">
      <alignment horizontal="center" vertical="center"/>
    </xf>
    <xf numFmtId="0" fontId="28" fillId="0" borderId="0" xfId="9" applyFont="1" applyFill="1" applyBorder="1" applyAlignment="1" applyProtection="1">
      <alignment vertical="center"/>
    </xf>
    <xf numFmtId="0" fontId="37" fillId="0" borderId="35" xfId="9" applyFont="1" applyFill="1" applyBorder="1" applyAlignment="1" applyProtection="1">
      <alignment vertical="center"/>
    </xf>
    <xf numFmtId="10" fontId="45" fillId="7" borderId="45" xfId="9" applyNumberFormat="1" applyFont="1" applyFill="1" applyBorder="1" applyAlignment="1" applyProtection="1">
      <alignment horizontal="center" vertical="center"/>
    </xf>
    <xf numFmtId="0" fontId="45" fillId="7" borderId="45" xfId="9" applyFont="1" applyFill="1" applyBorder="1" applyAlignment="1" applyProtection="1">
      <alignment horizontal="left" vertical="center"/>
    </xf>
    <xf numFmtId="0" fontId="37" fillId="7" borderId="45" xfId="9" applyFont="1" applyFill="1" applyBorder="1" applyAlignment="1" applyProtection="1">
      <alignment vertical="center"/>
    </xf>
    <xf numFmtId="0" fontId="48" fillId="0" borderId="0" xfId="0" applyFont="1" applyAlignment="1" applyProtection="1">
      <alignment vertical="top"/>
    </xf>
    <xf numFmtId="4" fontId="37" fillId="0" borderId="0" xfId="9" applyNumberFormat="1" applyFont="1" applyAlignment="1" applyProtection="1">
      <alignment vertical="center"/>
    </xf>
    <xf numFmtId="0" fontId="37" fillId="0" borderId="0" xfId="9" applyFont="1" applyBorder="1" applyAlignment="1" applyProtection="1">
      <alignment vertical="center"/>
    </xf>
    <xf numFmtId="2" fontId="37" fillId="0" borderId="0" xfId="9" applyNumberFormat="1" applyFont="1" applyFill="1" applyBorder="1" applyAlignment="1" applyProtection="1">
      <alignment vertical="center"/>
    </xf>
    <xf numFmtId="0" fontId="37" fillId="0" borderId="0" xfId="9" applyFont="1" applyFill="1" applyAlignment="1" applyProtection="1">
      <alignment vertical="center"/>
    </xf>
    <xf numFmtId="2" fontId="37" fillId="0" borderId="0" xfId="9" applyNumberFormat="1" applyFont="1" applyAlignment="1" applyProtection="1">
      <alignment vertical="center"/>
    </xf>
    <xf numFmtId="0" fontId="37" fillId="0" borderId="0" xfId="9" applyFont="1" applyFill="1" applyBorder="1" applyAlignment="1" applyProtection="1">
      <alignment horizontal="left" vertical="center"/>
    </xf>
    <xf numFmtId="0" fontId="37" fillId="0" borderId="0" xfId="9" applyFont="1" applyFill="1" applyBorder="1" applyAlignment="1" applyProtection="1">
      <alignment horizontal="left" vertical="center" wrapText="1"/>
    </xf>
    <xf numFmtId="0" fontId="44" fillId="0" borderId="0" xfId="9" quotePrefix="1" applyFont="1" applyFill="1" applyBorder="1" applyAlignment="1" applyProtection="1">
      <alignment horizontal="left" vertical="center"/>
    </xf>
    <xf numFmtId="0" fontId="49" fillId="0" borderId="0" xfId="0" applyFont="1" applyAlignment="1" applyProtection="1">
      <alignment vertical="top"/>
    </xf>
    <xf numFmtId="0" fontId="29" fillId="0" borderId="0" xfId="9" applyFont="1" applyAlignment="1" applyProtection="1">
      <alignment vertical="center"/>
    </xf>
    <xf numFmtId="2" fontId="37" fillId="0" borderId="0" xfId="9" applyNumberFormat="1" applyFont="1" applyFill="1" applyAlignment="1" applyProtection="1">
      <alignment vertical="center"/>
    </xf>
    <xf numFmtId="0" fontId="45" fillId="9" borderId="23" xfId="9" applyFont="1" applyFill="1" applyBorder="1" applyAlignment="1" applyProtection="1">
      <alignment horizontal="centerContinuous" vertical="center"/>
    </xf>
    <xf numFmtId="0" fontId="45" fillId="9" borderId="27" xfId="9" applyFont="1" applyFill="1" applyBorder="1" applyAlignment="1" applyProtection="1">
      <alignment horizontal="centerContinuous" vertical="center"/>
    </xf>
    <xf numFmtId="0" fontId="45" fillId="9" borderId="29" xfId="9" applyFont="1" applyFill="1" applyBorder="1" applyAlignment="1" applyProtection="1">
      <alignment horizontal="centerContinuous" vertical="center"/>
    </xf>
    <xf numFmtId="0" fontId="37" fillId="0" borderId="31" xfId="9" applyFont="1" applyFill="1" applyBorder="1" applyAlignment="1" applyProtection="1">
      <alignment horizontal="centerContinuous" vertical="center"/>
    </xf>
    <xf numFmtId="0" fontId="45" fillId="9" borderId="28" xfId="9" applyFont="1" applyFill="1" applyBorder="1" applyAlignment="1" applyProtection="1">
      <alignment horizontal="centerContinuous" vertical="center"/>
    </xf>
    <xf numFmtId="0" fontId="45" fillId="9" borderId="29" xfId="9" applyFont="1" applyFill="1" applyBorder="1" applyAlignment="1" applyProtection="1">
      <alignment horizontal="centerContinuous" vertical="center" wrapText="1"/>
    </xf>
    <xf numFmtId="0" fontId="45" fillId="9" borderId="29" xfId="9" applyFont="1" applyFill="1" applyBorder="1" applyAlignment="1" applyProtection="1">
      <alignment horizontal="center" vertical="center" wrapText="1"/>
    </xf>
    <xf numFmtId="0" fontId="45" fillId="0" borderId="0" xfId="9" applyFont="1" applyFill="1" applyBorder="1" applyAlignment="1" applyProtection="1">
      <alignment horizontal="centerContinuous" vertical="center"/>
    </xf>
    <xf numFmtId="0" fontId="45" fillId="0" borderId="0" xfId="9" applyFont="1" applyFill="1" applyBorder="1" applyAlignment="1" applyProtection="1">
      <alignment horizontal="centerContinuous" vertical="center" wrapText="1"/>
    </xf>
    <xf numFmtId="4" fontId="45" fillId="0" borderId="0" xfId="9" applyNumberFormat="1" applyFont="1" applyFill="1" applyBorder="1" applyAlignment="1" applyProtection="1">
      <alignment horizontal="centerContinuous" vertical="center"/>
    </xf>
    <xf numFmtId="0" fontId="7" fillId="7" borderId="23" xfId="9" applyFont="1" applyFill="1" applyBorder="1" applyAlignment="1" applyProtection="1">
      <alignment horizontal="center" vertical="center" wrapText="1"/>
    </xf>
    <xf numFmtId="0" fontId="7" fillId="7" borderId="30" xfId="9" applyFont="1" applyFill="1" applyBorder="1" applyAlignment="1" applyProtection="1">
      <alignment horizontal="center" vertical="center" wrapText="1"/>
    </xf>
    <xf numFmtId="0" fontId="7" fillId="7" borderId="24" xfId="9" applyFont="1" applyFill="1" applyBorder="1" applyAlignment="1" applyProtection="1">
      <alignment horizontal="center" vertical="center"/>
    </xf>
    <xf numFmtId="0" fontId="7" fillId="7" borderId="24" xfId="9" applyFont="1" applyFill="1" applyBorder="1" applyAlignment="1" applyProtection="1">
      <alignment horizontal="center" vertical="center" wrapText="1"/>
    </xf>
    <xf numFmtId="0" fontId="7" fillId="7" borderId="25" xfId="9" applyFont="1" applyFill="1" applyBorder="1" applyAlignment="1" applyProtection="1">
      <alignment horizontal="center" vertical="center" wrapText="1"/>
    </xf>
    <xf numFmtId="0" fontId="7" fillId="0" borderId="0" xfId="9" applyFont="1" applyFill="1" applyBorder="1" applyAlignment="1" applyProtection="1">
      <alignment horizontal="center" vertical="center" wrapText="1"/>
    </xf>
    <xf numFmtId="0" fontId="7" fillId="7" borderId="29" xfId="9" applyFont="1" applyFill="1" applyBorder="1" applyAlignment="1" applyProtection="1">
      <alignment horizontal="center" vertical="center" wrapText="1"/>
    </xf>
    <xf numFmtId="4" fontId="7" fillId="0" borderId="0" xfId="9" applyNumberFormat="1" applyFont="1" applyFill="1" applyBorder="1" applyAlignment="1" applyProtection="1">
      <alignment horizontal="center" vertical="center" wrapText="1"/>
    </xf>
    <xf numFmtId="0" fontId="37" fillId="0" borderId="0" xfId="9" applyFont="1" applyFill="1" applyBorder="1" applyAlignment="1" applyProtection="1">
      <alignment horizontal="center" vertical="center"/>
    </xf>
    <xf numFmtId="4" fontId="37" fillId="0" borderId="0" xfId="9" applyNumberFormat="1" applyFont="1" applyFill="1" applyBorder="1" applyAlignment="1" applyProtection="1">
      <alignment horizontal="center" vertical="center"/>
    </xf>
    <xf numFmtId="173" fontId="37" fillId="0" borderId="0" xfId="9" applyNumberFormat="1" applyFont="1" applyFill="1" applyBorder="1" applyAlignment="1" applyProtection="1">
      <alignment horizontal="center" vertical="center"/>
    </xf>
    <xf numFmtId="0" fontId="7" fillId="0" borderId="31" xfId="9" applyFont="1" applyFill="1" applyBorder="1" applyAlignment="1" applyProtection="1">
      <alignment horizontal="center" vertical="center"/>
    </xf>
    <xf numFmtId="0" fontId="7" fillId="0" borderId="32" xfId="9" applyFont="1" applyFill="1" applyBorder="1" applyAlignment="1" applyProtection="1">
      <alignment horizontal="center" vertical="center"/>
    </xf>
    <xf numFmtId="0" fontId="7" fillId="0" borderId="0" xfId="9" applyFont="1" applyBorder="1" applyAlignment="1" applyProtection="1">
      <alignment horizontal="center" vertical="center"/>
    </xf>
    <xf numFmtId="4" fontId="7" fillId="0" borderId="0" xfId="9" applyNumberFormat="1" applyFont="1" applyFill="1" applyBorder="1" applyAlignment="1" applyProtection="1">
      <alignment horizontal="center" vertical="center"/>
    </xf>
    <xf numFmtId="4" fontId="45" fillId="0" borderId="0" xfId="9" quotePrefix="1" applyNumberFormat="1" applyFont="1" applyFill="1" applyBorder="1" applyAlignment="1" applyProtection="1">
      <alignment horizontal="center" vertical="center"/>
    </xf>
    <xf numFmtId="4" fontId="37" fillId="0" borderId="0" xfId="9" quotePrefix="1" applyNumberFormat="1" applyFont="1" applyBorder="1" applyAlignment="1" applyProtection="1">
      <alignment horizontal="center" vertical="center"/>
    </xf>
    <xf numFmtId="0" fontId="37" fillId="0" borderId="0" xfId="9" quotePrefix="1" applyFont="1" applyAlignment="1" applyProtection="1">
      <alignment vertical="center"/>
    </xf>
    <xf numFmtId="0" fontId="37" fillId="0" borderId="0" xfId="9" quotePrefix="1" applyFont="1" applyAlignment="1" applyProtection="1">
      <alignment horizontal="right" vertical="center"/>
    </xf>
    <xf numFmtId="4" fontId="37" fillId="0" borderId="0" xfId="9" applyNumberFormat="1" applyFont="1" applyAlignment="1" applyProtection="1">
      <alignment horizontal="center" vertical="center"/>
    </xf>
    <xf numFmtId="0" fontId="7" fillId="0" borderId="0" xfId="9" quotePrefix="1" applyFont="1" applyFill="1" applyBorder="1" applyAlignment="1" applyProtection="1">
      <alignment vertical="center"/>
    </xf>
    <xf numFmtId="9" fontId="7" fillId="0" borderId="0" xfId="11" applyNumberFormat="1" applyFont="1" applyFill="1" applyBorder="1" applyAlignment="1" applyProtection="1">
      <alignment vertical="center"/>
    </xf>
    <xf numFmtId="0" fontId="45" fillId="0" borderId="0" xfId="9" applyFont="1" applyFill="1" applyBorder="1" applyAlignment="1" applyProtection="1">
      <alignment horizontal="center" vertical="center"/>
    </xf>
    <xf numFmtId="0" fontId="7" fillId="0" borderId="0" xfId="9" applyFont="1" applyFill="1" applyBorder="1" applyAlignment="1" applyProtection="1">
      <alignment horizontal="center" vertical="center"/>
    </xf>
    <xf numFmtId="168" fontId="37" fillId="0" borderId="0" xfId="9" applyNumberFormat="1" applyFont="1" applyFill="1" applyBorder="1" applyAlignment="1" applyProtection="1">
      <alignment vertical="center"/>
    </xf>
    <xf numFmtId="2" fontId="45" fillId="0" borderId="0" xfId="9" applyNumberFormat="1" applyFont="1" applyFill="1" applyBorder="1" applyAlignment="1" applyProtection="1">
      <alignment vertical="center"/>
    </xf>
    <xf numFmtId="9" fontId="37" fillId="0" borderId="0" xfId="9" applyNumberFormat="1" applyFont="1" applyFill="1" applyBorder="1" applyAlignment="1" applyProtection="1">
      <alignment vertical="center"/>
    </xf>
    <xf numFmtId="0" fontId="7" fillId="0" borderId="0" xfId="9" applyFont="1" applyFill="1" applyBorder="1" applyAlignment="1" applyProtection="1">
      <alignment vertical="center"/>
    </xf>
    <xf numFmtId="2" fontId="46" fillId="0" borderId="0" xfId="9" applyNumberFormat="1" applyFont="1" applyFill="1" applyBorder="1" applyAlignment="1" applyProtection="1">
      <alignment vertical="center"/>
    </xf>
    <xf numFmtId="0" fontId="46" fillId="0" borderId="0" xfId="9" applyFont="1" applyFill="1" applyBorder="1" applyAlignment="1" applyProtection="1">
      <alignment vertical="center"/>
    </xf>
    <xf numFmtId="192" fontId="3" fillId="0" borderId="0" xfId="9" applyNumberFormat="1" applyFont="1" applyFill="1" applyBorder="1" applyAlignment="1" applyProtection="1">
      <alignment vertical="center"/>
    </xf>
    <xf numFmtId="0" fontId="50" fillId="0" borderId="0" xfId="9" applyFont="1" applyAlignment="1" applyProtection="1">
      <alignment vertical="center"/>
    </xf>
    <xf numFmtId="0" fontId="45" fillId="0" borderId="0" xfId="9" applyFont="1" applyFill="1" applyBorder="1" applyAlignment="1" applyProtection="1">
      <alignment vertical="center"/>
    </xf>
    <xf numFmtId="3" fontId="47" fillId="0" borderId="0" xfId="9" applyNumberFormat="1" applyFont="1" applyAlignment="1" applyProtection="1">
      <alignment vertical="center"/>
    </xf>
    <xf numFmtId="3" fontId="37" fillId="0" borderId="0" xfId="9" applyNumberFormat="1" applyFont="1" applyFill="1" applyBorder="1" applyAlignment="1" applyProtection="1">
      <alignment horizontal="left" vertical="center" wrapText="1"/>
    </xf>
    <xf numFmtId="3" fontId="44" fillId="0" borderId="0" xfId="9" quotePrefix="1" applyNumberFormat="1" applyFont="1" applyFill="1" applyBorder="1" applyAlignment="1" applyProtection="1">
      <alignment horizontal="left" vertical="center"/>
    </xf>
    <xf numFmtId="3" fontId="37" fillId="0" borderId="0" xfId="9" applyNumberFormat="1" applyFont="1" applyFill="1" applyBorder="1" applyAlignment="1" applyProtection="1">
      <alignment vertical="center"/>
    </xf>
    <xf numFmtId="0" fontId="45" fillId="0" borderId="0" xfId="9" applyFont="1" applyAlignment="1" applyProtection="1">
      <alignment vertical="center"/>
    </xf>
    <xf numFmtId="3" fontId="47" fillId="0" borderId="0" xfId="9" applyNumberFormat="1" applyFont="1" applyFill="1" applyBorder="1" applyAlignment="1" applyProtection="1">
      <alignment horizontal="right" vertical="center"/>
    </xf>
    <xf numFmtId="3" fontId="3" fillId="0" borderId="0" xfId="9" applyNumberFormat="1" applyFont="1" applyAlignment="1" applyProtection="1">
      <alignment vertical="center"/>
    </xf>
    <xf numFmtId="0" fontId="47" fillId="0" borderId="0" xfId="9" applyFont="1" applyAlignment="1" applyProtection="1">
      <alignment vertical="center"/>
    </xf>
    <xf numFmtId="4" fontId="37" fillId="0" borderId="0" xfId="9" applyNumberFormat="1" applyFont="1" applyFill="1" applyBorder="1" applyAlignment="1" applyProtection="1">
      <alignment horizontal="left" vertical="center" wrapText="1"/>
    </xf>
    <xf numFmtId="4" fontId="44" fillId="0" borderId="0" xfId="9" quotePrefix="1" applyNumberFormat="1" applyFont="1" applyFill="1" applyBorder="1" applyAlignment="1" applyProtection="1">
      <alignment horizontal="left" vertical="center"/>
    </xf>
    <xf numFmtId="4" fontId="37" fillId="0" borderId="0" xfId="9" applyNumberFormat="1" applyFont="1" applyFill="1" applyBorder="1" applyAlignment="1" applyProtection="1">
      <alignment vertical="center"/>
    </xf>
    <xf numFmtId="3" fontId="37" fillId="0" borderId="0" xfId="9" applyNumberFormat="1" applyFont="1" applyFill="1" applyBorder="1" applyAlignment="1" applyProtection="1">
      <alignment horizontal="right" vertical="center"/>
    </xf>
    <xf numFmtId="0" fontId="47" fillId="0" borderId="0" xfId="9" applyFont="1" applyAlignment="1" applyProtection="1">
      <alignment horizontal="right" vertical="center"/>
    </xf>
    <xf numFmtId="0" fontId="47" fillId="0" borderId="0" xfId="9" applyFont="1" applyFill="1" applyBorder="1" applyAlignment="1" applyProtection="1">
      <alignment horizontal="right" vertical="center"/>
    </xf>
    <xf numFmtId="0" fontId="6" fillId="0" borderId="0" xfId="1" applyNumberFormat="1" applyFont="1" applyFill="1" applyBorder="1" applyAlignment="1" applyProtection="1">
      <alignment horizontal="center"/>
    </xf>
    <xf numFmtId="176" fontId="6" fillId="0" borderId="0" xfId="1" applyNumberFormat="1" applyFont="1" applyFill="1" applyBorder="1" applyAlignment="1" applyProtection="1">
      <alignment horizontal="center"/>
    </xf>
    <xf numFmtId="196" fontId="6" fillId="0" borderId="0" xfId="1" applyNumberFormat="1" applyFont="1" applyFill="1" applyBorder="1" applyAlignment="1" applyProtection="1"/>
    <xf numFmtId="170" fontId="6" fillId="0" borderId="0" xfId="1" applyNumberFormat="1" applyFont="1" applyFill="1" applyBorder="1" applyAlignment="1" applyProtection="1"/>
    <xf numFmtId="166" fontId="16" fillId="0" borderId="0" xfId="1" applyNumberFormat="1" applyFont="1" applyFill="1" applyBorder="1" applyAlignment="1" applyProtection="1"/>
    <xf numFmtId="0" fontId="6" fillId="0" borderId="0" xfId="1" applyNumberFormat="1" applyFont="1" applyFill="1" applyBorder="1" applyAlignment="1" applyProtection="1">
      <alignment horizontal="left"/>
    </xf>
    <xf numFmtId="166" fontId="33" fillId="0" borderId="0" xfId="1" applyNumberFormat="1" applyFont="1" applyFill="1" applyBorder="1" applyAlignment="1" applyProtection="1"/>
    <xf numFmtId="166" fontId="6" fillId="0" borderId="0" xfId="1" applyNumberFormat="1" applyFont="1" applyFill="1" applyBorder="1" applyAlignment="1" applyProtection="1"/>
    <xf numFmtId="0" fontId="11" fillId="9" borderId="0" xfId="8" applyNumberFormat="1" applyFont="1" applyFill="1" applyBorder="1" applyAlignment="1" applyProtection="1"/>
    <xf numFmtId="0" fontId="43" fillId="9" borderId="0" xfId="7" applyNumberFormat="1" applyFont="1" applyFill="1" applyBorder="1" applyAlignment="1" applyProtection="1"/>
    <xf numFmtId="0" fontId="31" fillId="0" borderId="0" xfId="1" applyNumberFormat="1" applyFont="1" applyFill="1" applyBorder="1" applyAlignment="1" applyProtection="1"/>
    <xf numFmtId="10" fontId="31" fillId="0" borderId="0" xfId="1" applyNumberFormat="1" applyFont="1" applyFill="1" applyBorder="1" applyAlignment="1" applyProtection="1"/>
    <xf numFmtId="0" fontId="19" fillId="0" borderId="0" xfId="1" applyNumberFormat="1" applyFont="1" applyFill="1" applyBorder="1" applyAlignment="1" applyProtection="1"/>
    <xf numFmtId="0" fontId="28" fillId="0" borderId="0" xfId="1" applyNumberFormat="1" applyFont="1" applyFill="1" applyBorder="1" applyAlignment="1" applyProtection="1"/>
    <xf numFmtId="0" fontId="40" fillId="0" borderId="0" xfId="1" applyNumberFormat="1" applyFont="1" applyFill="1" applyBorder="1" applyAlignment="1" applyProtection="1"/>
    <xf numFmtId="168" fontId="6" fillId="0" borderId="0" xfId="1" applyNumberFormat="1" applyFont="1" applyFill="1" applyBorder="1" applyAlignment="1" applyProtection="1"/>
    <xf numFmtId="0" fontId="6" fillId="0" borderId="1" xfId="1" applyNumberFormat="1" applyFont="1" applyFill="1" applyBorder="1" applyAlignment="1" applyProtection="1"/>
    <xf numFmtId="166" fontId="6" fillId="0" borderId="1" xfId="1" applyNumberFormat="1" applyFont="1" applyFill="1" applyBorder="1" applyAlignment="1" applyProtection="1"/>
    <xf numFmtId="169" fontId="8" fillId="0" borderId="7" xfId="1" applyNumberFormat="1" applyFont="1" applyFill="1" applyBorder="1" applyAlignment="1" applyProtection="1">
      <alignment horizontal="center"/>
    </xf>
    <xf numFmtId="0" fontId="36" fillId="0" borderId="0" xfId="0" applyFont="1" applyProtection="1"/>
    <xf numFmtId="0" fontId="6" fillId="0" borderId="0" xfId="1" applyNumberFormat="1" applyFont="1" applyFill="1" applyBorder="1" applyAlignment="1" applyProtection="1">
      <alignment horizontal="left" indent="1"/>
    </xf>
    <xf numFmtId="0" fontId="6" fillId="0" borderId="1" xfId="1" applyNumberFormat="1" applyFont="1" applyFill="1" applyBorder="1" applyAlignment="1" applyProtection="1">
      <alignment horizontal="left" indent="1"/>
    </xf>
    <xf numFmtId="0" fontId="7" fillId="0" borderId="0" xfId="1" applyNumberFormat="1" applyFont="1" applyFill="1" applyBorder="1" applyAlignment="1" applyProtection="1">
      <alignment horizontal="left"/>
    </xf>
    <xf numFmtId="169" fontId="8" fillId="0" borderId="0" xfId="1" applyNumberFormat="1" applyFont="1" applyFill="1" applyBorder="1" applyAlignment="1" applyProtection="1">
      <alignment horizontal="center"/>
    </xf>
    <xf numFmtId="166" fontId="7" fillId="0" borderId="0" xfId="0" applyNumberFormat="1" applyFont="1" applyProtection="1"/>
    <xf numFmtId="0" fontId="7" fillId="0" borderId="0" xfId="0" applyFont="1" applyProtection="1"/>
    <xf numFmtId="0" fontId="3" fillId="0" borderId="0" xfId="7" applyNumberFormat="1" applyFont="1" applyFill="1" applyBorder="1" applyAlignment="1" applyProtection="1"/>
    <xf numFmtId="0" fontId="3" fillId="5" borderId="0" xfId="7" applyNumberFormat="1" applyFont="1" applyFill="1" applyBorder="1" applyAlignment="1" applyProtection="1"/>
    <xf numFmtId="0" fontId="0" fillId="0" borderId="0" xfId="0" applyAlignment="1" applyProtection="1">
      <alignment vertical="top"/>
    </xf>
    <xf numFmtId="0" fontId="20" fillId="0" borderId="0" xfId="1" applyNumberFormat="1" applyFont="1" applyFill="1" applyBorder="1" applyAlignment="1" applyProtection="1"/>
    <xf numFmtId="171" fontId="3" fillId="2" borderId="0" xfId="1" applyNumberFormat="1" applyFont="1" applyFill="1" applyBorder="1" applyAlignment="1" applyProtection="1">
      <alignment horizontal="right"/>
    </xf>
    <xf numFmtId="171" fontId="6" fillId="0" borderId="0" xfId="1" applyNumberFormat="1" applyFont="1" applyFill="1" applyBorder="1" applyAlignment="1" applyProtection="1"/>
    <xf numFmtId="9" fontId="16" fillId="0" borderId="0" xfId="1" applyNumberFormat="1" applyFont="1" applyFill="1" applyBorder="1" applyAlignment="1" applyProtection="1"/>
    <xf numFmtId="0" fontId="6" fillId="0" borderId="9" xfId="1" applyNumberFormat="1" applyFont="1" applyFill="1" applyBorder="1" applyAlignment="1" applyProtection="1"/>
    <xf numFmtId="0" fontId="6" fillId="0" borderId="10" xfId="1" applyNumberFormat="1" applyFont="1" applyFill="1" applyBorder="1" applyAlignment="1" applyProtection="1"/>
    <xf numFmtId="0" fontId="6" fillId="0" borderId="11" xfId="1" applyNumberFormat="1" applyFont="1" applyFill="1" applyBorder="1" applyAlignment="1" applyProtection="1"/>
    <xf numFmtId="10" fontId="3" fillId="0" borderId="10" xfId="1" applyNumberFormat="1" applyFont="1" applyFill="1" applyBorder="1" applyAlignment="1" applyProtection="1"/>
    <xf numFmtId="10" fontId="33" fillId="0" borderId="10" xfId="1" applyNumberFormat="1" applyFont="1" applyFill="1" applyBorder="1" applyAlignment="1" applyProtection="1"/>
    <xf numFmtId="178" fontId="6" fillId="0" borderId="0" xfId="1" applyNumberFormat="1" applyFont="1" applyFill="1" applyBorder="1" applyAlignment="1" applyProtection="1"/>
    <xf numFmtId="178" fontId="6" fillId="0" borderId="0" xfId="1" applyNumberFormat="1" applyFont="1" applyFill="1" applyBorder="1" applyAlignment="1" applyProtection="1">
      <alignment horizontal="center"/>
    </xf>
    <xf numFmtId="178" fontId="6" fillId="0" borderId="0" xfId="1" applyNumberFormat="1" applyFont="1" applyFill="1" applyBorder="1" applyAlignment="1" applyProtection="1">
      <alignment horizontal="right"/>
    </xf>
    <xf numFmtId="10" fontId="6" fillId="0" borderId="1" xfId="1" applyNumberFormat="1" applyFont="1" applyFill="1" applyBorder="1" applyAlignment="1" applyProtection="1"/>
    <xf numFmtId="0" fontId="7" fillId="0" borderId="0" xfId="1" applyNumberFormat="1" applyFont="1" applyFill="1" applyBorder="1" applyAlignment="1" applyProtection="1"/>
    <xf numFmtId="179" fontId="6" fillId="0" borderId="0" xfId="1" applyNumberFormat="1" applyFont="1" applyFill="1" applyBorder="1" applyAlignment="1" applyProtection="1"/>
    <xf numFmtId="0" fontId="21" fillId="0" borderId="0" xfId="1" applyNumberFormat="1" applyFont="1" applyFill="1" applyBorder="1" applyAlignment="1" applyProtection="1"/>
    <xf numFmtId="180" fontId="6" fillId="0" borderId="0" xfId="1" applyNumberFormat="1" applyFont="1" applyFill="1" applyBorder="1" applyAlignment="1" applyProtection="1"/>
    <xf numFmtId="9" fontId="6" fillId="0" borderId="0" xfId="1" applyNumberFormat="1" applyFont="1" applyFill="1" applyBorder="1" applyAlignment="1" applyProtection="1"/>
    <xf numFmtId="190" fontId="33" fillId="0" borderId="0" xfId="1" applyNumberFormat="1" applyFont="1" applyFill="1" applyBorder="1" applyAlignment="1" applyProtection="1"/>
    <xf numFmtId="190" fontId="6" fillId="0" borderId="0" xfId="1" applyNumberFormat="1" applyFont="1" applyFill="1" applyBorder="1" applyAlignment="1" applyProtection="1"/>
    <xf numFmtId="10" fontId="33" fillId="0" borderId="0" xfId="1" applyNumberFormat="1" applyFont="1" applyFill="1" applyBorder="1" applyAlignment="1" applyProtection="1"/>
    <xf numFmtId="10" fontId="6" fillId="0" borderId="10" xfId="1" applyNumberFormat="1" applyFont="1" applyFill="1" applyBorder="1" applyAlignment="1" applyProtection="1"/>
    <xf numFmtId="4" fontId="6" fillId="0" borderId="0" xfId="1" applyNumberFormat="1" applyFont="1" applyFill="1" applyBorder="1" applyAlignment="1" applyProtection="1"/>
    <xf numFmtId="166" fontId="33" fillId="7" borderId="0" xfId="1" applyNumberFormat="1" applyFont="1" applyFill="1" applyBorder="1" applyAlignment="1" applyProtection="1"/>
    <xf numFmtId="180" fontId="33" fillId="0" borderId="0" xfId="1" applyNumberFormat="1" applyFont="1" applyFill="1" applyBorder="1" applyAlignment="1" applyProtection="1"/>
    <xf numFmtId="166" fontId="6" fillId="5" borderId="0" xfId="1" applyNumberFormat="1" applyFont="1" applyFill="1" applyBorder="1" applyAlignment="1" applyProtection="1"/>
    <xf numFmtId="168" fontId="6" fillId="0" borderId="1" xfId="1" applyNumberFormat="1" applyFont="1" applyFill="1" applyBorder="1" applyAlignment="1" applyProtection="1"/>
    <xf numFmtId="169" fontId="8" fillId="0" borderId="8" xfId="1" applyNumberFormat="1" applyFont="1" applyFill="1" applyBorder="1" applyAlignment="1" applyProtection="1">
      <alignment horizontal="center"/>
    </xf>
    <xf numFmtId="10" fontId="16" fillId="0" borderId="0" xfId="1" applyNumberFormat="1" applyFont="1" applyFill="1" applyBorder="1" applyAlignment="1" applyProtection="1"/>
    <xf numFmtId="166" fontId="4" fillId="0" borderId="0" xfId="1" applyNumberFormat="1" applyFont="1" applyFill="1" applyBorder="1" applyAlignment="1" applyProtection="1"/>
    <xf numFmtId="0" fontId="6" fillId="5" borderId="0" xfId="1" applyNumberFormat="1" applyFont="1" applyFill="1" applyBorder="1" applyAlignment="1" applyProtection="1"/>
    <xf numFmtId="0" fontId="20" fillId="5" borderId="0" xfId="1" applyNumberFormat="1" applyFont="1" applyFill="1" applyBorder="1" applyAlignment="1" applyProtection="1"/>
    <xf numFmtId="0" fontId="22" fillId="5" borderId="0" xfId="1" applyNumberFormat="1" applyFont="1" applyFill="1" applyBorder="1" applyAlignment="1" applyProtection="1"/>
    <xf numFmtId="0" fontId="26" fillId="5" borderId="0" xfId="1" applyNumberFormat="1" applyFont="1" applyFill="1" applyBorder="1" applyAlignment="1" applyProtection="1"/>
    <xf numFmtId="0" fontId="25" fillId="5" borderId="0" xfId="1" applyNumberFormat="1" applyFont="1" applyFill="1" applyBorder="1" applyAlignment="1" applyProtection="1"/>
    <xf numFmtId="171" fontId="25" fillId="0" borderId="0" xfId="1" applyNumberFormat="1" applyFont="1" applyFill="1" applyBorder="1" applyAlignment="1" applyProtection="1"/>
    <xf numFmtId="0" fontId="25" fillId="0" borderId="0" xfId="1" applyNumberFormat="1" applyFont="1" applyFill="1" applyBorder="1" applyAlignment="1" applyProtection="1"/>
    <xf numFmtId="166" fontId="25" fillId="0" borderId="0" xfId="1" applyNumberFormat="1" applyFont="1" applyFill="1" applyBorder="1" applyAlignment="1" applyProtection="1"/>
    <xf numFmtId="0" fontId="27" fillId="0" borderId="0" xfId="1" applyNumberFormat="1" applyFont="1" applyFill="1" applyBorder="1" applyAlignment="1" applyProtection="1"/>
    <xf numFmtId="174" fontId="3" fillId="0" borderId="0" xfId="1" applyNumberFormat="1" applyFont="1" applyFill="1" applyBorder="1" applyAlignment="1" applyProtection="1"/>
    <xf numFmtId="168" fontId="4" fillId="0" borderId="0" xfId="1" applyNumberFormat="1" applyFont="1" applyFill="1" applyBorder="1" applyAlignment="1" applyProtection="1"/>
    <xf numFmtId="10" fontId="4" fillId="0" borderId="0" xfId="1" applyNumberFormat="1" applyFont="1" applyFill="1" applyBorder="1" applyAlignment="1" applyProtection="1"/>
    <xf numFmtId="185" fontId="4" fillId="0" borderId="0" xfId="1" applyNumberFormat="1" applyFont="1" applyFill="1" applyBorder="1" applyAlignment="1" applyProtection="1"/>
    <xf numFmtId="0" fontId="14" fillId="0" borderId="0" xfId="1" applyNumberFormat="1" applyFont="1" applyFill="1" applyBorder="1" applyAlignment="1" applyProtection="1"/>
    <xf numFmtId="0" fontId="38" fillId="7" borderId="0" xfId="1" applyNumberFormat="1" applyFont="1" applyFill="1" applyBorder="1" applyAlignment="1" applyProtection="1"/>
    <xf numFmtId="166" fontId="38" fillId="7" borderId="0" xfId="1" applyNumberFormat="1" applyFont="1" applyFill="1" applyBorder="1" applyAlignment="1" applyProtection="1"/>
    <xf numFmtId="0" fontId="23" fillId="0" borderId="0" xfId="1" applyNumberFormat="1" applyFont="1" applyFill="1" applyBorder="1" applyAlignment="1" applyProtection="1"/>
    <xf numFmtId="0" fontId="17" fillId="0" borderId="0" xfId="1" applyNumberFormat="1" applyFont="1" applyFill="1" applyBorder="1" applyAlignment="1" applyProtection="1"/>
    <xf numFmtId="171" fontId="3" fillId="0" borderId="0" xfId="1" applyNumberFormat="1" applyFont="1" applyFill="1" applyBorder="1" applyAlignment="1" applyProtection="1"/>
    <xf numFmtId="166" fontId="6" fillId="0" borderId="0" xfId="1" applyNumberFormat="1" applyFont="1" applyFill="1" applyBorder="1" applyAlignment="1" applyProtection="1">
      <alignment horizontal="right"/>
    </xf>
    <xf numFmtId="166" fontId="33" fillId="0" borderId="1" xfId="1" applyNumberFormat="1" applyFont="1" applyFill="1" applyBorder="1" applyAlignment="1" applyProtection="1"/>
    <xf numFmtId="1" fontId="3" fillId="0" borderId="0" xfId="1" applyNumberFormat="1" applyFont="1" applyFill="1" applyBorder="1" applyAlignment="1" applyProtection="1">
      <alignment horizontal="right"/>
    </xf>
    <xf numFmtId="0" fontId="7" fillId="0" borderId="9" xfId="1" applyNumberFormat="1" applyFont="1" applyFill="1" applyBorder="1" applyAlignment="1" applyProtection="1"/>
    <xf numFmtId="0" fontId="7" fillId="0" borderId="10" xfId="1" applyNumberFormat="1" applyFont="1" applyFill="1" applyBorder="1" applyAlignment="1" applyProtection="1"/>
    <xf numFmtId="166" fontId="7" fillId="0" borderId="10" xfId="1" applyNumberFormat="1" applyFont="1" applyFill="1" applyBorder="1" applyAlignment="1" applyProtection="1"/>
    <xf numFmtId="166" fontId="7" fillId="0" borderId="0" xfId="1" applyNumberFormat="1" applyFont="1" applyFill="1" applyBorder="1" applyAlignment="1" applyProtection="1"/>
    <xf numFmtId="0" fontId="6" fillId="0" borderId="3" xfId="1" applyNumberFormat="1" applyFont="1" applyFill="1" applyBorder="1" applyAlignment="1" applyProtection="1"/>
    <xf numFmtId="170" fontId="6" fillId="0" borderId="3" xfId="1" applyNumberFormat="1" applyFont="1" applyFill="1" applyBorder="1" applyAlignment="1" applyProtection="1"/>
    <xf numFmtId="166" fontId="6" fillId="0" borderId="3" xfId="1" applyNumberFormat="1" applyFont="1" applyFill="1" applyBorder="1" applyAlignment="1" applyProtection="1"/>
    <xf numFmtId="181" fontId="6" fillId="0" borderId="0" xfId="1" applyNumberFormat="1" applyFont="1" applyFill="1" applyBorder="1" applyAlignment="1" applyProtection="1"/>
    <xf numFmtId="0" fontId="24" fillId="0" borderId="0" xfId="1" applyNumberFormat="1" applyFont="1" applyFill="1" applyBorder="1" applyAlignment="1" applyProtection="1">
      <alignment horizontal="left"/>
    </xf>
    <xf numFmtId="10" fontId="3" fillId="7" borderId="0" xfId="1" applyNumberFormat="1" applyFont="1" applyFill="1" applyBorder="1" applyAlignment="1" applyProtection="1"/>
    <xf numFmtId="166" fontId="9" fillId="0" borderId="0" xfId="1" applyNumberFormat="1" applyFont="1" applyFill="1" applyBorder="1" applyAlignment="1" applyProtection="1"/>
    <xf numFmtId="179" fontId="6" fillId="0" borderId="1" xfId="1" applyNumberFormat="1" applyFont="1" applyFill="1" applyBorder="1" applyAlignment="1" applyProtection="1"/>
    <xf numFmtId="174" fontId="13" fillId="0" borderId="0" xfId="1" applyNumberFormat="1" applyFont="1" applyFill="1" applyBorder="1" applyAlignment="1" applyProtection="1"/>
    <xf numFmtId="169" fontId="7" fillId="0" borderId="0" xfId="1" applyNumberFormat="1" applyFont="1" applyFill="1" applyBorder="1" applyAlignment="1" applyProtection="1">
      <alignment horizontal="center"/>
    </xf>
    <xf numFmtId="10" fontId="33" fillId="7" borderId="0" xfId="1" applyNumberFormat="1" applyFont="1" applyFill="1" applyBorder="1" applyAlignment="1" applyProtection="1"/>
    <xf numFmtId="10" fontId="33" fillId="0" borderId="0" xfId="2" applyNumberFormat="1" applyFont="1" applyFill="1" applyBorder="1" applyAlignment="1" applyProtection="1"/>
    <xf numFmtId="10" fontId="3" fillId="0" borderId="0" xfId="1" applyNumberFormat="1" applyFont="1" applyFill="1" applyBorder="1" applyAlignment="1" applyProtection="1"/>
    <xf numFmtId="0" fontId="0" fillId="0" borderId="0" xfId="1" applyNumberFormat="1" applyFont="1" applyFill="1" applyBorder="1" applyAlignment="1" applyProtection="1"/>
    <xf numFmtId="0" fontId="4" fillId="0" borderId="3" xfId="1" applyNumberFormat="1" applyFont="1" applyFill="1" applyBorder="1" applyAlignment="1" applyProtection="1">
      <alignment horizontal="left"/>
    </xf>
    <xf numFmtId="0" fontId="4" fillId="0" borderId="3" xfId="1" applyNumberFormat="1" applyFont="1" applyFill="1" applyBorder="1" applyAlignment="1" applyProtection="1"/>
    <xf numFmtId="166" fontId="4" fillId="0" borderId="3" xfId="1" applyNumberFormat="1" applyFont="1" applyFill="1" applyBorder="1" applyAlignment="1" applyProtection="1"/>
    <xf numFmtId="0" fontId="7" fillId="0" borderId="3" xfId="1" applyNumberFormat="1" applyFont="1" applyFill="1" applyBorder="1" applyAlignment="1" applyProtection="1"/>
    <xf numFmtId="0" fontId="7" fillId="0" borderId="3" xfId="1" applyNumberFormat="1" applyFont="1" applyFill="1" applyBorder="1" applyAlignment="1" applyProtection="1">
      <alignment horizontal="left"/>
    </xf>
    <xf numFmtId="166" fontId="7" fillId="0" borderId="3" xfId="1" applyNumberFormat="1" applyFont="1" applyFill="1" applyBorder="1" applyAlignment="1" applyProtection="1"/>
    <xf numFmtId="0" fontId="0" fillId="0" borderId="3" xfId="0" applyBorder="1" applyProtection="1"/>
    <xf numFmtId="10" fontId="17" fillId="0" borderId="0" xfId="1" applyNumberFormat="1" applyFont="1" applyFill="1" applyBorder="1" applyAlignment="1" applyProtection="1">
      <alignment horizontal="center" vertical="center"/>
    </xf>
    <xf numFmtId="10" fontId="17" fillId="0" borderId="0" xfId="1" applyNumberFormat="1" applyFont="1" applyFill="1" applyBorder="1" applyAlignment="1" applyProtection="1"/>
    <xf numFmtId="166" fontId="6" fillId="0" borderId="0" xfId="1" applyNumberFormat="1" applyFont="1" applyFill="1" applyBorder="1" applyAlignment="1" applyProtection="1">
      <alignment horizontal="left"/>
    </xf>
    <xf numFmtId="170" fontId="6" fillId="0" borderId="1" xfId="1" applyNumberFormat="1" applyFont="1" applyFill="1" applyBorder="1" applyAlignment="1" applyProtection="1"/>
    <xf numFmtId="170" fontId="7" fillId="0" borderId="0" xfId="1" applyNumberFormat="1" applyFont="1" applyFill="1" applyBorder="1" applyAlignment="1" applyProtection="1"/>
    <xf numFmtId="0" fontId="7" fillId="0" borderId="0" xfId="1" applyNumberFormat="1" applyFont="1" applyFill="1" applyBorder="1" applyAlignment="1" applyProtection="1">
      <alignment horizontal="left" indent="1"/>
    </xf>
    <xf numFmtId="0" fontId="6" fillId="2" borderId="0" xfId="1" applyNumberFormat="1" applyFont="1" applyFill="1" applyBorder="1" applyAlignment="1" applyProtection="1"/>
    <xf numFmtId="0" fontId="7" fillId="3" borderId="0" xfId="1" applyNumberFormat="1" applyFont="1" applyFill="1" applyBorder="1" applyAlignment="1" applyProtection="1"/>
    <xf numFmtId="173" fontId="7" fillId="3" borderId="0" xfId="1" applyNumberFormat="1" applyFont="1" applyFill="1" applyBorder="1" applyAlignment="1" applyProtection="1">
      <alignment horizontal="right"/>
    </xf>
    <xf numFmtId="173" fontId="6" fillId="0" borderId="0" xfId="1" applyNumberFormat="1" applyFont="1" applyFill="1" applyBorder="1" applyAlignment="1" applyProtection="1"/>
    <xf numFmtId="170" fontId="33" fillId="0" borderId="0" xfId="1" applyNumberFormat="1" applyFont="1" applyFill="1" applyBorder="1" applyAlignment="1" applyProtection="1"/>
    <xf numFmtId="186" fontId="6" fillId="0" borderId="0" xfId="1" applyNumberFormat="1" applyFont="1" applyFill="1" applyBorder="1" applyAlignment="1" applyProtection="1"/>
    <xf numFmtId="170" fontId="6" fillId="0" borderId="0" xfId="1" applyNumberFormat="1" applyFont="1" applyFill="1" applyBorder="1" applyAlignment="1" applyProtection="1">
      <protection locked="0"/>
    </xf>
    <xf numFmtId="166" fontId="16" fillId="0" borderId="0" xfId="1" applyNumberFormat="1" applyFont="1" applyFill="1" applyBorder="1" applyAlignment="1" applyProtection="1">
      <protection locked="0"/>
    </xf>
    <xf numFmtId="166" fontId="6" fillId="0" borderId="0" xfId="1" applyNumberFormat="1" applyFont="1" applyFill="1" applyBorder="1" applyAlignment="1" applyProtection="1">
      <protection locked="0"/>
    </xf>
    <xf numFmtId="0" fontId="3" fillId="0" borderId="0" xfId="1" applyNumberFormat="1" applyFont="1" applyFill="1" applyBorder="1" applyAlignment="1" applyProtection="1">
      <protection locked="0"/>
    </xf>
    <xf numFmtId="10" fontId="6" fillId="0" borderId="0" xfId="1" applyNumberFormat="1" applyFont="1" applyFill="1" applyBorder="1" applyAlignment="1" applyProtection="1">
      <protection locked="0"/>
    </xf>
    <xf numFmtId="0" fontId="58" fillId="0" borderId="0" xfId="0" applyFont="1"/>
    <xf numFmtId="3" fontId="59" fillId="0" borderId="47" xfId="0" applyNumberFormat="1" applyFont="1" applyBorder="1"/>
    <xf numFmtId="3" fontId="59" fillId="12" borderId="47" xfId="0" applyNumberFormat="1" applyFont="1" applyFill="1" applyBorder="1"/>
    <xf numFmtId="0" fontId="58" fillId="0" borderId="47" xfId="0" applyFont="1" applyBorder="1"/>
    <xf numFmtId="0" fontId="59" fillId="0" borderId="48" xfId="0" applyFont="1" applyBorder="1"/>
    <xf numFmtId="3" fontId="58" fillId="0" borderId="0" xfId="0" applyNumberFormat="1" applyFont="1" applyBorder="1"/>
    <xf numFmtId="0" fontId="58" fillId="0" borderId="0" xfId="0" applyFont="1" applyBorder="1"/>
    <xf numFmtId="0" fontId="58" fillId="0" borderId="49" xfId="0" applyFont="1" applyBorder="1"/>
    <xf numFmtId="3" fontId="58" fillId="9" borderId="0" xfId="0" applyNumberFormat="1" applyFont="1" applyFill="1" applyBorder="1"/>
    <xf numFmtId="3" fontId="58" fillId="0" borderId="0" xfId="0" applyNumberFormat="1" applyFont="1" applyFill="1" applyBorder="1"/>
    <xf numFmtId="0" fontId="58" fillId="0" borderId="0" xfId="0" applyFont="1" applyFill="1" applyBorder="1"/>
    <xf numFmtId="0" fontId="58" fillId="0" borderId="49" xfId="0" applyFont="1" applyFill="1" applyBorder="1"/>
    <xf numFmtId="3" fontId="58" fillId="0" borderId="50" xfId="0" applyNumberFormat="1" applyFont="1" applyBorder="1"/>
    <xf numFmtId="0" fontId="58" fillId="0" borderId="50" xfId="0" applyFont="1" applyBorder="1"/>
    <xf numFmtId="0" fontId="58" fillId="0" borderId="51" xfId="0" applyFont="1" applyBorder="1"/>
    <xf numFmtId="3" fontId="58" fillId="0" borderId="0" xfId="0" applyNumberFormat="1" applyFont="1"/>
    <xf numFmtId="3" fontId="60" fillId="0" borderId="0" xfId="4" applyNumberFormat="1" applyFont="1" applyFill="1" applyBorder="1"/>
    <xf numFmtId="0" fontId="60" fillId="0" borderId="0" xfId="4" applyFont="1" applyFill="1" applyBorder="1"/>
    <xf numFmtId="0" fontId="60" fillId="0" borderId="0" xfId="4" applyFont="1" applyFill="1"/>
    <xf numFmtId="3" fontId="60" fillId="0" borderId="0" xfId="4" applyNumberFormat="1" applyFont="1" applyFill="1"/>
    <xf numFmtId="0" fontId="61" fillId="0" borderId="39" xfId="0" applyFont="1" applyBorder="1"/>
    <xf numFmtId="0" fontId="7" fillId="0" borderId="0" xfId="12" applyFont="1" applyAlignment="1" applyProtection="1">
      <alignment horizontal="center" vertical="center"/>
    </xf>
    <xf numFmtId="171" fontId="6" fillId="0" borderId="0" xfId="1" applyNumberFormat="1" applyFont="1" applyFill="1" applyBorder="1" applyAlignment="1" applyProtection="1">
      <protection locked="0"/>
    </xf>
    <xf numFmtId="0" fontId="30" fillId="0" borderId="0" xfId="1" applyNumberFormat="1" applyFont="1" applyFill="1" applyBorder="1" applyAlignment="1" applyProtection="1">
      <alignment horizontal="center"/>
      <protection locked="0"/>
    </xf>
    <xf numFmtId="0" fontId="6" fillId="3" borderId="0" xfId="1" applyNumberFormat="1" applyFont="1" applyFill="1" applyBorder="1" applyAlignment="1" applyProtection="1">
      <alignment horizontal="center"/>
      <protection locked="0"/>
    </xf>
    <xf numFmtId="0" fontId="7" fillId="3" borderId="0" xfId="1" applyNumberFormat="1" applyFont="1" applyFill="1" applyBorder="1" applyAlignment="1" applyProtection="1">
      <alignment horizontal="center"/>
      <protection locked="0"/>
    </xf>
    <xf numFmtId="0" fontId="20" fillId="0" borderId="9" xfId="1" applyNumberFormat="1" applyFont="1" applyFill="1" applyBorder="1" applyAlignment="1" applyProtection="1">
      <protection locked="0"/>
    </xf>
    <xf numFmtId="0" fontId="6" fillId="0" borderId="10" xfId="1" applyNumberFormat="1" applyFont="1" applyFill="1" applyBorder="1" applyAlignment="1" applyProtection="1">
      <protection locked="0"/>
    </xf>
    <xf numFmtId="0" fontId="6" fillId="0" borderId="13" xfId="1" applyNumberFormat="1" applyFont="1" applyFill="1" applyBorder="1" applyAlignment="1" applyProtection="1">
      <protection locked="0"/>
    </xf>
    <xf numFmtId="0" fontId="7" fillId="0" borderId="14" xfId="1" applyNumberFormat="1" applyFont="1" applyFill="1" applyBorder="1" applyAlignment="1" applyProtection="1">
      <alignment horizontal="center"/>
      <protection locked="0"/>
    </xf>
    <xf numFmtId="166" fontId="6" fillId="0" borderId="10" xfId="1" applyNumberFormat="1" applyFont="1" applyFill="1" applyBorder="1" applyAlignment="1" applyProtection="1">
      <protection locked="0"/>
    </xf>
    <xf numFmtId="0" fontId="6" fillId="0" borderId="15" xfId="1" applyNumberFormat="1" applyFont="1" applyFill="1" applyBorder="1" applyAlignment="1" applyProtection="1">
      <protection locked="0"/>
    </xf>
    <xf numFmtId="0" fontId="6" fillId="0" borderId="16" xfId="1" applyNumberFormat="1" applyFont="1" applyFill="1" applyBorder="1" applyAlignment="1" applyProtection="1">
      <protection locked="0"/>
    </xf>
    <xf numFmtId="166" fontId="6" fillId="0" borderId="13" xfId="1" applyNumberFormat="1" applyFont="1" applyFill="1" applyBorder="1" applyAlignment="1" applyProtection="1">
      <protection locked="0"/>
    </xf>
    <xf numFmtId="0" fontId="6" fillId="0" borderId="9" xfId="1" applyNumberFormat="1" applyFont="1" applyFill="1" applyBorder="1" applyAlignment="1" applyProtection="1">
      <protection locked="0"/>
    </xf>
    <xf numFmtId="166" fontId="6" fillId="0" borderId="11" xfId="1" applyNumberFormat="1" applyFont="1" applyFill="1" applyBorder="1" applyAlignment="1" applyProtection="1">
      <protection locked="0"/>
    </xf>
    <xf numFmtId="166" fontId="6" fillId="0" borderId="9" xfId="1" applyNumberFormat="1" applyFont="1" applyFill="1" applyBorder="1" applyAlignment="1" applyProtection="1">
      <protection locked="0"/>
    </xf>
    <xf numFmtId="0" fontId="6" fillId="0" borderId="5" xfId="1" applyNumberFormat="1" applyFont="1" applyFill="1" applyBorder="1" applyAlignment="1" applyProtection="1">
      <protection locked="0"/>
    </xf>
    <xf numFmtId="0" fontId="6" fillId="0" borderId="17" xfId="1" applyNumberFormat="1" applyFont="1" applyFill="1" applyBorder="1" applyAlignment="1" applyProtection="1">
      <protection locked="0"/>
    </xf>
    <xf numFmtId="0" fontId="12" fillId="0" borderId="0" xfId="1" applyNumberFormat="1" applyFont="1" applyFill="1" applyBorder="1" applyAlignment="1" applyProtection="1">
      <protection locked="0"/>
    </xf>
    <xf numFmtId="0" fontId="12" fillId="0" borderId="18" xfId="1" applyNumberFormat="1" applyFont="1" applyFill="1" applyBorder="1" applyAlignment="1" applyProtection="1">
      <protection locked="0"/>
    </xf>
    <xf numFmtId="0" fontId="32" fillId="2" borderId="0" xfId="1" applyNumberFormat="1" applyFont="1" applyFill="1" applyBorder="1" applyAlignment="1" applyProtection="1">
      <protection locked="0"/>
    </xf>
    <xf numFmtId="0" fontId="33" fillId="3" borderId="19" xfId="1" applyNumberFormat="1" applyFont="1" applyFill="1" applyBorder="1" applyAlignment="1" applyProtection="1">
      <protection locked="0"/>
    </xf>
    <xf numFmtId="0" fontId="33" fillId="3" borderId="10" xfId="1" applyNumberFormat="1" applyFont="1" applyFill="1" applyBorder="1" applyAlignment="1" applyProtection="1">
      <protection locked="0"/>
    </xf>
    <xf numFmtId="166" fontId="33" fillId="3" borderId="10" xfId="1" applyNumberFormat="1" applyFont="1" applyFill="1" applyBorder="1" applyAlignment="1" applyProtection="1">
      <protection locked="0"/>
    </xf>
    <xf numFmtId="166" fontId="35" fillId="3" borderId="20" xfId="1" applyNumberFormat="1" applyFont="1" applyFill="1" applyBorder="1" applyAlignment="1" applyProtection="1">
      <alignment horizontal="center"/>
      <protection locked="0"/>
    </xf>
    <xf numFmtId="166" fontId="33" fillId="3" borderId="11" xfId="1" applyNumberFormat="1" applyFont="1" applyFill="1" applyBorder="1" applyAlignment="1" applyProtection="1">
      <protection locked="0"/>
    </xf>
    <xf numFmtId="166" fontId="33" fillId="3" borderId="9" xfId="1" applyNumberFormat="1" applyFont="1" applyFill="1" applyBorder="1" applyAlignment="1" applyProtection="1">
      <protection locked="0"/>
    </xf>
    <xf numFmtId="166" fontId="35" fillId="3" borderId="21" xfId="1" applyNumberFormat="1" applyFont="1" applyFill="1" applyBorder="1" applyAlignment="1" applyProtection="1">
      <alignment horizontal="center"/>
      <protection locked="0"/>
    </xf>
    <xf numFmtId="0" fontId="12" fillId="2" borderId="0" xfId="1" applyNumberFormat="1" applyFont="1" applyFill="1" applyBorder="1" applyAlignment="1" applyProtection="1">
      <protection locked="0"/>
    </xf>
    <xf numFmtId="166" fontId="12" fillId="2" borderId="0" xfId="1" applyNumberFormat="1" applyFont="1" applyFill="1" applyBorder="1" applyAlignment="1" applyProtection="1">
      <protection locked="0"/>
    </xf>
    <xf numFmtId="0" fontId="12" fillId="2" borderId="5" xfId="1" applyNumberFormat="1" applyFont="1" applyFill="1" applyBorder="1" applyAlignment="1" applyProtection="1">
      <protection locked="0"/>
    </xf>
    <xf numFmtId="0" fontId="12" fillId="2" borderId="17" xfId="1" applyNumberFormat="1" applyFont="1" applyFill="1" applyBorder="1" applyAlignment="1" applyProtection="1">
      <protection locked="0"/>
    </xf>
    <xf numFmtId="0" fontId="6" fillId="2" borderId="0" xfId="1" applyNumberFormat="1" applyFont="1" applyFill="1" applyBorder="1" applyAlignment="1" applyProtection="1">
      <protection locked="0"/>
    </xf>
    <xf numFmtId="181" fontId="6" fillId="2" borderId="0" xfId="1" applyNumberFormat="1" applyFont="1" applyFill="1" applyBorder="1" applyAlignment="1" applyProtection="1">
      <protection locked="0"/>
    </xf>
    <xf numFmtId="166" fontId="6" fillId="2" borderId="0" xfId="1" applyNumberFormat="1" applyFont="1" applyFill="1" applyBorder="1" applyAlignment="1" applyProtection="1">
      <protection locked="0"/>
    </xf>
    <xf numFmtId="0" fontId="15" fillId="2" borderId="0" xfId="1" applyNumberFormat="1" applyFont="1" applyFill="1" applyBorder="1" applyAlignment="1"/>
    <xf numFmtId="174" fontId="0" fillId="0" borderId="0" xfId="1" applyNumberFormat="1" applyFont="1" applyFill="1" applyBorder="1" applyAlignment="1"/>
    <xf numFmtId="166" fontId="3" fillId="0" borderId="0" xfId="7" applyNumberFormat="1" applyFont="1" applyFill="1" applyBorder="1" applyAlignment="1"/>
    <xf numFmtId="3" fontId="17" fillId="0" borderId="0" xfId="1" applyNumberFormat="1" applyFont="1" applyFill="1" applyBorder="1" applyAlignment="1"/>
    <xf numFmtId="166" fontId="37" fillId="0" borderId="0" xfId="1" applyNumberFormat="1" applyFont="1" applyFill="1" applyBorder="1" applyAlignment="1" applyProtection="1"/>
    <xf numFmtId="10" fontId="33" fillId="0" borderId="0" xfId="1" applyNumberFormat="1" applyFont="1" applyFill="1" applyBorder="1" applyAlignment="1" applyProtection="1">
      <protection locked="0"/>
    </xf>
    <xf numFmtId="166" fontId="36" fillId="2" borderId="1" xfId="1" applyNumberFormat="1" applyFont="1" applyFill="1" applyBorder="1" applyAlignment="1"/>
    <xf numFmtId="3" fontId="6" fillId="2" borderId="0" xfId="1" applyNumberFormat="1" applyFont="1" applyFill="1" applyBorder="1" applyAlignment="1"/>
    <xf numFmtId="0" fontId="6" fillId="0" borderId="0" xfId="1" applyNumberFormat="1" applyFont="1" applyFill="1" applyBorder="1" applyAlignment="1"/>
    <xf numFmtId="0" fontId="0" fillId="0" borderId="0" xfId="0" applyAlignment="1">
      <alignment horizontal="left" indent="1"/>
    </xf>
    <xf numFmtId="0" fontId="0" fillId="0" borderId="3" xfId="0" applyBorder="1" applyAlignment="1">
      <alignment horizontal="left" indent="1"/>
    </xf>
    <xf numFmtId="0" fontId="0" fillId="0" borderId="0" xfId="0" applyBorder="1" applyAlignment="1">
      <alignment horizontal="left" indent="1"/>
    </xf>
    <xf numFmtId="0" fontId="0" fillId="0" borderId="1" xfId="0" applyBorder="1" applyAlignment="1">
      <alignment horizontal="left" indent="1"/>
    </xf>
    <xf numFmtId="0" fontId="0" fillId="0" borderId="3"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11" fillId="9" borderId="0" xfId="8" applyNumberFormat="1" applyFont="1" applyFill="1" applyBorder="1" applyAlignment="1">
      <alignment horizontal="center"/>
    </xf>
    <xf numFmtId="0" fontId="3" fillId="0" borderId="37" xfId="0" applyFont="1" applyFill="1" applyBorder="1" applyAlignment="1">
      <alignment horizontal="center"/>
    </xf>
    <xf numFmtId="166" fontId="0" fillId="0" borderId="3" xfId="0" applyNumberFormat="1" applyBorder="1"/>
    <xf numFmtId="10" fontId="33" fillId="6" borderId="0" xfId="1" applyNumberFormat="1" applyFont="1" applyFill="1" applyBorder="1" applyAlignment="1" applyProtection="1">
      <alignment horizontal="right"/>
      <protection locked="0"/>
    </xf>
    <xf numFmtId="3" fontId="3" fillId="0" borderId="0" xfId="8" applyNumberFormat="1" applyFont="1" applyFill="1" applyBorder="1" applyAlignment="1" applyProtection="1"/>
    <xf numFmtId="9" fontId="3" fillId="0" borderId="0" xfId="8" applyNumberFormat="1" applyFont="1" applyFill="1" applyBorder="1" applyAlignment="1" applyProtection="1"/>
    <xf numFmtId="9" fontId="3" fillId="0" borderId="37" xfId="0" applyNumberFormat="1" applyFont="1" applyFill="1" applyBorder="1" applyAlignment="1">
      <alignment horizontal="center"/>
    </xf>
    <xf numFmtId="0" fontId="0" fillId="7" borderId="1" xfId="0" applyFill="1" applyBorder="1"/>
    <xf numFmtId="166" fontId="0" fillId="0" borderId="3" xfId="0" applyNumberFormat="1" applyFill="1" applyBorder="1"/>
    <xf numFmtId="166" fontId="0" fillId="0" borderId="0" xfId="0" applyNumberFormat="1" applyFill="1" applyBorder="1"/>
    <xf numFmtId="166" fontId="0" fillId="0" borderId="1" xfId="0" applyNumberFormat="1" applyFill="1" applyBorder="1"/>
    <xf numFmtId="10" fontId="0" fillId="0" borderId="0" xfId="0" applyNumberFormat="1" applyFill="1" applyBorder="1"/>
    <xf numFmtId="4" fontId="0" fillId="0" borderId="0" xfId="0" applyNumberFormat="1" applyFill="1" applyBorder="1"/>
    <xf numFmtId="3" fontId="3" fillId="0" borderId="0" xfId="0" applyNumberFormat="1" applyFont="1" applyFill="1"/>
    <xf numFmtId="170" fontId="3" fillId="0" borderId="0" xfId="1" applyNumberFormat="1" applyFont="1" applyFill="1" applyBorder="1" applyAlignment="1" applyProtection="1">
      <alignment horizontal="right" vertical="center"/>
    </xf>
    <xf numFmtId="0" fontId="3" fillId="0" borderId="0" xfId="0" applyFont="1" applyProtection="1"/>
    <xf numFmtId="0" fontId="3" fillId="0" borderId="0" xfId="1" applyNumberFormat="1" applyFont="1" applyFill="1" applyBorder="1" applyAlignment="1" applyProtection="1">
      <alignment horizontal="right"/>
      <protection locked="0"/>
    </xf>
    <xf numFmtId="0" fontId="3" fillId="0" borderId="0" xfId="1" applyNumberFormat="1" applyFont="1" applyFill="1" applyBorder="1" applyAlignment="1" applyProtection="1">
      <alignment horizontal="right"/>
    </xf>
    <xf numFmtId="195" fontId="3" fillId="0" borderId="0" xfId="1" applyNumberFormat="1" applyFont="1" applyFill="1" applyBorder="1" applyAlignment="1" applyProtection="1"/>
    <xf numFmtId="169" fontId="3" fillId="0" borderId="0" xfId="1" applyNumberFormat="1" applyFont="1" applyFill="1" applyBorder="1" applyAlignment="1" applyProtection="1">
      <alignment horizontal="right"/>
      <protection locked="0"/>
    </xf>
    <xf numFmtId="10" fontId="3" fillId="0" borderId="0" xfId="1" applyNumberFormat="1" applyFont="1" applyFill="1" applyBorder="1" applyAlignment="1" applyProtection="1">
      <alignment horizontal="right"/>
      <protection locked="0"/>
    </xf>
    <xf numFmtId="187" fontId="3" fillId="0" borderId="0" xfId="1" applyNumberFormat="1" applyFont="1" applyFill="1" applyBorder="1" applyAlignment="1" applyProtection="1">
      <protection locked="0"/>
    </xf>
    <xf numFmtId="187" fontId="3" fillId="0" borderId="0" xfId="0" applyNumberFormat="1" applyFont="1" applyFill="1" applyProtection="1"/>
    <xf numFmtId="187" fontId="3" fillId="0" borderId="0" xfId="0" applyNumberFormat="1" applyFont="1" applyFill="1" applyProtection="1">
      <protection locked="0"/>
    </xf>
    <xf numFmtId="10" fontId="3" fillId="0" borderId="0" xfId="0" applyNumberFormat="1" applyFont="1" applyFill="1" applyAlignment="1" applyProtection="1">
      <alignment horizontal="center"/>
    </xf>
    <xf numFmtId="10" fontId="3" fillId="0" borderId="0" xfId="0" applyNumberFormat="1" applyFont="1" applyFill="1" applyAlignment="1" applyProtection="1">
      <alignment horizontal="center"/>
      <protection locked="0"/>
    </xf>
    <xf numFmtId="187" fontId="3" fillId="0" borderId="0" xfId="1" applyNumberFormat="1" applyFont="1" applyFill="1" applyBorder="1" applyAlignment="1" applyProtection="1"/>
    <xf numFmtId="0" fontId="3" fillId="0" borderId="0" xfId="0" applyFont="1" applyFill="1" applyProtection="1">
      <protection locked="0"/>
    </xf>
    <xf numFmtId="4" fontId="3" fillId="0" borderId="0" xfId="0" applyNumberFormat="1" applyFont="1" applyFill="1" applyProtection="1"/>
    <xf numFmtId="0" fontId="3" fillId="0" borderId="0" xfId="0" quotePrefix="1" applyFont="1" applyProtection="1"/>
    <xf numFmtId="184" fontId="3" fillId="7" borderId="0" xfId="1" applyNumberFormat="1" applyFont="1" applyFill="1" applyBorder="1" applyAlignment="1" applyProtection="1"/>
    <xf numFmtId="10" fontId="3" fillId="7" borderId="0" xfId="1" applyNumberFormat="1" applyFont="1" applyFill="1" applyBorder="1" applyAlignment="1" applyProtection="1">
      <alignment horizontal="left"/>
    </xf>
    <xf numFmtId="184" fontId="3" fillId="0" borderId="0" xfId="1" applyNumberFormat="1" applyFont="1" applyFill="1" applyBorder="1" applyAlignment="1" applyProtection="1"/>
    <xf numFmtId="0" fontId="3" fillId="7" borderId="0" xfId="1" applyNumberFormat="1" applyFont="1" applyFill="1" applyBorder="1" applyAlignment="1" applyProtection="1">
      <alignment horizontal="left" vertical="center"/>
    </xf>
    <xf numFmtId="0" fontId="3" fillId="0" borderId="0" xfId="0" applyFont="1" applyProtection="1">
      <protection locked="0"/>
    </xf>
    <xf numFmtId="0" fontId="3" fillId="7" borderId="0" xfId="1" applyNumberFormat="1" applyFont="1" applyFill="1" applyBorder="1" applyAlignment="1" applyProtection="1">
      <alignment horizontal="left" indent="1"/>
    </xf>
    <xf numFmtId="0" fontId="3" fillId="7" borderId="0" xfId="0" applyNumberFormat="1" applyFont="1" applyFill="1" applyBorder="1" applyAlignment="1" applyProtection="1">
      <alignment horizontal="left" indent="1"/>
    </xf>
    <xf numFmtId="0" fontId="3" fillId="0" borderId="0" xfId="0" applyFont="1" applyFill="1" applyBorder="1" applyProtection="1"/>
    <xf numFmtId="0" fontId="3" fillId="0" borderId="0" xfId="0" applyFont="1" applyFill="1" applyBorder="1" applyProtection="1">
      <protection locked="0"/>
    </xf>
    <xf numFmtId="0" fontId="3" fillId="0" borderId="0" xfId="0" applyFont="1" applyBorder="1" applyProtection="1"/>
    <xf numFmtId="0" fontId="62" fillId="0" borderId="0" xfId="1" applyNumberFormat="1" applyFont="1" applyFill="1" applyBorder="1" applyAlignment="1" applyProtection="1">
      <alignment horizontal="center"/>
    </xf>
    <xf numFmtId="0" fontId="62" fillId="0" borderId="0" xfId="1" applyNumberFormat="1" applyFont="1" applyFill="1" applyBorder="1" applyAlignment="1" applyProtection="1">
      <alignment horizontal="right"/>
    </xf>
    <xf numFmtId="0" fontId="45" fillId="9" borderId="0" xfId="8" applyNumberFormat="1" applyFont="1" applyFill="1" applyBorder="1" applyAlignment="1" applyProtection="1"/>
    <xf numFmtId="0" fontId="62" fillId="7" borderId="0" xfId="1" applyNumberFormat="1" applyFont="1" applyFill="1" applyBorder="1" applyAlignment="1" applyProtection="1">
      <alignment horizontal="center"/>
    </xf>
    <xf numFmtId="170" fontId="37" fillId="0" borderId="0" xfId="1" applyNumberFormat="1" applyFont="1" applyFill="1" applyBorder="1" applyAlignment="1" applyProtection="1"/>
    <xf numFmtId="0" fontId="46" fillId="7" borderId="0" xfId="8" applyNumberFormat="1" applyFont="1" applyFill="1" applyBorder="1" applyAlignment="1" applyProtection="1"/>
    <xf numFmtId="0" fontId="7" fillId="0" borderId="0" xfId="1" applyNumberFormat="1" applyFont="1" applyFill="1" applyBorder="1" applyAlignment="1" applyProtection="1">
      <alignment horizontal="center"/>
    </xf>
    <xf numFmtId="0" fontId="3" fillId="0" borderId="0" xfId="8" applyNumberFormat="1" applyFont="1" applyFill="1" applyBorder="1" applyAlignment="1" applyProtection="1">
      <alignment horizontal="right"/>
    </xf>
    <xf numFmtId="9" fontId="3" fillId="0" borderId="0" xfId="8" applyNumberFormat="1" applyFont="1" applyFill="1" applyBorder="1" applyAlignment="1" applyProtection="1">
      <alignment horizontal="right"/>
    </xf>
    <xf numFmtId="0" fontId="46" fillId="7" borderId="0" xfId="8" applyNumberFormat="1" applyFont="1" applyFill="1" applyBorder="1" applyAlignment="1" applyProtection="1">
      <alignment horizontal="right"/>
    </xf>
    <xf numFmtId="3" fontId="7" fillId="0" borderId="0" xfId="0" applyNumberFormat="1" applyFont="1"/>
    <xf numFmtId="3" fontId="0" fillId="0" borderId="3" xfId="0" applyNumberFormat="1" applyBorder="1"/>
    <xf numFmtId="0" fontId="0" fillId="0" borderId="0" xfId="0" applyFill="1" applyAlignment="1" applyProtection="1">
      <alignment horizontal="center"/>
    </xf>
    <xf numFmtId="0" fontId="11" fillId="9" borderId="0" xfId="8"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0" fontId="6" fillId="0" borderId="1" xfId="1" applyNumberFormat="1" applyFont="1" applyFill="1" applyBorder="1" applyAlignment="1" applyProtection="1">
      <alignment horizontal="center"/>
    </xf>
    <xf numFmtId="0" fontId="3" fillId="0" borderId="0" xfId="1" applyNumberFormat="1" applyFont="1" applyFill="1" applyBorder="1" applyAlignment="1" applyProtection="1">
      <alignment horizontal="center"/>
    </xf>
    <xf numFmtId="0" fontId="0" fillId="0" borderId="0" xfId="0" applyAlignment="1" applyProtection="1">
      <alignment horizontal="center"/>
    </xf>
    <xf numFmtId="170" fontId="6" fillId="0" borderId="0" xfId="1" applyNumberFormat="1" applyFont="1" applyFill="1" applyBorder="1" applyAlignment="1" applyProtection="1">
      <alignment horizontal="center"/>
    </xf>
    <xf numFmtId="0" fontId="6" fillId="0" borderId="10" xfId="1" applyNumberFormat="1" applyFont="1" applyFill="1" applyBorder="1" applyAlignment="1" applyProtection="1">
      <alignment horizontal="center"/>
    </xf>
    <xf numFmtId="0" fontId="4" fillId="0" borderId="0" xfId="1" applyNumberFormat="1" applyFont="1" applyFill="1" applyBorder="1" applyAlignment="1" applyProtection="1">
      <alignment horizontal="center"/>
    </xf>
    <xf numFmtId="0" fontId="25" fillId="5" borderId="0" xfId="1" applyNumberFormat="1" applyFont="1" applyFill="1" applyBorder="1" applyAlignment="1" applyProtection="1">
      <alignment horizontal="center"/>
    </xf>
    <xf numFmtId="0" fontId="25" fillId="0" borderId="0" xfId="1" applyNumberFormat="1" applyFont="1" applyFill="1" applyBorder="1" applyAlignment="1" applyProtection="1">
      <alignment horizontal="center"/>
    </xf>
    <xf numFmtId="0" fontId="38" fillId="7" borderId="0" xfId="1" applyNumberFormat="1" applyFont="1" applyFill="1" applyBorder="1" applyAlignment="1" applyProtection="1">
      <alignment horizontal="center"/>
    </xf>
    <xf numFmtId="0" fontId="21" fillId="0" borderId="0" xfId="1" applyNumberFormat="1" applyFont="1" applyFill="1" applyBorder="1" applyAlignment="1" applyProtection="1">
      <alignment horizontal="center"/>
    </xf>
    <xf numFmtId="0" fontId="11" fillId="0" borderId="0" xfId="1" applyNumberFormat="1" applyFont="1" applyFill="1" applyBorder="1" applyAlignment="1" applyProtection="1">
      <alignment horizontal="center"/>
    </xf>
    <xf numFmtId="0" fontId="6" fillId="0" borderId="0" xfId="1" applyNumberFormat="1" applyFont="1" applyFill="1" applyBorder="1" applyAlignment="1" applyProtection="1">
      <alignment horizontal="center"/>
      <protection locked="0"/>
    </xf>
    <xf numFmtId="0" fontId="7" fillId="0" borderId="10" xfId="1" applyNumberFormat="1" applyFont="1" applyFill="1" applyBorder="1" applyAlignment="1" applyProtection="1">
      <alignment horizontal="center"/>
    </xf>
    <xf numFmtId="0" fontId="6" fillId="0" borderId="3" xfId="1" applyNumberFormat="1" applyFont="1" applyFill="1" applyBorder="1" applyAlignment="1" applyProtection="1">
      <alignment horizontal="center"/>
    </xf>
    <xf numFmtId="0" fontId="33" fillId="7" borderId="0" xfId="1" applyNumberFormat="1" applyFont="1" applyFill="1" applyBorder="1" applyAlignment="1" applyProtection="1">
      <alignment horizontal="center"/>
    </xf>
    <xf numFmtId="0" fontId="4" fillId="0" borderId="3" xfId="1" applyNumberFormat="1" applyFont="1" applyFill="1" applyBorder="1" applyAlignment="1" applyProtection="1">
      <alignment horizontal="center"/>
    </xf>
    <xf numFmtId="0" fontId="7" fillId="0" borderId="3" xfId="1" applyNumberFormat="1" applyFont="1" applyFill="1" applyBorder="1" applyAlignment="1" applyProtection="1">
      <alignment horizontal="center"/>
    </xf>
    <xf numFmtId="0" fontId="7" fillId="3" borderId="0" xfId="1" applyNumberFormat="1" applyFont="1" applyFill="1" applyBorder="1" applyAlignment="1" applyProtection="1">
      <alignment horizontal="center"/>
    </xf>
    <xf numFmtId="0" fontId="0" fillId="0" borderId="10" xfId="1" applyNumberFormat="1" applyFont="1" applyFill="1" applyBorder="1" applyAlignment="1">
      <alignment horizontal="center"/>
    </xf>
    <xf numFmtId="0" fontId="0" fillId="0" borderId="0" xfId="0" applyFill="1" applyAlignment="1">
      <alignment horizontal="center"/>
    </xf>
    <xf numFmtId="166" fontId="7" fillId="3" borderId="0" xfId="1" applyNumberFormat="1" applyFont="1" applyFill="1" applyBorder="1" applyAlignment="1">
      <alignment horizontal="center"/>
    </xf>
    <xf numFmtId="0" fontId="0" fillId="0" borderId="1" xfId="1" applyNumberFormat="1" applyFont="1" applyFill="1" applyBorder="1" applyAlignment="1">
      <alignment horizontal="center"/>
    </xf>
    <xf numFmtId="166" fontId="8" fillId="4" borderId="0" xfId="1" applyNumberFormat="1" applyFont="1" applyFill="1" applyBorder="1" applyAlignment="1">
      <alignment horizontal="center"/>
    </xf>
    <xf numFmtId="0" fontId="45" fillId="9" borderId="0" xfId="8" applyNumberFormat="1" applyFont="1" applyFill="1" applyBorder="1" applyAlignment="1" applyProtection="1">
      <alignment horizontal="center"/>
    </xf>
    <xf numFmtId="0" fontId="7" fillId="7" borderId="0" xfId="1" applyNumberFormat="1" applyFont="1" applyFill="1" applyBorder="1" applyAlignment="1" applyProtection="1">
      <alignment horizontal="center"/>
    </xf>
    <xf numFmtId="0" fontId="3" fillId="7" borderId="0" xfId="1" applyNumberFormat="1" applyFont="1" applyFill="1" applyBorder="1" applyAlignment="1" applyProtection="1">
      <alignment horizontal="center"/>
    </xf>
    <xf numFmtId="184" fontId="3" fillId="7" borderId="0" xfId="1" applyNumberFormat="1" applyFont="1" applyFill="1" applyBorder="1" applyAlignment="1" applyProtection="1">
      <alignment horizontal="center"/>
    </xf>
    <xf numFmtId="10" fontId="3" fillId="7" borderId="0" xfId="1" applyNumberFormat="1" applyFont="1" applyFill="1" applyBorder="1" applyAlignment="1" applyProtection="1">
      <alignment horizontal="center"/>
    </xf>
    <xf numFmtId="10" fontId="3" fillId="0" borderId="0" xfId="1" applyNumberFormat="1" applyFont="1" applyFill="1" applyBorder="1" applyAlignment="1" applyProtection="1">
      <alignment horizontal="center"/>
    </xf>
    <xf numFmtId="0" fontId="3" fillId="0" borderId="0" xfId="0" applyFont="1" applyAlignment="1" applyProtection="1">
      <alignment horizontal="center"/>
    </xf>
    <xf numFmtId="0" fontId="46" fillId="7" borderId="0" xfId="8" applyNumberFormat="1" applyFont="1" applyFill="1" applyBorder="1" applyAlignment="1" applyProtection="1">
      <alignment horizontal="center"/>
    </xf>
    <xf numFmtId="0" fontId="7" fillId="7" borderId="0" xfId="8" applyNumberFormat="1" applyFont="1" applyFill="1" applyBorder="1" applyAlignment="1" applyProtection="1">
      <alignment horizontal="center"/>
    </xf>
    <xf numFmtId="0" fontId="3" fillId="7" borderId="1" xfId="1" applyNumberFormat="1" applyFont="1" applyFill="1" applyBorder="1" applyAlignment="1" applyProtection="1">
      <alignment horizontal="center"/>
    </xf>
    <xf numFmtId="0" fontId="7" fillId="4" borderId="0" xfId="1" applyNumberFormat="1" applyFont="1" applyFill="1" applyBorder="1" applyAlignment="1" applyProtection="1">
      <alignment horizontal="center"/>
    </xf>
    <xf numFmtId="0" fontId="0" fillId="0" borderId="1" xfId="0" applyFill="1" applyBorder="1" applyAlignment="1">
      <alignment horizontal="center"/>
    </xf>
    <xf numFmtId="0" fontId="7" fillId="6" borderId="0" xfId="0" applyFont="1" applyFill="1" applyAlignment="1">
      <alignment horizontal="center"/>
    </xf>
    <xf numFmtId="0" fontId="53" fillId="0" borderId="0" xfId="0" applyFont="1" applyAlignment="1">
      <alignment horizontal="center"/>
    </xf>
    <xf numFmtId="0" fontId="6" fillId="0" borderId="3" xfId="1" applyNumberFormat="1" applyFont="1" applyFill="1" applyBorder="1" applyAlignment="1">
      <alignment horizontal="center"/>
    </xf>
    <xf numFmtId="0" fontId="6" fillId="0" borderId="1" xfId="1" applyNumberFormat="1" applyFont="1" applyFill="1" applyBorder="1" applyAlignment="1">
      <alignment horizontal="center"/>
    </xf>
    <xf numFmtId="0" fontId="6" fillId="0" borderId="2" xfId="1" applyNumberFormat="1" applyFont="1" applyFill="1" applyBorder="1" applyAlignment="1">
      <alignment horizontal="center"/>
    </xf>
    <xf numFmtId="0" fontId="0" fillId="0" borderId="0" xfId="1" applyNumberFormat="1" applyFont="1" applyFill="1" applyBorder="1" applyAlignment="1">
      <alignment horizontal="center"/>
    </xf>
    <xf numFmtId="0" fontId="15" fillId="2" borderId="3" xfId="1" applyNumberFormat="1" applyFont="1" applyFill="1" applyBorder="1" applyAlignment="1">
      <alignment horizontal="center"/>
    </xf>
    <xf numFmtId="0" fontId="15" fillId="2" borderId="0" xfId="1" applyNumberFormat="1" applyFont="1" applyFill="1" applyBorder="1" applyAlignment="1">
      <alignment horizontal="center"/>
    </xf>
    <xf numFmtId="166" fontId="7" fillId="2" borderId="0" xfId="1" applyNumberFormat="1" applyFont="1" applyFill="1" applyBorder="1" applyAlignment="1">
      <alignment horizontal="center"/>
    </xf>
    <xf numFmtId="0" fontId="0" fillId="2" borderId="1" xfId="1" applyNumberFormat="1" applyFont="1" applyFill="1" applyBorder="1" applyAlignment="1">
      <alignment horizontal="center"/>
    </xf>
    <xf numFmtId="0" fontId="0" fillId="2" borderId="0" xfId="1" applyNumberFormat="1" applyFont="1" applyFill="1" applyBorder="1" applyAlignment="1">
      <alignment horizontal="center"/>
    </xf>
    <xf numFmtId="0" fontId="7" fillId="0" borderId="1" xfId="1" applyNumberFormat="1" applyFont="1" applyFill="1" applyBorder="1" applyAlignment="1">
      <alignment horizontal="center"/>
    </xf>
    <xf numFmtId="0" fontId="8" fillId="4" borderId="0" xfId="1" applyNumberFormat="1" applyFont="1" applyFill="1" applyBorder="1" applyAlignment="1">
      <alignment horizontal="center"/>
    </xf>
    <xf numFmtId="0" fontId="0" fillId="8" borderId="0" xfId="0" applyFill="1" applyAlignment="1">
      <alignment horizontal="center"/>
    </xf>
    <xf numFmtId="0" fontId="11" fillId="0" borderId="0" xfId="1" applyNumberFormat="1" applyFont="1" applyFill="1" applyBorder="1" applyAlignment="1">
      <alignment horizontal="center"/>
    </xf>
    <xf numFmtId="0" fontId="6" fillId="0" borderId="0" xfId="1" applyNumberFormat="1" applyFont="1" applyFill="1" applyBorder="1" applyAlignment="1"/>
    <xf numFmtId="169" fontId="7" fillId="0" borderId="52" xfId="1" applyNumberFormat="1" applyFont="1" applyFill="1" applyBorder="1" applyAlignment="1" applyProtection="1">
      <alignment horizontal="right"/>
    </xf>
    <xf numFmtId="3" fontId="59" fillId="0" borderId="47" xfId="0" applyNumberFormat="1" applyFont="1" applyFill="1" applyBorder="1"/>
    <xf numFmtId="0" fontId="59" fillId="0" borderId="47" xfId="0" applyFont="1" applyFill="1" applyBorder="1"/>
    <xf numFmtId="3" fontId="58" fillId="0" borderId="50" xfId="0" applyNumberFormat="1" applyFont="1" applyFill="1" applyBorder="1"/>
    <xf numFmtId="3" fontId="58" fillId="0" borderId="0" xfId="0" applyNumberFormat="1" applyFont="1" applyFill="1"/>
    <xf numFmtId="0" fontId="61" fillId="0" borderId="39" xfId="0" applyFont="1" applyFill="1" applyBorder="1"/>
    <xf numFmtId="3" fontId="47" fillId="0" borderId="0" xfId="9" applyNumberFormat="1" applyFont="1" applyFill="1" applyAlignment="1" applyProtection="1">
      <alignment horizontal="right" vertical="center"/>
    </xf>
    <xf numFmtId="3" fontId="37" fillId="0" borderId="0" xfId="9" applyNumberFormat="1" applyFont="1" applyFill="1" applyAlignment="1" applyProtection="1">
      <alignment horizontal="right" vertical="center"/>
    </xf>
    <xf numFmtId="3" fontId="47" fillId="0" borderId="0" xfId="9" applyNumberFormat="1" applyFont="1" applyFill="1" applyAlignment="1" applyProtection="1">
      <alignment vertical="center"/>
    </xf>
    <xf numFmtId="4" fontId="47" fillId="0" borderId="0" xfId="9" applyNumberFormat="1" applyFont="1" applyFill="1" applyAlignment="1" applyProtection="1">
      <alignment horizontal="right" vertical="center"/>
    </xf>
    <xf numFmtId="4" fontId="37" fillId="0" borderId="0" xfId="9" applyNumberFormat="1" applyFont="1" applyFill="1" applyAlignment="1" applyProtection="1">
      <alignment horizontal="right" vertical="center"/>
    </xf>
    <xf numFmtId="4" fontId="47" fillId="0" borderId="0" xfId="9" applyNumberFormat="1" applyFont="1" applyFill="1" applyAlignment="1" applyProtection="1">
      <alignment vertical="center"/>
    </xf>
    <xf numFmtId="3" fontId="37" fillId="0" borderId="0" xfId="9" applyNumberFormat="1" applyFont="1" applyFill="1" applyAlignment="1" applyProtection="1">
      <alignment vertical="center"/>
    </xf>
    <xf numFmtId="4" fontId="37" fillId="0" borderId="0" xfId="9" applyNumberFormat="1" applyFont="1" applyFill="1" applyAlignment="1" applyProtection="1">
      <alignment vertical="center"/>
    </xf>
    <xf numFmtId="0" fontId="3" fillId="0" borderId="0" xfId="9" applyFont="1" applyFill="1" applyAlignment="1" applyProtection="1">
      <alignment vertical="center"/>
    </xf>
    <xf numFmtId="0" fontId="37" fillId="0" borderId="0" xfId="9" applyFont="1" applyFill="1" applyAlignment="1" applyProtection="1">
      <alignment horizontal="right" vertical="center"/>
    </xf>
    <xf numFmtId="0" fontId="47" fillId="0" borderId="0" xfId="9" applyFont="1" applyFill="1" applyAlignment="1" applyProtection="1">
      <alignment vertical="center"/>
    </xf>
    <xf numFmtId="0" fontId="3" fillId="0" borderId="0" xfId="9" applyFont="1" applyFill="1" applyAlignment="1" applyProtection="1">
      <alignment horizontal="right" vertical="center"/>
    </xf>
    <xf numFmtId="3" fontId="3" fillId="0" borderId="0" xfId="9" applyNumberFormat="1" applyFont="1" applyFill="1" applyAlignment="1" applyProtection="1">
      <alignment vertical="center"/>
    </xf>
    <xf numFmtId="4" fontId="3" fillId="0" borderId="0" xfId="9" applyNumberFormat="1" applyFont="1" applyFill="1" applyAlignment="1" applyProtection="1">
      <alignment vertical="center"/>
    </xf>
    <xf numFmtId="4" fontId="45" fillId="14" borderId="40" xfId="9" applyNumberFormat="1" applyFont="1" applyFill="1" applyBorder="1" applyAlignment="1" applyProtection="1">
      <alignment vertical="center"/>
    </xf>
    <xf numFmtId="10" fontId="45" fillId="14" borderId="0" xfId="9" applyNumberFormat="1" applyFont="1" applyFill="1" applyBorder="1" applyAlignment="1" applyProtection="1">
      <alignment horizontal="center" vertical="center"/>
    </xf>
    <xf numFmtId="10" fontId="45" fillId="14" borderId="39" xfId="9" applyNumberFormat="1" applyFont="1" applyFill="1" applyBorder="1" applyAlignment="1" applyProtection="1">
      <alignment horizontal="center" vertical="center"/>
    </xf>
    <xf numFmtId="10" fontId="45" fillId="14" borderId="46" xfId="9" applyNumberFormat="1" applyFont="1" applyFill="1" applyBorder="1" applyAlignment="1" applyProtection="1">
      <alignment vertical="center"/>
    </xf>
    <xf numFmtId="4" fontId="45" fillId="14" borderId="35" xfId="9" applyNumberFormat="1" applyFont="1" applyFill="1" applyBorder="1" applyAlignment="1" applyProtection="1">
      <alignment vertical="center"/>
    </xf>
    <xf numFmtId="14" fontId="51" fillId="0" borderId="0" xfId="9" applyNumberFormat="1" applyFont="1" applyFill="1" applyAlignment="1" applyProtection="1">
      <alignment horizontal="center" vertical="center"/>
    </xf>
    <xf numFmtId="166" fontId="7" fillId="15" borderId="0" xfId="1" applyNumberFormat="1" applyFont="1" applyFill="1" applyBorder="1" applyAlignment="1" applyProtection="1"/>
    <xf numFmtId="166" fontId="3" fillId="14" borderId="0" xfId="1" applyNumberFormat="1" applyFont="1" applyFill="1" applyBorder="1" applyAlignment="1" applyProtection="1"/>
    <xf numFmtId="10" fontId="12" fillId="14" borderId="0" xfId="8" applyNumberFormat="1" applyFont="1" applyFill="1" applyBorder="1" applyAlignment="1" applyProtection="1"/>
    <xf numFmtId="4" fontId="12" fillId="14" borderId="0" xfId="8" applyNumberFormat="1" applyFont="1" applyFill="1" applyBorder="1" applyAlignment="1" applyProtection="1">
      <alignment horizontal="right" vertical="top"/>
    </xf>
    <xf numFmtId="1" fontId="12" fillId="14" borderId="0" xfId="8" applyNumberFormat="1" applyFont="1" applyFill="1" applyBorder="1" applyAlignment="1" applyProtection="1">
      <alignment horizontal="right" vertical="top"/>
    </xf>
    <xf numFmtId="3" fontId="12" fillId="14" borderId="0" xfId="8" applyNumberFormat="1" applyFont="1" applyFill="1" applyBorder="1" applyAlignment="1" applyProtection="1">
      <alignment horizontal="right" vertical="top"/>
    </xf>
    <xf numFmtId="194" fontId="12" fillId="14" borderId="0" xfId="8" applyNumberFormat="1" applyFont="1" applyFill="1" applyBorder="1" applyAlignment="1" applyProtection="1">
      <alignment horizontal="right" vertical="top"/>
    </xf>
    <xf numFmtId="171" fontId="12" fillId="14" borderId="0" xfId="8" applyNumberFormat="1" applyFont="1" applyFill="1" applyBorder="1" applyAlignment="1" applyProtection="1"/>
    <xf numFmtId="170" fontId="12" fillId="14" borderId="0" xfId="8" applyNumberFormat="1" applyFont="1" applyFill="1" applyBorder="1" applyAlignment="1" applyProtection="1">
      <alignment horizontal="right" vertical="top"/>
    </xf>
    <xf numFmtId="0" fontId="3" fillId="14" borderId="0" xfId="1" applyNumberFormat="1" applyFont="1" applyFill="1" applyBorder="1" applyAlignment="1" applyProtection="1"/>
    <xf numFmtId="0" fontId="12" fillId="16" borderId="0" xfId="8" applyNumberFormat="1" applyFont="1" applyFill="1" applyBorder="1" applyAlignment="1" applyProtection="1"/>
    <xf numFmtId="10" fontId="12" fillId="16" borderId="0" xfId="8" applyNumberFormat="1" applyFont="1" applyFill="1" applyBorder="1" applyAlignment="1" applyProtection="1"/>
    <xf numFmtId="3" fontId="12" fillId="16" borderId="0" xfId="8" applyNumberFormat="1" applyFont="1" applyFill="1" applyBorder="1" applyAlignment="1" applyProtection="1"/>
    <xf numFmtId="0" fontId="3" fillId="14" borderId="0" xfId="1" applyNumberFormat="1" applyFont="1" applyFill="1" applyBorder="1" applyAlignment="1" applyProtection="1">
      <alignment horizontal="left"/>
    </xf>
    <xf numFmtId="0" fontId="3" fillId="14" borderId="0" xfId="14" applyFont="1" applyFill="1" applyBorder="1" applyAlignment="1" applyProtection="1">
      <alignment horizontal="left"/>
    </xf>
    <xf numFmtId="10" fontId="12" fillId="14" borderId="0" xfId="8" applyNumberFormat="1" applyFont="1" applyFill="1" applyBorder="1" applyAlignment="1" applyProtection="1">
      <alignment horizontal="right" vertical="top"/>
    </xf>
    <xf numFmtId="1" fontId="57" fillId="14" borderId="0" xfId="8" applyNumberFormat="1" applyFont="1" applyFill="1" applyBorder="1" applyAlignment="1" applyProtection="1">
      <alignment horizontal="right" vertical="top"/>
    </xf>
    <xf numFmtId="0" fontId="12" fillId="17" borderId="29" xfId="8" applyNumberFormat="1" applyFont="1" applyFill="1" applyBorder="1" applyAlignment="1" applyProtection="1">
      <alignment horizontal="center"/>
      <protection locked="0"/>
    </xf>
    <xf numFmtId="166" fontId="7" fillId="17" borderId="0" xfId="1" applyNumberFormat="1" applyFont="1" applyFill="1" applyBorder="1" applyAlignment="1"/>
    <xf numFmtId="1" fontId="0" fillId="0" borderId="37" xfId="0" applyNumberFormat="1" applyFill="1" applyBorder="1" applyAlignment="1">
      <alignment horizontal="center"/>
    </xf>
    <xf numFmtId="174" fontId="0" fillId="0" borderId="0" xfId="0" applyNumberFormat="1" applyFill="1"/>
    <xf numFmtId="166" fontId="15" fillId="18" borderId="3" xfId="1" applyNumberFormat="1" applyFont="1" applyFill="1" applyBorder="1" applyAlignment="1"/>
    <xf numFmtId="10" fontId="33" fillId="14" borderId="0" xfId="2" applyNumberFormat="1" applyFont="1" applyFill="1" applyBorder="1" applyAlignment="1">
      <alignment horizontal="center"/>
    </xf>
    <xf numFmtId="166" fontId="3" fillId="0" borderId="2" xfId="0" applyNumberFormat="1" applyFont="1" applyFill="1" applyBorder="1"/>
    <xf numFmtId="166" fontId="33" fillId="0" borderId="1" xfId="0" applyNumberFormat="1" applyFont="1" applyFill="1" applyBorder="1"/>
    <xf numFmtId="166" fontId="3" fillId="0" borderId="3" xfId="0" applyNumberFormat="1" applyFont="1" applyFill="1" applyBorder="1"/>
    <xf numFmtId="166" fontId="33" fillId="0" borderId="3" xfId="0" applyNumberFormat="1" applyFont="1" applyFill="1" applyBorder="1"/>
    <xf numFmtId="3" fontId="3" fillId="14" borderId="0" xfId="0" applyNumberFormat="1" applyFont="1" applyFill="1"/>
    <xf numFmtId="3" fontId="0" fillId="0" borderId="1" xfId="0" applyNumberFormat="1" applyFill="1" applyBorder="1"/>
    <xf numFmtId="10" fontId="0" fillId="0" borderId="0" xfId="0" applyNumberFormat="1" applyFill="1"/>
    <xf numFmtId="174" fontId="53" fillId="0" borderId="0" xfId="0" applyNumberFormat="1" applyFont="1" applyFill="1"/>
    <xf numFmtId="182" fontId="0" fillId="0" borderId="0" xfId="0" applyNumberFormat="1" applyFill="1"/>
    <xf numFmtId="182" fontId="33" fillId="0" borderId="0" xfId="0" applyNumberFormat="1" applyFont="1" applyFill="1"/>
    <xf numFmtId="10" fontId="0" fillId="18" borderId="0" xfId="1" applyNumberFormat="1" applyFont="1" applyFill="1" applyBorder="1" applyAlignment="1"/>
    <xf numFmtId="169" fontId="8" fillId="13" borderId="7" xfId="1" applyNumberFormat="1" applyFont="1" applyFill="1" applyBorder="1" applyAlignment="1">
      <alignment horizontal="left"/>
    </xf>
    <xf numFmtId="173" fontId="7" fillId="19" borderId="0" xfId="1" applyNumberFormat="1" applyFont="1" applyFill="1" applyBorder="1" applyAlignment="1" applyProtection="1">
      <alignment horizontal="right"/>
    </xf>
    <xf numFmtId="10" fontId="33" fillId="14" borderId="0" xfId="2" applyNumberFormat="1" applyFont="1" applyFill="1" applyBorder="1" applyAlignment="1" applyProtection="1"/>
    <xf numFmtId="10" fontId="33" fillId="14" borderId="0" xfId="1" applyNumberFormat="1" applyFont="1" applyFill="1" applyBorder="1" applyAlignment="1" applyProtection="1">
      <protection locked="0"/>
    </xf>
    <xf numFmtId="10" fontId="33" fillId="14" borderId="0" xfId="1" applyNumberFormat="1" applyFont="1" applyFill="1" applyBorder="1" applyAlignment="1" applyProtection="1"/>
    <xf numFmtId="10" fontId="3" fillId="14" borderId="0" xfId="1" applyNumberFormat="1" applyFont="1" applyFill="1" applyBorder="1" applyAlignment="1" applyProtection="1"/>
    <xf numFmtId="166" fontId="33" fillId="14" borderId="0" xfId="1" applyNumberFormat="1" applyFont="1" applyFill="1" applyBorder="1" applyAlignment="1" applyProtection="1"/>
    <xf numFmtId="166" fontId="6" fillId="14" borderId="0" xfId="1" applyNumberFormat="1" applyFont="1" applyFill="1" applyBorder="1" applyAlignment="1" applyProtection="1"/>
    <xf numFmtId="166" fontId="38" fillId="14" borderId="0" xfId="1" applyNumberFormat="1" applyFont="1" applyFill="1" applyBorder="1" applyAlignment="1" applyProtection="1"/>
    <xf numFmtId="3" fontId="33" fillId="14" borderId="0" xfId="1" applyNumberFormat="1" applyFont="1" applyFill="1" applyBorder="1" applyAlignment="1" applyProtection="1"/>
    <xf numFmtId="166" fontId="6" fillId="18" borderId="0" xfId="1" applyNumberFormat="1" applyFont="1" applyFill="1" applyBorder="1" applyAlignment="1" applyProtection="1"/>
    <xf numFmtId="190" fontId="33" fillId="14" borderId="0" xfId="1" applyNumberFormat="1" applyFont="1" applyFill="1" applyBorder="1" applyAlignment="1" applyProtection="1"/>
    <xf numFmtId="170" fontId="33" fillId="14" borderId="0" xfId="1" applyNumberFormat="1" applyFont="1" applyFill="1" applyBorder="1" applyAlignment="1" applyProtection="1"/>
    <xf numFmtId="166" fontId="37" fillId="14" borderId="0" xfId="1" applyNumberFormat="1" applyFont="1" applyFill="1" applyBorder="1" applyAlignment="1" applyProtection="1"/>
    <xf numFmtId="166" fontId="7" fillId="0" borderId="0" xfId="0" applyNumberFormat="1" applyFont="1" applyFill="1" applyProtection="1"/>
    <xf numFmtId="169" fontId="8" fillId="14" borderId="7" xfId="1" applyNumberFormat="1" applyFont="1" applyFill="1" applyBorder="1" applyAlignment="1" applyProtection="1">
      <alignment horizontal="center"/>
    </xf>
    <xf numFmtId="169" fontId="8" fillId="20" borderId="7" xfId="1" applyNumberFormat="1" applyFont="1" applyFill="1" applyBorder="1" applyAlignment="1">
      <alignment horizontal="center"/>
    </xf>
    <xf numFmtId="166" fontId="8" fillId="15" borderId="0" xfId="1" applyNumberFormat="1" applyFont="1" applyFill="1" applyBorder="1" applyAlignment="1"/>
    <xf numFmtId="166" fontId="6" fillId="18" borderId="0" xfId="1" applyNumberFormat="1" applyFont="1" applyFill="1" applyBorder="1" applyAlignment="1"/>
    <xf numFmtId="166" fontId="33" fillId="18" borderId="0" xfId="1" applyNumberFormat="1" applyFont="1" applyFill="1" applyBorder="1" applyAlignment="1"/>
    <xf numFmtId="166" fontId="7" fillId="19" borderId="0" xfId="1" applyNumberFormat="1" applyFont="1" applyFill="1" applyBorder="1" applyAlignment="1"/>
    <xf numFmtId="170" fontId="33" fillId="14" borderId="0" xfId="1" applyNumberFormat="1" applyFont="1" applyFill="1" applyBorder="1" applyAlignment="1">
      <alignment horizontal="center" vertical="center"/>
    </xf>
    <xf numFmtId="166" fontId="16" fillId="18" borderId="0" xfId="1" applyNumberFormat="1" applyFont="1" applyFill="1" applyBorder="1" applyAlignment="1"/>
    <xf numFmtId="166" fontId="37" fillId="14" borderId="0" xfId="1" applyNumberFormat="1" applyFont="1" applyFill="1" applyBorder="1" applyAlignment="1"/>
    <xf numFmtId="168" fontId="37" fillId="14" borderId="0" xfId="1" applyNumberFormat="1" applyFont="1" applyFill="1" applyBorder="1" applyAlignment="1"/>
    <xf numFmtId="166" fontId="46" fillId="15" borderId="0" xfId="1" applyNumberFormat="1" applyFont="1" applyFill="1" applyBorder="1" applyAlignment="1"/>
    <xf numFmtId="166" fontId="6" fillId="18" borderId="1" xfId="1" applyNumberFormat="1" applyFont="1" applyFill="1" applyBorder="1" applyAlignment="1"/>
    <xf numFmtId="166" fontId="7" fillId="18" borderId="0" xfId="1" applyNumberFormat="1" applyFont="1" applyFill="1" applyBorder="1" applyAlignment="1"/>
    <xf numFmtId="166" fontId="3" fillId="18" borderId="1" xfId="1" applyNumberFormat="1" applyFont="1" applyFill="1" applyBorder="1" applyAlignment="1"/>
    <xf numFmtId="3" fontId="0" fillId="0" borderId="37" xfId="0" applyNumberFormat="1" applyFill="1" applyBorder="1" applyAlignment="1">
      <alignment horizontal="center"/>
    </xf>
    <xf numFmtId="9" fontId="0" fillId="0" borderId="37" xfId="0" applyNumberFormat="1" applyFill="1" applyBorder="1" applyAlignment="1">
      <alignment horizontal="center"/>
    </xf>
    <xf numFmtId="0" fontId="33" fillId="0" borderId="0" xfId="0" applyFont="1" applyFill="1"/>
    <xf numFmtId="166" fontId="33" fillId="14" borderId="0" xfId="1" applyNumberFormat="1" applyFont="1" applyFill="1" applyBorder="1" applyAlignment="1"/>
    <xf numFmtId="166" fontId="6" fillId="16" borderId="0" xfId="1" applyNumberFormat="1" applyFont="1" applyFill="1" applyBorder="1" applyAlignment="1"/>
    <xf numFmtId="166" fontId="37" fillId="16" borderId="0" xfId="1" applyNumberFormat="1" applyFont="1" applyFill="1" applyBorder="1" applyAlignment="1"/>
    <xf numFmtId="9" fontId="0" fillId="0" borderId="0" xfId="0" applyNumberFormat="1" applyFill="1"/>
    <xf numFmtId="3" fontId="7" fillId="14" borderId="37" xfId="0" applyNumberFormat="1" applyFont="1" applyFill="1" applyBorder="1" applyAlignment="1">
      <alignment horizontal="center"/>
    </xf>
    <xf numFmtId="166" fontId="0" fillId="14" borderId="0" xfId="0" applyNumberFormat="1" applyFill="1"/>
    <xf numFmtId="10" fontId="0" fillId="0" borderId="37" xfId="0" applyNumberFormat="1" applyFill="1" applyBorder="1" applyAlignment="1">
      <alignment horizontal="center"/>
    </xf>
    <xf numFmtId="164" fontId="0" fillId="14" borderId="37" xfId="0" applyNumberFormat="1" applyFill="1" applyBorder="1" applyAlignment="1">
      <alignment horizontal="center"/>
    </xf>
    <xf numFmtId="10" fontId="35" fillId="14" borderId="37" xfId="0" applyNumberFormat="1" applyFont="1" applyFill="1" applyBorder="1" applyAlignment="1">
      <alignment horizontal="center"/>
    </xf>
    <xf numFmtId="3" fontId="7" fillId="14" borderId="37" xfId="0" applyNumberFormat="1" applyFont="1" applyFill="1" applyBorder="1"/>
    <xf numFmtId="3" fontId="7" fillId="0" borderId="0" xfId="0" applyNumberFormat="1" applyFont="1" applyFill="1"/>
    <xf numFmtId="3" fontId="0" fillId="0" borderId="0" xfId="0" applyNumberFormat="1" applyFill="1"/>
    <xf numFmtId="3" fontId="0" fillId="0" borderId="3" xfId="0" applyNumberFormat="1" applyFill="1" applyBorder="1"/>
    <xf numFmtId="10" fontId="0" fillId="0" borderId="0" xfId="0" applyNumberFormat="1" applyFill="1" applyAlignment="1">
      <alignment horizontal="center"/>
    </xf>
    <xf numFmtId="9" fontId="0" fillId="0" borderId="0" xfId="0" applyNumberFormat="1" applyFill="1" applyAlignment="1">
      <alignment horizontal="center"/>
    </xf>
    <xf numFmtId="10" fontId="7" fillId="14" borderId="42" xfId="0" applyNumberFormat="1" applyFont="1" applyFill="1" applyBorder="1"/>
    <xf numFmtId="2" fontId="0" fillId="0" borderId="36" xfId="0" applyNumberFormat="1" applyFill="1" applyBorder="1"/>
    <xf numFmtId="10" fontId="0" fillId="0" borderId="36" xfId="0" applyNumberFormat="1" applyFill="1" applyBorder="1"/>
    <xf numFmtId="10" fontId="0" fillId="0" borderId="43" xfId="0" applyNumberFormat="1" applyFill="1" applyBorder="1"/>
    <xf numFmtId="0" fontId="52" fillId="0" borderId="37" xfId="0" applyFont="1" applyFill="1" applyBorder="1" applyAlignment="1">
      <alignment horizontal="center"/>
    </xf>
    <xf numFmtId="10" fontId="11" fillId="19" borderId="0" xfId="1" applyNumberFormat="1" applyFont="1" applyFill="1" applyBorder="1" applyAlignment="1">
      <alignment horizontal="center"/>
    </xf>
    <xf numFmtId="0" fontId="8" fillId="15" borderId="0" xfId="1" applyNumberFormat="1" applyFont="1" applyFill="1" applyBorder="1" applyAlignment="1"/>
    <xf numFmtId="166" fontId="35" fillId="15" borderId="0" xfId="1" applyNumberFormat="1" applyFont="1" applyFill="1" applyBorder="1" applyAlignment="1"/>
    <xf numFmtId="197" fontId="3" fillId="0" borderId="35" xfId="9" applyNumberFormat="1" applyFont="1" applyFill="1" applyBorder="1" applyAlignment="1" applyProtection="1">
      <alignment horizontal="center" vertical="center"/>
    </xf>
    <xf numFmtId="197" fontId="3" fillId="0" borderId="34" xfId="9" applyNumberFormat="1" applyFont="1" applyFill="1" applyBorder="1" applyAlignment="1" applyProtection="1">
      <alignment horizontal="center" vertical="center"/>
    </xf>
    <xf numFmtId="197" fontId="45" fillId="0" borderId="29" xfId="9" quotePrefix="1" applyNumberFormat="1" applyFont="1" applyFill="1" applyBorder="1" applyAlignment="1" applyProtection="1">
      <alignment horizontal="center" vertical="center"/>
    </xf>
    <xf numFmtId="197" fontId="3" fillId="0" borderId="36" xfId="9" applyNumberFormat="1" applyFont="1" applyFill="1" applyBorder="1" applyAlignment="1" applyProtection="1">
      <alignment horizontal="center" vertical="center"/>
    </xf>
    <xf numFmtId="197" fontId="37" fillId="0" borderId="0" xfId="9" applyNumberFormat="1" applyFont="1" applyFill="1" applyAlignment="1" applyProtection="1">
      <alignment horizontal="center" vertical="center"/>
    </xf>
    <xf numFmtId="197" fontId="3" fillId="0" borderId="31" xfId="9" applyNumberFormat="1" applyFont="1" applyFill="1" applyBorder="1" applyAlignment="1" applyProtection="1">
      <alignment horizontal="center" vertical="center"/>
    </xf>
    <xf numFmtId="197" fontId="3" fillId="0" borderId="0" xfId="9" applyNumberFormat="1" applyFont="1" applyFill="1" applyBorder="1" applyAlignment="1" applyProtection="1">
      <alignment horizontal="center" vertical="center"/>
    </xf>
    <xf numFmtId="197" fontId="3" fillId="0" borderId="33" xfId="9" applyNumberFormat="1" applyFont="1" applyFill="1" applyBorder="1" applyAlignment="1" applyProtection="1">
      <alignment horizontal="center" vertical="center"/>
    </xf>
    <xf numFmtId="197" fontId="37" fillId="0" borderId="0" xfId="9" applyNumberFormat="1" applyFont="1" applyAlignment="1" applyProtection="1">
      <alignment horizontal="right" vertical="center"/>
    </xf>
    <xf numFmtId="197" fontId="37" fillId="0" borderId="0" xfId="9" applyNumberFormat="1" applyFont="1" applyFill="1" applyAlignment="1" applyProtection="1">
      <alignment vertical="center"/>
    </xf>
    <xf numFmtId="197" fontId="45" fillId="0" borderId="29" xfId="9" quotePrefix="1" applyNumberFormat="1" applyFont="1" applyBorder="1" applyAlignment="1" applyProtection="1">
      <alignment horizontal="center" vertical="center"/>
    </xf>
    <xf numFmtId="197" fontId="45" fillId="0" borderId="0" xfId="9" quotePrefix="1" applyNumberFormat="1" applyFont="1" applyFill="1" applyBorder="1" applyAlignment="1" applyProtection="1">
      <alignment horizontal="center" vertical="center"/>
    </xf>
    <xf numFmtId="198" fontId="33" fillId="0" borderId="0" xfId="0" applyNumberFormat="1" applyFont="1"/>
    <xf numFmtId="2" fontId="33" fillId="0" borderId="0" xfId="1" applyNumberFormat="1" applyFont="1" applyFill="1" applyBorder="1" applyAlignment="1" applyProtection="1">
      <alignment horizontal="right"/>
    </xf>
    <xf numFmtId="3" fontId="12" fillId="0" borderId="0" xfId="8" applyNumberFormat="1" applyFont="1" applyFill="1" applyBorder="1" applyAlignment="1" applyProtection="1">
      <alignment horizontal="right" vertical="top"/>
    </xf>
    <xf numFmtId="198" fontId="3" fillId="0" borderId="0" xfId="7" applyNumberFormat="1" applyFont="1" applyFill="1" applyBorder="1" applyAlignment="1"/>
    <xf numFmtId="191" fontId="3" fillId="0" borderId="0" xfId="1" applyNumberFormat="1" applyFont="1" applyFill="1" applyBorder="1" applyAlignment="1"/>
    <xf numFmtId="0" fontId="6" fillId="0" borderId="0" xfId="1" applyNumberFormat="1" applyFont="1" applyFill="1" applyBorder="1" applyAlignment="1"/>
    <xf numFmtId="0" fontId="6" fillId="7" borderId="0" xfId="0" applyNumberFormat="1" applyFont="1" applyFill="1" applyBorder="1" applyAlignment="1" applyProtection="1"/>
    <xf numFmtId="0" fontId="45" fillId="7" borderId="45" xfId="9" applyFont="1" applyFill="1" applyBorder="1" applyAlignment="1" applyProtection="1">
      <alignment horizontal="left" vertical="center"/>
    </xf>
    <xf numFmtId="0" fontId="45" fillId="14" borderId="26" xfId="9" applyFont="1" applyFill="1" applyBorder="1" applyAlignment="1" applyProtection="1">
      <alignment horizontal="left" vertical="center"/>
    </xf>
    <xf numFmtId="0" fontId="45" fillId="7" borderId="0" xfId="9" applyFont="1" applyFill="1" applyBorder="1" applyAlignment="1" applyProtection="1">
      <alignment horizontal="left" vertical="center"/>
    </xf>
    <xf numFmtId="0" fontId="45" fillId="14" borderId="38" xfId="9" applyFont="1" applyFill="1" applyBorder="1" applyAlignment="1" applyProtection="1">
      <alignment horizontal="left" vertical="center"/>
    </xf>
    <xf numFmtId="0" fontId="45" fillId="7" borderId="39" xfId="9" applyFont="1" applyFill="1" applyBorder="1" applyAlignment="1" applyProtection="1">
      <alignment horizontal="left" vertical="center"/>
    </xf>
    <xf numFmtId="0" fontId="7" fillId="9" borderId="41" xfId="0" applyNumberFormat="1" applyFont="1" applyFill="1" applyBorder="1" applyAlignment="1" applyProtection="1">
      <alignment horizontal="center"/>
    </xf>
    <xf numFmtId="0" fontId="7" fillId="9" borderId="27" xfId="0" applyNumberFormat="1" applyFont="1" applyFill="1" applyBorder="1" applyAlignment="1" applyProtection="1">
      <alignment horizontal="center"/>
    </xf>
    <xf numFmtId="0" fontId="7" fillId="9" borderId="28" xfId="0" applyNumberFormat="1" applyFont="1" applyFill="1" applyBorder="1" applyAlignment="1" applyProtection="1">
      <alignment horizontal="center"/>
    </xf>
    <xf numFmtId="188" fontId="12" fillId="19" borderId="0" xfId="1" applyNumberFormat="1" applyFont="1" applyFill="1" applyBorder="1" applyAlignment="1">
      <alignment horizontal="center"/>
    </xf>
    <xf numFmtId="188" fontId="12" fillId="3" borderId="0" xfId="1" applyNumberFormat="1" applyFont="1" applyFill="1" applyBorder="1" applyAlignment="1">
      <alignment horizontal="center"/>
    </xf>
  </cellXfs>
  <cellStyles count="14">
    <cellStyle name="%" xfId="14" xr:uid="{00000000-0005-0000-0000-000000000000}"/>
    <cellStyle name="%_Ava (2)" xfId="4" xr:uid="{00000000-0005-0000-0000-000001000000}"/>
    <cellStyle name="%_Chicago Metered Parking Draft Financial Model v16.2 - Preference Equity  2 2" xfId="13" xr:uid="{00000000-0005-0000-0000-000002000000}"/>
    <cellStyle name="Moneda" xfId="7" builtinId="4"/>
    <cellStyle name="Normal" xfId="0" builtinId="0"/>
    <cellStyle name="Normal 17 2" xfId="5" xr:uid="{00000000-0005-0000-0000-000005000000}"/>
    <cellStyle name="Normal 2" xfId="9" xr:uid="{00000000-0005-0000-0000-000006000000}"/>
    <cellStyle name="Normal 2 2 2" xfId="12" xr:uid="{00000000-0005-0000-0000-000007000000}"/>
    <cellStyle name="Normal 2 5" xfId="15" xr:uid="{00000000-0005-0000-0000-000008000000}"/>
    <cellStyle name="Normal 21 2" xfId="6" xr:uid="{00000000-0005-0000-0000-000009000000}"/>
    <cellStyle name="Normal 3" xfId="10" xr:uid="{00000000-0005-0000-0000-00000A000000}"/>
    <cellStyle name="Percent 2" xfId="11" xr:uid="{00000000-0005-0000-0000-00000B000000}"/>
    <cellStyle name="Porcentaje" xfId="3" builtinId="5"/>
    <cellStyle name="Título" xfId="8" builtinId="15"/>
  </cellStyles>
  <dxfs count="146">
    <dxf>
      <font>
        <condense val="0"/>
        <extend val="0"/>
        <vertAlign val="baseline"/>
        <color indexed="9"/>
      </font>
      <fill>
        <patternFill patternType="none"/>
      </fill>
    </dxf>
    <dxf>
      <font>
        <b/>
        <i val="0"/>
        <condense val="0"/>
        <extend val="0"/>
        <vertAlign val="baseline"/>
        <color indexed="9"/>
      </font>
      <fill>
        <patternFill patternType="solid">
          <bgColor indexed="10"/>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condense val="0"/>
        <extend val="0"/>
        <vertAlign val="baseline"/>
        <color auto="1"/>
      </font>
      <fill>
        <patternFill patternType="solid">
          <bgColor rgb="FF808080"/>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condense val="0"/>
        <extend val="0"/>
        <vertAlign val="baseline"/>
        <color auto="1"/>
      </font>
      <fill>
        <patternFill patternType="solid">
          <bgColor rgb="FF808080"/>
        </patternFill>
      </fill>
    </dxf>
    <dxf>
      <font>
        <condense val="0"/>
        <extend val="0"/>
        <vertAlign val="baseline"/>
        <color auto="1"/>
      </font>
      <fill>
        <patternFill patternType="solid">
          <bgColor rgb="FF808080"/>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b/>
        <i val="0"/>
        <strike val="0"/>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333333"/>
        </patternFill>
      </fill>
    </dxf>
    <dxf>
      <font>
        <condense val="0"/>
        <extend val="0"/>
        <vertAlign val="baseline"/>
        <color auto="1"/>
      </font>
      <fill>
        <patternFill patternType="solid">
          <bgColor rgb="FF808080"/>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condense val="0"/>
        <extend val="0"/>
        <vertAlign val="baseline"/>
        <color indexed="9"/>
      </font>
      <fill>
        <patternFill patternType="solid">
          <bgColor rgb="FFFF0000"/>
        </patternFill>
      </fill>
    </dxf>
    <dxf>
      <font>
        <b val="0"/>
        <i val="0"/>
        <color theme="6" tint="-0.24994659260841701"/>
      </font>
      <fill>
        <patternFill patternType="solid">
          <bgColor rgb="FFD9D9D9"/>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b val="0"/>
        <i val="0"/>
        <color theme="6" tint="-0.24994659260841701"/>
      </font>
      <fill>
        <patternFill patternType="solid">
          <bgColor rgb="FFD9D9D9"/>
        </patternFill>
      </fill>
    </dxf>
    <dxf>
      <font>
        <b val="0"/>
        <i val="0"/>
        <color rgb="FF0000FF"/>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ndense val="0"/>
        <extend val="0"/>
        <color indexed="12"/>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condense val="0"/>
        <extend val="0"/>
        <vertAlign val="baseline"/>
        <color indexed="9"/>
      </font>
      <fill>
        <patternFill patternType="solid">
          <bgColor rgb="FFFF0000"/>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b val="0"/>
        <i val="0"/>
        <color theme="6" tint="-0.24994659260841701"/>
      </font>
      <fill>
        <patternFill patternType="solid">
          <bgColor rgb="FFD9D9D9"/>
        </patternFill>
      </fill>
    </dxf>
    <dxf>
      <font>
        <condense val="0"/>
        <extend val="0"/>
        <vertAlign val="baseline"/>
        <color indexed="9"/>
      </font>
      <fill>
        <patternFill patternType="solid">
          <bgColor rgb="FFFF0000"/>
        </patternFill>
      </fill>
    </dxf>
    <dxf>
      <font>
        <b/>
        <i val="0"/>
        <strike val="0"/>
        <condense val="0"/>
        <extend val="0"/>
        <vertAlign val="baseline"/>
        <color indexed="9"/>
      </font>
      <fill>
        <patternFill patternType="solid">
          <bgColor rgb="FFFF0000"/>
        </patternFill>
      </fill>
    </dxf>
    <dxf>
      <font>
        <b val="0"/>
        <i val="0"/>
        <strike val="0"/>
        <condense val="0"/>
        <extend val="0"/>
        <vertAlign val="baseline"/>
        <color auto="1"/>
      </font>
      <fill>
        <patternFill patternType="solid">
          <bgColor rgb="FFFFFFFF"/>
        </patternFill>
      </fill>
    </dxf>
    <dxf>
      <font>
        <condense val="0"/>
        <extend val="0"/>
        <vertAlign val="baseline"/>
        <color indexed="9"/>
      </font>
      <fill>
        <patternFill patternType="solid">
          <bgColor rgb="FFFF0000"/>
        </patternFill>
      </fill>
    </dxf>
  </dxfs>
  <tableStyles count="0" defaultTableStyle="TableStyleMedium2" defaultPivotStyle="PivotStyleLight16"/>
  <colors>
    <mruColors>
      <color rgb="FF0000FF"/>
      <color rgb="FF000000"/>
      <color rgb="FFE6A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Summary!$B$160</c:f>
              <c:strCache>
                <c:ptCount val="1"/>
                <c:pt idx="0">
                  <c:v>Operation Costs</c:v>
                </c:pt>
              </c:strCache>
            </c:strRef>
          </c:tx>
          <c:spPr>
            <a:solidFill>
              <a:schemeClr val="accent2">
                <a:lumMod val="20000"/>
                <a:lumOff val="80000"/>
              </a:schemeClr>
            </a:solidFill>
            <a:ln w="28575" cap="rnd">
              <a:noFill/>
              <a:round/>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Summary!$F$160:$AX$160</c:f>
              <c:numCache>
                <c:formatCode>#,##0</c:formatCode>
                <c:ptCount val="44"/>
                <c:pt idx="0">
                  <c:v>0</c:v>
                </c:pt>
                <c:pt idx="1">
                  <c:v>20.866926728617223</c:v>
                </c:pt>
                <c:pt idx="2">
                  <c:v>23.353625155802732</c:v>
                </c:pt>
                <c:pt idx="3">
                  <c:v>24.705987206575234</c:v>
                </c:pt>
                <c:pt idx="4">
                  <c:v>25.77139374178341</c:v>
                </c:pt>
                <c:pt idx="5">
                  <c:v>26.882744244976891</c:v>
                </c:pt>
                <c:pt idx="6">
                  <c:v>28.042019976946257</c:v>
                </c:pt>
                <c:pt idx="7">
                  <c:v>29.251287637213057</c:v>
                </c:pt>
                <c:pt idx="8">
                  <c:v>30.512703048439661</c:v>
                </c:pt>
                <c:pt idx="9">
                  <c:v>32.043527968003865</c:v>
                </c:pt>
                <c:pt idx="10">
                  <c:v>33.651154504607312</c:v>
                </c:pt>
                <c:pt idx="11">
                  <c:v>35.339435801940368</c:v>
                </c:pt>
                <c:pt idx="12">
                  <c:v>37.112418316241609</c:v>
                </c:pt>
                <c:pt idx="13">
                  <c:v>38.974351514804894</c:v>
                </c:pt>
                <c:pt idx="14">
                  <c:v>40.740934330237195</c:v>
                </c:pt>
                <c:pt idx="15">
                  <c:v>42.587590699750173</c:v>
                </c:pt>
                <c:pt idx="16">
                  <c:v>44.517950101683113</c:v>
                </c:pt>
                <c:pt idx="17">
                  <c:v>46.535806527030729</c:v>
                </c:pt>
                <c:pt idx="18">
                  <c:v>48.645125936276223</c:v>
                </c:pt>
                <c:pt idx="19">
                  <c:v>51.064989406204752</c:v>
                </c:pt>
                <c:pt idx="20">
                  <c:v>53.605229565480649</c:v>
                </c:pt>
                <c:pt idx="21">
                  <c:v>56.271834581419263</c:v>
                </c:pt>
                <c:pt idx="22">
                  <c:v>59.071090504156871</c:v>
                </c:pt>
                <c:pt idx="23">
                  <c:v>62.00959608490308</c:v>
                </c:pt>
                <c:pt idx="24">
                  <c:v>64.710374384743318</c:v>
                </c:pt>
                <c:pt idx="25">
                  <c:v>67.528782920634441</c:v>
                </c:pt>
                <c:pt idx="26">
                  <c:v>70.469944983308693</c:v>
                </c:pt>
                <c:pt idx="27">
                  <c:v>73.539207004323401</c:v>
                </c:pt>
                <c:pt idx="28">
                  <c:v>76.742148274780874</c:v>
                </c:pt>
                <c:pt idx="29">
                  <c:v>80.19982234214244</c:v>
                </c:pt>
                <c:pt idx="30">
                  <c:v>83.813284463720251</c:v>
                </c:pt>
                <c:pt idx="31">
                  <c:v>87.589553785149135</c:v>
                </c:pt>
                <c:pt idx="32">
                  <c:v>91.535965704845253</c:v>
                </c:pt>
                <c:pt idx="33">
                  <c:v>95.66018612300816</c:v>
                </c:pt>
                <c:pt idx="34">
                  <c:v>100.06191967675925</c:v>
                </c:pt>
                <c:pt idx="35">
                  <c:v>104.66619578309647</c:v>
                </c:pt>
                <c:pt idx="36">
                  <c:v>109.48233428955425</c:v>
                </c:pt>
                <c:pt idx="37">
                  <c:v>114.52008388964012</c:v>
                </c:pt>
                <c:pt idx="38">
                  <c:v>119.78964185586889</c:v>
                </c:pt>
                <c:pt idx="39">
                  <c:v>126.65621517427311</c:v>
                </c:pt>
                <c:pt idx="40">
                  <c:v>133.91639371936085</c:v>
                </c:pt>
                <c:pt idx="41">
                  <c:v>141.59273970190145</c:v>
                </c:pt>
                <c:pt idx="42">
                  <c:v>149.70910864210288</c:v>
                </c:pt>
                <c:pt idx="43">
                  <c:v>107.11728412503307</c:v>
                </c:pt>
              </c:numCache>
            </c:numRef>
          </c:val>
          <c:extLst>
            <c:ext xmlns:c16="http://schemas.microsoft.com/office/drawing/2014/chart" uri="{C3380CC4-5D6E-409C-BE32-E72D297353CC}">
              <c16:uniqueId val="{00000000-4FA3-4A3F-816E-32EB1A83B47D}"/>
            </c:ext>
          </c:extLst>
        </c:ser>
        <c:ser>
          <c:idx val="1"/>
          <c:order val="1"/>
          <c:tx>
            <c:strRef>
              <c:f>Summary!$B$161</c:f>
              <c:strCache>
                <c:ptCount val="1"/>
                <c:pt idx="0">
                  <c:v>Taxes</c:v>
                </c:pt>
              </c:strCache>
            </c:strRef>
          </c:tx>
          <c:spPr>
            <a:solidFill>
              <a:schemeClr val="bg1">
                <a:lumMod val="95000"/>
              </a:schemeClr>
            </a:solidFill>
            <a:ln>
              <a:noFill/>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Summary!$F$161:$AX$161</c:f>
              <c:numCache>
                <c:formatCode>#,##0</c:formatCode>
                <c:ptCount val="44"/>
                <c:pt idx="0">
                  <c:v>0</c:v>
                </c:pt>
                <c:pt idx="1">
                  <c:v>0.44600000000000001</c:v>
                </c:pt>
                <c:pt idx="2">
                  <c:v>0.84509727037031768</c:v>
                </c:pt>
                <c:pt idx="3">
                  <c:v>0.9472718623284907</c:v>
                </c:pt>
                <c:pt idx="4">
                  <c:v>1.019498561749701</c:v>
                </c:pt>
                <c:pt idx="5">
                  <c:v>1.0972312440403507</c:v>
                </c:pt>
                <c:pt idx="6">
                  <c:v>1.1808721342435793</c:v>
                </c:pt>
                <c:pt idx="7">
                  <c:v>1.2700974482756708</c:v>
                </c:pt>
                <c:pt idx="8">
                  <c:v>1.3665625319919406</c:v>
                </c:pt>
                <c:pt idx="9">
                  <c:v>1.4776866800817587</c:v>
                </c:pt>
                <c:pt idx="10">
                  <c:v>1.5979256776029658</c:v>
                </c:pt>
                <c:pt idx="11">
                  <c:v>1.7272994169124825</c:v>
                </c:pt>
                <c:pt idx="12">
                  <c:v>1.8676403246759485</c:v>
                </c:pt>
                <c:pt idx="13">
                  <c:v>2.0199423845308648</c:v>
                </c:pt>
                <c:pt idx="14">
                  <c:v>2.1655608753220044</c:v>
                </c:pt>
                <c:pt idx="15">
                  <c:v>2.3219700940118795</c:v>
                </c:pt>
                <c:pt idx="16">
                  <c:v>2.489766783820595</c:v>
                </c:pt>
                <c:pt idx="17">
                  <c:v>2.6690732419341456</c:v>
                </c:pt>
                <c:pt idx="18">
                  <c:v>2.8604583224723985</c:v>
                </c:pt>
                <c:pt idx="19">
                  <c:v>3.0650901951231493</c:v>
                </c:pt>
                <c:pt idx="20">
                  <c:v>3.2859896090785354</c:v>
                </c:pt>
                <c:pt idx="21">
                  <c:v>3.525180602761032</c:v>
                </c:pt>
                <c:pt idx="22">
                  <c:v>3.7794945750365665</c:v>
                </c:pt>
                <c:pt idx="23">
                  <c:v>4.0568510170263101</c:v>
                </c:pt>
                <c:pt idx="24">
                  <c:v>4.3141450040972709</c:v>
                </c:pt>
                <c:pt idx="25">
                  <c:v>4.5881007215996616</c:v>
                </c:pt>
                <c:pt idx="26">
                  <c:v>4.8797400909298529</c:v>
                </c:pt>
                <c:pt idx="27">
                  <c:v>5.1904247287486829</c:v>
                </c:pt>
                <c:pt idx="28">
                  <c:v>5.5288514273091298</c:v>
                </c:pt>
                <c:pt idx="29">
                  <c:v>5.8752188723279266</c:v>
                </c:pt>
                <c:pt idx="30">
                  <c:v>6.2353341840881233</c:v>
                </c:pt>
                <c:pt idx="31">
                  <c:v>6.6184474026856472</c:v>
                </c:pt>
                <c:pt idx="32">
                  <c:v>7.0262168164658831</c:v>
                </c:pt>
                <c:pt idx="33">
                  <c:v>7.4594253868842673</c:v>
                </c:pt>
                <c:pt idx="34">
                  <c:v>7.9288210108471127</c:v>
                </c:pt>
                <c:pt idx="35">
                  <c:v>8.4278598957397417</c:v>
                </c:pt>
                <c:pt idx="36">
                  <c:v>8.95847921872247</c:v>
                </c:pt>
                <c:pt idx="37">
                  <c:v>9.5226761102401287</c:v>
                </c:pt>
                <c:pt idx="38">
                  <c:v>10.108901955415565</c:v>
                </c:pt>
                <c:pt idx="39">
                  <c:v>10.877998262087507</c:v>
                </c:pt>
                <c:pt idx="40">
                  <c:v>11.703987075451531</c:v>
                </c:pt>
                <c:pt idx="41">
                  <c:v>12.593122376190301</c:v>
                </c:pt>
                <c:pt idx="42">
                  <c:v>13.550017342808085</c:v>
                </c:pt>
                <c:pt idx="43">
                  <c:v>9.865751113600373</c:v>
                </c:pt>
              </c:numCache>
            </c:numRef>
          </c:val>
          <c:extLst>
            <c:ext xmlns:c16="http://schemas.microsoft.com/office/drawing/2014/chart" uri="{C3380CC4-5D6E-409C-BE32-E72D297353CC}">
              <c16:uniqueId val="{00000001-4FA3-4A3F-816E-32EB1A83B47D}"/>
            </c:ext>
          </c:extLst>
        </c:ser>
        <c:ser>
          <c:idx val="4"/>
          <c:order val="2"/>
          <c:tx>
            <c:strRef>
              <c:f>Summary!$B$162</c:f>
              <c:strCache>
                <c:ptCount val="1"/>
                <c:pt idx="0">
                  <c:v>Life Cycle CAPEX</c:v>
                </c:pt>
              </c:strCache>
            </c:strRef>
          </c:tx>
          <c:spPr>
            <a:solidFill>
              <a:schemeClr val="accent2">
                <a:lumMod val="60000"/>
                <a:lumOff val="40000"/>
              </a:schemeClr>
            </a:solidFill>
            <a:ln>
              <a:noFill/>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Summary!$F$162:$AX$162</c:f>
              <c:numCache>
                <c:formatCode>#,##0</c:formatCode>
                <c:ptCount val="44"/>
                <c:pt idx="0">
                  <c:v>0</c:v>
                </c:pt>
                <c:pt idx="1">
                  <c:v>7.7260040000000023</c:v>
                </c:pt>
                <c:pt idx="2">
                  <c:v>3.5162529273851963</c:v>
                </c:pt>
                <c:pt idx="3">
                  <c:v>2.5114000285149971</c:v>
                </c:pt>
                <c:pt idx="4">
                  <c:v>3.2075042996959726</c:v>
                </c:pt>
                <c:pt idx="5">
                  <c:v>4.096553203693138</c:v>
                </c:pt>
                <c:pt idx="6">
                  <c:v>5.23202670446278</c:v>
                </c:pt>
                <c:pt idx="7">
                  <c:v>6.6822282233593997</c:v>
                </c:pt>
                <c:pt idx="8">
                  <c:v>8.5343933720700988</c:v>
                </c:pt>
                <c:pt idx="9">
                  <c:v>7.8344943124637867</c:v>
                </c:pt>
                <c:pt idx="10">
                  <c:v>7.1919934383267439</c:v>
                </c:pt>
                <c:pt idx="11">
                  <c:v>6.6021835684591332</c:v>
                </c:pt>
                <c:pt idx="12">
                  <c:v>6.060743553983686</c:v>
                </c:pt>
                <c:pt idx="13">
                  <c:v>5.5637066201307892</c:v>
                </c:pt>
                <c:pt idx="14">
                  <c:v>7.5437883632894112</c:v>
                </c:pt>
                <c:pt idx="15">
                  <c:v>10.228566449602432</c:v>
                </c:pt>
                <c:pt idx="16">
                  <c:v>13.868837058455364</c:v>
                </c:pt>
                <c:pt idx="17">
                  <c:v>18.804652861346071</c:v>
                </c:pt>
                <c:pt idx="18">
                  <c:v>25.497088742573677</c:v>
                </c:pt>
                <c:pt idx="19">
                  <c:v>17.257519856207484</c:v>
                </c:pt>
                <c:pt idx="20">
                  <c:v>11.680627329429509</c:v>
                </c:pt>
                <c:pt idx="21">
                  <c:v>7.9059480125667942</c:v>
                </c:pt>
                <c:pt idx="22">
                  <c:v>5.3510836545507345</c:v>
                </c:pt>
                <c:pt idx="23">
                  <c:v>3.6218422170858076</c:v>
                </c:pt>
                <c:pt idx="24">
                  <c:v>5.0315595961266757</c:v>
                </c:pt>
                <c:pt idx="25">
                  <c:v>6.989976495923826</c:v>
                </c:pt>
                <c:pt idx="26">
                  <c:v>9.7106613725056707</c:v>
                </c:pt>
                <c:pt idx="27">
                  <c:v>13.490309208687973</c:v>
                </c:pt>
                <c:pt idx="28">
                  <c:v>18.741096570547239</c:v>
                </c:pt>
                <c:pt idx="29">
                  <c:v>18.421350964280812</c:v>
                </c:pt>
                <c:pt idx="30">
                  <c:v>18.107060601913375</c:v>
                </c:pt>
                <c:pt idx="31">
                  <c:v>17.798132410434953</c:v>
                </c:pt>
                <c:pt idx="32">
                  <c:v>17.494474904772868</c:v>
                </c:pt>
                <c:pt idx="33">
                  <c:v>17.195998160699617</c:v>
                </c:pt>
                <c:pt idx="34">
                  <c:v>19.251269063199167</c:v>
                </c:pt>
                <c:pt idx="35">
                  <c:v>21.552186565749842</c:v>
                </c:pt>
                <c:pt idx="36">
                  <c:v>24.128110424305614</c:v>
                </c:pt>
                <c:pt idx="37">
                  <c:v>27.011909481734325</c:v>
                </c:pt>
                <c:pt idx="38">
                  <c:v>30.240381074947251</c:v>
                </c:pt>
                <c:pt idx="39">
                  <c:v>34.373648331668157</c:v>
                </c:pt>
                <c:pt idx="40">
                  <c:v>39.071852193292962</c:v>
                </c:pt>
                <c:pt idx="41">
                  <c:v>44.412208418623976</c:v>
                </c:pt>
                <c:pt idx="42">
                  <c:v>50.482486646944317</c:v>
                </c:pt>
                <c:pt idx="43">
                  <c:v>190.9512064329987</c:v>
                </c:pt>
              </c:numCache>
            </c:numRef>
          </c:val>
          <c:extLst>
            <c:ext xmlns:c16="http://schemas.microsoft.com/office/drawing/2014/chart" uri="{C3380CC4-5D6E-409C-BE32-E72D297353CC}">
              <c16:uniqueId val="{00000002-4FA3-4A3F-816E-32EB1A83B47D}"/>
            </c:ext>
          </c:extLst>
        </c:ser>
        <c:ser>
          <c:idx val="5"/>
          <c:order val="3"/>
          <c:tx>
            <c:strRef>
              <c:f>Summary!$B$163</c:f>
              <c:strCache>
                <c:ptCount val="1"/>
                <c:pt idx="0">
                  <c:v>Financial costs</c:v>
                </c:pt>
              </c:strCache>
            </c:strRef>
          </c:tx>
          <c:spPr>
            <a:solidFill>
              <a:schemeClr val="accent6"/>
            </a:solidFill>
            <a:ln>
              <a:noFill/>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Summary!$F$163:$AX$163</c:f>
              <c:numCache>
                <c:formatCode>#,##0</c:formatCode>
                <c:ptCount val="44"/>
                <c:pt idx="0">
                  <c:v>0</c:v>
                </c:pt>
                <c:pt idx="1">
                  <c:v>43.757752098483174</c:v>
                </c:pt>
                <c:pt idx="2">
                  <c:v>82.351552475931527</c:v>
                </c:pt>
                <c:pt idx="3">
                  <c:v>81.24033642581287</c:v>
                </c:pt>
                <c:pt idx="4">
                  <c:v>81.397130547596518</c:v>
                </c:pt>
                <c:pt idx="5">
                  <c:v>81.596567968767062</c:v>
                </c:pt>
                <c:pt idx="6">
                  <c:v>81.939832196578152</c:v>
                </c:pt>
                <c:pt idx="7">
                  <c:v>82.495624613422279</c:v>
                </c:pt>
                <c:pt idx="8">
                  <c:v>83.09571137439579</c:v>
                </c:pt>
                <c:pt idx="9">
                  <c:v>83.800141507278653</c:v>
                </c:pt>
                <c:pt idx="10">
                  <c:v>84.613291333387679</c:v>
                </c:pt>
                <c:pt idx="11">
                  <c:v>85.238439515421405</c:v>
                </c:pt>
                <c:pt idx="12">
                  <c:v>97.157372832587399</c:v>
                </c:pt>
                <c:pt idx="13">
                  <c:v>87.302320641335498</c:v>
                </c:pt>
                <c:pt idx="14">
                  <c:v>88.205626801574041</c:v>
                </c:pt>
                <c:pt idx="15">
                  <c:v>88.979298211534072</c:v>
                </c:pt>
                <c:pt idx="16">
                  <c:v>90.050930703775279</c:v>
                </c:pt>
                <c:pt idx="17">
                  <c:v>91.543016003803203</c:v>
                </c:pt>
                <c:pt idx="18">
                  <c:v>93.593624021086328</c:v>
                </c:pt>
                <c:pt idx="19">
                  <c:v>95.402753009835664</c:v>
                </c:pt>
                <c:pt idx="20">
                  <c:v>97.040401064495882</c:v>
                </c:pt>
                <c:pt idx="21">
                  <c:v>99.269399235678961</c:v>
                </c:pt>
                <c:pt idx="22">
                  <c:v>121.03519607419383</c:v>
                </c:pt>
                <c:pt idx="23">
                  <c:v>103.3661790835</c:v>
                </c:pt>
                <c:pt idx="24">
                  <c:v>104.38160095482368</c:v>
                </c:pt>
                <c:pt idx="25">
                  <c:v>105.01722156630599</c:v>
                </c:pt>
                <c:pt idx="26">
                  <c:v>104.77949441403223</c:v>
                </c:pt>
                <c:pt idx="27">
                  <c:v>105.02075716909256</c:v>
                </c:pt>
                <c:pt idx="28">
                  <c:v>104.72328169226708</c:v>
                </c:pt>
                <c:pt idx="29">
                  <c:v>100.4906413974912</c:v>
                </c:pt>
                <c:pt idx="30">
                  <c:v>93.233930921578718</c:v>
                </c:pt>
                <c:pt idx="31">
                  <c:v>85.037861721469312</c:v>
                </c:pt>
                <c:pt idx="32">
                  <c:v>94.186094567548665</c:v>
                </c:pt>
                <c:pt idx="33">
                  <c:v>66.380025603821295</c:v>
                </c:pt>
                <c:pt idx="34">
                  <c:v>55.234375104795596</c:v>
                </c:pt>
                <c:pt idx="35">
                  <c:v>43.194455234845179</c:v>
                </c:pt>
                <c:pt idx="36">
                  <c:v>30.680825138206703</c:v>
                </c:pt>
                <c:pt idx="37">
                  <c:v>17.510141386437727</c:v>
                </c:pt>
                <c:pt idx="38">
                  <c:v>5.4860768349342113</c:v>
                </c:pt>
                <c:pt idx="39">
                  <c:v>0</c:v>
                </c:pt>
                <c:pt idx="40">
                  <c:v>0</c:v>
                </c:pt>
                <c:pt idx="41">
                  <c:v>0</c:v>
                </c:pt>
                <c:pt idx="42">
                  <c:v>0</c:v>
                </c:pt>
                <c:pt idx="43">
                  <c:v>0</c:v>
                </c:pt>
              </c:numCache>
            </c:numRef>
          </c:val>
          <c:extLst>
            <c:ext xmlns:c16="http://schemas.microsoft.com/office/drawing/2014/chart" uri="{C3380CC4-5D6E-409C-BE32-E72D297353CC}">
              <c16:uniqueId val="{00000003-4FA3-4A3F-816E-32EB1A83B47D}"/>
            </c:ext>
          </c:extLst>
        </c:ser>
        <c:ser>
          <c:idx val="2"/>
          <c:order val="4"/>
          <c:tx>
            <c:strRef>
              <c:f>Summary!$B$164</c:f>
              <c:strCache>
                <c:ptCount val="1"/>
                <c:pt idx="0">
                  <c:v>Drawdowns/Repayments</c:v>
                </c:pt>
              </c:strCache>
            </c:strRef>
          </c:tx>
          <c:spPr>
            <a:solidFill>
              <a:schemeClr val="tx1"/>
            </a:solidFill>
            <a:ln>
              <a:noFill/>
            </a:ln>
            <a:effectLst/>
          </c:spPr>
          <c:invertIfNegative val="0"/>
          <c:val>
            <c:numRef>
              <c:f>Summary!$F$164:$AY$164</c:f>
              <c:numCache>
                <c:formatCode>#,##0</c:formatCode>
                <c:ptCount val="45"/>
                <c:pt idx="0">
                  <c:v>0</c:v>
                </c:pt>
                <c:pt idx="1">
                  <c:v>0</c:v>
                </c:pt>
                <c:pt idx="2">
                  <c:v>-1.7581264636926353</c:v>
                </c:pt>
                <c:pt idx="3">
                  <c:v>-2.5114000285149971</c:v>
                </c:pt>
                <c:pt idx="4">
                  <c:v>-3.2075042996959726</c:v>
                </c:pt>
                <c:pt idx="5">
                  <c:v>-4.096553203693138</c:v>
                </c:pt>
                <c:pt idx="6">
                  <c:v>-5.23202670446278</c:v>
                </c:pt>
                <c:pt idx="7">
                  <c:v>-6.6822282233594015</c:v>
                </c:pt>
                <c:pt idx="8">
                  <c:v>-8.5343933720700988</c:v>
                </c:pt>
                <c:pt idx="9">
                  <c:v>-7.8344943124637867</c:v>
                </c:pt>
                <c:pt idx="10">
                  <c:v>-7.1919934383267465</c:v>
                </c:pt>
                <c:pt idx="11">
                  <c:v>-6.602183568459135</c:v>
                </c:pt>
                <c:pt idx="12">
                  <c:v>-6.0607435539836878</c:v>
                </c:pt>
                <c:pt idx="13">
                  <c:v>-5.5637066201307901</c:v>
                </c:pt>
                <c:pt idx="14">
                  <c:v>-7.5437883632894085</c:v>
                </c:pt>
                <c:pt idx="15">
                  <c:v>-10.228566449602432</c:v>
                </c:pt>
                <c:pt idx="16">
                  <c:v>-13.868837058455362</c:v>
                </c:pt>
                <c:pt idx="17">
                  <c:v>-18.804652861346067</c:v>
                </c:pt>
                <c:pt idx="18">
                  <c:v>-25.497088742573673</c:v>
                </c:pt>
                <c:pt idx="19">
                  <c:v>-17.25751985620748</c:v>
                </c:pt>
                <c:pt idx="20">
                  <c:v>-11.680627329429509</c:v>
                </c:pt>
                <c:pt idx="21">
                  <c:v>-7.9059480125667907</c:v>
                </c:pt>
                <c:pt idx="22">
                  <c:v>-5.3510836545507194</c:v>
                </c:pt>
                <c:pt idx="23">
                  <c:v>-3.6218422170858102</c:v>
                </c:pt>
                <c:pt idx="24">
                  <c:v>-5.0315595961266659</c:v>
                </c:pt>
                <c:pt idx="25">
                  <c:v>-6.9899764959238233</c:v>
                </c:pt>
                <c:pt idx="26">
                  <c:v>-9.7106613725056707</c:v>
                </c:pt>
                <c:pt idx="27">
                  <c:v>-13.490309208687973</c:v>
                </c:pt>
                <c:pt idx="28">
                  <c:v>58.14615356633076</c:v>
                </c:pt>
                <c:pt idx="29">
                  <c:v>137.16627217820357</c:v>
                </c:pt>
                <c:pt idx="30">
                  <c:v>145.64891275555146</c:v>
                </c:pt>
                <c:pt idx="31">
                  <c:v>154.55502954829674</c:v>
                </c:pt>
                <c:pt idx="32">
                  <c:v>180.85947128433429</c:v>
                </c:pt>
                <c:pt idx="33">
                  <c:v>209.52218265871579</c:v>
                </c:pt>
                <c:pt idx="34">
                  <c:v>220.52209724829837</c:v>
                </c:pt>
                <c:pt idx="35">
                  <c:v>232.09950735383404</c:v>
                </c:pt>
                <c:pt idx="36">
                  <c:v>244.28473148991029</c:v>
                </c:pt>
                <c:pt idx="37">
                  <c:v>257.10967989313053</c:v>
                </c:pt>
                <c:pt idx="38">
                  <c:v>133.57324538059081</c:v>
                </c:pt>
                <c:pt idx="39">
                  <c:v>0</c:v>
                </c:pt>
                <c:pt idx="40">
                  <c:v>0</c:v>
                </c:pt>
                <c:pt idx="41">
                  <c:v>0</c:v>
                </c:pt>
                <c:pt idx="42">
                  <c:v>0</c:v>
                </c:pt>
                <c:pt idx="43">
                  <c:v>0</c:v>
                </c:pt>
              </c:numCache>
            </c:numRef>
          </c:val>
          <c:extLst>
            <c:ext xmlns:c16="http://schemas.microsoft.com/office/drawing/2014/chart" uri="{C3380CC4-5D6E-409C-BE32-E72D297353CC}">
              <c16:uniqueId val="{00000004-4FA3-4A3F-816E-32EB1A83B47D}"/>
            </c:ext>
          </c:extLst>
        </c:ser>
        <c:ser>
          <c:idx val="6"/>
          <c:order val="5"/>
          <c:tx>
            <c:strRef>
              <c:f>Summary!$B$165</c:f>
              <c:strCache>
                <c:ptCount val="1"/>
                <c:pt idx="0">
                  <c:v>Reserve Accounts</c:v>
                </c:pt>
              </c:strCache>
            </c:strRef>
          </c:tx>
          <c:spPr>
            <a:solidFill>
              <a:schemeClr val="accent3"/>
            </a:solidFill>
            <a:ln>
              <a:noFill/>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Summary!$F$165:$AX$165</c:f>
              <c:numCache>
                <c:formatCode>#,##0</c:formatCode>
                <c:ptCount val="44"/>
                <c:pt idx="0">
                  <c:v>0</c:v>
                </c:pt>
                <c:pt idx="1">
                  <c:v>46.089205415482944</c:v>
                </c:pt>
                <c:pt idx="2">
                  <c:v>0</c:v>
                </c:pt>
                <c:pt idx="3">
                  <c:v>6.711298504106562</c:v>
                </c:pt>
                <c:pt idx="4">
                  <c:v>5.2238670765352415</c:v>
                </c:pt>
                <c:pt idx="5">
                  <c:v>3.2478568253749089</c:v>
                </c:pt>
                <c:pt idx="6">
                  <c:v>2.6559960056557976</c:v>
                </c:pt>
                <c:pt idx="7">
                  <c:v>2.0323619602791876</c:v>
                </c:pt>
                <c:pt idx="8">
                  <c:v>1.6218091364062057</c:v>
                </c:pt>
                <c:pt idx="9">
                  <c:v>1.8033914620224751</c:v>
                </c:pt>
                <c:pt idx="10">
                  <c:v>1.8059984307099657</c:v>
                </c:pt>
                <c:pt idx="11">
                  <c:v>3.7927266595091824</c:v>
                </c:pt>
                <c:pt idx="12">
                  <c:v>6.8499260434661196</c:v>
                </c:pt>
                <c:pt idx="13">
                  <c:v>11.149809947657886</c:v>
                </c:pt>
                <c:pt idx="14">
                  <c:v>11.639175098137057</c:v>
                </c:pt>
                <c:pt idx="15">
                  <c:v>10.038592774319564</c:v>
                </c:pt>
                <c:pt idx="16">
                  <c:v>6.0547294765488262</c:v>
                </c:pt>
                <c:pt idx="17">
                  <c:v>4.3629094294107924</c:v>
                </c:pt>
                <c:pt idx="18">
                  <c:v>4.7612757917118724</c:v>
                </c:pt>
                <c:pt idx="19">
                  <c:v>4.6602743023161599</c:v>
                </c:pt>
                <c:pt idx="20">
                  <c:v>5.1041137839636068</c:v>
                </c:pt>
                <c:pt idx="21">
                  <c:v>0.69780868542422836</c:v>
                </c:pt>
                <c:pt idx="22">
                  <c:v>29.336830962138666</c:v>
                </c:pt>
                <c:pt idx="23">
                  <c:v>6.4149157139993989</c:v>
                </c:pt>
                <c:pt idx="24">
                  <c:v>7.7696297578547204</c:v>
                </c:pt>
                <c:pt idx="25">
                  <c:v>8.1482650423637057</c:v>
                </c:pt>
                <c:pt idx="26">
                  <c:v>7.4742273819172409</c:v>
                </c:pt>
                <c:pt idx="27">
                  <c:v>81.063152488336726</c:v>
                </c:pt>
                <c:pt idx="28">
                  <c:v>74.540150844539227</c:v>
                </c:pt>
                <c:pt idx="29">
                  <c:v>0.9827203265424469</c:v>
                </c:pt>
                <c:pt idx="30">
                  <c:v>0.84997823727177457</c:v>
                </c:pt>
                <c:pt idx="31">
                  <c:v>10.520084884236734</c:v>
                </c:pt>
                <c:pt idx="32">
                  <c:v>13.80478218266939</c:v>
                </c:pt>
                <c:pt idx="33">
                  <c:v>6.5885540155752462</c:v>
                </c:pt>
                <c:pt idx="34">
                  <c:v>7.453859149058415</c:v>
                </c:pt>
                <c:pt idx="35">
                  <c:v>8.5370104540626635</c:v>
                </c:pt>
                <c:pt idx="36">
                  <c:v>9.8796845760317957</c:v>
                </c:pt>
                <c:pt idx="37">
                  <c:v>11.530676993100526</c:v>
                </c:pt>
                <c:pt idx="38">
                  <c:v>225.72264849710947</c:v>
                </c:pt>
                <c:pt idx="39">
                  <c:v>0</c:v>
                </c:pt>
                <c:pt idx="40">
                  <c:v>0</c:v>
                </c:pt>
                <c:pt idx="41">
                  <c:v>0</c:v>
                </c:pt>
                <c:pt idx="42">
                  <c:v>0</c:v>
                </c:pt>
                <c:pt idx="43">
                  <c:v>0</c:v>
                </c:pt>
              </c:numCache>
            </c:numRef>
          </c:val>
          <c:extLst>
            <c:ext xmlns:c16="http://schemas.microsoft.com/office/drawing/2014/chart" uri="{C3380CC4-5D6E-409C-BE32-E72D297353CC}">
              <c16:uniqueId val="{00000005-4FA3-4A3F-816E-32EB1A83B47D}"/>
            </c:ext>
          </c:extLst>
        </c:ser>
        <c:ser>
          <c:idx val="7"/>
          <c:order val="6"/>
          <c:tx>
            <c:strRef>
              <c:f>Summary!$B$166</c:f>
              <c:strCache>
                <c:ptCount val="1"/>
                <c:pt idx="0">
                  <c:v>Equity distribution</c:v>
                </c:pt>
              </c:strCache>
            </c:strRef>
          </c:tx>
          <c:spPr>
            <a:solidFill>
              <a:srgbClr val="FFC000"/>
            </a:solidFill>
            <a:ln>
              <a:noFill/>
            </a:ln>
            <a:effectLst/>
          </c:spPr>
          <c:invertIfNegative val="0"/>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Summary!$F$166:$AX$166</c:f>
              <c:numCache>
                <c:formatCode>#,##0</c:formatCode>
                <c:ptCount val="44"/>
                <c:pt idx="0">
                  <c:v>0</c:v>
                </c:pt>
                <c:pt idx="1">
                  <c:v>0</c:v>
                </c:pt>
                <c:pt idx="2">
                  <c:v>247.57044432824074</c:v>
                </c:pt>
                <c:pt idx="3">
                  <c:v>64.936703322905657</c:v>
                </c:pt>
                <c:pt idx="4">
                  <c:v>78.791618545604464</c:v>
                </c:pt>
                <c:pt idx="5">
                  <c:v>94.084949761677393</c:v>
                </c:pt>
                <c:pt idx="6">
                  <c:v>108.91677205663552</c:v>
                </c:pt>
                <c:pt idx="7">
                  <c:v>124.57063434382016</c:v>
                </c:pt>
                <c:pt idx="8">
                  <c:v>143.01637432390203</c:v>
                </c:pt>
                <c:pt idx="9">
                  <c:v>161.03280369670256</c:v>
                </c:pt>
                <c:pt idx="10">
                  <c:v>180.18863697823301</c:v>
                </c:pt>
                <c:pt idx="11">
                  <c:v>200.13227931181936</c:v>
                </c:pt>
                <c:pt idx="12">
                  <c:v>209.84307853689629</c:v>
                </c:pt>
                <c:pt idx="13">
                  <c:v>242.25637419751709</c:v>
                </c:pt>
                <c:pt idx="14">
                  <c:v>265.55501824693044</c:v>
                </c:pt>
                <c:pt idx="15">
                  <c:v>292.61636552417463</c:v>
                </c:pt>
                <c:pt idx="16">
                  <c:v>323.25891351240421</c:v>
                </c:pt>
                <c:pt idx="17">
                  <c:v>357.08281061343058</c:v>
                </c:pt>
                <c:pt idx="18">
                  <c:v>395.42017085327075</c:v>
                </c:pt>
                <c:pt idx="19">
                  <c:v>423.67642416936786</c:v>
                </c:pt>
                <c:pt idx="20">
                  <c:v>455.49288145072728</c:v>
                </c:pt>
                <c:pt idx="21">
                  <c:v>495.27475144114266</c:v>
                </c:pt>
                <c:pt idx="22">
                  <c:v>487.07289874041322</c:v>
                </c:pt>
                <c:pt idx="23">
                  <c:v>578.42087642062779</c:v>
                </c:pt>
                <c:pt idx="24">
                  <c:v>622.4623166011819</c:v>
                </c:pt>
                <c:pt idx="25">
                  <c:v>670.12304279516127</c:v>
                </c:pt>
                <c:pt idx="26">
                  <c:v>716.55559271697848</c:v>
                </c:pt>
                <c:pt idx="27">
                  <c:v>696.91078453842761</c:v>
                </c:pt>
                <c:pt idx="28">
                  <c:v>686.90987386723168</c:v>
                </c:pt>
                <c:pt idx="29">
                  <c:v>746.03398516871459</c:v>
                </c:pt>
                <c:pt idx="30">
                  <c:v>807.50283337323822</c:v>
                </c:pt>
                <c:pt idx="31">
                  <c:v>864.25151904584584</c:v>
                </c:pt>
                <c:pt idx="32">
                  <c:v>897.01612517696299</c:v>
                </c:pt>
                <c:pt idx="33">
                  <c:v>979.53258161589008</c:v>
                </c:pt>
                <c:pt idx="34">
                  <c:v>1059.1709752302827</c:v>
                </c:pt>
                <c:pt idx="35">
                  <c:v>1143.4717474454444</c:v>
                </c:pt>
                <c:pt idx="36">
                  <c:v>1232.8632869510818</c:v>
                </c:pt>
                <c:pt idx="37">
                  <c:v>1462.8196715564479</c:v>
                </c:pt>
                <c:pt idx="38">
                  <c:v>1586.1187054500783</c:v>
                </c:pt>
                <c:pt idx="39">
                  <c:v>1877.9512000004875</c:v>
                </c:pt>
                <c:pt idx="40">
                  <c:v>2022.8757896959387</c:v>
                </c:pt>
                <c:pt idx="41">
                  <c:v>2179.0186750670709</c:v>
                </c:pt>
                <c:pt idx="42">
                  <c:v>2347.2048376066855</c:v>
                </c:pt>
                <c:pt idx="43">
                  <c:v>1688.3096490862106</c:v>
                </c:pt>
              </c:numCache>
            </c:numRef>
          </c:val>
          <c:extLst>
            <c:ext xmlns:c16="http://schemas.microsoft.com/office/drawing/2014/chart" uri="{C3380CC4-5D6E-409C-BE32-E72D297353CC}">
              <c16:uniqueId val="{00000006-4FA3-4A3F-816E-32EB1A83B47D}"/>
            </c:ext>
          </c:extLst>
        </c:ser>
        <c:dLbls>
          <c:showLegendKey val="0"/>
          <c:showVal val="0"/>
          <c:showCatName val="0"/>
          <c:showSerName val="0"/>
          <c:showPercent val="0"/>
          <c:showBubbleSize val="0"/>
        </c:dLbls>
        <c:gapWidth val="150"/>
        <c:overlap val="100"/>
        <c:axId val="339476888"/>
        <c:axId val="339477280"/>
      </c:barChart>
      <c:lineChart>
        <c:grouping val="stacked"/>
        <c:varyColors val="0"/>
        <c:ser>
          <c:idx val="8"/>
          <c:order val="7"/>
          <c:tx>
            <c:strRef>
              <c:f>Summary!$B$159</c:f>
              <c:strCache>
                <c:ptCount val="1"/>
                <c:pt idx="0">
                  <c:v>Revenues</c:v>
                </c:pt>
              </c:strCache>
            </c:strRef>
          </c:tx>
          <c:spPr>
            <a:ln w="28575" cap="rnd">
              <a:solidFill>
                <a:schemeClr val="bg1">
                  <a:lumMod val="50000"/>
                </a:schemeClr>
              </a:solidFill>
              <a:round/>
            </a:ln>
            <a:effectLst/>
          </c:spPr>
          <c:marker>
            <c:symbol val="none"/>
          </c:marker>
          <c:cat>
            <c:numRef>
              <c:f>Summary!$F$138:$AX$138</c:f>
              <c:numCache>
                <c:formatCode>General</c:formatCode>
                <c:ptCount val="44"/>
                <c:pt idx="0">
                  <c:v>2017</c:v>
                </c:pt>
                <c:pt idx="1">
                  <c:v>2018</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numCache>
            </c:numRef>
          </c:cat>
          <c:val>
            <c:numRef>
              <c:f>Summary!$F$159:$AX$159</c:f>
              <c:numCache>
                <c:formatCode>#,##0</c:formatCode>
                <c:ptCount val="44"/>
                <c:pt idx="0">
                  <c:v>0</c:v>
                </c:pt>
                <c:pt idx="1">
                  <c:v>118.88588824258335</c:v>
                </c:pt>
                <c:pt idx="2">
                  <c:v>355.87884569403781</c:v>
                </c:pt>
                <c:pt idx="3">
                  <c:v>178.54159732172883</c:v>
                </c:pt>
                <c:pt idx="4">
                  <c:v>192.20350847326938</c:v>
                </c:pt>
                <c:pt idx="5">
                  <c:v>206.90935004483657</c:v>
                </c:pt>
                <c:pt idx="6">
                  <c:v>222.73549237005932</c:v>
                </c:pt>
                <c:pt idx="7">
                  <c:v>239.62000600301036</c:v>
                </c:pt>
                <c:pt idx="8">
                  <c:v>259.61316041513567</c:v>
                </c:pt>
                <c:pt idx="9">
                  <c:v>280.15755131408935</c:v>
                </c:pt>
                <c:pt idx="10">
                  <c:v>301.85700692454088</c:v>
                </c:pt>
                <c:pt idx="11">
                  <c:v>326.23018070560278</c:v>
                </c:pt>
                <c:pt idx="12">
                  <c:v>352.83043605386734</c:v>
                </c:pt>
                <c:pt idx="13">
                  <c:v>381.70279868584623</c:v>
                </c:pt>
                <c:pt idx="14">
                  <c:v>408.30631535220084</c:v>
                </c:pt>
                <c:pt idx="15">
                  <c:v>436.54381730379038</c:v>
                </c:pt>
                <c:pt idx="16">
                  <c:v>466.37229057823197</c:v>
                </c:pt>
                <c:pt idx="17">
                  <c:v>502.19361581560941</c:v>
                </c:pt>
                <c:pt idx="18">
                  <c:v>545.28065492481755</c:v>
                </c:pt>
                <c:pt idx="19">
                  <c:v>577.86953108284763</c:v>
                </c:pt>
                <c:pt idx="20">
                  <c:v>614.52861547374584</c:v>
                </c:pt>
                <c:pt idx="21">
                  <c:v>655.03897454642606</c:v>
                </c:pt>
                <c:pt idx="22">
                  <c:v>700.29551085593914</c:v>
                </c:pt>
                <c:pt idx="23">
                  <c:v>754.26841832005664</c:v>
                </c:pt>
                <c:pt idx="24">
                  <c:v>803.63806670270083</c:v>
                </c:pt>
                <c:pt idx="25">
                  <c:v>855.40541304606506</c:v>
                </c:pt>
                <c:pt idx="26">
                  <c:v>904.15899958716659</c:v>
                </c:pt>
                <c:pt idx="27">
                  <c:v>961.72432592892892</c:v>
                </c:pt>
                <c:pt idx="28">
                  <c:v>1025.3315562430059</c:v>
                </c:pt>
                <c:pt idx="29">
                  <c:v>1089.1700112497028</c:v>
                </c:pt>
                <c:pt idx="30">
                  <c:v>1155.3913345373617</c:v>
                </c:pt>
                <c:pt idx="31">
                  <c:v>1226.3706287981186</c:v>
                </c:pt>
                <c:pt idx="32">
                  <c:v>1301.9231306375991</c:v>
                </c:pt>
                <c:pt idx="33">
                  <c:v>1382.3389535645942</c:v>
                </c:pt>
                <c:pt idx="34">
                  <c:v>1469.6233164832406</c:v>
                </c:pt>
                <c:pt idx="35">
                  <c:v>1561.9489627327721</c:v>
                </c:pt>
                <c:pt idx="36">
                  <c:v>1660.2774520878129</c:v>
                </c:pt>
                <c:pt idx="37">
                  <c:v>1900.0248393107311</c:v>
                </c:pt>
                <c:pt idx="38">
                  <c:v>2111.0396010489444</c:v>
                </c:pt>
                <c:pt idx="39">
                  <c:v>2049.8590617685163</c:v>
                </c:pt>
                <c:pt idx="40">
                  <c:v>2207.5680226840441</c:v>
                </c:pt>
                <c:pt idx="41">
                  <c:v>2377.6167455637869</c:v>
                </c:pt>
                <c:pt idx="42">
                  <c:v>2560.9464502385408</c:v>
                </c:pt>
                <c:pt idx="43">
                  <c:v>1996.243890757843</c:v>
                </c:pt>
              </c:numCache>
            </c:numRef>
          </c:val>
          <c:smooth val="0"/>
          <c:extLst>
            <c:ext xmlns:c16="http://schemas.microsoft.com/office/drawing/2014/chart" uri="{C3380CC4-5D6E-409C-BE32-E72D297353CC}">
              <c16:uniqueId val="{00000007-4FA3-4A3F-816E-32EB1A83B47D}"/>
            </c:ext>
          </c:extLst>
        </c:ser>
        <c:dLbls>
          <c:showLegendKey val="0"/>
          <c:showVal val="0"/>
          <c:showCatName val="0"/>
          <c:showSerName val="0"/>
          <c:showPercent val="0"/>
          <c:showBubbleSize val="0"/>
        </c:dLbls>
        <c:marker val="1"/>
        <c:smooth val="0"/>
        <c:axId val="339478064"/>
        <c:axId val="339477672"/>
      </c:lineChart>
      <c:catAx>
        <c:axId val="339476888"/>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39477280"/>
        <c:crosses val="autoZero"/>
        <c:auto val="1"/>
        <c:lblAlgn val="ctr"/>
        <c:lblOffset val="100"/>
        <c:noMultiLvlLbl val="0"/>
      </c:catAx>
      <c:valAx>
        <c:axId val="33947728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39476888"/>
        <c:crosses val="autoZero"/>
        <c:crossBetween val="between"/>
      </c:valAx>
      <c:valAx>
        <c:axId val="339477672"/>
        <c:scaling>
          <c:orientation val="minMax"/>
        </c:scaling>
        <c:delete val="1"/>
        <c:axPos val="r"/>
        <c:numFmt formatCode="#,##0" sourceLinked="1"/>
        <c:majorTickMark val="out"/>
        <c:minorTickMark val="none"/>
        <c:tickLblPos val="nextTo"/>
        <c:crossAx val="339478064"/>
        <c:crosses val="max"/>
        <c:crossBetween val="between"/>
      </c:valAx>
      <c:catAx>
        <c:axId val="339478064"/>
        <c:scaling>
          <c:orientation val="minMax"/>
        </c:scaling>
        <c:delete val="1"/>
        <c:axPos val="b"/>
        <c:numFmt formatCode="General" sourceLinked="1"/>
        <c:majorTickMark val="out"/>
        <c:minorTickMark val="none"/>
        <c:tickLblPos val="nextTo"/>
        <c:crossAx val="339477672"/>
        <c:crosses val="autoZero"/>
        <c:auto val="1"/>
        <c:lblAlgn val="ctr"/>
        <c:lblOffset val="100"/>
        <c:noMultiLvlLbl val="0"/>
      </c:catAx>
      <c:spPr>
        <a:noFill/>
        <a:ln>
          <a:noFill/>
        </a:ln>
        <a:effectLst/>
      </c:spPr>
    </c:plotArea>
    <c:legend>
      <c:legendPos val="b"/>
      <c:layout>
        <c:manualLayout>
          <c:xMode val="edge"/>
          <c:yMode val="edge"/>
          <c:x val="5.3276374394644194E-2"/>
          <c:y val="0.93464800631953815"/>
          <c:w val="0.9"/>
          <c:h val="5.756489898989899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206374</xdr:colOff>
      <xdr:row>7</xdr:row>
      <xdr:rowOff>4535</xdr:rowOff>
    </xdr:from>
    <xdr:to>
      <xdr:col>16</xdr:col>
      <xdr:colOff>174624</xdr:colOff>
      <xdr:row>65</xdr:row>
      <xdr:rowOff>27215</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206374" y="1115785"/>
          <a:ext cx="9223375" cy="9230180"/>
        </a:xfrm>
        <a:prstGeom prst="rect">
          <a:avLst/>
        </a:prstGeom>
        <a:noFill/>
        <a:ln w="9525">
          <a:solidFill>
            <a:srgbClr val="000000"/>
          </a:solidFill>
          <a:miter lim="800000"/>
          <a:headEnd/>
          <a:tailEnd/>
        </a:ln>
      </xdr:spPr>
      <xdr:txBody>
        <a:bodyPr vertOverflow="clip" wrap="square" lIns="27432" tIns="22860" rIns="0" bIns="0" anchor="t" upright="1"/>
        <a:lstStyle/>
        <a:p>
          <a:r>
            <a:rPr lang="en-GB" sz="1100" b="1">
              <a:effectLst/>
              <a:latin typeface="+mn-lt"/>
              <a:ea typeface="+mn-ea"/>
              <a:cs typeface="+mn-cs"/>
            </a:rPr>
            <a:t>NOT FOR RELEASE, PUBLICATION OR DISTRIBUTION, DIRECTLY OR INDIRECTLY, IN WHOLE OR IN PART, INTO OR WITHIN AUSTRALIA, CANADA OR JAPAN. </a:t>
          </a:r>
          <a:endParaRPr lang="es-ES" sz="1100">
            <a:effectLst/>
            <a:latin typeface="+mn-lt"/>
            <a:ea typeface="+mn-ea"/>
            <a:cs typeface="+mn-cs"/>
          </a:endParaRPr>
        </a:p>
        <a:p>
          <a:r>
            <a:rPr lang="en-GB" sz="1100">
              <a:effectLst/>
              <a:latin typeface="+mn-lt"/>
              <a:ea typeface="+mn-ea"/>
              <a:cs typeface="+mn-cs"/>
            </a:rPr>
            <a:t>This presentation has been prepared by Cintra Infrastructures, S.E. (the </a:t>
          </a:r>
          <a:r>
            <a:rPr lang="en-GB" sz="1100" b="1">
              <a:effectLst/>
              <a:latin typeface="+mn-lt"/>
              <a:ea typeface="+mn-ea"/>
              <a:cs typeface="+mn-cs"/>
            </a:rPr>
            <a:t>"Company"</a:t>
          </a:r>
          <a:r>
            <a:rPr lang="en-GB" sz="1100">
              <a:effectLst/>
              <a:latin typeface="+mn-lt"/>
              <a:ea typeface="+mn-ea"/>
              <a:cs typeface="+mn-cs"/>
            </a:rPr>
            <a:t>), a subsidiary of Ferrovial, S.A (</a:t>
          </a:r>
          <a:r>
            <a:rPr lang="en-GB" sz="1100" b="1">
              <a:effectLst/>
              <a:latin typeface="+mn-lt"/>
              <a:ea typeface="+mn-ea"/>
              <a:cs typeface="+mn-cs"/>
            </a:rPr>
            <a:t>"Ferrovial"</a:t>
          </a:r>
          <a:r>
            <a:rPr lang="en-GB" sz="1100">
              <a:effectLst/>
              <a:latin typeface="+mn-lt"/>
              <a:ea typeface="+mn-ea"/>
              <a:cs typeface="+mn-cs"/>
            </a:rPr>
            <a:t>), for the sole purpose expressed therein. Therefore, neither this presentation nor any of the information contained herein is not intended to, constitute or form part of, and should not be construed as, an offer to sell, or a solicitation of an offer to purchase, subscribe for or otherwise acquire, any securities of the Company or Ferrovial. No offering of securities shall be made in the United States except pursuant to registration under the U.S. Securities Act of 1933, as amended, or an exemption therefrom.</a:t>
          </a:r>
        </a:p>
        <a:p>
          <a:endParaRPr lang="es-ES" sz="1100">
            <a:effectLst/>
            <a:latin typeface="+mn-lt"/>
            <a:ea typeface="+mn-ea"/>
            <a:cs typeface="+mn-cs"/>
          </a:endParaRPr>
        </a:p>
        <a:p>
          <a:r>
            <a:rPr lang="en-GB" sz="1100">
              <a:effectLst/>
              <a:latin typeface="+mn-lt"/>
              <a:ea typeface="+mn-ea"/>
              <a:cs typeface="+mn-cs"/>
            </a:rPr>
            <a:t>This presentation is for information purposes only and under no circumstances does it constitute the basis for a public offering or a decision to invest in securities of the Company or Ferrovial. This presentation  is not an advertisement and is not a prospectus and recipients should not purchase, subscribe for or otherwise acquire any securities of the Company or Ferrovial on the basis of this information. This presentation is made available on the express understanding that it does not contain all information that may be required to evaluate, and will not be used by the attendees/recipients in connection with the purchase of or investment in, any securities of the Company or Ferrovial. This presentation is accordingly not intended to form the basis of any investment decision and does not constitute or contain any recommendation by the Company, Ferrovial or any of their respective directors, officers, employees, agents, affiliates or advisers.</a:t>
          </a:r>
        </a:p>
        <a:p>
          <a:endParaRPr lang="es-ES" sz="1100">
            <a:effectLst/>
            <a:latin typeface="+mn-lt"/>
            <a:ea typeface="+mn-ea"/>
            <a:cs typeface="+mn-cs"/>
          </a:endParaRPr>
        </a:p>
        <a:p>
          <a:r>
            <a:rPr lang="en-GB" sz="1100">
              <a:effectLst/>
              <a:latin typeface="+mn-lt"/>
              <a:ea typeface="+mn-ea"/>
              <a:cs typeface="+mn-cs"/>
            </a:rPr>
            <a:t>The information and opinions contained in this presentation are provided as at the date of the presentation, are subject to completion, verification, revision and change without notice and do not purport to contain all information that may be required to evaluate the Company or Ferrovial. This presentation does not take into account the objectives, financial situation or needs of any person and recipients should not construe the contents of this presentation as legal, tax, regulatory, financial or accounting advice. No reliance may or should be placed for any purpose whatsoever on the information contained in this presentation, or any other information discussed verbally, or on its completeness, accuracy or fairness. No representation or warranty, express or implied, is made or given by or on behalf of, and the Company, Ferrovial and their affiliates and advisers, agents and/or any other party does not accept any responsibility whatsoever for the contents of this presentation, and no representation or warranty, express or implied, is made by or on behalf of any such person in relation to the contents of this presentation. </a:t>
          </a:r>
        </a:p>
        <a:p>
          <a:endParaRPr lang="es-ES" sz="1100">
            <a:effectLst/>
            <a:latin typeface="+mn-lt"/>
            <a:ea typeface="+mn-ea"/>
            <a:cs typeface="+mn-cs"/>
          </a:endParaRPr>
        </a:p>
        <a:p>
          <a:r>
            <a:rPr lang="en-GB" sz="1100">
              <a:effectLst/>
              <a:latin typeface="+mn-lt"/>
              <a:ea typeface="+mn-ea"/>
              <a:cs typeface="+mn-cs"/>
            </a:rPr>
            <a:t>The information in this presentation is of a preliminary nature and may be subject to updating, completion, revision, verification and amendment, and such information may change materially. The Company, Ferrovial and their respective affiliates, advisers, agents and/or any other party do not undertake and are not under any duty to update this presentation or to correct any inaccuracies in any such information which may become apparent or to provide you with any additional information. </a:t>
          </a:r>
        </a:p>
        <a:p>
          <a:endParaRPr lang="es-ES" sz="1100">
            <a:effectLst/>
            <a:latin typeface="+mn-lt"/>
            <a:ea typeface="+mn-ea"/>
            <a:cs typeface="+mn-cs"/>
          </a:endParaRPr>
        </a:p>
        <a:p>
          <a:r>
            <a:rPr lang="en-US" sz="1100">
              <a:effectLst/>
              <a:latin typeface="+mn-lt"/>
              <a:ea typeface="+mn-ea"/>
              <a:cs typeface="+mn-cs"/>
            </a:rPr>
            <a:t>This presentation is not directed at, or intended for distribution to or use by, any person or entity that is a citizen or resident of, or located in, any locality, state, country or other jurisdiction where such publication, availability, distribution or use would be contrary to the law or regulation of that jurisdiction or which would require any registration or licensing within such jurisdiction. Persons who come into possession of any document or other information referred to herein should inform themselves about and observe any such restrictions. Any failure to comply with these restrictions may constitute a violation of the securities laws of such jurisdictions.</a:t>
          </a:r>
        </a:p>
        <a:p>
          <a:endParaRPr lang="es-ES" sz="1100">
            <a:effectLst/>
            <a:latin typeface="+mn-lt"/>
            <a:ea typeface="+mn-ea"/>
            <a:cs typeface="+mn-cs"/>
          </a:endParaRPr>
        </a:p>
        <a:p>
          <a:r>
            <a:rPr lang="en-GB" sz="1100">
              <a:effectLst/>
              <a:latin typeface="+mn-lt"/>
              <a:ea typeface="+mn-ea"/>
              <a:cs typeface="+mn-cs"/>
            </a:rPr>
            <a:t>All information in this presentation is based on management estimates. Such estimates have been made in good faith and represent the current beliefs of applicable members of Ferrovial and the Company's management. Those management members believe that such estimates are founded on reasonable grounds. However, by their nature, estimates may not be correct or complete. Accordingly, no representation or warranty (express or implied) is given that such estimates are correct or complete. Certain figures contained in this presentation have been subject to rounding adjustments. Accordingly, in certain instances, the sum or percentage change of the numbers contained in this presentation may not conform exactly to the total figure given. The copyright in the contents of this presentation is owned by Ferrovial and the Company, unless otherwise stated. All rights reserved. You are responsible for obeying all applicable copyright laws. </a:t>
          </a:r>
        </a:p>
        <a:p>
          <a:endParaRPr lang="es-ES" sz="1100">
            <a:effectLst/>
            <a:latin typeface="+mn-lt"/>
            <a:ea typeface="+mn-ea"/>
            <a:cs typeface="+mn-cs"/>
          </a:endParaRPr>
        </a:p>
        <a:p>
          <a:r>
            <a:rPr lang="en-GB" sz="1100">
              <a:effectLst/>
              <a:latin typeface="+mn-lt"/>
              <a:ea typeface="+mn-ea"/>
              <a:cs typeface="+mn-cs"/>
            </a:rPr>
            <a:t>This presentation may include statements that are, or may be deemed to be, forward-looking statements. Forward-looking statements typically use terms such as “assumptions”, "believes", "projects", "anticipates", "expects", "intends", "plans", "may", "will", "would", "could" or "should" or similar terminology. Any forward-looking statements in this presentation are based on the Company’s current expectations and projections about future events and, by their nature, forward-looking statements are subject to a number of risks, assumptions and uncertainties, many of which are beyond Ferrovial and the Company’s control including, among other things, trends in its operating industries, that could cause the Company’s actual results and performance to differ materially from any expected future results or performance expressed or implied by any forward-looking statements. In light of these risks, assumptions and uncertainties, you should not place undue reliance on these forward-looking statements as a prediction of actual results or otherwise. None of the future projections, expectations, estimates or prospects in this presentation should be taken as forecasts or promises nor should they be taken as implying any indication, assurance or guarantee that the assumptions on which such future projections, expectations, estimates or prospects have been prepared are correct or exhaustive or, in the case of the assumptions, fully stated in this presentation. Ferrovial, the Company and its  affiliates, or individuals acting on its  behalf do not undertake any obligation to release the results of any revisions to any forward-looking statements in this presentation that may occur due to any change in its expectations or to reflect events or circumstances after the date of this presentation.</a:t>
          </a:r>
          <a:endParaRPr lang="en-US" sz="1000" b="1" i="0" u="none" strike="noStrike" baseline="0">
            <a:solidFill>
              <a:srgbClr val="000000"/>
            </a:solidFill>
            <a:latin typeface="Arial"/>
            <a:cs typeface="Arial"/>
          </a:endParaRPr>
        </a:p>
      </xdr:txBody>
    </xdr:sp>
    <xdr:clientData/>
  </xdr:twoCellAnchor>
  <xdr:twoCellAnchor editAs="oneCell">
    <xdr:from>
      <xdr:col>1</xdr:col>
      <xdr:colOff>38100</xdr:colOff>
      <xdr:row>2</xdr:row>
      <xdr:rowOff>0</xdr:rowOff>
    </xdr:from>
    <xdr:to>
      <xdr:col>4</xdr:col>
      <xdr:colOff>534302</xdr:colOff>
      <xdr:row>6</xdr:row>
      <xdr:rowOff>35899</xdr:rowOff>
    </xdr:to>
    <xdr:pic>
      <xdr:nvPicPr>
        <xdr:cNvPr id="5" name="Imagen 6">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13812" t="25717" r="14275" b="31896"/>
        <a:stretch/>
      </xdr:blipFill>
      <xdr:spPr>
        <a:xfrm>
          <a:off x="1457325" y="323850"/>
          <a:ext cx="2325002" cy="683599"/>
        </a:xfrm>
        <a:prstGeom prst="rect">
          <a:avLst/>
        </a:prstGeom>
      </xdr:spPr>
    </xdr:pic>
    <xdr:clientData/>
  </xdr:twoCellAnchor>
  <xdr:twoCellAnchor editAs="oneCell">
    <xdr:from>
      <xdr:col>12</xdr:col>
      <xdr:colOff>180975</xdr:colOff>
      <xdr:row>2</xdr:row>
      <xdr:rowOff>57150</xdr:rowOff>
    </xdr:from>
    <xdr:to>
      <xdr:col>15</xdr:col>
      <xdr:colOff>253842</xdr:colOff>
      <xdr:row>6</xdr:row>
      <xdr:rowOff>2177</xdr:rowOff>
    </xdr:to>
    <xdr:pic>
      <xdr:nvPicPr>
        <xdr:cNvPr id="6" name="Imagen 8">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05800" y="381000"/>
          <a:ext cx="1901667" cy="5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12</xdr:row>
          <xdr:rowOff>9525</xdr:rowOff>
        </xdr:from>
        <xdr:to>
          <xdr:col>6</xdr:col>
          <xdr:colOff>228600</xdr:colOff>
          <xdr:row>14</xdr:row>
          <xdr:rowOff>57150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9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RUN MODEL</a:t>
              </a:r>
            </a:p>
          </xdr:txBody>
        </xdr:sp>
        <xdr:clientData fPrintsWithSheet="0"/>
      </xdr:twoCellAnchor>
    </mc:Choice>
    <mc:Fallback/>
  </mc:AlternateContent>
  <xdr:twoCellAnchor>
    <xdr:from>
      <xdr:col>12</xdr:col>
      <xdr:colOff>27215</xdr:colOff>
      <xdr:row>0</xdr:row>
      <xdr:rowOff>122464</xdr:rowOff>
    </xdr:from>
    <xdr:to>
      <xdr:col>13</xdr:col>
      <xdr:colOff>607886</xdr:colOff>
      <xdr:row>5</xdr:row>
      <xdr:rowOff>133699</xdr:rowOff>
    </xdr:to>
    <xdr:grpSp>
      <xdr:nvGrpSpPr>
        <xdr:cNvPr id="4" name="Grupo 8">
          <a:extLst>
            <a:ext uri="{FF2B5EF4-FFF2-40B4-BE49-F238E27FC236}">
              <a16:creationId xmlns:a16="http://schemas.microsoft.com/office/drawing/2014/main" id="{00000000-0008-0000-0900-000004000000}"/>
            </a:ext>
          </a:extLst>
        </xdr:cNvPr>
        <xdr:cNvGrpSpPr/>
      </xdr:nvGrpSpPr>
      <xdr:grpSpPr>
        <a:xfrm>
          <a:off x="5864679" y="122464"/>
          <a:ext cx="1437921" cy="827664"/>
          <a:chOff x="5101495" y="99232"/>
          <a:chExt cx="1437921" cy="827664"/>
        </a:xfrm>
      </xdr:grpSpPr>
      <xdr:pic>
        <xdr:nvPicPr>
          <xdr:cNvPr id="6" name="Imagen 9">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7" name="Imagen 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204107</xdr:colOff>
      <xdr:row>4</xdr:row>
      <xdr:rowOff>40821</xdr:rowOff>
    </xdr:from>
    <xdr:to>
      <xdr:col>6</xdr:col>
      <xdr:colOff>308882</xdr:colOff>
      <xdr:row>10</xdr:row>
      <xdr:rowOff>40823</xdr:rowOff>
    </xdr:to>
    <xdr:pic>
      <xdr:nvPicPr>
        <xdr:cNvPr id="6" name="Imagen 1">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13812" t="25717" r="14275" b="31896"/>
        <a:stretch/>
      </xdr:blipFill>
      <xdr:spPr>
        <a:xfrm>
          <a:off x="1170214" y="925285"/>
          <a:ext cx="4118882" cy="1211037"/>
        </a:xfrm>
        <a:prstGeom prst="rect">
          <a:avLst/>
        </a:prstGeom>
      </xdr:spPr>
    </xdr:pic>
    <xdr:clientData/>
  </xdr:twoCellAnchor>
  <xdr:twoCellAnchor editAs="oneCell">
    <xdr:from>
      <xdr:col>22</xdr:col>
      <xdr:colOff>589074</xdr:colOff>
      <xdr:row>4</xdr:row>
      <xdr:rowOff>136072</xdr:rowOff>
    </xdr:from>
    <xdr:to>
      <xdr:col>26</xdr:col>
      <xdr:colOff>1259684</xdr:colOff>
      <xdr:row>9</xdr:row>
      <xdr:rowOff>165589</xdr:rowOff>
    </xdr:to>
    <xdr:pic>
      <xdr:nvPicPr>
        <xdr:cNvPr id="7" name="Imagen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71431" y="857251"/>
          <a:ext cx="3392039" cy="1050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974911</xdr:colOff>
      <xdr:row>62</xdr:row>
      <xdr:rowOff>16527</xdr:rowOff>
    </xdr:from>
    <xdr:to>
      <xdr:col>23</xdr:col>
      <xdr:colOff>47625</xdr:colOff>
      <xdr:row>91</xdr:row>
      <xdr:rowOff>23811</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698500</xdr:colOff>
      <xdr:row>0</xdr:row>
      <xdr:rowOff>23984</xdr:rowOff>
    </xdr:from>
    <xdr:to>
      <xdr:col>12</xdr:col>
      <xdr:colOff>294921</xdr:colOff>
      <xdr:row>4</xdr:row>
      <xdr:rowOff>136930</xdr:rowOff>
    </xdr:to>
    <xdr:grpSp>
      <xdr:nvGrpSpPr>
        <xdr:cNvPr id="3" name="Grupo 8">
          <a:extLst>
            <a:ext uri="{FF2B5EF4-FFF2-40B4-BE49-F238E27FC236}">
              <a16:creationId xmlns:a16="http://schemas.microsoft.com/office/drawing/2014/main" id="{00000000-0008-0000-0200-000003000000}"/>
            </a:ext>
          </a:extLst>
        </xdr:cNvPr>
        <xdr:cNvGrpSpPr/>
      </xdr:nvGrpSpPr>
      <xdr:grpSpPr>
        <a:xfrm>
          <a:off x="6544469" y="23984"/>
          <a:ext cx="1453796" cy="779696"/>
          <a:chOff x="5101495" y="99232"/>
          <a:chExt cx="1437921" cy="827664"/>
        </a:xfrm>
      </xdr:grpSpPr>
      <xdr:pic>
        <xdr:nvPicPr>
          <xdr:cNvPr id="5" name="Imagen 9">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421823</xdr:colOff>
      <xdr:row>0</xdr:row>
      <xdr:rowOff>0</xdr:rowOff>
    </xdr:from>
    <xdr:to>
      <xdr:col>13</xdr:col>
      <xdr:colOff>743959</xdr:colOff>
      <xdr:row>4</xdr:row>
      <xdr:rowOff>147307</xdr:rowOff>
    </xdr:to>
    <xdr:grpSp>
      <xdr:nvGrpSpPr>
        <xdr:cNvPr id="3" name="Grupo 8">
          <a:extLst>
            <a:ext uri="{FF2B5EF4-FFF2-40B4-BE49-F238E27FC236}">
              <a16:creationId xmlns:a16="http://schemas.microsoft.com/office/drawing/2014/main" id="{00000000-0008-0000-0300-000003000000}"/>
            </a:ext>
          </a:extLst>
        </xdr:cNvPr>
        <xdr:cNvGrpSpPr/>
      </xdr:nvGrpSpPr>
      <xdr:grpSpPr>
        <a:xfrm>
          <a:off x="6681109" y="0"/>
          <a:ext cx="1437921" cy="827664"/>
          <a:chOff x="5101495" y="99232"/>
          <a:chExt cx="1437921" cy="827664"/>
        </a:xfrm>
      </xdr:grpSpPr>
      <xdr:pic>
        <xdr:nvPicPr>
          <xdr:cNvPr id="5" name="Imagen 9">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346226</xdr:colOff>
      <xdr:row>0</xdr:row>
      <xdr:rowOff>30238</xdr:rowOff>
    </xdr:from>
    <xdr:to>
      <xdr:col>13</xdr:col>
      <xdr:colOff>281313</xdr:colOff>
      <xdr:row>5</xdr:row>
      <xdr:rowOff>42985</xdr:rowOff>
    </xdr:to>
    <xdr:grpSp>
      <xdr:nvGrpSpPr>
        <xdr:cNvPr id="7" name="Grupo 8">
          <a:extLst>
            <a:ext uri="{FF2B5EF4-FFF2-40B4-BE49-F238E27FC236}">
              <a16:creationId xmlns:a16="http://schemas.microsoft.com/office/drawing/2014/main" id="{00000000-0008-0000-0400-000007000000}"/>
            </a:ext>
          </a:extLst>
        </xdr:cNvPr>
        <xdr:cNvGrpSpPr/>
      </xdr:nvGrpSpPr>
      <xdr:grpSpPr>
        <a:xfrm>
          <a:off x="6278940" y="30238"/>
          <a:ext cx="1431873" cy="856390"/>
          <a:chOff x="5101495" y="99232"/>
          <a:chExt cx="1437921" cy="827664"/>
        </a:xfrm>
      </xdr:grpSpPr>
      <xdr:pic>
        <xdr:nvPicPr>
          <xdr:cNvPr id="8" name="Imagen 9">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9" name="Imagen 10">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285749</xdr:colOff>
      <xdr:row>0</xdr:row>
      <xdr:rowOff>0</xdr:rowOff>
    </xdr:from>
    <xdr:to>
      <xdr:col>13</xdr:col>
      <xdr:colOff>607885</xdr:colOff>
      <xdr:row>4</xdr:row>
      <xdr:rowOff>147307</xdr:rowOff>
    </xdr:to>
    <xdr:grpSp>
      <xdr:nvGrpSpPr>
        <xdr:cNvPr id="3" name="Grupo 8">
          <a:extLst>
            <a:ext uri="{FF2B5EF4-FFF2-40B4-BE49-F238E27FC236}">
              <a16:creationId xmlns:a16="http://schemas.microsoft.com/office/drawing/2014/main" id="{00000000-0008-0000-0500-000003000000}"/>
            </a:ext>
          </a:extLst>
        </xdr:cNvPr>
        <xdr:cNvGrpSpPr/>
      </xdr:nvGrpSpPr>
      <xdr:grpSpPr>
        <a:xfrm>
          <a:off x="6545035" y="0"/>
          <a:ext cx="1437921" cy="827664"/>
          <a:chOff x="5101495" y="99232"/>
          <a:chExt cx="1437921" cy="827664"/>
        </a:xfrm>
      </xdr:grpSpPr>
      <xdr:pic>
        <xdr:nvPicPr>
          <xdr:cNvPr id="5" name="Imagen 9">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231321</xdr:colOff>
      <xdr:row>0</xdr:row>
      <xdr:rowOff>13607</xdr:rowOff>
    </xdr:from>
    <xdr:to>
      <xdr:col>13</xdr:col>
      <xdr:colOff>444600</xdr:colOff>
      <xdr:row>4</xdr:row>
      <xdr:rowOff>160914</xdr:rowOff>
    </xdr:to>
    <xdr:grpSp>
      <xdr:nvGrpSpPr>
        <xdr:cNvPr id="4" name="Grupo 8">
          <a:extLst>
            <a:ext uri="{FF2B5EF4-FFF2-40B4-BE49-F238E27FC236}">
              <a16:creationId xmlns:a16="http://schemas.microsoft.com/office/drawing/2014/main" id="{00000000-0008-0000-0600-000004000000}"/>
            </a:ext>
          </a:extLst>
        </xdr:cNvPr>
        <xdr:cNvGrpSpPr/>
      </xdr:nvGrpSpPr>
      <xdr:grpSpPr>
        <a:xfrm>
          <a:off x="6096000" y="13607"/>
          <a:ext cx="1437921" cy="827664"/>
          <a:chOff x="5101495" y="99232"/>
          <a:chExt cx="1437921" cy="827664"/>
        </a:xfrm>
      </xdr:grpSpPr>
      <xdr:pic>
        <xdr:nvPicPr>
          <xdr:cNvPr id="5" name="Imagen 9">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326572</xdr:colOff>
      <xdr:row>0</xdr:row>
      <xdr:rowOff>40821</xdr:rowOff>
    </xdr:from>
    <xdr:to>
      <xdr:col>13</xdr:col>
      <xdr:colOff>648708</xdr:colOff>
      <xdr:row>5</xdr:row>
      <xdr:rowOff>24842</xdr:rowOff>
    </xdr:to>
    <xdr:grpSp>
      <xdr:nvGrpSpPr>
        <xdr:cNvPr id="3" name="Grupo 8">
          <a:extLst>
            <a:ext uri="{FF2B5EF4-FFF2-40B4-BE49-F238E27FC236}">
              <a16:creationId xmlns:a16="http://schemas.microsoft.com/office/drawing/2014/main" id="{00000000-0008-0000-0700-000003000000}"/>
            </a:ext>
          </a:extLst>
        </xdr:cNvPr>
        <xdr:cNvGrpSpPr/>
      </xdr:nvGrpSpPr>
      <xdr:grpSpPr>
        <a:xfrm>
          <a:off x="6585858" y="40821"/>
          <a:ext cx="1437921" cy="827664"/>
          <a:chOff x="5101495" y="99232"/>
          <a:chExt cx="1437921" cy="827664"/>
        </a:xfrm>
      </xdr:grpSpPr>
      <xdr:pic>
        <xdr:nvPicPr>
          <xdr:cNvPr id="5" name="Imagen 9">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326572</xdr:colOff>
      <xdr:row>0</xdr:row>
      <xdr:rowOff>0</xdr:rowOff>
    </xdr:from>
    <xdr:to>
      <xdr:col>12</xdr:col>
      <xdr:colOff>798386</xdr:colOff>
      <xdr:row>4</xdr:row>
      <xdr:rowOff>133700</xdr:rowOff>
    </xdr:to>
    <xdr:grpSp>
      <xdr:nvGrpSpPr>
        <xdr:cNvPr id="3" name="Grupo 8">
          <a:extLst>
            <a:ext uri="{FF2B5EF4-FFF2-40B4-BE49-F238E27FC236}">
              <a16:creationId xmlns:a16="http://schemas.microsoft.com/office/drawing/2014/main" id="{00000000-0008-0000-0800-000003000000}"/>
            </a:ext>
          </a:extLst>
        </xdr:cNvPr>
        <xdr:cNvGrpSpPr/>
      </xdr:nvGrpSpPr>
      <xdr:grpSpPr>
        <a:xfrm>
          <a:off x="7293429" y="0"/>
          <a:ext cx="1437921" cy="827664"/>
          <a:chOff x="5101495" y="99232"/>
          <a:chExt cx="1437921" cy="827664"/>
        </a:xfrm>
      </xdr:grpSpPr>
      <xdr:pic>
        <xdr:nvPicPr>
          <xdr:cNvPr id="5" name="Imagen 9">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srcRect t="36433" b="32849"/>
          <a:stretch/>
        </xdr:blipFill>
        <xdr:spPr>
          <a:xfrm>
            <a:off x="5229102" y="563591"/>
            <a:ext cx="1182707" cy="363305"/>
          </a:xfrm>
          <a:prstGeom prst="rect">
            <a:avLst/>
          </a:prstGeom>
        </xdr:spPr>
      </xdr:pic>
      <xdr:pic>
        <xdr:nvPicPr>
          <xdr:cNvPr id="6" name="Imagen 10">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1495" y="99232"/>
            <a:ext cx="1437921" cy="4301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SBS\Users\andrest\My%20Documents\Andres\TEXAS%20Projects\SH130(5_6Seg)\July%2027%20(Offer%20FINAL%20II)\1%20Base%20Case%20(80miles-Upfront-CPI)\SH130_80m_CPI_Upfront-27July05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chi-nt7\P60003334\Autopistas\Nacional\Oca&#241;a-LaRoda%20(OLR)\oferta\O&amp;M\OF-OLR-O&amp;M%20Modelo-config-OFERTA-CGV-R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ADMINI~1\CONFIG~1\Temp\OF_M203_Coste_mantenimiento_05_LC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SBS\Users\Autopistas\Internacional\EEUU\Texas\SH-130%20Segments%205&amp;6%20(Austin)\OFER-SH130\TECNICO\O&amp;M\OyM_Costs\OF_SH130_OyM_Costs_03_CG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AZNZ\AppData\Local\Microsoft\Windows\Temporary%20Internet%20Files\Content.Outlook\COME9TFI\Caso%20Bancos%20con%20aportacion%20Equity%20Estaciones%20Servicios_2%20ESCENARIOS%20TR&#193;FICOS_4_curva.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ADMINI~1\CONFIG~1\Temp\Con_M100\OF_M203_Coste_mantenimiento_conM100_05_LC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fileserver2\LIC_US\DATA\pfabbruc\Desktop\183871_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fileserver2\LIC_US\DATA\pfabbruc\Desktop\Project%20Telluride%20-%20TxDOT%20Model%20-%2025%20Jan%2007%20-%202%2011p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Analisis_inversiones\MOSI_2006\Enviado%20GF\Enviado%20el%2007.06.06%20(407-Chicago-OLR)\MODELO%20OLR%20Cierre%20Financiero%20definitivo_inflacion%202.25%25%20IAS_capex.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fileserver2\LIC_US\Autopistas\Internacional\Estados%20Unidos\TEXAS%20SH%20121\UNSOLICITED\UP-BEX-Viabilidad_O&amp;Mnormal_ATWAPG_R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BS\Users\andrest\My%20Documents\Andres\TEXAS%20Projects\SH130(5_6Seg)\July%2027%20(Offer%20FINAL%20II)\1%20Base%20Case%20(80miles-Upfront-CPI)\SH130_80m_CPI_Upfront-27July05v9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BS\Users\DOCUME~1\andrest\LOCALS~1\Temp\Rar$DI00.750\DepTool-Help-AT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chi-nt7\P60003334\Autopistas\Internacional\Portugal%20A&#231;ores%20(AZ)\Oferta\Modelo%20Financiero\OF-AZ-CasoBase-CRB-R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eiro\financeiro\Documents%20and%20Settings\SCUT19.SCUTAZORES\Ambiente%20de%20trabalho\Apoio\0%20-%20Modelo_Proposta_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nalisis_inversiones\MOSI_2006\Enviado%20GF\Enviado%20el%2007.06.06%20(407-Chicago-OLR)\MODELO%20OLR%20Cierre%20Financiero%20definitivo_inflacion%202.25%25%20IAS_cape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ccounting\Budget\2006\Budget06\Coste%20%20O&amp;M%20Revisado%20as%2025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na\AppData\Roaming\Microsoft\Excel\2011\Lorena_email%2020%2002%2012\OF-AZ-Caso%20Base_v76_revII%202011_PPTO%202012_nvos%20tr&#225;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nanceiro\financeiro\DOCUME~1\ADMINI~1\CONFIG~1\Temp\OF_M203_Coste_mantenimiento_05_L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 val="Control"/>
      <sheetName val="OpsFlags"/>
      <sheetName val="Constr"/>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Inventario"/>
      <sheetName val="Datos tráfico"/>
      <sheetName val="Datos personal"/>
      <sheetName val="Datos G. Generales y asesores"/>
      <sheetName val="Presupuesto sistemas"/>
      <sheetName val="Datos SISTEMAS y OC asociada"/>
      <sheetName val="mantenimiento estructuras"/>
      <sheetName val="MEDIO AMBIENTE"/>
      <sheetName val="Datos subcontratos mant"/>
      <sheetName val="Comuni- EXIT"/>
      <sheetName val="Resumen OPERACIÓN ordinaria"/>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ransferencia"/>
      <sheetName val="Datos_infraestructura"/>
      <sheetName val="Datos_infraestructura1"/>
      <sheetName val="Datos_tráfico"/>
      <sheetName val="Datos_personal"/>
      <sheetName val="Datos_G__Generales_y_asesores"/>
      <sheetName val="Presupuesto_sistemas"/>
      <sheetName val="Datos_SISTEMAS_y_OC_asociada"/>
      <sheetName val="mantenimiento_estructuras"/>
      <sheetName val="MEDIO_AMBIENTE"/>
      <sheetName val="Datos_subcontratos_mant"/>
      <sheetName val="Comuni-_EXIT"/>
      <sheetName val="Resumen_OPERACIÓN_ordinaria"/>
      <sheetName val="Resumen_mant__extraordinaria"/>
      <sheetName val="Iluminación_y_consumos"/>
      <sheetName val="Res_gastos_preoperacionales"/>
      <sheetName val="Res_G__grales_y_ases_explot"/>
      <sheetName val="M_viales"/>
      <sheetName val="maquinaria_fija"/>
      <sheetName val="Personal_Peaje"/>
      <sheetName val="Datos_PEF"/>
      <sheetName val="Refi Comparison"/>
    </sheetNames>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 val="Grado de avance"/>
      <sheetName val="Variables"/>
    </sheetNames>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infra- basicos"/>
    </sheetNames>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Hipot"/>
      <sheetName val="ok"/>
      <sheetName val="Traffic"/>
      <sheetName val="Traffic Revenues"/>
      <sheetName val="Opex"/>
      <sheetName val="Invest"/>
      <sheetName val="Provision"/>
      <sheetName val="Financial"/>
      <sheetName val="Taxes"/>
      <sheetName val="Valoracion"/>
      <sheetName val="CashFlow-TIR"/>
      <sheetName val="WACC"/>
      <sheetName val="WACC (2)"/>
      <sheetName val="Output"/>
      <sheetName val="PeG"/>
      <sheetName val="Balances"/>
      <sheetName val="Formato GF"/>
      <sheetName val="Racios"/>
      <sheetName val="Real Modelo simplificado"/>
      <sheetName val="Traffic_Revenues"/>
      <sheetName val="WACC_(2)"/>
      <sheetName val="Formato_GF"/>
      <sheetName val="Real_Modelo_simplificado"/>
    </sheetNames>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s>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etailed Outputs"/>
      <sheetName val="ChartData"/>
      <sheetName val="Debt"/>
      <sheetName val="Scenario"/>
    </sheetNames>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s>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Hipótesis"/>
      <sheetName val="Apéndice"/>
      <sheetName val="TablasAprobacion"/>
      <sheetName val="Tablas"/>
      <sheetName val="TIR"/>
      <sheetName val="AportaciónGF"/>
      <sheetName val="ImpactoGF"/>
      <sheetName val="TablasGF"/>
      <sheetName val="RatiosFin"/>
      <sheetName val="Resumen"/>
      <sheetName val="Hipotesis"/>
      <sheetName val="Inputs"/>
      <sheetName val="Inputs_tráfico"/>
      <sheetName val="Costes"/>
      <sheetName val="Inversiones"/>
      <sheetName val="Ingresos"/>
      <sheetName val="Impuestos"/>
      <sheetName val="Cash Flow"/>
      <sheetName val="Financiacion"/>
      <sheetName val="Balance"/>
      <sheetName val="EOAF"/>
      <sheetName val="Inputs O&amp;M"/>
      <sheetName val="P&amp;G"/>
      <sheetName val="SVHipot"/>
      <sheetName val="SVRatio"/>
      <sheetName val="SVFin"/>
      <sheetName val="SVRatiosFin"/>
      <sheetName val="SVBalance"/>
      <sheetName val="SVCashFlow"/>
      <sheetName val="SVImp"/>
      <sheetName val="Coste amort"/>
      <sheetName val="SV P&amp;G"/>
      <sheetName val="SV EOAF"/>
      <sheetName val="Grafico SPV"/>
      <sheetName val="Amortizaciones"/>
      <sheetName val="Amort_IAS_Repos"/>
      <sheetName val="PyG_Conso"/>
      <sheetName val="Balance_Conso"/>
      <sheetName val="Cons_Bilan"/>
      <sheetName val="Cons_TdeF"/>
      <sheetName val="Cons_CdR"/>
    </sheetNames>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_Ops"/>
      <sheetName val="Inputs_Constr"/>
      <sheetName val="P&amp;L (FIRPTA)"/>
      <sheetName val="P&amp;L"/>
      <sheetName val="Taxes"/>
      <sheetName val="EquityIRR"/>
      <sheetName val="ProjectIRR"/>
      <sheetName val="Balance"/>
      <sheetName val="S&amp;A"/>
      <sheetName val="Cashflow"/>
      <sheetName val="OpsFlags"/>
      <sheetName val="MMRA"/>
      <sheetName val="DebtSculp"/>
      <sheetName val="Debt"/>
      <sheetName val="DS-Cascade"/>
      <sheetName val="Bk-Dep"/>
      <sheetName val="FIRPTA-Dep"/>
      <sheetName val="Tax-Dep"/>
      <sheetName val="Revenues"/>
      <sheetName val="MACRS"/>
      <sheetName val="Constr"/>
      <sheetName val="Annual"/>
      <sheetName val="Base Results"/>
      <sheetName val="Tables"/>
      <sheetName val="DScover"/>
      <sheetName val="Control"/>
      <sheetName val="Tb-Sensi"/>
      <sheetName val="Cover"/>
      <sheetName val="Discl"/>
      <sheetName val="GenAss"/>
      <sheetName val="Summ"/>
      <sheetName val="FinAss"/>
      <sheetName val="TrafAss"/>
      <sheetName val="O&amp;MAss"/>
      <sheetName val="CAPEXAss"/>
      <sheetName val="Ops"/>
      <sheetName val="Tx-Dep"/>
      <sheetName val="History"/>
      <sheetName val="Summary CF"/>
      <sheetName val="Outputs"/>
      <sheetName val="CFlow"/>
      <sheetName val="Tax"/>
      <sheetName val="Accnt"/>
      <sheetName val="Formato GF"/>
      <sheetName val="Valuation"/>
      <sheetName val="Chart"/>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ok"/>
      <sheetName val="Anexo"/>
      <sheetName val="Hipot"/>
      <sheetName val="Dados "/>
      <sheetName val="Invest"/>
      <sheetName val="Custos"/>
      <sheetName val="Receitas"/>
      <sheetName val="Bandas"/>
      <sheetName val="Impostos"/>
      <sheetName val="CashFlow"/>
      <sheetName val="FinanI"/>
      <sheetName val="FinanII"/>
      <sheetName val="Bonos"/>
      <sheetName val="PeG"/>
      <sheetName val="Balances"/>
      <sheetName val="Moapf"/>
      <sheetName val="Racios"/>
      <sheetName val="Gráfico1"/>
      <sheetName val="Gráfico3"/>
      <sheetName val="Gráfico4"/>
      <sheetName val="Resumen"/>
      <sheetName val="Dados_"/>
      <sheetName val="Dados_1"/>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ok"/>
      <sheetName val="Hipot"/>
      <sheetName val="Dados "/>
      <sheetName val="Invest"/>
      <sheetName val="Custos"/>
      <sheetName val="VAL"/>
      <sheetName val="Receitas"/>
      <sheetName val="Bandas"/>
      <sheetName val="Impostos"/>
      <sheetName val="CashFlow"/>
      <sheetName val="FinanI"/>
      <sheetName val="FinanII"/>
      <sheetName val="PeG"/>
      <sheetName val="Balances"/>
      <sheetName val="Moapf"/>
      <sheetName val="Racios"/>
      <sheetName val="Grado de avance"/>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Hipótesis"/>
      <sheetName val="Apéndice"/>
      <sheetName val="TablasAprobacion"/>
      <sheetName val="Tablas"/>
      <sheetName val="TIR"/>
      <sheetName val="AportaciónGF"/>
      <sheetName val="ImpactoGF"/>
      <sheetName val="TablasGF"/>
      <sheetName val="RatiosFin"/>
      <sheetName val="Resumen"/>
      <sheetName val="Hipotesis"/>
      <sheetName val="Inputs"/>
      <sheetName val="Inputs_tráfico"/>
      <sheetName val="Costes"/>
      <sheetName val="Inversiones"/>
      <sheetName val="Ingresos"/>
      <sheetName val="Impuestos"/>
      <sheetName val="Cash Flow"/>
      <sheetName val="Financiacion"/>
      <sheetName val="Balance"/>
      <sheetName val="EOAF"/>
      <sheetName val="Inputs O&amp;M"/>
      <sheetName val="P&amp;G"/>
      <sheetName val="SVHipot"/>
      <sheetName val="SVRatio"/>
      <sheetName val="SVFin"/>
      <sheetName val="SVRatiosFin"/>
      <sheetName val="SVBalance"/>
      <sheetName val="SVCashFlow"/>
      <sheetName val="SVImp"/>
      <sheetName val="Coste amort"/>
      <sheetName val="SV P&amp;G"/>
      <sheetName val="SV EOAF"/>
      <sheetName val="Grafico SPV"/>
      <sheetName val="Amortizaciones"/>
      <sheetName val="Amort_IAS_Repos"/>
      <sheetName val="PyG_Conso"/>
      <sheetName val="Balance_Conso"/>
      <sheetName val="Cons_Bilan"/>
      <sheetName val="Cons_TdeF"/>
      <sheetName val="Cons_CdR"/>
      <sheetName val="Libro_Hipótesis"/>
      <sheetName val="Cash_Flow"/>
      <sheetName val="Inputs_O&amp;M"/>
      <sheetName val="Coste_amort"/>
      <sheetName val="SV_P&amp;G"/>
      <sheetName val="SV_EOAF"/>
      <sheetName val="Grafico_SPV"/>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Infraestructura (r)"/>
      <sheetName val="Datos personal"/>
      <sheetName val="Personal (n)"/>
      <sheetName val=" G. Generales y asesores (r)"/>
      <sheetName val="Datos SISTEMAS y OC asociada"/>
      <sheetName val="Datos tráfico (r)"/>
      <sheetName val="inventario de estructuras"/>
      <sheetName val="mantenimiento estructuras"/>
      <sheetName val="Datos subcontratos mant"/>
      <sheetName val="Resumen Op. ordinaria (n)"/>
      <sheetName val="Resumen mant. extraordinaria"/>
      <sheetName val="Drenaje"/>
      <sheetName val="Auscultación"/>
      <sheetName val="Informática"/>
      <sheetName val="Iluminación y consumos"/>
      <sheetName val="materiales"/>
      <sheetName val="Vialidad"/>
      <sheetName val="Res gastos preoperacionales"/>
      <sheetName val="M.viales"/>
      <sheetName val="maquinaria fija"/>
      <sheetName val="medios_aux"/>
      <sheetName val="Personal Peaje (r)"/>
      <sheetName val="Res G. grales y ases explot"/>
      <sheetName val="Resumen seguro y garantias"/>
      <sheetName val="Resumen OPERACIÓN ordinaria"/>
      <sheetName val="overheads "/>
      <sheetName val="Ctes Estructura"/>
      <sheetName val="Ctes Directos"/>
      <sheetName val="Tags Op. (Data from Eazy passl"/>
      <sheetName val="Tag Summary Pricing (Eazy pass)"/>
      <sheetName val="Tag&amp;Cards Eurolnik assumptions"/>
      <sheetName val="Interface O&amp;M Cost (r)"/>
      <sheetName val="AssOPEX"/>
      <sheetName val="Tráfico "/>
      <sheetName val="Tráfico - Tramo 1"/>
      <sheetName val="DESPLEGABLE"/>
      <sheetName val="Listas"/>
      <sheetName val="TOLL"/>
      <sheetName val="(MOSI) (2)"/>
      <sheetName val="Datos_Infraestructura_(r)"/>
      <sheetName val="Datos_personal"/>
      <sheetName val="Personal_(n)"/>
      <sheetName val="_G__Generales_y_asesores_(r)"/>
      <sheetName val="Datos_SISTEMAS_y_OC_asociada"/>
      <sheetName val="Datos_tráfico_(r)"/>
      <sheetName val="inventario_de_estructuras"/>
      <sheetName val="mantenimiento_estructuras"/>
      <sheetName val="Datos_subcontratos_mant"/>
      <sheetName val="Resumen_Op__ordinaria_(n)"/>
      <sheetName val="Resumen_mant__extraordinaria"/>
      <sheetName val="Iluminación_y_consumos"/>
      <sheetName val="Res_gastos_preoperacionales"/>
      <sheetName val="M_viales"/>
      <sheetName val="maquinaria_fija"/>
      <sheetName val="Personal_Peaje_(r)"/>
      <sheetName val="Res_G__grales_y_ases_explot"/>
      <sheetName val="Resumen_seguro_y_garantias"/>
      <sheetName val="Resumen_OPERACIÓN_ordinaria"/>
      <sheetName val="overheads_"/>
      <sheetName val="Ctes_Estructura"/>
      <sheetName val="Ctes_Directos"/>
      <sheetName val="Tags_Op__(Data_from_Eazy_passl"/>
      <sheetName val="Tag_Summary_Pricing_(Eazy_pass)"/>
      <sheetName val="Tag&amp;Cards_Eurolnik_assumptions"/>
      <sheetName val="Interface_O&amp;M_Cost_(r)"/>
      <sheetName val="Tráfico_"/>
      <sheetName val="Tráfico_-_Tramo_1"/>
      <sheetName val="(MOSI)_(2)"/>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Hipot"/>
      <sheetName val="ok"/>
      <sheetName val="Traffic"/>
      <sheetName val="Traffic Revenues"/>
      <sheetName val="Opex"/>
      <sheetName val="Invest"/>
      <sheetName val="Provision"/>
      <sheetName val="Financial"/>
      <sheetName val="Taxes"/>
      <sheetName val="Valoracion"/>
      <sheetName val="CashFlow-TIR"/>
      <sheetName val="PeG"/>
      <sheetName val="Balances"/>
      <sheetName val="Racios"/>
      <sheetName val="Real"/>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 val="Grado de avance"/>
    </sheetNames>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U71"/>
  <sheetViews>
    <sheetView showGridLines="0" view="pageBreakPreview" zoomScale="70" zoomScaleNormal="70" zoomScaleSheetLayoutView="70" workbookViewId="0"/>
  </sheetViews>
  <sheetFormatPr baseColWidth="10" defaultColWidth="0" defaultRowHeight="12.75" customHeight="1" zeroHeight="1" x14ac:dyDescent="0.2"/>
  <cols>
    <col min="1" max="1" width="3" style="280" customWidth="1"/>
    <col min="2" max="16" width="9.140625" style="280" customWidth="1"/>
    <col min="17" max="17" width="8" style="280" customWidth="1"/>
    <col min="18" max="21" width="0" style="280" hidden="1" customWidth="1"/>
    <col min="22" max="16384" width="9.140625" style="280" hidden="1"/>
  </cols>
  <sheetData>
    <row r="1" spans="7:10" x14ac:dyDescent="0.2"/>
    <row r="2" spans="7:10" x14ac:dyDescent="0.2"/>
    <row r="3" spans="7:10" x14ac:dyDescent="0.2"/>
    <row r="4" spans="7:10" x14ac:dyDescent="0.2">
      <c r="G4" s="511"/>
      <c r="H4" s="2" t="s">
        <v>439</v>
      </c>
      <c r="I4" s="2"/>
      <c r="J4" s="511"/>
    </row>
    <row r="5" spans="7:10" x14ac:dyDescent="0.2">
      <c r="G5" s="2" t="s">
        <v>465</v>
      </c>
      <c r="H5" s="2"/>
      <c r="I5" s="2"/>
      <c r="J5" s="2"/>
    </row>
    <row r="6" spans="7:10" x14ac:dyDescent="0.2"/>
    <row r="7" spans="7:10" x14ac:dyDescent="0.2"/>
    <row r="8" spans="7:10" x14ac:dyDescent="0.2"/>
    <row r="9" spans="7:10" x14ac:dyDescent="0.2"/>
    <row r="10" spans="7:10" x14ac:dyDescent="0.2"/>
    <row r="11" spans="7:10" x14ac:dyDescent="0.2"/>
    <row r="12" spans="7:10" x14ac:dyDescent="0.2"/>
    <row r="13" spans="7:10" x14ac:dyDescent="0.2"/>
    <row r="14" spans="7:10" x14ac:dyDescent="0.2"/>
    <row r="15" spans="7:10" x14ac:dyDescent="0.2"/>
    <row r="16" spans="7:10"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hidden="1" x14ac:dyDescent="0.2"/>
    <row r="68" hidden="1" x14ac:dyDescent="0.2"/>
    <row r="69" ht="12.75" hidden="1" customHeight="1" x14ac:dyDescent="0.2"/>
    <row r="70" ht="12.75" hidden="1" customHeight="1" x14ac:dyDescent="0.2"/>
    <row r="71" ht="12.75" hidden="1" customHeight="1" x14ac:dyDescent="0.2"/>
  </sheetData>
  <sheetProtection algorithmName="SHA-512" hashValue="8dzc2SMXtu0au52CJV7Y6xiX0gSYj5ZatP8qLeqvVYX+9ioaMuy0mTIU7D/oFNan6G+WBh1m/7LqM9Kdd9CjjA==" saltValue="i3q9GzfUE2jUEXvhEBNrBQ==" spinCount="100000" sheet="1" objects="1" scenarios="1"/>
  <mergeCells count="2">
    <mergeCell ref="H4:I4"/>
    <mergeCell ref="G5:J5"/>
  </mergeCells>
  <printOptions horizontalCentered="1" verticalCentered="1"/>
  <pageMargins left="0" right="0" top="0" bottom="0" header="0" footer="0"/>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W40"/>
  <sheetViews>
    <sheetView showGridLines="0" view="pageBreakPreview" zoomScale="70" zoomScaleNormal="70" zoomScaleSheetLayoutView="70" workbookViewId="0">
      <pane xSplit="15" ySplit="9" topLeftCell="P10" activePane="bottomRight" state="frozen"/>
      <selection pane="topRight" activeCell="P1" sqref="P1"/>
      <selection pane="bottomLeft" activeCell="A10" sqref="A10"/>
      <selection pane="bottomRight"/>
    </sheetView>
  </sheetViews>
  <sheetFormatPr baseColWidth="10" defaultColWidth="0" defaultRowHeight="12.75" x14ac:dyDescent="0.2"/>
  <cols>
    <col min="1" max="4" width="2.7109375" customWidth="1"/>
    <col min="5" max="11" width="9.140625" customWidth="1"/>
    <col min="12" max="12" width="12.7109375" bestFit="1" customWidth="1"/>
    <col min="13" max="13" width="12.85546875" bestFit="1" customWidth="1"/>
    <col min="14" max="14" width="13.7109375" customWidth="1"/>
    <col min="15" max="16" width="2.7109375" customWidth="1"/>
    <col min="17" max="250" width="13.7109375" customWidth="1"/>
    <col min="251" max="257" width="0" hidden="1" customWidth="1"/>
    <col min="258" max="16384" width="13.7109375" hidden="1"/>
  </cols>
  <sheetData>
    <row r="1" spans="1:249"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x14ac:dyDescent="0.2">
      <c r="A2" s="1"/>
      <c r="B2" s="1"/>
      <c r="C2" s="1" t="s">
        <v>2</v>
      </c>
      <c r="D2" s="1"/>
      <c r="E2" s="1"/>
      <c r="F2" s="1"/>
      <c r="G2" s="1" t="str">
        <f>+Inputs!$G$2</f>
        <v xml:space="preserve">LBJ Infrastructure Group LLC IH-635 Mananged Lanes Project </v>
      </c>
      <c r="H2" s="1"/>
      <c r="I2" s="1"/>
      <c r="J2" s="1"/>
      <c r="K2" s="1"/>
      <c r="L2" s="1"/>
      <c r="M2" s="1"/>
      <c r="N2" s="7"/>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x14ac:dyDescent="0.2">
      <c r="A3" s="1"/>
      <c r="B3" s="1"/>
      <c r="C3" s="1" t="s">
        <v>3</v>
      </c>
      <c r="D3" s="1"/>
      <c r="E3" s="1"/>
      <c r="F3" s="1"/>
      <c r="G3" s="1" t="s">
        <v>446</v>
      </c>
      <c r="H3" s="1"/>
      <c r="I3" s="1"/>
      <c r="J3" s="1"/>
      <c r="K3" s="1"/>
      <c r="L3" s="1"/>
      <c r="M3" s="1"/>
      <c r="N3" s="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x14ac:dyDescent="0.2">
      <c r="A4" s="1"/>
      <c r="B4" s="1"/>
      <c r="C4" s="1" t="s">
        <v>257</v>
      </c>
      <c r="D4" s="1"/>
      <c r="E4" s="1"/>
      <c r="F4" s="1"/>
      <c r="G4" s="9">
        <f ca="1">+Inputs!G4</f>
        <v>0</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x14ac:dyDescent="0.2">
      <c r="A6" s="2"/>
      <c r="B6" s="2"/>
      <c r="C6" s="19" t="s">
        <v>19</v>
      </c>
      <c r="D6" s="20"/>
      <c r="E6" s="21"/>
      <c r="F6" s="22"/>
      <c r="G6" s="22"/>
      <c r="H6" s="22"/>
      <c r="I6" s="22"/>
      <c r="J6" s="22"/>
      <c r="K6" s="22"/>
      <c r="L6" s="22"/>
      <c r="M6" s="22"/>
      <c r="N6" s="22"/>
      <c r="O6" s="22"/>
      <c r="P6" s="22"/>
      <c r="Q6" s="22">
        <f>CF!Q7</f>
        <v>2016</v>
      </c>
      <c r="R6" s="22">
        <f>CF!R7</f>
        <v>2017</v>
      </c>
      <c r="S6" s="22">
        <f>CF!S7</f>
        <v>2018</v>
      </c>
      <c r="T6" s="22">
        <f>CF!T7</f>
        <v>2019</v>
      </c>
      <c r="U6" s="22">
        <f>CF!U7</f>
        <v>2020</v>
      </c>
      <c r="V6" s="22">
        <f>CF!V7</f>
        <v>2021</v>
      </c>
      <c r="W6" s="22">
        <f>CF!W7</f>
        <v>2022</v>
      </c>
      <c r="X6" s="22">
        <f>CF!X7</f>
        <v>2023</v>
      </c>
      <c r="Y6" s="22">
        <f>CF!Y7</f>
        <v>2024</v>
      </c>
      <c r="Z6" s="22">
        <f>CF!Z7</f>
        <v>2025</v>
      </c>
      <c r="AA6" s="22">
        <f>CF!AA7</f>
        <v>2026</v>
      </c>
      <c r="AB6" s="22">
        <f>CF!AB7</f>
        <v>2027</v>
      </c>
      <c r="AC6" s="22">
        <f>CF!AC7</f>
        <v>2028</v>
      </c>
      <c r="AD6" s="22">
        <f>CF!AD7</f>
        <v>2029</v>
      </c>
      <c r="AE6" s="22">
        <f>CF!AE7</f>
        <v>2030</v>
      </c>
      <c r="AF6" s="22">
        <f>CF!AF7</f>
        <v>2031</v>
      </c>
      <c r="AG6" s="22">
        <f>CF!AG7</f>
        <v>2032</v>
      </c>
      <c r="AH6" s="22">
        <f>CF!AH7</f>
        <v>2033</v>
      </c>
      <c r="AI6" s="22">
        <f>CF!AI7</f>
        <v>2034</v>
      </c>
      <c r="AJ6" s="22">
        <f>CF!AJ7</f>
        <v>2035</v>
      </c>
      <c r="AK6" s="22">
        <f>CF!AK7</f>
        <v>2036</v>
      </c>
      <c r="AL6" s="22">
        <f>CF!AL7</f>
        <v>2037</v>
      </c>
      <c r="AM6" s="22">
        <f>CF!AM7</f>
        <v>2038</v>
      </c>
      <c r="AN6" s="22">
        <f>CF!AN7</f>
        <v>2039</v>
      </c>
      <c r="AO6" s="22">
        <f>CF!AO7</f>
        <v>2040</v>
      </c>
      <c r="AP6" s="22">
        <f>CF!AP7</f>
        <v>2041</v>
      </c>
      <c r="AQ6" s="22">
        <f>CF!AQ7</f>
        <v>2042</v>
      </c>
      <c r="AR6" s="22">
        <f>CF!AR7</f>
        <v>2043</v>
      </c>
      <c r="AS6" s="22">
        <f>CF!AS7</f>
        <v>2044</v>
      </c>
      <c r="AT6" s="22">
        <f>CF!AT7</f>
        <v>2045</v>
      </c>
      <c r="AU6" s="22">
        <f>CF!AU7</f>
        <v>2046</v>
      </c>
      <c r="AV6" s="22">
        <f>CF!AV7</f>
        <v>2047</v>
      </c>
      <c r="AW6" s="22">
        <f>CF!AW7</f>
        <v>2048</v>
      </c>
      <c r="AX6" s="22">
        <f>CF!AX7</f>
        <v>2049</v>
      </c>
      <c r="AY6" s="22">
        <f>CF!AY7</f>
        <v>2050</v>
      </c>
      <c r="AZ6" s="22">
        <f>CF!AZ7</f>
        <v>2051</v>
      </c>
      <c r="BA6" s="22">
        <f>CF!BA7</f>
        <v>2052</v>
      </c>
      <c r="BB6" s="22">
        <f>CF!BB7</f>
        <v>2053</v>
      </c>
      <c r="BC6" s="22">
        <f>CF!BC7</f>
        <v>2054</v>
      </c>
      <c r="BD6" s="22">
        <f>CF!BD7</f>
        <v>2055</v>
      </c>
      <c r="BE6" s="22">
        <f>CF!BE7</f>
        <v>2056</v>
      </c>
      <c r="BF6" s="22">
        <f>CF!BF7</f>
        <v>2057</v>
      </c>
      <c r="BG6" s="22">
        <f>CF!BG7</f>
        <v>2058</v>
      </c>
      <c r="BH6" s="22">
        <f>CF!BH7</f>
        <v>2059</v>
      </c>
      <c r="BI6" s="22">
        <f>CF!BI7</f>
        <v>2060</v>
      </c>
      <c r="BJ6" s="22">
        <f>CF!BJ7</f>
        <v>2061</v>
      </c>
      <c r="BK6" s="22">
        <f>CF!BK7</f>
        <v>2062</v>
      </c>
      <c r="BL6" s="22">
        <f>CF!BL7</f>
        <v>2063</v>
      </c>
      <c r="BM6" s="22">
        <f>CF!BM7</f>
        <v>2064</v>
      </c>
      <c r="BN6" s="22">
        <f>CF!BN7</f>
        <v>2065</v>
      </c>
      <c r="BO6" s="22">
        <f>CF!BO7</f>
        <v>2066</v>
      </c>
      <c r="BP6" s="22">
        <f>CF!BP7</f>
        <v>2067</v>
      </c>
      <c r="BQ6" s="22">
        <f>CF!BQ7</f>
        <v>2068</v>
      </c>
      <c r="BR6" s="22">
        <f>CF!BR7</f>
        <v>2069</v>
      </c>
      <c r="BS6" s="22">
        <f>CF!BS7</f>
        <v>2070</v>
      </c>
      <c r="BT6" s="22">
        <f>CF!BT7</f>
        <v>2071</v>
      </c>
      <c r="BU6" s="22">
        <f>CF!BU7</f>
        <v>2072</v>
      </c>
      <c r="BV6" s="22">
        <f>CF!BV7</f>
        <v>2073</v>
      </c>
      <c r="BW6" s="22">
        <f>CF!BW7</f>
        <v>2074</v>
      </c>
      <c r="BX6" s="22">
        <f>CF!BX7</f>
        <v>2075</v>
      </c>
      <c r="BY6" s="22">
        <f>CF!BY7</f>
        <v>2076</v>
      </c>
      <c r="BZ6" s="22">
        <f>CF!BZ7</f>
        <v>2077</v>
      </c>
      <c r="CA6" s="22">
        <f>CF!CA7</f>
        <v>2078</v>
      </c>
      <c r="CB6" s="22">
        <f>CF!CB7</f>
        <v>2079</v>
      </c>
      <c r="CC6" s="22">
        <f>CF!CC7</f>
        <v>2080</v>
      </c>
      <c r="CD6" s="22">
        <f>CF!CD7</f>
        <v>2081</v>
      </c>
      <c r="CE6" s="22">
        <f>CF!CE7</f>
        <v>2082</v>
      </c>
      <c r="CF6" s="22">
        <f>CF!CF7</f>
        <v>2083</v>
      </c>
      <c r="CG6" s="22">
        <f>CF!CG7</f>
        <v>2084</v>
      </c>
      <c r="CH6" s="22">
        <f>CF!CH7</f>
        <v>2085</v>
      </c>
      <c r="CI6" s="22">
        <f>CF!CI7</f>
        <v>2086</v>
      </c>
      <c r="CJ6" s="22">
        <f>CF!CJ7</f>
        <v>2087</v>
      </c>
      <c r="CK6" s="22">
        <f>CF!CK7</f>
        <v>2088</v>
      </c>
      <c r="CL6" s="22">
        <f>CF!CL7</f>
        <v>2089</v>
      </c>
      <c r="CM6" s="22">
        <f>CF!CM7</f>
        <v>2090</v>
      </c>
      <c r="CN6" s="22">
        <f>CF!CN7</f>
        <v>2091</v>
      </c>
      <c r="CO6" s="22">
        <f>CF!CO7</f>
        <v>2092</v>
      </c>
      <c r="CP6" s="22">
        <f>CF!CP7</f>
        <v>2093</v>
      </c>
      <c r="CQ6" s="22">
        <f>CF!CQ7</f>
        <v>2094</v>
      </c>
      <c r="CR6" s="22">
        <f>CF!CR7</f>
        <v>2095</v>
      </c>
      <c r="CS6" s="22">
        <f>CF!CS7</f>
        <v>2096</v>
      </c>
      <c r="CT6" s="22">
        <f>CF!CT7</f>
        <v>2097</v>
      </c>
      <c r="CU6" s="22">
        <f>CF!CU7</f>
        <v>2098</v>
      </c>
      <c r="CV6" s="22">
        <f>CF!CV7</f>
        <v>2099</v>
      </c>
      <c r="CW6" s="22">
        <f>CF!CW7</f>
        <v>2100</v>
      </c>
      <c r="CX6" s="22">
        <f>CF!CX7</f>
        <v>2101</v>
      </c>
      <c r="CY6" s="22">
        <f>CF!CY7</f>
        <v>2102</v>
      </c>
      <c r="CZ6" s="22">
        <f>CF!CZ7</f>
        <v>2103</v>
      </c>
      <c r="DA6" s="22">
        <f>CF!DA7</f>
        <v>2104</v>
      </c>
      <c r="DB6" s="22">
        <f>CF!DB7</f>
        <v>2105</v>
      </c>
      <c r="DC6" s="22">
        <f>CF!DC7</f>
        <v>2106</v>
      </c>
      <c r="DD6" s="22">
        <f>CF!DD7</f>
        <v>2107</v>
      </c>
      <c r="DE6" s="22">
        <f>CF!DE7</f>
        <v>2108</v>
      </c>
      <c r="DF6" s="22">
        <f>CF!DF7</f>
        <v>2109</v>
      </c>
      <c r="DG6" s="22">
        <f>CF!DG7</f>
        <v>2110</v>
      </c>
      <c r="DH6" s="22">
        <f>CF!DH7</f>
        <v>2111</v>
      </c>
      <c r="DI6" s="22">
        <f>CF!DI7</f>
        <v>2112</v>
      </c>
      <c r="DJ6" s="22">
        <f>CF!DJ7</f>
        <v>2113</v>
      </c>
      <c r="DK6" s="22">
        <f>CF!DK7</f>
        <v>2114</v>
      </c>
      <c r="DL6" s="22">
        <f>CF!DL7</f>
        <v>2115</v>
      </c>
      <c r="DM6" s="22">
        <f>CF!DM7</f>
        <v>2116</v>
      </c>
      <c r="DN6" s="22">
        <f>CF!DN7</f>
        <v>2117</v>
      </c>
      <c r="DO6" s="22">
        <f>CF!DO7</f>
        <v>2118</v>
      </c>
      <c r="DP6" s="22">
        <f>CF!DP7</f>
        <v>2119</v>
      </c>
      <c r="DQ6" s="22">
        <f>CF!DQ7</f>
        <v>0</v>
      </c>
      <c r="DR6" s="22">
        <f>CF!DR7</f>
        <v>0</v>
      </c>
      <c r="DS6" s="22">
        <f>CF!DS7</f>
        <v>0</v>
      </c>
      <c r="DT6" s="22">
        <f>CF!DT7</f>
        <v>0</v>
      </c>
      <c r="DU6" s="22">
        <f>CF!DU7</f>
        <v>0</v>
      </c>
      <c r="DV6" s="22">
        <f>CF!DV7</f>
        <v>0</v>
      </c>
      <c r="DW6" s="22">
        <f>CF!DW7</f>
        <v>0</v>
      </c>
      <c r="DX6" s="22">
        <f>CF!DX7</f>
        <v>0</v>
      </c>
      <c r="DY6" s="22">
        <f>CF!DY7</f>
        <v>0</v>
      </c>
      <c r="DZ6" s="22">
        <f>CF!DZ7</f>
        <v>0</v>
      </c>
      <c r="EA6" s="22">
        <f>CF!EA7</f>
        <v>0</v>
      </c>
      <c r="EB6" s="22">
        <f>CF!EB7</f>
        <v>0</v>
      </c>
      <c r="EC6" s="22">
        <f>CF!EC7</f>
        <v>0</v>
      </c>
      <c r="ED6" s="22">
        <f>CF!ED7</f>
        <v>0</v>
      </c>
      <c r="EE6" s="22">
        <f>CF!EE7</f>
        <v>0</v>
      </c>
      <c r="EF6" s="22">
        <f>CF!EF7</f>
        <v>0</v>
      </c>
      <c r="EG6" s="22">
        <f>CF!EG7</f>
        <v>0</v>
      </c>
      <c r="EH6" s="22">
        <f>CF!EH7</f>
        <v>0</v>
      </c>
      <c r="EI6" s="22">
        <f>CF!EI7</f>
        <v>0</v>
      </c>
      <c r="EJ6" s="22">
        <f>CF!EJ7</f>
        <v>0</v>
      </c>
      <c r="EK6" s="22">
        <f>CF!EK7</f>
        <v>0</v>
      </c>
      <c r="EL6" s="22">
        <f>CF!EL7</f>
        <v>0</v>
      </c>
      <c r="EM6" s="22">
        <f>CF!EM7</f>
        <v>0</v>
      </c>
      <c r="EN6" s="22">
        <f>CF!EN7</f>
        <v>0</v>
      </c>
      <c r="EO6" s="22">
        <f>CF!EO7</f>
        <v>0</v>
      </c>
      <c r="EP6" s="22">
        <f>CF!EP7</f>
        <v>0</v>
      </c>
      <c r="EQ6" s="22">
        <f>CF!EQ7</f>
        <v>0</v>
      </c>
      <c r="ER6" s="22">
        <f>CF!ER7</f>
        <v>0</v>
      </c>
      <c r="ES6" s="22">
        <f>CF!ES7</f>
        <v>0</v>
      </c>
      <c r="ET6" s="22">
        <f>CF!ET7</f>
        <v>0</v>
      </c>
      <c r="EU6" s="22">
        <f>CF!EU7</f>
        <v>0</v>
      </c>
      <c r="EV6" s="22">
        <f>CF!EV7</f>
        <v>0</v>
      </c>
      <c r="EW6" s="22">
        <f>CF!EW7</f>
        <v>0</v>
      </c>
      <c r="EX6" s="22">
        <f>CF!EX7</f>
        <v>0</v>
      </c>
      <c r="EY6" s="22">
        <f>CF!EY7</f>
        <v>0</v>
      </c>
      <c r="EZ6" s="22">
        <f>CF!EZ7</f>
        <v>0</v>
      </c>
      <c r="FA6" s="22">
        <f>CF!FA7</f>
        <v>0</v>
      </c>
      <c r="FB6" s="22">
        <f>CF!FB7</f>
        <v>0</v>
      </c>
      <c r="FC6" s="22">
        <f>CF!FC7</f>
        <v>0</v>
      </c>
      <c r="FD6" s="22">
        <f>CF!FD7</f>
        <v>0</v>
      </c>
      <c r="FE6" s="22">
        <f>CF!FE7</f>
        <v>0</v>
      </c>
      <c r="FF6" s="22">
        <f>CF!FF7</f>
        <v>0</v>
      </c>
      <c r="FG6" s="22">
        <f>CF!FG7</f>
        <v>0</v>
      </c>
      <c r="FH6" s="22">
        <f>CF!FH7</f>
        <v>0</v>
      </c>
      <c r="FI6" s="22">
        <f>CF!FI7</f>
        <v>0</v>
      </c>
      <c r="FJ6" s="22">
        <f>CF!FJ7</f>
        <v>0</v>
      </c>
      <c r="FK6" s="22">
        <f>CF!FK7</f>
        <v>0</v>
      </c>
      <c r="FL6" s="22">
        <f>CF!FL7</f>
        <v>0</v>
      </c>
      <c r="FM6" s="22">
        <f>CF!FM7</f>
        <v>0</v>
      </c>
      <c r="FN6" s="22">
        <f>CF!FN7</f>
        <v>0</v>
      </c>
      <c r="FO6" s="22">
        <f>CF!FO7</f>
        <v>0</v>
      </c>
      <c r="FP6" s="22">
        <f>CF!FP7</f>
        <v>0</v>
      </c>
      <c r="FQ6" s="22">
        <f>CF!FQ7</f>
        <v>0</v>
      </c>
      <c r="FR6" s="22">
        <f>CF!FR7</f>
        <v>0</v>
      </c>
      <c r="FS6" s="22">
        <f>CF!FS7</f>
        <v>0</v>
      </c>
      <c r="FT6" s="22">
        <f>CF!FT7</f>
        <v>0</v>
      </c>
      <c r="FU6" s="22">
        <f>CF!FU7</f>
        <v>0</v>
      </c>
      <c r="FV6" s="22">
        <f>CF!FV7</f>
        <v>0</v>
      </c>
      <c r="FW6" s="22">
        <f>CF!FW7</f>
        <v>0</v>
      </c>
      <c r="FX6" s="22">
        <f>CF!FX7</f>
        <v>0</v>
      </c>
      <c r="FY6" s="22">
        <f>CF!FY7</f>
        <v>0</v>
      </c>
      <c r="FZ6" s="22">
        <f>CF!FZ7</f>
        <v>0</v>
      </c>
      <c r="GA6" s="22">
        <f>CF!GA7</f>
        <v>0</v>
      </c>
      <c r="GB6" s="22">
        <f>CF!GB7</f>
        <v>0</v>
      </c>
      <c r="GC6" s="22">
        <f>CF!GC7</f>
        <v>0</v>
      </c>
      <c r="GD6" s="22">
        <f>CF!GD7</f>
        <v>0</v>
      </c>
      <c r="GE6" s="22">
        <f>CF!GE7</f>
        <v>0</v>
      </c>
      <c r="GF6" s="22">
        <f>CF!GF7</f>
        <v>0</v>
      </c>
      <c r="GG6" s="22">
        <f>CF!GG7</f>
        <v>0</v>
      </c>
      <c r="GH6" s="22">
        <f>CF!GH7</f>
        <v>0</v>
      </c>
      <c r="GI6" s="22">
        <f>CF!GI7</f>
        <v>0</v>
      </c>
      <c r="GJ6" s="22">
        <f>CF!GJ7</f>
        <v>0</v>
      </c>
      <c r="GK6" s="22">
        <f>CF!GK7</f>
        <v>0</v>
      </c>
      <c r="GL6" s="22">
        <f>CF!GL7</f>
        <v>0</v>
      </c>
      <c r="GM6" s="22">
        <f>CF!GM7</f>
        <v>0</v>
      </c>
      <c r="GN6" s="22">
        <f>CF!GN7</f>
        <v>0</v>
      </c>
      <c r="GO6" s="22">
        <f>CF!GO7</f>
        <v>0</v>
      </c>
      <c r="GP6" s="22">
        <f>CF!GP7</f>
        <v>0</v>
      </c>
      <c r="GQ6" s="22">
        <f>CF!GQ7</f>
        <v>0</v>
      </c>
      <c r="GR6" s="22">
        <f>CF!GR7</f>
        <v>0</v>
      </c>
      <c r="GS6" s="22">
        <f>CF!GS7</f>
        <v>0</v>
      </c>
      <c r="GT6" s="22">
        <f>CF!GT7</f>
        <v>0</v>
      </c>
      <c r="GU6" s="22">
        <f>CF!GU7</f>
        <v>0</v>
      </c>
      <c r="GV6" s="22">
        <f>CF!GV7</f>
        <v>0</v>
      </c>
      <c r="GW6" s="22">
        <f>CF!GW7</f>
        <v>0</v>
      </c>
      <c r="GX6" s="22">
        <f>CF!GX7</f>
        <v>0</v>
      </c>
      <c r="GY6" s="22">
        <f>CF!GY7</f>
        <v>0</v>
      </c>
      <c r="GZ6" s="22">
        <f>CF!GZ7</f>
        <v>0</v>
      </c>
      <c r="HA6" s="22">
        <f>CF!HA7</f>
        <v>0</v>
      </c>
      <c r="HB6" s="22">
        <f>CF!HB7</f>
        <v>0</v>
      </c>
      <c r="HC6" s="22">
        <f>CF!HC7</f>
        <v>0</v>
      </c>
      <c r="HD6" s="22">
        <f>CF!HD7</f>
        <v>0</v>
      </c>
      <c r="HE6" s="22">
        <f>CF!HE7</f>
        <v>0</v>
      </c>
      <c r="HF6" s="22">
        <f>CF!HF7</f>
        <v>0</v>
      </c>
      <c r="HG6" s="22">
        <f>CF!HG7</f>
        <v>0</v>
      </c>
      <c r="HH6" s="22">
        <f>CF!HH7</f>
        <v>0</v>
      </c>
      <c r="HI6" s="22">
        <f>CF!HI7</f>
        <v>0</v>
      </c>
      <c r="HJ6" s="22">
        <f>CF!HJ7</f>
        <v>0</v>
      </c>
      <c r="HK6" s="22">
        <f>CF!HK7</f>
        <v>0</v>
      </c>
      <c r="HL6" s="22">
        <f>CF!HL7</f>
        <v>0</v>
      </c>
      <c r="HM6" s="22">
        <f>CF!HM7</f>
        <v>0</v>
      </c>
      <c r="HN6" s="22">
        <f>CF!HN7</f>
        <v>0</v>
      </c>
      <c r="HO6" s="22">
        <f>CF!HO7</f>
        <v>0</v>
      </c>
      <c r="HP6" s="22">
        <f>CF!HP7</f>
        <v>0</v>
      </c>
      <c r="HQ6" s="22">
        <f>CF!HQ7</f>
        <v>0</v>
      </c>
      <c r="HR6" s="22">
        <f>CF!HR7</f>
        <v>0</v>
      </c>
      <c r="HS6" s="22">
        <f>CF!HS7</f>
        <v>0</v>
      </c>
      <c r="HT6" s="22">
        <f>CF!HT7</f>
        <v>0</v>
      </c>
      <c r="HU6" s="22">
        <f>CF!HU7</f>
        <v>0</v>
      </c>
      <c r="HV6" s="22">
        <f>CF!HV7</f>
        <v>0</v>
      </c>
      <c r="HW6" s="22">
        <f>CF!HW7</f>
        <v>0</v>
      </c>
      <c r="HX6" s="22">
        <f>CF!HX7</f>
        <v>0</v>
      </c>
      <c r="HY6" s="22">
        <f>CF!HY7</f>
        <v>0</v>
      </c>
      <c r="HZ6" s="22">
        <f>CF!HZ7</f>
        <v>0</v>
      </c>
      <c r="IA6" s="22">
        <f>CF!IA7</f>
        <v>0</v>
      </c>
      <c r="IB6" s="22">
        <f>CF!IB7</f>
        <v>0</v>
      </c>
      <c r="IC6" s="22">
        <f>CF!IC7</f>
        <v>0</v>
      </c>
      <c r="ID6" s="22">
        <f>CF!ID7</f>
        <v>0</v>
      </c>
      <c r="IE6" s="22">
        <f>CF!IE7</f>
        <v>0</v>
      </c>
      <c r="IF6" s="22">
        <f>CF!IF7</f>
        <v>0</v>
      </c>
      <c r="IG6" s="22">
        <f>CF!IG7</f>
        <v>0</v>
      </c>
      <c r="IH6" s="22">
        <f>CF!IH7</f>
        <v>0</v>
      </c>
      <c r="II6" s="22">
        <f>CF!II7</f>
        <v>0</v>
      </c>
      <c r="IJ6" s="22">
        <f>CF!IJ7</f>
        <v>0</v>
      </c>
      <c r="IK6" s="22">
        <f>CF!IK7</f>
        <v>0</v>
      </c>
      <c r="IL6" s="22">
        <f>CF!IL7</f>
        <v>0</v>
      </c>
      <c r="IM6" s="22">
        <f>CF!IM7</f>
        <v>0</v>
      </c>
      <c r="IN6" s="22">
        <f>CF!IN7</f>
        <v>0</v>
      </c>
      <c r="IO6" s="22">
        <f>CF!IO7</f>
        <v>0</v>
      </c>
    </row>
    <row r="7" spans="1:249" x14ac:dyDescent="0.2">
      <c r="A7" s="1"/>
      <c r="B7" s="1"/>
      <c r="C7" s="1" t="s">
        <v>46</v>
      </c>
      <c r="D7" s="1"/>
      <c r="E7" s="1"/>
      <c r="F7" s="1"/>
      <c r="G7" s="1"/>
      <c r="H7" s="1"/>
      <c r="I7" s="1"/>
      <c r="J7" s="1"/>
      <c r="K7" s="1"/>
      <c r="L7" s="1"/>
      <c r="M7" s="1"/>
      <c r="N7" s="1"/>
      <c r="O7" s="1"/>
      <c r="P7" s="1"/>
      <c r="Q7" s="18">
        <f>CF!Q8</f>
        <v>42370</v>
      </c>
      <c r="R7" s="18">
        <f>CF!R8</f>
        <v>42736</v>
      </c>
      <c r="S7" s="18">
        <f>CF!S8</f>
        <v>43101</v>
      </c>
      <c r="T7" s="18">
        <f>CF!T8</f>
        <v>43466</v>
      </c>
      <c r="U7" s="18">
        <f>CF!U8</f>
        <v>43831</v>
      </c>
      <c r="V7" s="18">
        <f>CF!V8</f>
        <v>44197</v>
      </c>
      <c r="W7" s="18">
        <f>CF!W8</f>
        <v>44562</v>
      </c>
      <c r="X7" s="18">
        <f>CF!X8</f>
        <v>44927</v>
      </c>
      <c r="Y7" s="18">
        <f>CF!Y8</f>
        <v>45292</v>
      </c>
      <c r="Z7" s="18">
        <f>CF!Z8</f>
        <v>45658</v>
      </c>
      <c r="AA7" s="18">
        <f>CF!AA8</f>
        <v>46023</v>
      </c>
      <c r="AB7" s="18">
        <f>CF!AB8</f>
        <v>46388</v>
      </c>
      <c r="AC7" s="18">
        <f>CF!AC8</f>
        <v>46753</v>
      </c>
      <c r="AD7" s="18">
        <f>CF!AD8</f>
        <v>47119</v>
      </c>
      <c r="AE7" s="18">
        <f>CF!AE8</f>
        <v>47484</v>
      </c>
      <c r="AF7" s="18">
        <f>CF!AF8</f>
        <v>47849</v>
      </c>
      <c r="AG7" s="18">
        <f>CF!AG8</f>
        <v>48214</v>
      </c>
      <c r="AH7" s="18">
        <f>CF!AH8</f>
        <v>48580</v>
      </c>
      <c r="AI7" s="18">
        <f>CF!AI8</f>
        <v>48945</v>
      </c>
      <c r="AJ7" s="18">
        <f>CF!AJ8</f>
        <v>49310</v>
      </c>
      <c r="AK7" s="18">
        <f>CF!AK8</f>
        <v>49675</v>
      </c>
      <c r="AL7" s="18">
        <f>CF!AL8</f>
        <v>50041</v>
      </c>
      <c r="AM7" s="18">
        <f>CF!AM8</f>
        <v>50406</v>
      </c>
      <c r="AN7" s="18">
        <f>CF!AN8</f>
        <v>50771</v>
      </c>
      <c r="AO7" s="18">
        <f>CF!AO8</f>
        <v>51136</v>
      </c>
      <c r="AP7" s="18">
        <f>CF!AP8</f>
        <v>51502</v>
      </c>
      <c r="AQ7" s="18">
        <f>CF!AQ8</f>
        <v>51867</v>
      </c>
      <c r="AR7" s="18">
        <f>CF!AR8</f>
        <v>52232</v>
      </c>
      <c r="AS7" s="18">
        <f>CF!AS8</f>
        <v>52597</v>
      </c>
      <c r="AT7" s="18">
        <f>CF!AT8</f>
        <v>52963</v>
      </c>
      <c r="AU7" s="18">
        <f>CF!AU8</f>
        <v>53328</v>
      </c>
      <c r="AV7" s="18">
        <f>CF!AV8</f>
        <v>53693</v>
      </c>
      <c r="AW7" s="18">
        <f>CF!AW8</f>
        <v>54058</v>
      </c>
      <c r="AX7" s="18">
        <f>CF!AX8</f>
        <v>54424</v>
      </c>
      <c r="AY7" s="18">
        <f>CF!AY8</f>
        <v>54789</v>
      </c>
      <c r="AZ7" s="18">
        <f>CF!AZ8</f>
        <v>55154</v>
      </c>
      <c r="BA7" s="18">
        <f>CF!BA8</f>
        <v>55519</v>
      </c>
      <c r="BB7" s="18">
        <f>CF!BB8</f>
        <v>55885</v>
      </c>
      <c r="BC7" s="18">
        <f>CF!BC8</f>
        <v>56250</v>
      </c>
      <c r="BD7" s="18">
        <f>CF!BD8</f>
        <v>56615</v>
      </c>
      <c r="BE7" s="18">
        <f>CF!BE8</f>
        <v>56980</v>
      </c>
      <c r="BF7" s="18">
        <f>CF!BF8</f>
        <v>57346</v>
      </c>
      <c r="BG7" s="18">
        <f>CF!BG8</f>
        <v>57711</v>
      </c>
      <c r="BH7" s="18">
        <f>CF!BH8</f>
        <v>58076</v>
      </c>
      <c r="BI7" s="18">
        <f>CF!BI8</f>
        <v>58441</v>
      </c>
      <c r="BJ7" s="18">
        <f>CF!BJ8</f>
        <v>58807</v>
      </c>
      <c r="BK7" s="18">
        <f>CF!BK8</f>
        <v>59172</v>
      </c>
      <c r="BL7" s="18">
        <f>CF!BL8</f>
        <v>59537</v>
      </c>
      <c r="BM7" s="18">
        <f>CF!BM8</f>
        <v>59902</v>
      </c>
      <c r="BN7" s="18">
        <f>CF!BN8</f>
        <v>60268</v>
      </c>
      <c r="BO7" s="18">
        <f>CF!BO8</f>
        <v>60633</v>
      </c>
      <c r="BP7" s="18">
        <f>CF!BP8</f>
        <v>60998</v>
      </c>
      <c r="BQ7" s="18">
        <f>CF!BQ8</f>
        <v>61363</v>
      </c>
      <c r="BR7" s="18">
        <f>CF!BR8</f>
        <v>61729</v>
      </c>
      <c r="BS7" s="18">
        <f>CF!BS8</f>
        <v>62094</v>
      </c>
      <c r="BT7" s="18">
        <f>CF!BT8</f>
        <v>62459</v>
      </c>
      <c r="BU7" s="18">
        <f>CF!BU8</f>
        <v>62824</v>
      </c>
      <c r="BV7" s="18">
        <f>CF!BV8</f>
        <v>63190</v>
      </c>
      <c r="BW7" s="18">
        <f>CF!BW8</f>
        <v>63555</v>
      </c>
      <c r="BX7" s="18">
        <f>CF!BX8</f>
        <v>63920</v>
      </c>
      <c r="BY7" s="18">
        <f>CF!BY8</f>
        <v>64285</v>
      </c>
      <c r="BZ7" s="18">
        <f>CF!BZ8</f>
        <v>64651</v>
      </c>
      <c r="CA7" s="18">
        <f>CF!CA8</f>
        <v>65016</v>
      </c>
      <c r="CB7" s="18">
        <f>CF!CB8</f>
        <v>65381</v>
      </c>
      <c r="CC7" s="18">
        <f>CF!CC8</f>
        <v>65746</v>
      </c>
      <c r="CD7" s="18">
        <f>CF!CD8</f>
        <v>66112</v>
      </c>
      <c r="CE7" s="18">
        <f>CF!CE8</f>
        <v>66477</v>
      </c>
      <c r="CF7" s="18">
        <f>CF!CF8</f>
        <v>66842</v>
      </c>
      <c r="CG7" s="18">
        <f>CF!CG8</f>
        <v>67207</v>
      </c>
      <c r="CH7" s="18">
        <f>CF!CH8</f>
        <v>67573</v>
      </c>
      <c r="CI7" s="18">
        <f>CF!CI8</f>
        <v>67938</v>
      </c>
      <c r="CJ7" s="18">
        <f>CF!CJ8</f>
        <v>68303</v>
      </c>
      <c r="CK7" s="18">
        <f>CF!CK8</f>
        <v>68668</v>
      </c>
      <c r="CL7" s="18">
        <f>CF!CL8</f>
        <v>69034</v>
      </c>
      <c r="CM7" s="18">
        <f>CF!CM8</f>
        <v>69399</v>
      </c>
      <c r="CN7" s="18">
        <f>CF!CN8</f>
        <v>69764</v>
      </c>
      <c r="CO7" s="18">
        <f>CF!CO8</f>
        <v>70129</v>
      </c>
      <c r="CP7" s="18">
        <f>CF!CP8</f>
        <v>70495</v>
      </c>
      <c r="CQ7" s="18">
        <f>CF!CQ8</f>
        <v>70860</v>
      </c>
      <c r="CR7" s="18">
        <f>CF!CR8</f>
        <v>71225</v>
      </c>
      <c r="CS7" s="18">
        <f>CF!CS8</f>
        <v>71590</v>
      </c>
      <c r="CT7" s="18">
        <f>CF!CT8</f>
        <v>71956</v>
      </c>
      <c r="CU7" s="18">
        <f>CF!CU8</f>
        <v>72321</v>
      </c>
      <c r="CV7" s="18">
        <f>CF!CV8</f>
        <v>72686</v>
      </c>
      <c r="CW7" s="18">
        <f>CF!CW8</f>
        <v>73051</v>
      </c>
      <c r="CX7" s="18">
        <f>CF!CX8</f>
        <v>73416</v>
      </c>
      <c r="CY7" s="18">
        <f>CF!CY8</f>
        <v>73781</v>
      </c>
      <c r="CZ7" s="18">
        <f>CF!CZ8</f>
        <v>74146</v>
      </c>
      <c r="DA7" s="18">
        <f>CF!DA8</f>
        <v>74511</v>
      </c>
      <c r="DB7" s="18">
        <f>CF!DB8</f>
        <v>74877</v>
      </c>
      <c r="DC7" s="18">
        <f>CF!DC8</f>
        <v>75242</v>
      </c>
      <c r="DD7" s="18">
        <f>CF!DD8</f>
        <v>75607</v>
      </c>
      <c r="DE7" s="18">
        <f>CF!DE8</f>
        <v>75972</v>
      </c>
      <c r="DF7" s="18">
        <f>CF!DF8</f>
        <v>76338</v>
      </c>
      <c r="DG7" s="18">
        <f>CF!DG8</f>
        <v>76703</v>
      </c>
      <c r="DH7" s="18">
        <f>CF!DH8</f>
        <v>77068</v>
      </c>
      <c r="DI7" s="18">
        <f>CF!DI8</f>
        <v>77433</v>
      </c>
      <c r="DJ7" s="18">
        <f>CF!DJ8</f>
        <v>77799</v>
      </c>
      <c r="DK7" s="18">
        <f>CF!DK8</f>
        <v>78164</v>
      </c>
      <c r="DL7" s="18">
        <f>CF!DL8</f>
        <v>78529</v>
      </c>
      <c r="DM7" s="18">
        <f>CF!DM8</f>
        <v>78894</v>
      </c>
      <c r="DN7" s="18">
        <f>CF!DN8</f>
        <v>79260</v>
      </c>
      <c r="DO7" s="18">
        <f>CF!DO8</f>
        <v>79625</v>
      </c>
      <c r="DP7" s="18">
        <f>CF!DP8</f>
        <v>79990</v>
      </c>
      <c r="DQ7" s="18">
        <f>CF!DQ8</f>
        <v>0</v>
      </c>
      <c r="DR7" s="18">
        <f>CF!DR8</f>
        <v>0</v>
      </c>
      <c r="DS7" s="18">
        <f>CF!DS8</f>
        <v>0</v>
      </c>
      <c r="DT7" s="18">
        <f>CF!DT8</f>
        <v>0</v>
      </c>
      <c r="DU7" s="18">
        <f>CF!DU8</f>
        <v>0</v>
      </c>
      <c r="DV7" s="18">
        <f>CF!DV8</f>
        <v>0</v>
      </c>
      <c r="DW7" s="18">
        <f>CF!DW8</f>
        <v>0</v>
      </c>
      <c r="DX7" s="18">
        <f>CF!DX8</f>
        <v>0</v>
      </c>
      <c r="DY7" s="18">
        <f>CF!DY8</f>
        <v>0</v>
      </c>
      <c r="DZ7" s="18">
        <f>CF!DZ8</f>
        <v>0</v>
      </c>
      <c r="EA7" s="18">
        <f>CF!EA8</f>
        <v>0</v>
      </c>
      <c r="EB7" s="18">
        <f>CF!EB8</f>
        <v>0</v>
      </c>
      <c r="EC7" s="18">
        <f>CF!EC8</f>
        <v>0</v>
      </c>
      <c r="ED7" s="18">
        <f>CF!ED8</f>
        <v>0</v>
      </c>
      <c r="EE7" s="18">
        <f>CF!EE8</f>
        <v>0</v>
      </c>
      <c r="EF7" s="18">
        <f>CF!EF8</f>
        <v>0</v>
      </c>
      <c r="EG7" s="18">
        <f>CF!EG8</f>
        <v>0</v>
      </c>
      <c r="EH7" s="18">
        <f>CF!EH8</f>
        <v>0</v>
      </c>
      <c r="EI7" s="18">
        <f>CF!EI8</f>
        <v>0</v>
      </c>
      <c r="EJ7" s="18">
        <f>CF!EJ8</f>
        <v>0</v>
      </c>
      <c r="EK7" s="18">
        <f>CF!EK8</f>
        <v>0</v>
      </c>
      <c r="EL7" s="18">
        <f>CF!EL8</f>
        <v>0</v>
      </c>
      <c r="EM7" s="18">
        <f>CF!EM8</f>
        <v>0</v>
      </c>
      <c r="EN7" s="18">
        <f>CF!EN8</f>
        <v>0</v>
      </c>
      <c r="EO7" s="18">
        <f>CF!EO8</f>
        <v>0</v>
      </c>
      <c r="EP7" s="18">
        <f>CF!EP8</f>
        <v>0</v>
      </c>
      <c r="EQ7" s="18">
        <f>CF!EQ8</f>
        <v>0</v>
      </c>
      <c r="ER7" s="18">
        <f>CF!ER8</f>
        <v>0</v>
      </c>
      <c r="ES7" s="18">
        <f>CF!ES8</f>
        <v>0</v>
      </c>
      <c r="ET7" s="18">
        <f>CF!ET8</f>
        <v>0</v>
      </c>
      <c r="EU7" s="18">
        <f>CF!EU8</f>
        <v>0</v>
      </c>
      <c r="EV7" s="18">
        <f>CF!EV8</f>
        <v>0</v>
      </c>
      <c r="EW7" s="18">
        <f>CF!EW8</f>
        <v>0</v>
      </c>
      <c r="EX7" s="18">
        <f>CF!EX8</f>
        <v>0</v>
      </c>
      <c r="EY7" s="18">
        <f>CF!EY8</f>
        <v>0</v>
      </c>
      <c r="EZ7" s="18">
        <f>CF!EZ8</f>
        <v>0</v>
      </c>
      <c r="FA7" s="18">
        <f>CF!FA8</f>
        <v>0</v>
      </c>
      <c r="FB7" s="18">
        <f>CF!FB8</f>
        <v>0</v>
      </c>
      <c r="FC7" s="18">
        <f>CF!FC8</f>
        <v>0</v>
      </c>
      <c r="FD7" s="18">
        <f>CF!FD8</f>
        <v>0</v>
      </c>
      <c r="FE7" s="18">
        <f>CF!FE8</f>
        <v>0</v>
      </c>
      <c r="FF7" s="18">
        <f>CF!FF8</f>
        <v>0</v>
      </c>
      <c r="FG7" s="18">
        <f>CF!FG8</f>
        <v>0</v>
      </c>
      <c r="FH7" s="18">
        <f>CF!FH8</f>
        <v>0</v>
      </c>
      <c r="FI7" s="18">
        <f>CF!FI8</f>
        <v>0</v>
      </c>
      <c r="FJ7" s="18">
        <f>CF!FJ8</f>
        <v>0</v>
      </c>
      <c r="FK7" s="18">
        <f>CF!FK8</f>
        <v>0</v>
      </c>
      <c r="FL7" s="18">
        <f>CF!FL8</f>
        <v>0</v>
      </c>
      <c r="FM7" s="18">
        <f>CF!FM8</f>
        <v>0</v>
      </c>
      <c r="FN7" s="18">
        <f>CF!FN8</f>
        <v>0</v>
      </c>
      <c r="FO7" s="18">
        <f>CF!FO8</f>
        <v>0</v>
      </c>
      <c r="FP7" s="18">
        <f>CF!FP8</f>
        <v>0</v>
      </c>
      <c r="FQ7" s="18">
        <f>CF!FQ8</f>
        <v>0</v>
      </c>
      <c r="FR7" s="18">
        <f>CF!FR8</f>
        <v>0</v>
      </c>
      <c r="FS7" s="18">
        <f>CF!FS8</f>
        <v>0</v>
      </c>
      <c r="FT7" s="18">
        <f>CF!FT8</f>
        <v>0</v>
      </c>
      <c r="FU7" s="18">
        <f>CF!FU8</f>
        <v>0</v>
      </c>
      <c r="FV7" s="18">
        <f>CF!FV8</f>
        <v>0</v>
      </c>
      <c r="FW7" s="18">
        <f>CF!FW8</f>
        <v>0</v>
      </c>
      <c r="FX7" s="18">
        <f>CF!FX8</f>
        <v>0</v>
      </c>
      <c r="FY7" s="18">
        <f>CF!FY8</f>
        <v>0</v>
      </c>
      <c r="FZ7" s="18">
        <f>CF!FZ8</f>
        <v>0</v>
      </c>
      <c r="GA7" s="18">
        <f>CF!GA8</f>
        <v>0</v>
      </c>
      <c r="GB7" s="18">
        <f>CF!GB8</f>
        <v>0</v>
      </c>
      <c r="GC7" s="18">
        <f>CF!GC8</f>
        <v>0</v>
      </c>
      <c r="GD7" s="18">
        <f>CF!GD8</f>
        <v>0</v>
      </c>
      <c r="GE7" s="18">
        <f>CF!GE8</f>
        <v>0</v>
      </c>
      <c r="GF7" s="18">
        <f>CF!GF8</f>
        <v>0</v>
      </c>
      <c r="GG7" s="18">
        <f>CF!GG8</f>
        <v>0</v>
      </c>
      <c r="GH7" s="18">
        <f>CF!GH8</f>
        <v>0</v>
      </c>
      <c r="GI7" s="18">
        <f>CF!GI8</f>
        <v>0</v>
      </c>
      <c r="GJ7" s="18">
        <f>CF!GJ8</f>
        <v>0</v>
      </c>
      <c r="GK7" s="18">
        <f>CF!GK8</f>
        <v>0</v>
      </c>
      <c r="GL7" s="18">
        <f>CF!GL8</f>
        <v>0</v>
      </c>
      <c r="GM7" s="18">
        <f>CF!GM8</f>
        <v>0</v>
      </c>
      <c r="GN7" s="18">
        <f>CF!GN8</f>
        <v>0</v>
      </c>
      <c r="GO7" s="18">
        <f>CF!GO8</f>
        <v>0</v>
      </c>
      <c r="GP7" s="18">
        <f>CF!GP8</f>
        <v>0</v>
      </c>
      <c r="GQ7" s="18">
        <f>CF!GQ8</f>
        <v>0</v>
      </c>
      <c r="GR7" s="18">
        <f>CF!GR8</f>
        <v>0</v>
      </c>
      <c r="GS7" s="18">
        <f>CF!GS8</f>
        <v>0</v>
      </c>
      <c r="GT7" s="18">
        <f>CF!GT8</f>
        <v>0</v>
      </c>
      <c r="GU7" s="18">
        <f>CF!GU8</f>
        <v>0</v>
      </c>
      <c r="GV7" s="18">
        <f>CF!GV8</f>
        <v>0</v>
      </c>
      <c r="GW7" s="18">
        <f>CF!GW8</f>
        <v>0</v>
      </c>
      <c r="GX7" s="18">
        <f>CF!GX8</f>
        <v>0</v>
      </c>
      <c r="GY7" s="18">
        <f>CF!GY8</f>
        <v>0</v>
      </c>
      <c r="GZ7" s="18">
        <f>CF!GZ8</f>
        <v>0</v>
      </c>
      <c r="HA7" s="18">
        <f>CF!HA8</f>
        <v>0</v>
      </c>
      <c r="HB7" s="18">
        <f>CF!HB8</f>
        <v>0</v>
      </c>
      <c r="HC7" s="18">
        <f>CF!HC8</f>
        <v>0</v>
      </c>
      <c r="HD7" s="18">
        <f>CF!HD8</f>
        <v>0</v>
      </c>
      <c r="HE7" s="18">
        <f>CF!HE8</f>
        <v>0</v>
      </c>
      <c r="HF7" s="18">
        <f>CF!HF8</f>
        <v>0</v>
      </c>
      <c r="HG7" s="18">
        <f>CF!HG8</f>
        <v>0</v>
      </c>
      <c r="HH7" s="18">
        <f>CF!HH8</f>
        <v>0</v>
      </c>
      <c r="HI7" s="18">
        <f>CF!HI8</f>
        <v>0</v>
      </c>
      <c r="HJ7" s="18">
        <f>CF!HJ8</f>
        <v>0</v>
      </c>
      <c r="HK7" s="18">
        <f>CF!HK8</f>
        <v>0</v>
      </c>
      <c r="HL7" s="18">
        <f>CF!HL8</f>
        <v>0</v>
      </c>
      <c r="HM7" s="18">
        <f>CF!HM8</f>
        <v>0</v>
      </c>
      <c r="HN7" s="18">
        <f>CF!HN8</f>
        <v>0</v>
      </c>
      <c r="HO7" s="18">
        <f>CF!HO8</f>
        <v>0</v>
      </c>
      <c r="HP7" s="18">
        <f>CF!HP8</f>
        <v>0</v>
      </c>
      <c r="HQ7" s="18">
        <f>CF!HQ8</f>
        <v>0</v>
      </c>
      <c r="HR7" s="18">
        <f>CF!HR8</f>
        <v>0</v>
      </c>
      <c r="HS7" s="18">
        <f>CF!HS8</f>
        <v>0</v>
      </c>
      <c r="HT7" s="18">
        <f>CF!HT8</f>
        <v>0</v>
      </c>
      <c r="HU7" s="18">
        <f>CF!HU8</f>
        <v>0</v>
      </c>
      <c r="HV7" s="18">
        <f>CF!HV8</f>
        <v>0</v>
      </c>
      <c r="HW7" s="18">
        <f>CF!HW8</f>
        <v>0</v>
      </c>
      <c r="HX7" s="18">
        <f>CF!HX8</f>
        <v>0</v>
      </c>
      <c r="HY7" s="18">
        <f>CF!HY8</f>
        <v>0</v>
      </c>
      <c r="HZ7" s="18">
        <f>CF!HZ8</f>
        <v>0</v>
      </c>
      <c r="IA7" s="18">
        <f>CF!IA8</f>
        <v>0</v>
      </c>
      <c r="IB7" s="18">
        <f>CF!IB8</f>
        <v>0</v>
      </c>
      <c r="IC7" s="18">
        <f>CF!IC8</f>
        <v>0</v>
      </c>
      <c r="ID7" s="18">
        <f>CF!ID8</f>
        <v>0</v>
      </c>
      <c r="IE7" s="18">
        <f>CF!IE8</f>
        <v>0</v>
      </c>
      <c r="IF7" s="18">
        <f>CF!IF8</f>
        <v>0</v>
      </c>
      <c r="IG7" s="18">
        <f>CF!IG8</f>
        <v>0</v>
      </c>
      <c r="IH7" s="18">
        <f>CF!IH8</f>
        <v>0</v>
      </c>
      <c r="II7" s="18">
        <f>CF!II8</f>
        <v>0</v>
      </c>
      <c r="IJ7" s="18">
        <f>CF!IJ8</f>
        <v>0</v>
      </c>
      <c r="IK7" s="18">
        <f>CF!IK8</f>
        <v>0</v>
      </c>
      <c r="IL7" s="18">
        <f>CF!IL8</f>
        <v>0</v>
      </c>
      <c r="IM7" s="18">
        <f>CF!IM8</f>
        <v>0</v>
      </c>
      <c r="IN7" s="18">
        <f>CF!IN8</f>
        <v>0</v>
      </c>
      <c r="IO7" s="18">
        <f>CF!IO8</f>
        <v>0</v>
      </c>
    </row>
    <row r="8" spans="1:249" x14ac:dyDescent="0.2">
      <c r="A8" s="1"/>
      <c r="B8" s="1"/>
      <c r="C8" s="1" t="s">
        <v>47</v>
      </c>
      <c r="D8" s="1"/>
      <c r="E8" s="1"/>
      <c r="F8" s="1"/>
      <c r="G8" s="1"/>
      <c r="H8" s="1"/>
      <c r="I8" s="1"/>
      <c r="J8" s="1"/>
      <c r="K8" s="1"/>
      <c r="L8" s="1"/>
      <c r="M8" s="1"/>
      <c r="N8" s="1"/>
      <c r="O8" s="1"/>
      <c r="P8" s="1"/>
      <c r="Q8" s="18">
        <f>CF!Q9</f>
        <v>42735</v>
      </c>
      <c r="R8" s="18">
        <f>CF!R9</f>
        <v>43100</v>
      </c>
      <c r="S8" s="18">
        <f>CF!S9</f>
        <v>43465</v>
      </c>
      <c r="T8" s="18">
        <f>CF!T9</f>
        <v>43830</v>
      </c>
      <c r="U8" s="18">
        <f>CF!U9</f>
        <v>44196</v>
      </c>
      <c r="V8" s="18">
        <f>CF!V9</f>
        <v>44561</v>
      </c>
      <c r="W8" s="18">
        <f>CF!W9</f>
        <v>44926</v>
      </c>
      <c r="X8" s="18">
        <f>CF!X9</f>
        <v>45291</v>
      </c>
      <c r="Y8" s="18">
        <f>CF!Y9</f>
        <v>45657</v>
      </c>
      <c r="Z8" s="18">
        <f>CF!Z9</f>
        <v>46022</v>
      </c>
      <c r="AA8" s="18">
        <f>CF!AA9</f>
        <v>46387</v>
      </c>
      <c r="AB8" s="18">
        <f>CF!AB9</f>
        <v>46752</v>
      </c>
      <c r="AC8" s="18">
        <f>CF!AC9</f>
        <v>47118</v>
      </c>
      <c r="AD8" s="18">
        <f>CF!AD9</f>
        <v>47483</v>
      </c>
      <c r="AE8" s="18">
        <f>CF!AE9</f>
        <v>47848</v>
      </c>
      <c r="AF8" s="18">
        <f>CF!AF9</f>
        <v>48213</v>
      </c>
      <c r="AG8" s="18">
        <f>CF!AG9</f>
        <v>48579</v>
      </c>
      <c r="AH8" s="18">
        <f>CF!AH9</f>
        <v>48944</v>
      </c>
      <c r="AI8" s="18">
        <f>CF!AI9</f>
        <v>49309</v>
      </c>
      <c r="AJ8" s="18">
        <f>CF!AJ9</f>
        <v>49674</v>
      </c>
      <c r="AK8" s="18">
        <f>CF!AK9</f>
        <v>50040</v>
      </c>
      <c r="AL8" s="18">
        <f>CF!AL9</f>
        <v>50405</v>
      </c>
      <c r="AM8" s="18">
        <f>CF!AM9</f>
        <v>50770</v>
      </c>
      <c r="AN8" s="18">
        <f>CF!AN9</f>
        <v>51135</v>
      </c>
      <c r="AO8" s="18">
        <f>CF!AO9</f>
        <v>51501</v>
      </c>
      <c r="AP8" s="18">
        <f>CF!AP9</f>
        <v>51866</v>
      </c>
      <c r="AQ8" s="18">
        <f>CF!AQ9</f>
        <v>52231</v>
      </c>
      <c r="AR8" s="18">
        <f>CF!AR9</f>
        <v>52596</v>
      </c>
      <c r="AS8" s="18">
        <f>CF!AS9</f>
        <v>52962</v>
      </c>
      <c r="AT8" s="18">
        <f>CF!AT9</f>
        <v>53327</v>
      </c>
      <c r="AU8" s="18">
        <f>CF!AU9</f>
        <v>53692</v>
      </c>
      <c r="AV8" s="18">
        <f>CF!AV9</f>
        <v>54057</v>
      </c>
      <c r="AW8" s="18">
        <f>CF!AW9</f>
        <v>54423</v>
      </c>
      <c r="AX8" s="18">
        <f>CF!AX9</f>
        <v>54788</v>
      </c>
      <c r="AY8" s="18">
        <f>CF!AY9</f>
        <v>55153</v>
      </c>
      <c r="AZ8" s="18">
        <f>CF!AZ9</f>
        <v>55518</v>
      </c>
      <c r="BA8" s="18">
        <f>CF!BA9</f>
        <v>55884</v>
      </c>
      <c r="BB8" s="18">
        <f>CF!BB9</f>
        <v>56249</v>
      </c>
      <c r="BC8" s="18">
        <f>CF!BC9</f>
        <v>56614</v>
      </c>
      <c r="BD8" s="18">
        <f>CF!BD9</f>
        <v>56979</v>
      </c>
      <c r="BE8" s="18">
        <f>CF!BE9</f>
        <v>57345</v>
      </c>
      <c r="BF8" s="18">
        <f>CF!BF9</f>
        <v>57710</v>
      </c>
      <c r="BG8" s="18">
        <f>CF!BG9</f>
        <v>58075</v>
      </c>
      <c r="BH8" s="18">
        <f>CF!BH9</f>
        <v>58440</v>
      </c>
      <c r="BI8" s="18">
        <f>CF!BI9</f>
        <v>58806</v>
      </c>
      <c r="BJ8" s="18">
        <f>CF!BJ9</f>
        <v>59171</v>
      </c>
      <c r="BK8" s="18">
        <f>CF!BK9</f>
        <v>59536</v>
      </c>
      <c r="BL8" s="18">
        <f>CF!BL9</f>
        <v>59901</v>
      </c>
      <c r="BM8" s="18">
        <f>CF!BM9</f>
        <v>60267</v>
      </c>
      <c r="BN8" s="18">
        <f>CF!BN9</f>
        <v>60632</v>
      </c>
      <c r="BO8" s="18">
        <f>CF!BO9</f>
        <v>60997</v>
      </c>
      <c r="BP8" s="18">
        <f>CF!BP9</f>
        <v>61362</v>
      </c>
      <c r="BQ8" s="18">
        <f>CF!BQ9</f>
        <v>61728</v>
      </c>
      <c r="BR8" s="18">
        <f>CF!BR9</f>
        <v>62093</v>
      </c>
      <c r="BS8" s="18">
        <f>CF!BS9</f>
        <v>62458</v>
      </c>
      <c r="BT8" s="18">
        <f>CF!BT9</f>
        <v>62823</v>
      </c>
      <c r="BU8" s="18">
        <f>CF!BU9</f>
        <v>63189</v>
      </c>
      <c r="BV8" s="18">
        <f>CF!BV9</f>
        <v>63554</v>
      </c>
      <c r="BW8" s="18">
        <f>CF!BW9</f>
        <v>63919</v>
      </c>
      <c r="BX8" s="18">
        <f>CF!BX9</f>
        <v>64284</v>
      </c>
      <c r="BY8" s="18">
        <f>CF!BY9</f>
        <v>64650</v>
      </c>
      <c r="BZ8" s="18">
        <f>CF!BZ9</f>
        <v>65015</v>
      </c>
      <c r="CA8" s="18">
        <f>CF!CA9</f>
        <v>65380</v>
      </c>
      <c r="CB8" s="18">
        <f>CF!CB9</f>
        <v>65745</v>
      </c>
      <c r="CC8" s="18">
        <f>CF!CC9</f>
        <v>66111</v>
      </c>
      <c r="CD8" s="18">
        <f>CF!CD9</f>
        <v>66476</v>
      </c>
      <c r="CE8" s="18">
        <f>CF!CE9</f>
        <v>66841</v>
      </c>
      <c r="CF8" s="18">
        <f>CF!CF9</f>
        <v>67206</v>
      </c>
      <c r="CG8" s="18">
        <f>CF!CG9</f>
        <v>67572</v>
      </c>
      <c r="CH8" s="18">
        <f>CF!CH9</f>
        <v>67937</v>
      </c>
      <c r="CI8" s="18">
        <f>CF!CI9</f>
        <v>68302</v>
      </c>
      <c r="CJ8" s="18">
        <f>CF!CJ9</f>
        <v>68667</v>
      </c>
      <c r="CK8" s="18">
        <f>CF!CK9</f>
        <v>69033</v>
      </c>
      <c r="CL8" s="18">
        <f>CF!CL9</f>
        <v>69398</v>
      </c>
      <c r="CM8" s="18">
        <f>CF!CM9</f>
        <v>69763</v>
      </c>
      <c r="CN8" s="18">
        <f>CF!CN9</f>
        <v>70128</v>
      </c>
      <c r="CO8" s="18">
        <f>CF!CO9</f>
        <v>70494</v>
      </c>
      <c r="CP8" s="18">
        <f>CF!CP9</f>
        <v>70859</v>
      </c>
      <c r="CQ8" s="18">
        <f>CF!CQ9</f>
        <v>71224</v>
      </c>
      <c r="CR8" s="18">
        <f>CF!CR9</f>
        <v>71589</v>
      </c>
      <c r="CS8" s="18">
        <f>CF!CS9</f>
        <v>71955</v>
      </c>
      <c r="CT8" s="18">
        <f>CF!CT9</f>
        <v>72320</v>
      </c>
      <c r="CU8" s="18">
        <f>CF!CU9</f>
        <v>72685</v>
      </c>
      <c r="CV8" s="18">
        <f>CF!CV9</f>
        <v>73050</v>
      </c>
      <c r="CW8" s="18">
        <f>CF!CW9</f>
        <v>73415</v>
      </c>
      <c r="CX8" s="18">
        <f>CF!CX9</f>
        <v>73780</v>
      </c>
      <c r="CY8" s="18">
        <f>CF!CY9</f>
        <v>74145</v>
      </c>
      <c r="CZ8" s="18">
        <f>CF!CZ9</f>
        <v>74510</v>
      </c>
      <c r="DA8" s="18">
        <f>CF!DA9</f>
        <v>74876</v>
      </c>
      <c r="DB8" s="18">
        <f>CF!DB9</f>
        <v>75241</v>
      </c>
      <c r="DC8" s="18">
        <f>CF!DC9</f>
        <v>75606</v>
      </c>
      <c r="DD8" s="18">
        <f>CF!DD9</f>
        <v>75971</v>
      </c>
      <c r="DE8" s="18">
        <f>CF!DE9</f>
        <v>76337</v>
      </c>
      <c r="DF8" s="18">
        <f>CF!DF9</f>
        <v>76702</v>
      </c>
      <c r="DG8" s="18">
        <f>CF!DG9</f>
        <v>77067</v>
      </c>
      <c r="DH8" s="18">
        <f>CF!DH9</f>
        <v>77432</v>
      </c>
      <c r="DI8" s="18">
        <f>CF!DI9</f>
        <v>77798</v>
      </c>
      <c r="DJ8" s="18">
        <f>CF!DJ9</f>
        <v>78163</v>
      </c>
      <c r="DK8" s="18">
        <f>CF!DK9</f>
        <v>78528</v>
      </c>
      <c r="DL8" s="18">
        <f>CF!DL9</f>
        <v>78893</v>
      </c>
      <c r="DM8" s="18">
        <f>CF!DM9</f>
        <v>79259</v>
      </c>
      <c r="DN8" s="18">
        <f>CF!DN9</f>
        <v>79624</v>
      </c>
      <c r="DO8" s="18">
        <f>CF!DO9</f>
        <v>79989</v>
      </c>
      <c r="DP8" s="18">
        <f>CF!DP9</f>
        <v>80354</v>
      </c>
      <c r="DQ8" s="18">
        <f>CF!DQ9</f>
        <v>0</v>
      </c>
      <c r="DR8" s="18">
        <f>CF!DR9</f>
        <v>0</v>
      </c>
      <c r="DS8" s="18">
        <f>CF!DS9</f>
        <v>0</v>
      </c>
      <c r="DT8" s="18">
        <f>CF!DT9</f>
        <v>0</v>
      </c>
      <c r="DU8" s="18">
        <f>CF!DU9</f>
        <v>0</v>
      </c>
      <c r="DV8" s="18">
        <f>CF!DV9</f>
        <v>0</v>
      </c>
      <c r="DW8" s="18">
        <f>CF!DW9</f>
        <v>0</v>
      </c>
      <c r="DX8" s="18">
        <f>CF!DX9</f>
        <v>0</v>
      </c>
      <c r="DY8" s="18">
        <f>CF!DY9</f>
        <v>0</v>
      </c>
      <c r="DZ8" s="18">
        <f>CF!DZ9</f>
        <v>0</v>
      </c>
      <c r="EA8" s="18">
        <f>CF!EA9</f>
        <v>0</v>
      </c>
      <c r="EB8" s="18">
        <f>CF!EB9</f>
        <v>0</v>
      </c>
      <c r="EC8" s="18">
        <f>CF!EC9</f>
        <v>0</v>
      </c>
      <c r="ED8" s="18">
        <f>CF!ED9</f>
        <v>0</v>
      </c>
      <c r="EE8" s="18">
        <f>CF!EE9</f>
        <v>0</v>
      </c>
      <c r="EF8" s="18">
        <f>CF!EF9</f>
        <v>0</v>
      </c>
      <c r="EG8" s="18">
        <f>CF!EG9</f>
        <v>0</v>
      </c>
      <c r="EH8" s="18">
        <f>CF!EH9</f>
        <v>0</v>
      </c>
      <c r="EI8" s="18">
        <f>CF!EI9</f>
        <v>0</v>
      </c>
      <c r="EJ8" s="18">
        <f>CF!EJ9</f>
        <v>0</v>
      </c>
      <c r="EK8" s="18">
        <f>CF!EK9</f>
        <v>0</v>
      </c>
      <c r="EL8" s="18">
        <f>CF!EL9</f>
        <v>0</v>
      </c>
      <c r="EM8" s="18">
        <f>CF!EM9</f>
        <v>0</v>
      </c>
      <c r="EN8" s="18">
        <f>CF!EN9</f>
        <v>0</v>
      </c>
      <c r="EO8" s="18">
        <f>CF!EO9</f>
        <v>0</v>
      </c>
      <c r="EP8" s="18">
        <f>CF!EP9</f>
        <v>0</v>
      </c>
      <c r="EQ8" s="18">
        <f>CF!EQ9</f>
        <v>0</v>
      </c>
      <c r="ER8" s="18">
        <f>CF!ER9</f>
        <v>0</v>
      </c>
      <c r="ES8" s="18">
        <f>CF!ES9</f>
        <v>0</v>
      </c>
      <c r="ET8" s="18">
        <f>CF!ET9</f>
        <v>0</v>
      </c>
      <c r="EU8" s="18">
        <f>CF!EU9</f>
        <v>0</v>
      </c>
      <c r="EV8" s="18">
        <f>CF!EV9</f>
        <v>0</v>
      </c>
      <c r="EW8" s="18">
        <f>CF!EW9</f>
        <v>0</v>
      </c>
      <c r="EX8" s="18">
        <f>CF!EX9</f>
        <v>0</v>
      </c>
      <c r="EY8" s="18">
        <f>CF!EY9</f>
        <v>0</v>
      </c>
      <c r="EZ8" s="18">
        <f>CF!EZ9</f>
        <v>0</v>
      </c>
      <c r="FA8" s="18">
        <f>CF!FA9</f>
        <v>0</v>
      </c>
      <c r="FB8" s="18">
        <f>CF!FB9</f>
        <v>0</v>
      </c>
      <c r="FC8" s="18">
        <f>CF!FC9</f>
        <v>0</v>
      </c>
      <c r="FD8" s="18">
        <f>CF!FD9</f>
        <v>0</v>
      </c>
      <c r="FE8" s="18">
        <f>CF!FE9</f>
        <v>0</v>
      </c>
      <c r="FF8" s="18">
        <f>CF!FF9</f>
        <v>0</v>
      </c>
      <c r="FG8" s="18">
        <f>CF!FG9</f>
        <v>0</v>
      </c>
      <c r="FH8" s="18">
        <f>CF!FH9</f>
        <v>0</v>
      </c>
      <c r="FI8" s="18">
        <f>CF!FI9</f>
        <v>0</v>
      </c>
      <c r="FJ8" s="18">
        <f>CF!FJ9</f>
        <v>0</v>
      </c>
      <c r="FK8" s="18">
        <f>CF!FK9</f>
        <v>0</v>
      </c>
      <c r="FL8" s="18">
        <f>CF!FL9</f>
        <v>0</v>
      </c>
      <c r="FM8" s="18">
        <f>CF!FM9</f>
        <v>0</v>
      </c>
      <c r="FN8" s="18">
        <f>CF!FN9</f>
        <v>0</v>
      </c>
      <c r="FO8" s="18">
        <f>CF!FO9</f>
        <v>0</v>
      </c>
      <c r="FP8" s="18">
        <f>CF!FP9</f>
        <v>0</v>
      </c>
      <c r="FQ8" s="18">
        <f>CF!FQ9</f>
        <v>0</v>
      </c>
      <c r="FR8" s="18">
        <f>CF!FR9</f>
        <v>0</v>
      </c>
      <c r="FS8" s="18">
        <f>CF!FS9</f>
        <v>0</v>
      </c>
      <c r="FT8" s="18">
        <f>CF!FT9</f>
        <v>0</v>
      </c>
      <c r="FU8" s="18">
        <f>CF!FU9</f>
        <v>0</v>
      </c>
      <c r="FV8" s="18">
        <f>CF!FV9</f>
        <v>0</v>
      </c>
      <c r="FW8" s="18">
        <f>CF!FW9</f>
        <v>0</v>
      </c>
      <c r="FX8" s="18">
        <f>CF!FX9</f>
        <v>0</v>
      </c>
      <c r="FY8" s="18">
        <f>CF!FY9</f>
        <v>0</v>
      </c>
      <c r="FZ8" s="18">
        <f>CF!FZ9</f>
        <v>0</v>
      </c>
      <c r="GA8" s="18">
        <f>CF!GA9</f>
        <v>0</v>
      </c>
      <c r="GB8" s="18">
        <f>CF!GB9</f>
        <v>0</v>
      </c>
      <c r="GC8" s="18">
        <f>CF!GC9</f>
        <v>0</v>
      </c>
      <c r="GD8" s="18">
        <f>CF!GD9</f>
        <v>0</v>
      </c>
      <c r="GE8" s="18">
        <f>CF!GE9</f>
        <v>0</v>
      </c>
      <c r="GF8" s="18">
        <f>CF!GF9</f>
        <v>0</v>
      </c>
      <c r="GG8" s="18">
        <f>CF!GG9</f>
        <v>0</v>
      </c>
      <c r="GH8" s="18">
        <f>CF!GH9</f>
        <v>0</v>
      </c>
      <c r="GI8" s="18">
        <f>CF!GI9</f>
        <v>0</v>
      </c>
      <c r="GJ8" s="18">
        <f>CF!GJ9</f>
        <v>0</v>
      </c>
      <c r="GK8" s="18">
        <f>CF!GK9</f>
        <v>0</v>
      </c>
      <c r="GL8" s="18">
        <f>CF!GL9</f>
        <v>0</v>
      </c>
      <c r="GM8" s="18">
        <f>CF!GM9</f>
        <v>0</v>
      </c>
      <c r="GN8" s="18">
        <f>CF!GN9</f>
        <v>0</v>
      </c>
      <c r="GO8" s="18">
        <f>CF!GO9</f>
        <v>0</v>
      </c>
      <c r="GP8" s="18">
        <f>CF!GP9</f>
        <v>0</v>
      </c>
      <c r="GQ8" s="18">
        <f>CF!GQ9</f>
        <v>0</v>
      </c>
      <c r="GR8" s="18">
        <f>CF!GR9</f>
        <v>0</v>
      </c>
      <c r="GS8" s="18">
        <f>CF!GS9</f>
        <v>0</v>
      </c>
      <c r="GT8" s="18">
        <f>CF!GT9</f>
        <v>0</v>
      </c>
      <c r="GU8" s="18">
        <f>CF!GU9</f>
        <v>0</v>
      </c>
      <c r="GV8" s="18">
        <f>CF!GV9</f>
        <v>0</v>
      </c>
      <c r="GW8" s="18">
        <f>CF!GW9</f>
        <v>0</v>
      </c>
      <c r="GX8" s="18">
        <f>CF!GX9</f>
        <v>0</v>
      </c>
      <c r="GY8" s="18">
        <f>CF!GY9</f>
        <v>0</v>
      </c>
      <c r="GZ8" s="18">
        <f>CF!GZ9</f>
        <v>0</v>
      </c>
      <c r="HA8" s="18">
        <f>CF!HA9</f>
        <v>0</v>
      </c>
      <c r="HB8" s="18">
        <f>CF!HB9</f>
        <v>0</v>
      </c>
      <c r="HC8" s="18">
        <f>CF!HC9</f>
        <v>0</v>
      </c>
      <c r="HD8" s="18">
        <f>CF!HD9</f>
        <v>0</v>
      </c>
      <c r="HE8" s="18">
        <f>CF!HE9</f>
        <v>0</v>
      </c>
      <c r="HF8" s="18">
        <f>CF!HF9</f>
        <v>0</v>
      </c>
      <c r="HG8" s="18">
        <f>CF!HG9</f>
        <v>0</v>
      </c>
      <c r="HH8" s="18">
        <f>CF!HH9</f>
        <v>0</v>
      </c>
      <c r="HI8" s="18">
        <f>CF!HI9</f>
        <v>0</v>
      </c>
      <c r="HJ8" s="18">
        <f>CF!HJ9</f>
        <v>0</v>
      </c>
      <c r="HK8" s="18">
        <f>CF!HK9</f>
        <v>0</v>
      </c>
      <c r="HL8" s="18">
        <f>CF!HL9</f>
        <v>0</v>
      </c>
      <c r="HM8" s="18">
        <f>CF!HM9</f>
        <v>0</v>
      </c>
      <c r="HN8" s="18">
        <f>CF!HN9</f>
        <v>0</v>
      </c>
      <c r="HO8" s="18">
        <f>CF!HO9</f>
        <v>0</v>
      </c>
      <c r="HP8" s="18">
        <f>CF!HP9</f>
        <v>0</v>
      </c>
      <c r="HQ8" s="18">
        <f>CF!HQ9</f>
        <v>0</v>
      </c>
      <c r="HR8" s="18">
        <f>CF!HR9</f>
        <v>0</v>
      </c>
      <c r="HS8" s="18">
        <f>CF!HS9</f>
        <v>0</v>
      </c>
      <c r="HT8" s="18">
        <f>CF!HT9</f>
        <v>0</v>
      </c>
      <c r="HU8" s="18">
        <f>CF!HU9</f>
        <v>0</v>
      </c>
      <c r="HV8" s="18">
        <f>CF!HV9</f>
        <v>0</v>
      </c>
      <c r="HW8" s="18">
        <f>CF!HW9</f>
        <v>0</v>
      </c>
      <c r="HX8" s="18">
        <f>CF!HX9</f>
        <v>0</v>
      </c>
      <c r="HY8" s="18">
        <f>CF!HY9</f>
        <v>0</v>
      </c>
      <c r="HZ8" s="18">
        <f>CF!HZ9</f>
        <v>0</v>
      </c>
      <c r="IA8" s="18">
        <f>CF!IA9</f>
        <v>0</v>
      </c>
      <c r="IB8" s="18">
        <f>CF!IB9</f>
        <v>0</v>
      </c>
      <c r="IC8" s="18">
        <f>CF!IC9</f>
        <v>0</v>
      </c>
      <c r="ID8" s="18">
        <f>CF!ID9</f>
        <v>0</v>
      </c>
      <c r="IE8" s="18">
        <f>CF!IE9</f>
        <v>0</v>
      </c>
      <c r="IF8" s="18">
        <f>CF!IF9</f>
        <v>0</v>
      </c>
      <c r="IG8" s="18">
        <f>CF!IG9</f>
        <v>0</v>
      </c>
      <c r="IH8" s="18">
        <f>CF!IH9</f>
        <v>0</v>
      </c>
      <c r="II8" s="18">
        <f>CF!II9</f>
        <v>0</v>
      </c>
      <c r="IJ8" s="18">
        <f>CF!IJ9</f>
        <v>0</v>
      </c>
      <c r="IK8" s="18">
        <f>CF!IK9</f>
        <v>0</v>
      </c>
      <c r="IL8" s="18">
        <f>CF!IL9</f>
        <v>0</v>
      </c>
      <c r="IM8" s="18">
        <f>CF!IM9</f>
        <v>0</v>
      </c>
      <c r="IN8" s="18">
        <f>CF!IN9</f>
        <v>0</v>
      </c>
      <c r="IO8" s="18">
        <f>CF!IO9</f>
        <v>0</v>
      </c>
    </row>
    <row r="9" spans="1:249" x14ac:dyDescent="0.2">
      <c r="A9" s="1"/>
      <c r="B9" s="1"/>
      <c r="C9" s="1"/>
      <c r="D9" s="1"/>
      <c r="E9" s="1"/>
      <c r="F9" s="1"/>
      <c r="G9" s="1"/>
      <c r="H9" s="1"/>
      <c r="I9" s="1"/>
      <c r="J9" s="1"/>
      <c r="K9" s="3" t="s">
        <v>48</v>
      </c>
      <c r="L9" s="3" t="s">
        <v>49</v>
      </c>
      <c r="M9" s="1"/>
      <c r="N9" s="1" t="s">
        <v>50</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x14ac:dyDescent="0.2">
      <c r="A10" s="1"/>
      <c r="B10" s="1"/>
      <c r="C10" s="1"/>
      <c r="D10" s="1"/>
      <c r="E10" s="1"/>
      <c r="F10" s="1"/>
      <c r="G10" s="1"/>
      <c r="H10" s="1"/>
      <c r="I10" s="1"/>
      <c r="J10" s="1"/>
      <c r="K10" s="1"/>
      <c r="L10" s="1"/>
      <c r="M10" s="1"/>
      <c r="N10" s="1"/>
      <c r="O10" s="1"/>
      <c r="P10" s="1"/>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row>
    <row r="11" spans="1:249" ht="16.5" customHeight="1" x14ac:dyDescent="0.25">
      <c r="A11" s="120"/>
      <c r="B11" s="120" t="s">
        <v>256</v>
      </c>
      <c r="C11" s="120"/>
      <c r="D11" s="120"/>
      <c r="E11" s="120"/>
      <c r="F11" s="120"/>
      <c r="G11" s="120"/>
      <c r="H11" s="120"/>
      <c r="I11" s="120"/>
      <c r="J11" s="120"/>
      <c r="K11" s="120"/>
      <c r="L11" s="120"/>
      <c r="M11" s="120"/>
      <c r="N11" s="120"/>
      <c r="O11" s="121"/>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50"/>
      <c r="BK11" s="49"/>
      <c r="BL11" s="49"/>
      <c r="BM11" s="49"/>
      <c r="BN11" s="49"/>
      <c r="BO11" s="49"/>
      <c r="BP11" s="49"/>
      <c r="BQ11" s="49"/>
      <c r="BR11" s="49"/>
      <c r="BS11" s="49"/>
      <c r="BT11" s="49"/>
      <c r="BU11" s="49"/>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row>
    <row r="12" spans="1:249"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x14ac:dyDescent="0.2">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x14ac:dyDescent="0.2">
      <c r="A14" s="1"/>
      <c r="B14" s="1"/>
      <c r="C14" s="1"/>
      <c r="D14" s="1"/>
      <c r="E14" s="1"/>
      <c r="F14" s="24"/>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x14ac:dyDescent="0.2">
      <c r="A16" s="1"/>
      <c r="B16" s="1"/>
      <c r="C16" s="4" t="s">
        <v>258</v>
      </c>
      <c r="D16" s="1"/>
      <c r="E16" s="1"/>
      <c r="F16" s="1"/>
      <c r="G16" s="1"/>
      <c r="H16" s="1"/>
      <c r="I16" s="1"/>
      <c r="J16" s="1"/>
      <c r="K16" s="1"/>
      <c r="L16" s="14"/>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x14ac:dyDescent="0.2">
      <c r="A17" s="1"/>
      <c r="B17" s="1"/>
      <c r="C17" s="1"/>
      <c r="D17" s="1"/>
      <c r="E17" s="1"/>
      <c r="F17" s="1"/>
      <c r="G17" s="1"/>
      <c r="H17" s="1"/>
      <c r="I17" s="1"/>
      <c r="J17" s="1"/>
      <c r="K17" s="1"/>
      <c r="L17" s="14"/>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s="270" customFormat="1" x14ac:dyDescent="0.2">
      <c r="A18" s="258"/>
      <c r="B18" s="258"/>
      <c r="C18" s="258"/>
      <c r="D18" s="258"/>
      <c r="E18" s="258"/>
      <c r="F18" s="258"/>
      <c r="G18" s="258"/>
      <c r="H18" s="258"/>
      <c r="I18" s="258"/>
      <c r="J18" s="258"/>
      <c r="K18" s="258"/>
      <c r="L18" s="512"/>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row>
    <row r="19" spans="1:249" s="270" customFormat="1" x14ac:dyDescent="0.2">
      <c r="A19" s="258"/>
      <c r="B19" s="258"/>
      <c r="C19" s="258" t="s">
        <v>259</v>
      </c>
      <c r="D19" s="258"/>
      <c r="E19" s="258"/>
      <c r="F19" s="258"/>
      <c r="G19" s="258"/>
      <c r="H19" s="258"/>
      <c r="I19" s="258"/>
      <c r="J19" s="258"/>
      <c r="K19" s="258"/>
      <c r="L19" s="512"/>
      <c r="M19" s="513">
        <v>2</v>
      </c>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c r="ES19" s="258"/>
      <c r="ET19" s="258"/>
      <c r="EU19" s="258"/>
      <c r="EV19" s="258"/>
      <c r="EW19" s="258"/>
      <c r="EX19" s="258"/>
      <c r="EY19" s="258"/>
      <c r="EZ19" s="258"/>
      <c r="FA19" s="258"/>
      <c r="FB19" s="258"/>
      <c r="FC19" s="258"/>
      <c r="FD19" s="258"/>
      <c r="FE19" s="258"/>
      <c r="FF19" s="258"/>
      <c r="FG19" s="258"/>
      <c r="FH19" s="258"/>
      <c r="FI19" s="258"/>
      <c r="FJ19" s="258"/>
      <c r="FK19" s="258"/>
      <c r="FL19" s="258"/>
      <c r="FM19" s="258"/>
      <c r="FN19" s="258"/>
      <c r="FO19" s="258"/>
      <c r="FP19" s="258"/>
      <c r="FQ19" s="258"/>
      <c r="FR19" s="258"/>
      <c r="FS19" s="258"/>
      <c r="FT19" s="258"/>
      <c r="FU19" s="258"/>
      <c r="FV19" s="258"/>
      <c r="FW19" s="258"/>
      <c r="FX19" s="258"/>
      <c r="FY19" s="258"/>
      <c r="FZ19" s="258"/>
      <c r="GA19" s="258"/>
      <c r="GB19" s="258"/>
      <c r="GC19" s="258"/>
      <c r="GD19" s="258"/>
      <c r="GE19" s="258"/>
      <c r="GF19" s="258"/>
      <c r="GG19" s="258"/>
      <c r="GH19" s="258"/>
      <c r="GI19" s="258"/>
      <c r="GJ19" s="258"/>
      <c r="GK19" s="258"/>
      <c r="GL19" s="258"/>
      <c r="GM19" s="258"/>
      <c r="GN19" s="258"/>
      <c r="GO19" s="258"/>
      <c r="GP19" s="258"/>
      <c r="GQ19" s="258"/>
      <c r="GR19" s="258"/>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c r="HO19" s="258"/>
      <c r="HP19" s="258"/>
      <c r="HQ19" s="258"/>
      <c r="HR19" s="258"/>
      <c r="HS19" s="258"/>
      <c r="HT19" s="258"/>
      <c r="HU19" s="258"/>
      <c r="HV19" s="258"/>
      <c r="HW19" s="258"/>
      <c r="HX19" s="258"/>
      <c r="HY19" s="258"/>
      <c r="HZ19" s="258"/>
      <c r="IA19" s="258"/>
      <c r="IB19" s="258"/>
      <c r="IC19" s="258"/>
      <c r="ID19" s="258"/>
      <c r="IE19" s="258"/>
      <c r="IF19" s="258"/>
      <c r="IG19" s="258"/>
      <c r="IH19" s="258"/>
      <c r="II19" s="258"/>
      <c r="IJ19" s="258"/>
      <c r="IK19" s="258"/>
      <c r="IL19" s="258"/>
      <c r="IM19" s="258"/>
      <c r="IN19" s="258"/>
      <c r="IO19" s="258"/>
    </row>
    <row r="20" spans="1:249" s="270" customFormat="1" x14ac:dyDescent="0.2">
      <c r="A20" s="258"/>
      <c r="B20" s="258"/>
      <c r="C20" s="258"/>
      <c r="D20" s="258"/>
      <c r="E20" s="258"/>
      <c r="F20" s="258"/>
      <c r="G20" s="258"/>
      <c r="H20" s="258"/>
      <c r="I20" s="258"/>
      <c r="J20" s="258"/>
      <c r="K20" s="258"/>
      <c r="L20" s="258"/>
      <c r="M20" s="514"/>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8"/>
      <c r="DP20" s="258"/>
      <c r="DQ20" s="258"/>
      <c r="DR20" s="258"/>
      <c r="DS20" s="258"/>
      <c r="DT20" s="258"/>
      <c r="DU20" s="258"/>
      <c r="DV20" s="258"/>
      <c r="DW20" s="258"/>
      <c r="DX20" s="258"/>
      <c r="DY20" s="258"/>
      <c r="DZ20" s="258"/>
      <c r="EA20" s="258"/>
      <c r="EB20" s="258"/>
      <c r="EC20" s="258"/>
      <c r="ED20" s="258"/>
      <c r="EE20" s="258"/>
      <c r="EF20" s="258"/>
      <c r="EG20" s="258"/>
      <c r="EH20" s="258"/>
      <c r="EI20" s="258"/>
      <c r="EJ20" s="258"/>
      <c r="EK20" s="258"/>
      <c r="EL20" s="258"/>
      <c r="EM20" s="258"/>
      <c r="EN20" s="258"/>
      <c r="EO20" s="258"/>
      <c r="EP20" s="258"/>
      <c r="EQ20" s="258"/>
      <c r="ER20" s="258"/>
      <c r="ES20" s="258"/>
      <c r="ET20" s="258"/>
      <c r="EU20" s="258"/>
      <c r="EV20" s="258"/>
      <c r="EW20" s="258"/>
      <c r="EX20" s="258"/>
      <c r="EY20" s="258"/>
      <c r="EZ20" s="258"/>
      <c r="FA20" s="258"/>
      <c r="FB20" s="258"/>
      <c r="FC20" s="258"/>
      <c r="FD20" s="258"/>
      <c r="FE20" s="258"/>
      <c r="FF20" s="258"/>
      <c r="FG20" s="258"/>
      <c r="FH20" s="258"/>
      <c r="FI20" s="258"/>
      <c r="FJ20" s="258"/>
      <c r="FK20" s="258"/>
      <c r="FL20" s="258"/>
      <c r="FM20" s="258"/>
      <c r="FN20" s="258"/>
      <c r="FO20" s="258"/>
      <c r="FP20" s="258"/>
      <c r="FQ20" s="258"/>
      <c r="FR20" s="258"/>
      <c r="FS20" s="258"/>
      <c r="FT20" s="258"/>
      <c r="FU20" s="258"/>
      <c r="FV20" s="258"/>
      <c r="FW20" s="258"/>
      <c r="FX20" s="258"/>
      <c r="FY20" s="258"/>
      <c r="FZ20" s="258"/>
      <c r="GA20" s="258"/>
      <c r="GB20" s="258"/>
      <c r="GC20" s="258"/>
      <c r="GD20" s="258"/>
      <c r="GE20" s="258"/>
      <c r="GF20" s="258"/>
      <c r="GG20" s="258"/>
      <c r="GH20" s="258"/>
      <c r="GI20" s="258"/>
      <c r="GJ20" s="258"/>
      <c r="GK20" s="258"/>
      <c r="GL20" s="258"/>
      <c r="GM20" s="258"/>
      <c r="GN20" s="258"/>
      <c r="GO20" s="258"/>
      <c r="GP20" s="258"/>
      <c r="GQ20" s="258"/>
      <c r="GR20" s="258"/>
      <c r="GS20" s="258"/>
      <c r="GT20" s="258"/>
      <c r="GU20" s="258"/>
      <c r="GV20" s="258"/>
      <c r="GW20" s="258"/>
      <c r="GX20" s="258"/>
      <c r="GY20" s="258"/>
      <c r="GZ20" s="258"/>
      <c r="HA20" s="258"/>
      <c r="HB20" s="258"/>
      <c r="HC20" s="258"/>
      <c r="HD20" s="258"/>
      <c r="HE20" s="258"/>
      <c r="HF20" s="258"/>
      <c r="HG20" s="258"/>
      <c r="HH20" s="258"/>
      <c r="HI20" s="258"/>
      <c r="HJ20" s="258"/>
      <c r="HK20" s="258"/>
      <c r="HL20" s="258"/>
      <c r="HM20" s="258"/>
      <c r="HN20" s="258"/>
      <c r="HO20" s="258"/>
      <c r="HP20" s="258"/>
      <c r="HQ20" s="258"/>
      <c r="HR20" s="258"/>
      <c r="HS20" s="258"/>
      <c r="HT20" s="258"/>
      <c r="HU20" s="258"/>
      <c r="HV20" s="258"/>
      <c r="HW20" s="258"/>
      <c r="HX20" s="258"/>
      <c r="HY20" s="258"/>
      <c r="HZ20" s="258"/>
      <c r="IA20" s="258"/>
      <c r="IB20" s="258"/>
      <c r="IC20" s="258"/>
      <c r="ID20" s="258"/>
      <c r="IE20" s="258"/>
      <c r="IF20" s="258"/>
      <c r="IG20" s="258"/>
      <c r="IH20" s="258"/>
      <c r="II20" s="258"/>
      <c r="IJ20" s="258"/>
      <c r="IK20" s="258"/>
      <c r="IL20" s="258"/>
      <c r="IM20" s="258"/>
      <c r="IN20" s="258"/>
      <c r="IO20" s="258"/>
    </row>
    <row r="21" spans="1:249" s="270" customFormat="1" x14ac:dyDescent="0.2">
      <c r="A21" s="258"/>
      <c r="B21" s="258"/>
      <c r="C21" s="258"/>
      <c r="D21" s="258"/>
      <c r="E21" s="258"/>
      <c r="F21" s="258"/>
      <c r="G21" s="258"/>
      <c r="H21" s="258"/>
      <c r="I21" s="258"/>
      <c r="J21" s="258"/>
      <c r="K21" s="258"/>
      <c r="L21" s="258"/>
      <c r="M21" s="515" t="str">
        <f>IF(AND(M23="OK",M27="OK",M24="OK",M22="OK",M25="OK",M26="OK"),"OK","CHECK")</f>
        <v>OK</v>
      </c>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8"/>
      <c r="CI21" s="258"/>
      <c r="CJ21" s="258"/>
      <c r="CK21" s="258"/>
      <c r="CL21" s="258"/>
      <c r="CM21" s="258"/>
      <c r="CN21" s="258"/>
      <c r="CO21" s="258"/>
      <c r="CP21" s="258"/>
      <c r="CQ21" s="258"/>
      <c r="CR21" s="258"/>
      <c r="CS21" s="258"/>
      <c r="CT21" s="258"/>
      <c r="CU21" s="258"/>
      <c r="CV21" s="258"/>
      <c r="CW21" s="258"/>
      <c r="CX21" s="258"/>
      <c r="CY21" s="258"/>
      <c r="CZ21" s="258"/>
      <c r="DA21" s="258"/>
      <c r="DB21" s="258"/>
      <c r="DC21" s="258"/>
      <c r="DD21" s="258"/>
      <c r="DE21" s="258"/>
      <c r="DF21" s="258"/>
      <c r="DG21" s="258"/>
      <c r="DH21" s="258"/>
      <c r="DI21" s="258"/>
      <c r="DJ21" s="258"/>
      <c r="DK21" s="258"/>
      <c r="DL21" s="258"/>
      <c r="DM21" s="258"/>
      <c r="DN21" s="258"/>
      <c r="DO21" s="258"/>
      <c r="DP21" s="258"/>
      <c r="DQ21" s="258"/>
      <c r="DR21" s="258"/>
      <c r="DS21" s="258"/>
      <c r="DT21" s="258"/>
      <c r="DU21" s="258"/>
      <c r="DV21" s="258"/>
      <c r="DW21" s="258"/>
      <c r="DX21" s="258"/>
      <c r="DY21" s="258"/>
      <c r="DZ21" s="258"/>
      <c r="EA21" s="258"/>
      <c r="EB21" s="258"/>
      <c r="EC21" s="258"/>
      <c r="ED21" s="258"/>
      <c r="EE21" s="258"/>
      <c r="EF21" s="258"/>
      <c r="EG21" s="258"/>
      <c r="EH21" s="258"/>
      <c r="EI21" s="258"/>
      <c r="EJ21" s="258"/>
      <c r="EK21" s="258"/>
      <c r="EL21" s="258"/>
      <c r="EM21" s="258"/>
      <c r="EN21" s="258"/>
      <c r="EO21" s="258"/>
      <c r="EP21" s="258"/>
      <c r="EQ21" s="258"/>
      <c r="ER21" s="258"/>
      <c r="ES21" s="258"/>
      <c r="ET21" s="258"/>
      <c r="EU21" s="258"/>
      <c r="EV21" s="258"/>
      <c r="EW21" s="258"/>
      <c r="EX21" s="258"/>
      <c r="EY21" s="258"/>
      <c r="EZ21" s="258"/>
      <c r="FA21" s="258"/>
      <c r="FB21" s="258"/>
      <c r="FC21" s="258"/>
      <c r="FD21" s="258"/>
      <c r="FE21" s="258"/>
      <c r="FF21" s="258"/>
      <c r="FG21" s="258"/>
      <c r="FH21" s="258"/>
      <c r="FI21" s="258"/>
      <c r="FJ21" s="258"/>
      <c r="FK21" s="258"/>
      <c r="FL21" s="258"/>
      <c r="FM21" s="258"/>
      <c r="FN21" s="258"/>
      <c r="FO21" s="258"/>
      <c r="FP21" s="258"/>
      <c r="FQ21" s="258"/>
      <c r="FR21" s="258"/>
      <c r="FS21" s="258"/>
      <c r="FT21" s="258"/>
      <c r="FU21" s="258"/>
      <c r="FV21" s="258"/>
      <c r="FW21" s="258"/>
      <c r="FX21" s="258"/>
      <c r="FY21" s="258"/>
      <c r="FZ21" s="258"/>
      <c r="GA21" s="258"/>
      <c r="GB21" s="258"/>
      <c r="GC21" s="258"/>
      <c r="GD21" s="258"/>
      <c r="GE21" s="258"/>
      <c r="GF21" s="258"/>
      <c r="GG21" s="258"/>
      <c r="GH21" s="258"/>
      <c r="GI21" s="258"/>
      <c r="GJ21" s="258"/>
      <c r="GK21" s="258"/>
      <c r="GL21" s="258"/>
      <c r="GM21" s="258"/>
      <c r="GN21" s="258"/>
      <c r="GO21" s="258"/>
      <c r="GP21" s="258"/>
      <c r="GQ21" s="258"/>
      <c r="GR21" s="258"/>
      <c r="GS21" s="258"/>
      <c r="GT21" s="258"/>
      <c r="GU21" s="258"/>
      <c r="GV21" s="258"/>
      <c r="GW21" s="258"/>
      <c r="GX21" s="258"/>
      <c r="GY21" s="258"/>
      <c r="GZ21" s="258"/>
      <c r="HA21" s="258"/>
      <c r="HB21" s="258"/>
      <c r="HC21" s="258"/>
      <c r="HD21" s="258"/>
      <c r="HE21" s="258"/>
      <c r="HF21" s="258"/>
      <c r="HG21" s="258"/>
      <c r="HH21" s="258"/>
      <c r="HI21" s="258"/>
      <c r="HJ21" s="258"/>
      <c r="HK21" s="258"/>
      <c r="HL21" s="258"/>
      <c r="HM21" s="258"/>
      <c r="HN21" s="258"/>
      <c r="HO21" s="258"/>
      <c r="HP21" s="258"/>
      <c r="HQ21" s="258"/>
      <c r="HR21" s="258"/>
      <c r="HS21" s="258"/>
      <c r="HT21" s="258"/>
      <c r="HU21" s="258"/>
      <c r="HV21" s="258"/>
      <c r="HW21" s="258"/>
      <c r="HX21" s="258"/>
      <c r="HY21" s="258"/>
      <c r="HZ21" s="258"/>
      <c r="IA21" s="258"/>
      <c r="IB21" s="258"/>
      <c r="IC21" s="258"/>
      <c r="ID21" s="258"/>
      <c r="IE21" s="258"/>
      <c r="IF21" s="258"/>
      <c r="IG21" s="258"/>
      <c r="IH21" s="258"/>
      <c r="II21" s="258"/>
      <c r="IJ21" s="258"/>
      <c r="IK21" s="258"/>
      <c r="IL21" s="258"/>
      <c r="IM21" s="258"/>
      <c r="IN21" s="258"/>
      <c r="IO21" s="258"/>
    </row>
    <row r="22" spans="1:249" s="270" customFormat="1" x14ac:dyDescent="0.2">
      <c r="A22" s="258"/>
      <c r="B22" s="516"/>
      <c r="C22" s="517"/>
      <c r="D22" s="517"/>
      <c r="E22" s="518"/>
      <c r="F22" s="518"/>
      <c r="G22" s="518"/>
      <c r="H22" s="518"/>
      <c r="I22" s="518"/>
      <c r="J22" s="518"/>
      <c r="K22" s="518" t="s">
        <v>63</v>
      </c>
      <c r="L22" s="518"/>
      <c r="M22" s="519" t="str">
        <f>IF(ROUND(N22,0)=ROUND(N31,0),"OK","CHECK")</f>
        <v>OK</v>
      </c>
      <c r="N22" s="520">
        <f t="shared" ref="N22:N27" si="0">SUM(Q22:IO22)</f>
        <v>0</v>
      </c>
      <c r="O22" s="521"/>
      <c r="P22" s="522"/>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3"/>
      <c r="DC22" s="523"/>
      <c r="DD22" s="523"/>
      <c r="DE22" s="523"/>
      <c r="DF22" s="523"/>
      <c r="DG22" s="523"/>
      <c r="DH22" s="523"/>
      <c r="DI22" s="523"/>
      <c r="DJ22" s="523"/>
      <c r="DK22" s="523"/>
      <c r="DL22" s="523"/>
      <c r="DM22" s="523"/>
      <c r="DN22" s="523"/>
      <c r="DO22" s="523"/>
      <c r="DP22" s="523"/>
      <c r="DQ22" s="523"/>
      <c r="DR22" s="523"/>
      <c r="DS22" s="523"/>
      <c r="DT22" s="523"/>
      <c r="DU22" s="523"/>
      <c r="DV22" s="523"/>
      <c r="DW22" s="523"/>
      <c r="DX22" s="523"/>
      <c r="DY22" s="523"/>
      <c r="DZ22" s="523"/>
      <c r="EA22" s="523"/>
      <c r="EB22" s="523"/>
      <c r="EC22" s="523"/>
      <c r="ED22" s="523"/>
      <c r="EE22" s="523"/>
      <c r="EF22" s="523"/>
      <c r="EG22" s="523"/>
      <c r="EH22" s="523"/>
      <c r="EI22" s="523"/>
      <c r="EJ22" s="523"/>
      <c r="EK22" s="523"/>
      <c r="EL22" s="523"/>
      <c r="EM22" s="523"/>
      <c r="EN22" s="523"/>
      <c r="EO22" s="523"/>
      <c r="EP22" s="523"/>
      <c r="EQ22" s="523"/>
      <c r="ER22" s="523"/>
      <c r="ES22" s="523"/>
      <c r="ET22" s="523"/>
      <c r="EU22" s="523"/>
      <c r="EV22" s="523"/>
      <c r="EW22" s="523"/>
      <c r="EX22" s="523"/>
      <c r="EY22" s="523"/>
      <c r="EZ22" s="523"/>
      <c r="FA22" s="523"/>
      <c r="FB22" s="523"/>
      <c r="FC22" s="523"/>
      <c r="FD22" s="523"/>
      <c r="FE22" s="523"/>
      <c r="FF22" s="523"/>
      <c r="FG22" s="523"/>
      <c r="FH22" s="523"/>
      <c r="FI22" s="523"/>
      <c r="FJ22" s="523"/>
      <c r="FK22" s="523"/>
      <c r="FL22" s="523"/>
      <c r="FM22" s="523"/>
      <c r="FN22" s="523"/>
      <c r="FO22" s="523"/>
      <c r="FP22" s="523"/>
      <c r="FQ22" s="523"/>
      <c r="FR22" s="523"/>
      <c r="FS22" s="523"/>
      <c r="FT22" s="523"/>
      <c r="FU22" s="523"/>
      <c r="FV22" s="523"/>
      <c r="FW22" s="523"/>
      <c r="FX22" s="523"/>
      <c r="FY22" s="523"/>
      <c r="FZ22" s="523"/>
      <c r="GA22" s="523"/>
      <c r="GB22" s="523"/>
      <c r="GC22" s="523"/>
      <c r="GD22" s="523"/>
      <c r="GE22" s="523"/>
      <c r="GF22" s="523"/>
      <c r="GG22" s="523"/>
      <c r="GH22" s="523"/>
      <c r="GI22" s="523"/>
      <c r="GJ22" s="523"/>
      <c r="GK22" s="523"/>
      <c r="GL22" s="523"/>
      <c r="GM22" s="523"/>
      <c r="GN22" s="523"/>
      <c r="GO22" s="523"/>
      <c r="GP22" s="523"/>
      <c r="GQ22" s="523"/>
      <c r="GR22" s="523"/>
      <c r="GS22" s="523"/>
      <c r="GT22" s="523"/>
      <c r="GU22" s="523"/>
      <c r="GV22" s="523"/>
      <c r="GW22" s="523"/>
      <c r="GX22" s="523"/>
      <c r="GY22" s="523"/>
      <c r="GZ22" s="523"/>
      <c r="HA22" s="523"/>
      <c r="HB22" s="523"/>
      <c r="HC22" s="523"/>
      <c r="HD22" s="523"/>
      <c r="HE22" s="523"/>
      <c r="HF22" s="523"/>
      <c r="HG22" s="523"/>
      <c r="HH22" s="523"/>
      <c r="HI22" s="523"/>
      <c r="HJ22" s="523"/>
      <c r="HK22" s="523"/>
      <c r="HL22" s="523"/>
      <c r="HM22" s="523"/>
      <c r="HN22" s="523"/>
      <c r="HO22" s="523"/>
      <c r="HP22" s="523"/>
      <c r="HQ22" s="523"/>
      <c r="HR22" s="523"/>
      <c r="HS22" s="523"/>
      <c r="HT22" s="523"/>
      <c r="HU22" s="523"/>
      <c r="HV22" s="523"/>
      <c r="HW22" s="523"/>
      <c r="HX22" s="523"/>
      <c r="HY22" s="523"/>
      <c r="HZ22" s="523"/>
      <c r="IA22" s="523"/>
      <c r="IB22" s="523"/>
      <c r="IC22" s="523"/>
      <c r="ID22" s="523"/>
      <c r="IE22" s="523"/>
      <c r="IF22" s="523"/>
      <c r="IG22" s="523"/>
      <c r="IH22" s="523"/>
      <c r="II22" s="523"/>
      <c r="IJ22" s="523"/>
      <c r="IK22" s="523"/>
      <c r="IL22" s="523"/>
      <c r="IM22" s="523"/>
      <c r="IN22" s="523"/>
      <c r="IO22" s="523"/>
    </row>
    <row r="23" spans="1:249" s="270" customFormat="1" x14ac:dyDescent="0.2">
      <c r="A23" s="258"/>
      <c r="B23" s="524"/>
      <c r="C23" s="517" t="s">
        <v>260</v>
      </c>
      <c r="D23" s="517"/>
      <c r="E23" s="517"/>
      <c r="F23" s="517"/>
      <c r="G23" s="517"/>
      <c r="H23" s="517"/>
      <c r="I23" s="517"/>
      <c r="J23" s="517"/>
      <c r="K23" s="517" t="s">
        <v>63</v>
      </c>
      <c r="L23" s="520"/>
      <c r="M23" s="519" t="str">
        <f>IF(ROUND(N23,1)=ROUND(N32,1),"OK","CHECK")</f>
        <v>OK</v>
      </c>
      <c r="N23" s="520">
        <f t="shared" si="0"/>
        <v>427654.43840678042</v>
      </c>
      <c r="O23" s="525"/>
      <c r="P23" s="526"/>
      <c r="Q23" s="520">
        <f>-Fin!Q158</f>
        <v>0</v>
      </c>
      <c r="R23" s="520">
        <f>-Fin!R158</f>
        <v>0</v>
      </c>
      <c r="S23" s="520">
        <f>-Fin!S158</f>
        <v>0</v>
      </c>
      <c r="T23" s="520">
        <f>-Fin!T158</f>
        <v>0</v>
      </c>
      <c r="U23" s="520">
        <f>-Fin!U158</f>
        <v>0</v>
      </c>
      <c r="V23" s="520">
        <f>-Fin!V158</f>
        <v>539.70155717787566</v>
      </c>
      <c r="W23" s="520">
        <f>-Fin!W158</f>
        <v>776.50559552197228</v>
      </c>
      <c r="X23" s="520">
        <f>-Fin!X158</f>
        <v>1038.8609910597879</v>
      </c>
      <c r="Y23" s="520">
        <f>-Fin!Y158</f>
        <v>1328.9251559491677</v>
      </c>
      <c r="Z23" s="520">
        <f>-Fin!Z158</f>
        <v>9799.8775139839563</v>
      </c>
      <c r="AA23" s="520">
        <f>-Fin!AA158</f>
        <v>10564.459267585509</v>
      </c>
      <c r="AB23" s="520">
        <f>-Fin!AB158</f>
        <v>12103.575353747059</v>
      </c>
      <c r="AC23" s="520">
        <f>-Fin!AC158</f>
        <v>13807.611377853696</v>
      </c>
      <c r="AD23" s="520">
        <f>-Fin!AD158</f>
        <v>15692.345051913784</v>
      </c>
      <c r="AE23" s="520">
        <f>-Fin!AE158</f>
        <v>18486.313556027482</v>
      </c>
      <c r="AF23" s="520">
        <f>-Fin!AF158</f>
        <v>19549.647371904401</v>
      </c>
      <c r="AG23" s="520">
        <f>-Fin!AG158</f>
        <v>20571.68316826949</v>
      </c>
      <c r="AH23" s="520">
        <f>-Fin!AH158</f>
        <v>21638.662566408457</v>
      </c>
      <c r="AI23" s="520">
        <f>-Fin!AI158</f>
        <v>22751.693539404077</v>
      </c>
      <c r="AJ23" s="520">
        <f>-Fin!AJ158</f>
        <v>23911.805743083067</v>
      </c>
      <c r="AK23" s="520">
        <f>-Fin!AK158</f>
        <v>25119.933132307342</v>
      </c>
      <c r="AL23" s="520">
        <f>-Fin!AL158</f>
        <v>26563.539529386209</v>
      </c>
      <c r="AM23" s="520">
        <f>-Fin!AM158</f>
        <v>28083.673987498973</v>
      </c>
      <c r="AN23" s="520">
        <f>-Fin!AN158</f>
        <v>29683.78878483345</v>
      </c>
      <c r="AO23" s="520">
        <f>-Fin!AO158</f>
        <v>31367.430343745451</v>
      </c>
      <c r="AP23" s="520">
        <f>-Fin!AP158</f>
        <v>33138.234424650494</v>
      </c>
      <c r="AQ23" s="520">
        <f>-Fin!AQ158</f>
        <v>31550.109822034487</v>
      </c>
      <c r="AR23" s="520">
        <f>-Fin!AR158</f>
        <v>29586.060572434217</v>
      </c>
      <c r="AS23" s="520">
        <f>-Fin!AS158</f>
        <v>0</v>
      </c>
      <c r="AT23" s="520">
        <f>-Fin!AT158</f>
        <v>0</v>
      </c>
      <c r="AU23" s="520">
        <f>-Fin!AU158</f>
        <v>0</v>
      </c>
      <c r="AV23" s="520">
        <f>-Fin!AV158</f>
        <v>0</v>
      </c>
      <c r="AW23" s="520">
        <f>-Fin!AW158</f>
        <v>0</v>
      </c>
      <c r="AX23" s="520">
        <f>-Fin!AX158</f>
        <v>0</v>
      </c>
      <c r="AY23" s="520">
        <f>-Fin!AY158</f>
        <v>0</v>
      </c>
      <c r="AZ23" s="520">
        <f>-Fin!AZ158</f>
        <v>0</v>
      </c>
      <c r="BA23" s="520">
        <f>-Fin!BA158</f>
        <v>0</v>
      </c>
      <c r="BB23" s="520">
        <f>-Fin!BB158</f>
        <v>0</v>
      </c>
      <c r="BC23" s="520">
        <f>-Fin!BC158</f>
        <v>0</v>
      </c>
      <c r="BD23" s="520">
        <f>-Fin!BD158</f>
        <v>0</v>
      </c>
      <c r="BE23" s="520">
        <f>-Fin!BE158</f>
        <v>0</v>
      </c>
      <c r="BF23" s="520">
        <f>-Fin!BF158</f>
        <v>0</v>
      </c>
      <c r="BG23" s="520">
        <f>-Fin!BG158</f>
        <v>0</v>
      </c>
      <c r="BH23" s="520">
        <f>-Fin!BH158</f>
        <v>0</v>
      </c>
      <c r="BI23" s="520">
        <f>-Fin!BI158</f>
        <v>0</v>
      </c>
      <c r="BJ23" s="520">
        <f>-Fin!BJ158</f>
        <v>0</v>
      </c>
      <c r="BK23" s="520">
        <f>-Fin!BK158</f>
        <v>0</v>
      </c>
      <c r="BL23" s="520">
        <f>-Fin!BL158</f>
        <v>0</v>
      </c>
      <c r="BM23" s="520">
        <f>-Fin!BM158</f>
        <v>0</v>
      </c>
      <c r="BN23" s="520">
        <f>-Fin!BN158</f>
        <v>0</v>
      </c>
      <c r="BO23" s="520">
        <f>-Fin!BO158</f>
        <v>0</v>
      </c>
      <c r="BP23" s="520">
        <f>-Fin!BP158</f>
        <v>0</v>
      </c>
      <c r="BQ23" s="520">
        <f>-Fin!BQ158</f>
        <v>0</v>
      </c>
      <c r="BR23" s="520">
        <f>-Fin!BR158</f>
        <v>0</v>
      </c>
      <c r="BS23" s="520">
        <f>-Fin!BS158</f>
        <v>0</v>
      </c>
      <c r="BT23" s="520">
        <f>-Fin!BT158</f>
        <v>0</v>
      </c>
      <c r="BU23" s="520">
        <f>-Fin!BU158</f>
        <v>0</v>
      </c>
      <c r="BV23" s="520">
        <f>-Fin!BV158</f>
        <v>0</v>
      </c>
      <c r="BW23" s="520">
        <f>-Fin!BW158</f>
        <v>0</v>
      </c>
      <c r="BX23" s="520">
        <f>-Fin!BX158</f>
        <v>0</v>
      </c>
      <c r="BY23" s="520">
        <f>-Fin!BY158</f>
        <v>0</v>
      </c>
      <c r="BZ23" s="520">
        <f>-Fin!BZ158</f>
        <v>0</v>
      </c>
      <c r="CA23" s="520">
        <f>-Fin!CA158</f>
        <v>0</v>
      </c>
      <c r="CB23" s="520">
        <f>-Fin!CB158</f>
        <v>0</v>
      </c>
      <c r="CC23" s="520">
        <f>-Fin!CC158</f>
        <v>0</v>
      </c>
      <c r="CD23" s="520">
        <f>-Fin!CD158</f>
        <v>0</v>
      </c>
      <c r="CE23" s="520">
        <f>-Fin!CE158</f>
        <v>0</v>
      </c>
      <c r="CF23" s="520">
        <f>-Fin!CF158</f>
        <v>0</v>
      </c>
      <c r="CG23" s="520">
        <f>-Fin!CG158</f>
        <v>0</v>
      </c>
      <c r="CH23" s="520">
        <f>-Fin!CH158</f>
        <v>0</v>
      </c>
      <c r="CI23" s="520">
        <f>-Fin!CI158</f>
        <v>0</v>
      </c>
      <c r="CJ23" s="520">
        <f>-Fin!CJ158</f>
        <v>0</v>
      </c>
      <c r="CK23" s="520">
        <f>-Fin!CK158</f>
        <v>0</v>
      </c>
      <c r="CL23" s="520">
        <f>-Fin!CL158</f>
        <v>0</v>
      </c>
      <c r="CM23" s="520">
        <f>-Fin!CM158</f>
        <v>0</v>
      </c>
      <c r="CN23" s="520">
        <f>-Fin!CN158</f>
        <v>0</v>
      </c>
      <c r="CO23" s="520">
        <f>-Fin!CO158</f>
        <v>0</v>
      </c>
      <c r="CP23" s="520">
        <f>-Fin!CP158</f>
        <v>0</v>
      </c>
      <c r="CQ23" s="520">
        <f>-Fin!CQ158</f>
        <v>0</v>
      </c>
      <c r="CR23" s="520">
        <f>-Fin!CR158</f>
        <v>0</v>
      </c>
      <c r="CS23" s="520">
        <f>-Fin!CS158</f>
        <v>0</v>
      </c>
      <c r="CT23" s="520">
        <f>-Fin!CT158</f>
        <v>0</v>
      </c>
      <c r="CU23" s="520">
        <f>-Fin!CU158</f>
        <v>0</v>
      </c>
      <c r="CV23" s="520">
        <f>-Fin!CV158</f>
        <v>0</v>
      </c>
      <c r="CW23" s="520">
        <f>-Fin!CW158</f>
        <v>0</v>
      </c>
      <c r="CX23" s="520">
        <f>-Fin!CX158</f>
        <v>0</v>
      </c>
      <c r="CY23" s="520">
        <f>-Fin!CY158</f>
        <v>0</v>
      </c>
      <c r="CZ23" s="520">
        <f>-Fin!CZ158</f>
        <v>0</v>
      </c>
      <c r="DA23" s="520">
        <f>-Fin!DA158</f>
        <v>0</v>
      </c>
      <c r="DB23" s="520">
        <f>-Fin!DB158</f>
        <v>0</v>
      </c>
      <c r="DC23" s="520">
        <f>-Fin!DC158</f>
        <v>0</v>
      </c>
      <c r="DD23" s="520">
        <f>-Fin!DD158</f>
        <v>0</v>
      </c>
      <c r="DE23" s="520">
        <f>-Fin!DE158</f>
        <v>0</v>
      </c>
      <c r="DF23" s="520">
        <f>-Fin!DF158</f>
        <v>0</v>
      </c>
      <c r="DG23" s="520">
        <f>-Fin!DG158</f>
        <v>0</v>
      </c>
      <c r="DH23" s="520">
        <f>-Fin!DH158</f>
        <v>0</v>
      </c>
      <c r="DI23" s="520">
        <f>-Fin!DI158</f>
        <v>0</v>
      </c>
      <c r="DJ23" s="520">
        <f>-Fin!DJ158</f>
        <v>0</v>
      </c>
      <c r="DK23" s="520">
        <f>-Fin!DK158</f>
        <v>0</v>
      </c>
      <c r="DL23" s="520">
        <f>-Fin!DL158</f>
        <v>0</v>
      </c>
      <c r="DM23" s="520">
        <f>-Fin!DM158</f>
        <v>0</v>
      </c>
      <c r="DN23" s="520">
        <f>-Fin!DN158</f>
        <v>0</v>
      </c>
      <c r="DO23" s="520">
        <f>-Fin!DO158</f>
        <v>0</v>
      </c>
      <c r="DP23" s="520">
        <f>-Fin!DP158</f>
        <v>0</v>
      </c>
      <c r="DQ23" s="520">
        <f>-Fin!DQ158</f>
        <v>0</v>
      </c>
      <c r="DR23" s="520">
        <f>-Fin!DR158</f>
        <v>0</v>
      </c>
      <c r="DS23" s="520">
        <f>-Fin!DS158</f>
        <v>0</v>
      </c>
      <c r="DT23" s="520">
        <f>-Fin!DT158</f>
        <v>0</v>
      </c>
      <c r="DU23" s="520">
        <f>-Fin!DU158</f>
        <v>0</v>
      </c>
      <c r="DV23" s="520">
        <f>-Fin!DV158</f>
        <v>0</v>
      </c>
      <c r="DW23" s="520">
        <f>-Fin!DW158</f>
        <v>0</v>
      </c>
      <c r="DX23" s="520">
        <f>-Fin!DX158</f>
        <v>0</v>
      </c>
      <c r="DY23" s="520">
        <f>-Fin!DY158</f>
        <v>0</v>
      </c>
      <c r="DZ23" s="520">
        <f>-Fin!DZ158</f>
        <v>0</v>
      </c>
      <c r="EA23" s="520">
        <f>-Fin!EA158</f>
        <v>0</v>
      </c>
      <c r="EB23" s="520">
        <f>-Fin!EB158</f>
        <v>0</v>
      </c>
      <c r="EC23" s="520">
        <f>-Fin!EC158</f>
        <v>0</v>
      </c>
      <c r="ED23" s="520">
        <f>-Fin!ED158</f>
        <v>0</v>
      </c>
      <c r="EE23" s="520">
        <f>-Fin!EE158</f>
        <v>0</v>
      </c>
      <c r="EF23" s="520">
        <f>-Fin!EF158</f>
        <v>0</v>
      </c>
      <c r="EG23" s="520">
        <f>-Fin!EG158</f>
        <v>0</v>
      </c>
      <c r="EH23" s="520">
        <f>-Fin!EH158</f>
        <v>0</v>
      </c>
      <c r="EI23" s="520">
        <f>-Fin!EI158</f>
        <v>0</v>
      </c>
      <c r="EJ23" s="520">
        <f>-Fin!EJ158</f>
        <v>0</v>
      </c>
      <c r="EK23" s="520">
        <f>-Fin!EK158</f>
        <v>0</v>
      </c>
      <c r="EL23" s="520">
        <f>-Fin!EL158</f>
        <v>0</v>
      </c>
      <c r="EM23" s="520">
        <f>-Fin!EM158</f>
        <v>0</v>
      </c>
      <c r="EN23" s="520">
        <f>-Fin!EN158</f>
        <v>0</v>
      </c>
      <c r="EO23" s="520">
        <f>-Fin!EO158</f>
        <v>0</v>
      </c>
      <c r="EP23" s="520">
        <f>-Fin!EP158</f>
        <v>0</v>
      </c>
      <c r="EQ23" s="520">
        <f>-Fin!EQ158</f>
        <v>0</v>
      </c>
      <c r="ER23" s="520">
        <f>-Fin!ER158</f>
        <v>0</v>
      </c>
      <c r="ES23" s="520">
        <f>-Fin!ES158</f>
        <v>0</v>
      </c>
      <c r="ET23" s="520">
        <f>-Fin!ET158</f>
        <v>0</v>
      </c>
      <c r="EU23" s="520">
        <f>-Fin!EU158</f>
        <v>0</v>
      </c>
      <c r="EV23" s="520">
        <f>-Fin!EV158</f>
        <v>0</v>
      </c>
      <c r="EW23" s="520">
        <f>-Fin!EW158</f>
        <v>0</v>
      </c>
      <c r="EX23" s="520">
        <f>-Fin!EX158</f>
        <v>0</v>
      </c>
      <c r="EY23" s="520">
        <f>-Fin!EY158</f>
        <v>0</v>
      </c>
      <c r="EZ23" s="520">
        <f>-Fin!EZ158</f>
        <v>0</v>
      </c>
      <c r="FA23" s="520">
        <f>-Fin!FA158</f>
        <v>0</v>
      </c>
      <c r="FB23" s="520">
        <f>-Fin!FB158</f>
        <v>0</v>
      </c>
      <c r="FC23" s="520">
        <f>-Fin!FC158</f>
        <v>0</v>
      </c>
      <c r="FD23" s="520">
        <f>-Fin!FD158</f>
        <v>0</v>
      </c>
      <c r="FE23" s="520">
        <f>-Fin!FE158</f>
        <v>0</v>
      </c>
      <c r="FF23" s="520">
        <f>-Fin!FF158</f>
        <v>0</v>
      </c>
      <c r="FG23" s="520">
        <f>-Fin!FG158</f>
        <v>0</v>
      </c>
      <c r="FH23" s="520">
        <f>-Fin!FH158</f>
        <v>0</v>
      </c>
      <c r="FI23" s="520">
        <f>-Fin!FI158</f>
        <v>0</v>
      </c>
      <c r="FJ23" s="520">
        <f>-Fin!FJ158</f>
        <v>0</v>
      </c>
      <c r="FK23" s="520">
        <f>-Fin!FK158</f>
        <v>0</v>
      </c>
      <c r="FL23" s="520">
        <f>-Fin!FL158</f>
        <v>0</v>
      </c>
      <c r="FM23" s="520">
        <f>-Fin!FM158</f>
        <v>0</v>
      </c>
      <c r="FN23" s="520">
        <f>-Fin!FN158</f>
        <v>0</v>
      </c>
      <c r="FO23" s="520">
        <f>-Fin!FO158</f>
        <v>0</v>
      </c>
      <c r="FP23" s="520">
        <f>-Fin!FP158</f>
        <v>0</v>
      </c>
      <c r="FQ23" s="520">
        <f>-Fin!FQ158</f>
        <v>0</v>
      </c>
      <c r="FR23" s="520">
        <f>-Fin!FR158</f>
        <v>0</v>
      </c>
      <c r="FS23" s="520">
        <f>-Fin!FS158</f>
        <v>0</v>
      </c>
      <c r="FT23" s="520">
        <f>-Fin!FT158</f>
        <v>0</v>
      </c>
      <c r="FU23" s="520">
        <f>-Fin!FU158</f>
        <v>0</v>
      </c>
      <c r="FV23" s="520">
        <f>-Fin!FV158</f>
        <v>0</v>
      </c>
      <c r="FW23" s="520">
        <f>-Fin!FW158</f>
        <v>0</v>
      </c>
      <c r="FX23" s="520">
        <f>-Fin!FX158</f>
        <v>0</v>
      </c>
      <c r="FY23" s="520">
        <f>-Fin!FY158</f>
        <v>0</v>
      </c>
      <c r="FZ23" s="520">
        <f>-Fin!FZ158</f>
        <v>0</v>
      </c>
      <c r="GA23" s="520">
        <f>-Fin!GA158</f>
        <v>0</v>
      </c>
      <c r="GB23" s="520">
        <f>-Fin!GB158</f>
        <v>0</v>
      </c>
      <c r="GC23" s="520">
        <f>-Fin!GC158</f>
        <v>0</v>
      </c>
      <c r="GD23" s="520">
        <f>-Fin!GD158</f>
        <v>0</v>
      </c>
      <c r="GE23" s="520">
        <f>-Fin!GE158</f>
        <v>0</v>
      </c>
      <c r="GF23" s="520">
        <f>-Fin!GF158</f>
        <v>0</v>
      </c>
      <c r="GG23" s="520">
        <f>-Fin!GG158</f>
        <v>0</v>
      </c>
      <c r="GH23" s="520">
        <f>-Fin!GH158</f>
        <v>0</v>
      </c>
      <c r="GI23" s="520">
        <f>-Fin!GI158</f>
        <v>0</v>
      </c>
      <c r="GJ23" s="520">
        <f>-Fin!GJ158</f>
        <v>0</v>
      </c>
      <c r="GK23" s="520">
        <f>-Fin!GK158</f>
        <v>0</v>
      </c>
      <c r="GL23" s="520">
        <f>-Fin!GL158</f>
        <v>0</v>
      </c>
      <c r="GM23" s="520">
        <f>-Fin!GM158</f>
        <v>0</v>
      </c>
      <c r="GN23" s="520">
        <f>-Fin!GN158</f>
        <v>0</v>
      </c>
      <c r="GO23" s="520">
        <f>-Fin!GO158</f>
        <v>0</v>
      </c>
      <c r="GP23" s="520">
        <f>-Fin!GP158</f>
        <v>0</v>
      </c>
      <c r="GQ23" s="520">
        <f>-Fin!GQ158</f>
        <v>0</v>
      </c>
      <c r="GR23" s="520">
        <f>-Fin!GR158</f>
        <v>0</v>
      </c>
      <c r="GS23" s="520">
        <f>-Fin!GS158</f>
        <v>0</v>
      </c>
      <c r="GT23" s="520">
        <f>-Fin!GT158</f>
        <v>0</v>
      </c>
      <c r="GU23" s="520">
        <f>-Fin!GU158</f>
        <v>0</v>
      </c>
      <c r="GV23" s="520">
        <f>-Fin!GV158</f>
        <v>0</v>
      </c>
      <c r="GW23" s="520">
        <f>-Fin!GW158</f>
        <v>0</v>
      </c>
      <c r="GX23" s="520">
        <f>-Fin!GX158</f>
        <v>0</v>
      </c>
      <c r="GY23" s="520">
        <f>-Fin!GY158</f>
        <v>0</v>
      </c>
      <c r="GZ23" s="520">
        <f>-Fin!GZ158</f>
        <v>0</v>
      </c>
      <c r="HA23" s="520">
        <f>-Fin!HA158</f>
        <v>0</v>
      </c>
      <c r="HB23" s="520">
        <f>-Fin!HB158</f>
        <v>0</v>
      </c>
      <c r="HC23" s="520">
        <f>-Fin!HC158</f>
        <v>0</v>
      </c>
      <c r="HD23" s="520">
        <f>-Fin!HD158</f>
        <v>0</v>
      </c>
      <c r="HE23" s="520">
        <f>-Fin!HE158</f>
        <v>0</v>
      </c>
      <c r="HF23" s="520">
        <f>-Fin!HF158</f>
        <v>0</v>
      </c>
      <c r="HG23" s="520">
        <f>-Fin!HG158</f>
        <v>0</v>
      </c>
      <c r="HH23" s="520">
        <f>-Fin!HH158</f>
        <v>0</v>
      </c>
      <c r="HI23" s="520">
        <f>-Fin!HI158</f>
        <v>0</v>
      </c>
      <c r="HJ23" s="520">
        <f>-Fin!HJ158</f>
        <v>0</v>
      </c>
      <c r="HK23" s="520">
        <f>-Fin!HK158</f>
        <v>0</v>
      </c>
      <c r="HL23" s="520">
        <f>-Fin!HL158</f>
        <v>0</v>
      </c>
      <c r="HM23" s="520">
        <f>-Fin!HM158</f>
        <v>0</v>
      </c>
      <c r="HN23" s="520">
        <f>-Fin!HN158</f>
        <v>0</v>
      </c>
      <c r="HO23" s="520">
        <f>-Fin!HO158</f>
        <v>0</v>
      </c>
      <c r="HP23" s="520">
        <f>-Fin!HP158</f>
        <v>0</v>
      </c>
      <c r="HQ23" s="520">
        <f>-Fin!HQ158</f>
        <v>0</v>
      </c>
      <c r="HR23" s="520">
        <f>-Fin!HR158</f>
        <v>0</v>
      </c>
      <c r="HS23" s="520">
        <f>-Fin!HS158</f>
        <v>0</v>
      </c>
      <c r="HT23" s="520">
        <f>-Fin!HT158</f>
        <v>0</v>
      </c>
      <c r="HU23" s="520">
        <f>-Fin!HU158</f>
        <v>0</v>
      </c>
      <c r="HV23" s="520">
        <f>-Fin!HV158</f>
        <v>0</v>
      </c>
      <c r="HW23" s="520">
        <f>-Fin!HW158</f>
        <v>0</v>
      </c>
      <c r="HX23" s="520">
        <f>-Fin!HX158</f>
        <v>0</v>
      </c>
      <c r="HY23" s="520">
        <f>-Fin!HY158</f>
        <v>0</v>
      </c>
      <c r="HZ23" s="520">
        <f>-Fin!HZ158</f>
        <v>0</v>
      </c>
      <c r="IA23" s="520">
        <f>-Fin!IA158</f>
        <v>0</v>
      </c>
      <c r="IB23" s="520">
        <f>-Fin!IB158</f>
        <v>0</v>
      </c>
      <c r="IC23" s="520">
        <f>-Fin!IC158</f>
        <v>0</v>
      </c>
      <c r="ID23" s="520">
        <f>-Fin!ID158</f>
        <v>0</v>
      </c>
      <c r="IE23" s="520">
        <f>-Fin!IE158</f>
        <v>0</v>
      </c>
      <c r="IF23" s="520">
        <f>-Fin!IF158</f>
        <v>0</v>
      </c>
      <c r="IG23" s="520">
        <f>-Fin!IG158</f>
        <v>0</v>
      </c>
      <c r="IH23" s="520">
        <f>-Fin!IH158</f>
        <v>0</v>
      </c>
      <c r="II23" s="520">
        <f>-Fin!II158</f>
        <v>0</v>
      </c>
      <c r="IJ23" s="520">
        <f>-Fin!IJ158</f>
        <v>0</v>
      </c>
      <c r="IK23" s="520">
        <f>-Fin!IK158</f>
        <v>0</v>
      </c>
      <c r="IL23" s="520">
        <f>-Fin!IL158</f>
        <v>0</v>
      </c>
      <c r="IM23" s="520">
        <f>-Fin!IM158</f>
        <v>0</v>
      </c>
      <c r="IN23" s="520">
        <f>-Fin!IN158</f>
        <v>0</v>
      </c>
      <c r="IO23" s="520">
        <f>-Fin!IO158</f>
        <v>0</v>
      </c>
    </row>
    <row r="24" spans="1:249" s="270" customFormat="1" x14ac:dyDescent="0.2">
      <c r="A24" s="258"/>
      <c r="B24" s="524"/>
      <c r="C24" s="517" t="s">
        <v>73</v>
      </c>
      <c r="D24" s="517"/>
      <c r="E24" s="517"/>
      <c r="F24" s="517"/>
      <c r="G24" s="517"/>
      <c r="H24" s="517"/>
      <c r="I24" s="517"/>
      <c r="J24" s="517"/>
      <c r="K24" s="517" t="s">
        <v>63</v>
      </c>
      <c r="L24" s="520"/>
      <c r="M24" s="519" t="str">
        <f>IF(ROUND(N24,2)=ROUND(N33,2),"OK","CHECK")</f>
        <v>OK</v>
      </c>
      <c r="N24" s="520">
        <f t="shared" si="0"/>
        <v>313910.83358659851</v>
      </c>
      <c r="O24" s="525"/>
      <c r="P24" s="526"/>
      <c r="Q24" s="520">
        <f>+Fin!Q340</f>
        <v>0</v>
      </c>
      <c r="R24" s="520">
        <f>+Fin!R340</f>
        <v>0</v>
      </c>
      <c r="S24" s="520">
        <f>+Fin!S340</f>
        <v>0</v>
      </c>
      <c r="T24" s="520">
        <f>+Fin!T340</f>
        <v>2692.085174796453</v>
      </c>
      <c r="U24" s="520">
        <f>+Fin!U340</f>
        <v>3887.4732955742647</v>
      </c>
      <c r="V24" s="520">
        <f>+Fin!V340</f>
        <v>1368.9413706881614</v>
      </c>
      <c r="W24" s="520">
        <f>+Fin!W340</f>
        <v>1585.1746377621182</v>
      </c>
      <c r="X24" s="520">
        <f>+Fin!X340</f>
        <v>1826.1460309171671</v>
      </c>
      <c r="Y24" s="520">
        <f>+Fin!Y340</f>
        <v>2091.0309584081278</v>
      </c>
      <c r="Z24" s="520">
        <f>+Fin!Z340</f>
        <v>2234.8612616227101</v>
      </c>
      <c r="AA24" s="520">
        <f>+Fin!AA340</f>
        <v>2483.3469456730418</v>
      </c>
      <c r="AB24" s="520">
        <f>+Fin!AB340</f>
        <v>2701.6488251499013</v>
      </c>
      <c r="AC24" s="520">
        <f>+Fin!AC340</f>
        <v>2954.0066602775159</v>
      </c>
      <c r="AD24" s="520">
        <f>+Fin!AD340</f>
        <v>3105.9081402819047</v>
      </c>
      <c r="AE24" s="520">
        <f>+Fin!AE340</f>
        <v>3356.848176385216</v>
      </c>
      <c r="AF24" s="520">
        <f>+Fin!AF340</f>
        <v>3734.4677636830684</v>
      </c>
      <c r="AG24" s="520">
        <f>+Fin!AG340</f>
        <v>4031.6091928702144</v>
      </c>
      <c r="AH24" s="520">
        <f>+Fin!AH340</f>
        <v>4407.9977848620492</v>
      </c>
      <c r="AI24" s="520">
        <f>+Fin!AI340</f>
        <v>4834.9837245341078</v>
      </c>
      <c r="AJ24" s="520">
        <f>+Fin!AJ340</f>
        <v>5183.2973913445458</v>
      </c>
      <c r="AK24" s="520">
        <f>+Fin!AK340</f>
        <v>5397.7403829528903</v>
      </c>
      <c r="AL24" s="520">
        <f>+Fin!AL340</f>
        <v>5152.2009753896455</v>
      </c>
      <c r="AM24" s="520">
        <f>+Fin!AM340</f>
        <v>5153.3683819462549</v>
      </c>
      <c r="AN24" s="520">
        <f>+Fin!AN340</f>
        <v>5579.4166041562667</v>
      </c>
      <c r="AO24" s="520">
        <f>+Fin!AO340</f>
        <v>5604.3686889780784</v>
      </c>
      <c r="AP24" s="520">
        <f>+Fin!AP340</f>
        <v>6498.0922850655752</v>
      </c>
      <c r="AQ24" s="520">
        <f>+Fin!AQ340</f>
        <v>6693.7903799019577</v>
      </c>
      <c r="AR24" s="520">
        <f>+Fin!AR340</f>
        <v>6953.5617772199748</v>
      </c>
      <c r="AS24" s="520">
        <f>+Fin!AS340</f>
        <v>7273.9631759357089</v>
      </c>
      <c r="AT24" s="520">
        <f>+Fin!AT340</f>
        <v>7703.6355831298733</v>
      </c>
      <c r="AU24" s="520">
        <f>+Fin!AU340</f>
        <v>9674.9728346018928</v>
      </c>
      <c r="AV24" s="520">
        <f>+Fin!AV340</f>
        <v>11195.996218899842</v>
      </c>
      <c r="AW24" s="520">
        <f>+Fin!AW340</f>
        <v>11354.32538880326</v>
      </c>
      <c r="AX24" s="520">
        <f>+Fin!AX340</f>
        <v>11665.94387593715</v>
      </c>
      <c r="AY24" s="520">
        <f>+Fin!AY340</f>
        <v>12185.596123718682</v>
      </c>
      <c r="AZ24" s="520">
        <f>+Fin!AZ340</f>
        <v>12785.168145198666</v>
      </c>
      <c r="BA24" s="520">
        <f>+Fin!BA340</f>
        <v>13265.638165528426</v>
      </c>
      <c r="BB24" s="520">
        <f>+Fin!BB340</f>
        <v>13776.034553174752</v>
      </c>
      <c r="BC24" s="520">
        <f>+Fin!BC340</f>
        <v>14330.629817677251</v>
      </c>
      <c r="BD24" s="520">
        <f>+Fin!BD340</f>
        <v>14932.713615848705</v>
      </c>
      <c r="BE24" s="520">
        <f>+Fin!BE340</f>
        <v>12981.616243807486</v>
      </c>
      <c r="BF24" s="520">
        <f>+Fin!BF340</f>
        <v>13266.074581726716</v>
      </c>
      <c r="BG24" s="520">
        <f>+Fin!BG340</f>
        <v>13209.619932323629</v>
      </c>
      <c r="BH24" s="520">
        <f>+Fin!BH340</f>
        <v>13148.974364401478</v>
      </c>
      <c r="BI24" s="520">
        <f>+Fin!BI340</f>
        <v>13042.999778069923</v>
      </c>
      <c r="BJ24" s="520">
        <f>+Fin!BJ340</f>
        <v>8604.564377373923</v>
      </c>
      <c r="BK24" s="520">
        <f>+Fin!BK340</f>
        <v>0</v>
      </c>
      <c r="BL24" s="520">
        <f>+Fin!BL340</f>
        <v>0</v>
      </c>
      <c r="BM24" s="520">
        <f>+Fin!BM340</f>
        <v>0</v>
      </c>
      <c r="BN24" s="520">
        <f>+Fin!BN340</f>
        <v>0</v>
      </c>
      <c r="BO24" s="520">
        <f>+Fin!BO340</f>
        <v>0</v>
      </c>
      <c r="BP24" s="520">
        <f>+Fin!BP340</f>
        <v>0</v>
      </c>
      <c r="BQ24" s="520">
        <f>+Fin!BQ340</f>
        <v>0</v>
      </c>
      <c r="BR24" s="520">
        <f>+Fin!BR340</f>
        <v>0</v>
      </c>
      <c r="BS24" s="520">
        <f>+Fin!BS340</f>
        <v>0</v>
      </c>
      <c r="BT24" s="520">
        <f>+Fin!BT340</f>
        <v>0</v>
      </c>
      <c r="BU24" s="520">
        <f>+Fin!BU340</f>
        <v>0</v>
      </c>
      <c r="BV24" s="520">
        <f>+Fin!BV340</f>
        <v>0</v>
      </c>
      <c r="BW24" s="520">
        <f>+Fin!BW340</f>
        <v>0</v>
      </c>
      <c r="BX24" s="520">
        <f>+Fin!BX340</f>
        <v>0</v>
      </c>
      <c r="BY24" s="520">
        <f>+Fin!BY340</f>
        <v>0</v>
      </c>
      <c r="BZ24" s="520">
        <f>+Fin!BZ340</f>
        <v>0</v>
      </c>
      <c r="CA24" s="520">
        <f>+Fin!CA340</f>
        <v>0</v>
      </c>
      <c r="CB24" s="520">
        <f>+Fin!CB340</f>
        <v>0</v>
      </c>
      <c r="CC24" s="520">
        <f>+Fin!CC340</f>
        <v>0</v>
      </c>
      <c r="CD24" s="520">
        <f>+Fin!CD340</f>
        <v>0</v>
      </c>
      <c r="CE24" s="520">
        <f>+Fin!CE340</f>
        <v>0</v>
      </c>
      <c r="CF24" s="520">
        <f>+Fin!CF340</f>
        <v>0</v>
      </c>
      <c r="CG24" s="520">
        <f>+Fin!CG340</f>
        <v>0</v>
      </c>
      <c r="CH24" s="520">
        <f>+Fin!CH340</f>
        <v>0</v>
      </c>
      <c r="CI24" s="520">
        <f>+Fin!CI340</f>
        <v>0</v>
      </c>
      <c r="CJ24" s="520">
        <f>+Fin!CJ340</f>
        <v>0</v>
      </c>
      <c r="CK24" s="520">
        <f>+Fin!CK340</f>
        <v>0</v>
      </c>
      <c r="CL24" s="520">
        <f>+Fin!CL340</f>
        <v>0</v>
      </c>
      <c r="CM24" s="520">
        <f>+Fin!CM340</f>
        <v>0</v>
      </c>
      <c r="CN24" s="520">
        <f>+Fin!CN340</f>
        <v>0</v>
      </c>
      <c r="CO24" s="520">
        <f>+Fin!CO340</f>
        <v>0</v>
      </c>
      <c r="CP24" s="520">
        <f>+Fin!CP340</f>
        <v>0</v>
      </c>
      <c r="CQ24" s="520">
        <f>+Fin!CQ340</f>
        <v>0</v>
      </c>
      <c r="CR24" s="520">
        <f>+Fin!CR340</f>
        <v>0</v>
      </c>
      <c r="CS24" s="520">
        <f>+Fin!CS340</f>
        <v>0</v>
      </c>
      <c r="CT24" s="520">
        <f>+Fin!CT340</f>
        <v>0</v>
      </c>
      <c r="CU24" s="520">
        <f>+Fin!CU340</f>
        <v>0</v>
      </c>
      <c r="CV24" s="520">
        <f>+Fin!CV340</f>
        <v>0</v>
      </c>
      <c r="CW24" s="520">
        <f>+Fin!CW340</f>
        <v>0</v>
      </c>
      <c r="CX24" s="520">
        <f>+Fin!CX340</f>
        <v>0</v>
      </c>
      <c r="CY24" s="520">
        <f>+Fin!CY340</f>
        <v>0</v>
      </c>
      <c r="CZ24" s="520">
        <f>+Fin!CZ340</f>
        <v>0</v>
      </c>
      <c r="DA24" s="520">
        <f>+Fin!DA340</f>
        <v>0</v>
      </c>
      <c r="DB24" s="520">
        <f>+Fin!DB340</f>
        <v>0</v>
      </c>
      <c r="DC24" s="520">
        <f>+Fin!DC340</f>
        <v>0</v>
      </c>
      <c r="DD24" s="520">
        <f>+Fin!DD340</f>
        <v>0</v>
      </c>
      <c r="DE24" s="520">
        <f>+Fin!DE340</f>
        <v>0</v>
      </c>
      <c r="DF24" s="520">
        <f>+Fin!DF340</f>
        <v>0</v>
      </c>
      <c r="DG24" s="520">
        <f>+Fin!DG340</f>
        <v>0</v>
      </c>
      <c r="DH24" s="520">
        <f>+Fin!DH340</f>
        <v>0</v>
      </c>
      <c r="DI24" s="520">
        <f>+Fin!DI340</f>
        <v>0</v>
      </c>
      <c r="DJ24" s="520">
        <f>+Fin!DJ340</f>
        <v>0</v>
      </c>
      <c r="DK24" s="520">
        <f>+Fin!DK340</f>
        <v>0</v>
      </c>
      <c r="DL24" s="520">
        <f>+Fin!DL340</f>
        <v>0</v>
      </c>
      <c r="DM24" s="520">
        <f>+Fin!DM340</f>
        <v>0</v>
      </c>
      <c r="DN24" s="520">
        <f>+Fin!DN340</f>
        <v>0</v>
      </c>
      <c r="DO24" s="520">
        <f>+Fin!DO340</f>
        <v>0</v>
      </c>
      <c r="DP24" s="520">
        <f>+Fin!DP340</f>
        <v>0</v>
      </c>
      <c r="DQ24" s="520">
        <f>+Fin!DQ340</f>
        <v>0</v>
      </c>
      <c r="DR24" s="520">
        <f>+Fin!DR340</f>
        <v>0</v>
      </c>
      <c r="DS24" s="520">
        <f>+Fin!DS340</f>
        <v>0</v>
      </c>
      <c r="DT24" s="520">
        <f>+Fin!DT340</f>
        <v>0</v>
      </c>
      <c r="DU24" s="520">
        <f>+Fin!DU340</f>
        <v>0</v>
      </c>
      <c r="DV24" s="520">
        <f>+Fin!DV340</f>
        <v>0</v>
      </c>
      <c r="DW24" s="520">
        <f>+Fin!DW340</f>
        <v>0</v>
      </c>
      <c r="DX24" s="520">
        <f>+Fin!DX340</f>
        <v>0</v>
      </c>
      <c r="DY24" s="520">
        <f>+Fin!DY340</f>
        <v>0</v>
      </c>
      <c r="DZ24" s="520">
        <f>+Fin!DZ340</f>
        <v>0</v>
      </c>
      <c r="EA24" s="520">
        <f>+Fin!EA340</f>
        <v>0</v>
      </c>
      <c r="EB24" s="520">
        <f>+Fin!EB340</f>
        <v>0</v>
      </c>
      <c r="EC24" s="520">
        <f>+Fin!EC340</f>
        <v>0</v>
      </c>
      <c r="ED24" s="520">
        <f>+Fin!ED340</f>
        <v>0</v>
      </c>
      <c r="EE24" s="520">
        <f>+Fin!EE340</f>
        <v>0</v>
      </c>
      <c r="EF24" s="520">
        <f>+Fin!EF340</f>
        <v>0</v>
      </c>
      <c r="EG24" s="520">
        <f>+Fin!EG340</f>
        <v>0</v>
      </c>
      <c r="EH24" s="520">
        <f>+Fin!EH340</f>
        <v>0</v>
      </c>
      <c r="EI24" s="520">
        <f>+Fin!EI340</f>
        <v>0</v>
      </c>
      <c r="EJ24" s="520">
        <f>+Fin!EJ340</f>
        <v>0</v>
      </c>
      <c r="EK24" s="520">
        <f>+Fin!EK340</f>
        <v>0</v>
      </c>
      <c r="EL24" s="520">
        <f>+Fin!EL340</f>
        <v>0</v>
      </c>
      <c r="EM24" s="520">
        <f>+Fin!EM340</f>
        <v>0</v>
      </c>
      <c r="EN24" s="520">
        <f>+Fin!EN340</f>
        <v>0</v>
      </c>
      <c r="EO24" s="520">
        <f>+Fin!EO340</f>
        <v>0</v>
      </c>
      <c r="EP24" s="520">
        <f>+Fin!EP340</f>
        <v>0</v>
      </c>
      <c r="EQ24" s="520">
        <f>+Fin!EQ340</f>
        <v>0</v>
      </c>
      <c r="ER24" s="520">
        <f>+Fin!ER340</f>
        <v>0</v>
      </c>
      <c r="ES24" s="520">
        <f>+Fin!ES340</f>
        <v>0</v>
      </c>
      <c r="ET24" s="520">
        <f>+Fin!ET340</f>
        <v>0</v>
      </c>
      <c r="EU24" s="520">
        <f>+Fin!EU340</f>
        <v>0</v>
      </c>
      <c r="EV24" s="520">
        <f>+Fin!EV340</f>
        <v>0</v>
      </c>
      <c r="EW24" s="520">
        <f>+Fin!EW340</f>
        <v>0</v>
      </c>
      <c r="EX24" s="520">
        <f>+Fin!EX340</f>
        <v>0</v>
      </c>
      <c r="EY24" s="520">
        <f>+Fin!EY340</f>
        <v>0</v>
      </c>
      <c r="EZ24" s="520">
        <f>+Fin!EZ340</f>
        <v>0</v>
      </c>
      <c r="FA24" s="520">
        <f>+Fin!FA340</f>
        <v>0</v>
      </c>
      <c r="FB24" s="520">
        <f>+Fin!FB340</f>
        <v>0</v>
      </c>
      <c r="FC24" s="520">
        <f>+Fin!FC340</f>
        <v>0</v>
      </c>
      <c r="FD24" s="520">
        <f>+Fin!FD340</f>
        <v>0</v>
      </c>
      <c r="FE24" s="520">
        <f>+Fin!FE340</f>
        <v>0</v>
      </c>
      <c r="FF24" s="520">
        <f>+Fin!FF340</f>
        <v>0</v>
      </c>
      <c r="FG24" s="520">
        <f>+Fin!FG340</f>
        <v>0</v>
      </c>
      <c r="FH24" s="520">
        <f>+Fin!FH340</f>
        <v>0</v>
      </c>
      <c r="FI24" s="520">
        <f>+Fin!FI340</f>
        <v>0</v>
      </c>
      <c r="FJ24" s="520">
        <f>+Fin!FJ340</f>
        <v>0</v>
      </c>
      <c r="FK24" s="520">
        <f>+Fin!FK340</f>
        <v>0</v>
      </c>
      <c r="FL24" s="520">
        <f>+Fin!FL340</f>
        <v>0</v>
      </c>
      <c r="FM24" s="520">
        <f>+Fin!FM340</f>
        <v>0</v>
      </c>
      <c r="FN24" s="520">
        <f>+Fin!FN340</f>
        <v>0</v>
      </c>
      <c r="FO24" s="520">
        <f>+Fin!FO340</f>
        <v>0</v>
      </c>
      <c r="FP24" s="520">
        <f>+Fin!FP340</f>
        <v>0</v>
      </c>
      <c r="FQ24" s="520">
        <f>+Fin!FQ340</f>
        <v>0</v>
      </c>
      <c r="FR24" s="520">
        <f>+Fin!FR340</f>
        <v>0</v>
      </c>
      <c r="FS24" s="520">
        <f>+Fin!FS340</f>
        <v>0</v>
      </c>
      <c r="FT24" s="520">
        <f>+Fin!FT340</f>
        <v>0</v>
      </c>
      <c r="FU24" s="520">
        <f>+Fin!FU340</f>
        <v>0</v>
      </c>
      <c r="FV24" s="520">
        <f>+Fin!FV340</f>
        <v>0</v>
      </c>
      <c r="FW24" s="520">
        <f>+Fin!FW340</f>
        <v>0</v>
      </c>
      <c r="FX24" s="520">
        <f>+Fin!FX340</f>
        <v>0</v>
      </c>
      <c r="FY24" s="520">
        <f>+Fin!FY340</f>
        <v>0</v>
      </c>
      <c r="FZ24" s="520">
        <f>+Fin!FZ340</f>
        <v>0</v>
      </c>
      <c r="GA24" s="520">
        <f>+Fin!GA340</f>
        <v>0</v>
      </c>
      <c r="GB24" s="520">
        <f>+Fin!GB340</f>
        <v>0</v>
      </c>
      <c r="GC24" s="520">
        <f>+Fin!GC340</f>
        <v>0</v>
      </c>
      <c r="GD24" s="520">
        <f>+Fin!GD340</f>
        <v>0</v>
      </c>
      <c r="GE24" s="520">
        <f>+Fin!GE340</f>
        <v>0</v>
      </c>
      <c r="GF24" s="520">
        <f>+Fin!GF340</f>
        <v>0</v>
      </c>
      <c r="GG24" s="520">
        <f>+Fin!GG340</f>
        <v>0</v>
      </c>
      <c r="GH24" s="520">
        <f>+Fin!GH340</f>
        <v>0</v>
      </c>
      <c r="GI24" s="520">
        <f>+Fin!GI340</f>
        <v>0</v>
      </c>
      <c r="GJ24" s="520">
        <f>+Fin!GJ340</f>
        <v>0</v>
      </c>
      <c r="GK24" s="520">
        <f>+Fin!GK340</f>
        <v>0</v>
      </c>
      <c r="GL24" s="520">
        <f>+Fin!GL340</f>
        <v>0</v>
      </c>
      <c r="GM24" s="520">
        <f>+Fin!GM340</f>
        <v>0</v>
      </c>
      <c r="GN24" s="520">
        <f>+Fin!GN340</f>
        <v>0</v>
      </c>
      <c r="GO24" s="520">
        <f>+Fin!GO340</f>
        <v>0</v>
      </c>
      <c r="GP24" s="520">
        <f>+Fin!GP340</f>
        <v>0</v>
      </c>
      <c r="GQ24" s="520">
        <f>+Fin!GQ340</f>
        <v>0</v>
      </c>
      <c r="GR24" s="520">
        <f>+Fin!GR340</f>
        <v>0</v>
      </c>
      <c r="GS24" s="520">
        <f>+Fin!GS340</f>
        <v>0</v>
      </c>
      <c r="GT24" s="520">
        <f>+Fin!GT340</f>
        <v>0</v>
      </c>
      <c r="GU24" s="520">
        <f>+Fin!GU340</f>
        <v>0</v>
      </c>
      <c r="GV24" s="520">
        <f>+Fin!GV340</f>
        <v>0</v>
      </c>
      <c r="GW24" s="520">
        <f>+Fin!GW340</f>
        <v>0</v>
      </c>
      <c r="GX24" s="520">
        <f>+Fin!GX340</f>
        <v>0</v>
      </c>
      <c r="GY24" s="520">
        <f>+Fin!GY340</f>
        <v>0</v>
      </c>
      <c r="GZ24" s="520">
        <f>+Fin!GZ340</f>
        <v>0</v>
      </c>
      <c r="HA24" s="520">
        <f>+Fin!HA340</f>
        <v>0</v>
      </c>
      <c r="HB24" s="520">
        <f>+Fin!HB340</f>
        <v>0</v>
      </c>
      <c r="HC24" s="520">
        <f>+Fin!HC340</f>
        <v>0</v>
      </c>
      <c r="HD24" s="520">
        <f>+Fin!HD340</f>
        <v>0</v>
      </c>
      <c r="HE24" s="520">
        <f>+Fin!HE340</f>
        <v>0</v>
      </c>
      <c r="HF24" s="520">
        <f>+Fin!HF340</f>
        <v>0</v>
      </c>
      <c r="HG24" s="520">
        <f>+Fin!HG340</f>
        <v>0</v>
      </c>
      <c r="HH24" s="520">
        <f>+Fin!HH340</f>
        <v>0</v>
      </c>
      <c r="HI24" s="520">
        <f>+Fin!HI340</f>
        <v>0</v>
      </c>
      <c r="HJ24" s="520">
        <f>+Fin!HJ340</f>
        <v>0</v>
      </c>
      <c r="HK24" s="520">
        <f>+Fin!HK340</f>
        <v>0</v>
      </c>
      <c r="HL24" s="520">
        <f>+Fin!HL340</f>
        <v>0</v>
      </c>
      <c r="HM24" s="520">
        <f>+Fin!HM340</f>
        <v>0</v>
      </c>
      <c r="HN24" s="520">
        <f>+Fin!HN340</f>
        <v>0</v>
      </c>
      <c r="HO24" s="520">
        <f>+Fin!HO340</f>
        <v>0</v>
      </c>
      <c r="HP24" s="520">
        <f>+Fin!HP340</f>
        <v>0</v>
      </c>
      <c r="HQ24" s="520">
        <f>+Fin!HQ340</f>
        <v>0</v>
      </c>
      <c r="HR24" s="520">
        <f>+Fin!HR340</f>
        <v>0</v>
      </c>
      <c r="HS24" s="520">
        <f>+Fin!HS340</f>
        <v>0</v>
      </c>
      <c r="HT24" s="520">
        <f>+Fin!HT340</f>
        <v>0</v>
      </c>
      <c r="HU24" s="520">
        <f>+Fin!HU340</f>
        <v>0</v>
      </c>
      <c r="HV24" s="520">
        <f>+Fin!HV340</f>
        <v>0</v>
      </c>
      <c r="HW24" s="520">
        <f>+Fin!HW340</f>
        <v>0</v>
      </c>
      <c r="HX24" s="520">
        <f>+Fin!HX340</f>
        <v>0</v>
      </c>
      <c r="HY24" s="520">
        <f>+Fin!HY340</f>
        <v>0</v>
      </c>
      <c r="HZ24" s="520">
        <f>+Fin!HZ340</f>
        <v>0</v>
      </c>
      <c r="IA24" s="520">
        <f>+Fin!IA340</f>
        <v>0</v>
      </c>
      <c r="IB24" s="520">
        <f>+Fin!IB340</f>
        <v>0</v>
      </c>
      <c r="IC24" s="520">
        <f>+Fin!IC340</f>
        <v>0</v>
      </c>
      <c r="ID24" s="520">
        <f>+Fin!ID340</f>
        <v>0</v>
      </c>
      <c r="IE24" s="520">
        <f>+Fin!IE340</f>
        <v>0</v>
      </c>
      <c r="IF24" s="520">
        <f>+Fin!IF340</f>
        <v>0</v>
      </c>
      <c r="IG24" s="520">
        <f>+Fin!IG340</f>
        <v>0</v>
      </c>
      <c r="IH24" s="520">
        <f>+Fin!IH340</f>
        <v>0</v>
      </c>
      <c r="II24" s="520">
        <f>+Fin!II340</f>
        <v>0</v>
      </c>
      <c r="IJ24" s="520">
        <f>+Fin!IJ340</f>
        <v>0</v>
      </c>
      <c r="IK24" s="520">
        <f>+Fin!IK340</f>
        <v>0</v>
      </c>
      <c r="IL24" s="520">
        <f>+Fin!IL340</f>
        <v>0</v>
      </c>
      <c r="IM24" s="520">
        <f>+Fin!IM340</f>
        <v>0</v>
      </c>
      <c r="IN24" s="520">
        <f>+Fin!IN340</f>
        <v>0</v>
      </c>
      <c r="IO24" s="520">
        <f>+Fin!IO340</f>
        <v>0</v>
      </c>
    </row>
    <row r="25" spans="1:249" s="270" customFormat="1" x14ac:dyDescent="0.2">
      <c r="A25" s="258"/>
      <c r="B25" s="524"/>
      <c r="C25" s="517" t="s">
        <v>163</v>
      </c>
      <c r="D25" s="517"/>
      <c r="E25" s="517"/>
      <c r="F25" s="517"/>
      <c r="G25" s="517"/>
      <c r="H25" s="517"/>
      <c r="I25" s="517"/>
      <c r="J25" s="517"/>
      <c r="K25" s="517" t="s">
        <v>63</v>
      </c>
      <c r="L25" s="520"/>
      <c r="M25" s="519" t="str">
        <f>IF(ROUND(N25,1)=ROUND(N34,1),"OK","CHECK")</f>
        <v>OK</v>
      </c>
      <c r="N25" s="520">
        <f t="shared" si="0"/>
        <v>7399.157934068744</v>
      </c>
      <c r="O25" s="525"/>
      <c r="P25" s="526"/>
      <c r="Q25" s="520">
        <f>+Fin!Q219</f>
        <v>0</v>
      </c>
      <c r="R25" s="520">
        <f>+Fin!R219</f>
        <v>0</v>
      </c>
      <c r="S25" s="520">
        <f>+Fin!S219</f>
        <v>0</v>
      </c>
      <c r="T25" s="520">
        <f>+Fin!T219</f>
        <v>0</v>
      </c>
      <c r="U25" s="520">
        <f>+Fin!U219</f>
        <v>0</v>
      </c>
      <c r="V25" s="520">
        <f>+Fin!V219</f>
        <v>214.60361445895464</v>
      </c>
      <c r="W25" s="520">
        <f>+Fin!W219</f>
        <v>204.55801434489464</v>
      </c>
      <c r="X25" s="520">
        <f>+Fin!X219</f>
        <v>191.72799714611077</v>
      </c>
      <c r="Y25" s="520">
        <f>+Fin!Y219</f>
        <v>175.3417843313382</v>
      </c>
      <c r="Z25" s="520">
        <f>+Fin!Z219</f>
        <v>154.41367751348707</v>
      </c>
      <c r="AA25" s="520">
        <f>+Fin!AA219</f>
        <v>127.68476462004948</v>
      </c>
      <c r="AB25" s="520">
        <f>+Fin!AB219</f>
        <v>93.547191131769083</v>
      </c>
      <c r="AC25" s="520">
        <f>+Fin!AC219</f>
        <v>62.209213881913925</v>
      </c>
      <c r="AD25" s="520">
        <f>+Fin!AD219</f>
        <v>33.441240128606935</v>
      </c>
      <c r="AE25" s="520">
        <f>+Fin!AE219</f>
        <v>0</v>
      </c>
      <c r="AF25" s="520">
        <f>+Fin!AF219</f>
        <v>485.52442828237349</v>
      </c>
      <c r="AG25" s="520">
        <f>+Fin!AG219</f>
        <v>463.26960180185034</v>
      </c>
      <c r="AH25" s="520">
        <f>+Fin!AH219</f>
        <v>433.09444834869271</v>
      </c>
      <c r="AI25" s="520">
        <f>+Fin!AI219</f>
        <v>392.18018255028295</v>
      </c>
      <c r="AJ25" s="520">
        <f>+Fin!AJ219</f>
        <v>336.70483431646147</v>
      </c>
      <c r="AK25" s="520">
        <f>+Fin!AK219</f>
        <v>261.48622287107719</v>
      </c>
      <c r="AL25" s="520">
        <f>+Fin!AL219</f>
        <v>159.4978679007825</v>
      </c>
      <c r="AM25" s="520">
        <f>+Fin!AM219</f>
        <v>90.467788475952574</v>
      </c>
      <c r="AN25" s="520">
        <f>+Fin!AN219</f>
        <v>43.745279158234538</v>
      </c>
      <c r="AO25" s="520">
        <f>+Fin!AO219</f>
        <v>0</v>
      </c>
      <c r="AP25" s="520">
        <f>+Fin!AP219</f>
        <v>528.32802467821818</v>
      </c>
      <c r="AQ25" s="520">
        <f>+Fin!AQ219</f>
        <v>513.84065580987499</v>
      </c>
      <c r="AR25" s="520">
        <f>+Fin!AR219</f>
        <v>493.7144174253682</v>
      </c>
      <c r="AS25" s="520">
        <f>+Fin!AS219</f>
        <v>465.75451144167295</v>
      </c>
      <c r="AT25" s="520">
        <f>+Fin!AT219</f>
        <v>426.91186595165027</v>
      </c>
      <c r="AU25" s="520">
        <f>+Fin!AU219</f>
        <v>372.95062911689837</v>
      </c>
      <c r="AV25" s="520">
        <f>+Fin!AV219</f>
        <v>297.9862428347094</v>
      </c>
      <c r="AW25" s="520">
        <f>+Fin!AW219</f>
        <v>224.30083897758612</v>
      </c>
      <c r="AX25" s="520">
        <f>+Fin!AX219</f>
        <v>151.87259656993265</v>
      </c>
      <c r="AY25" s="520">
        <f>+Fin!AY219</f>
        <v>0</v>
      </c>
      <c r="AZ25" s="520">
        <f>+Fin!AZ219</f>
        <v>0</v>
      </c>
      <c r="BA25" s="520">
        <f>+Fin!BA219</f>
        <v>0</v>
      </c>
      <c r="BB25" s="520">
        <f>+Fin!BB219</f>
        <v>0</v>
      </c>
      <c r="BC25" s="520">
        <f>+Fin!BC219</f>
        <v>0</v>
      </c>
      <c r="BD25" s="520">
        <f>+Fin!BD219</f>
        <v>0</v>
      </c>
      <c r="BE25" s="520">
        <f>+Fin!BE219</f>
        <v>0</v>
      </c>
      <c r="BF25" s="520">
        <f>+Fin!BF219</f>
        <v>0</v>
      </c>
      <c r="BG25" s="520">
        <f>+Fin!BG219</f>
        <v>0</v>
      </c>
      <c r="BH25" s="520">
        <f>+Fin!BH219</f>
        <v>0</v>
      </c>
      <c r="BI25" s="520">
        <f>+Fin!BI219</f>
        <v>0</v>
      </c>
      <c r="BJ25" s="520">
        <f>+Fin!BJ219</f>
        <v>0</v>
      </c>
      <c r="BK25" s="520">
        <f>+Fin!BK219</f>
        <v>0</v>
      </c>
      <c r="BL25" s="520">
        <f>+Fin!BL219</f>
        <v>0</v>
      </c>
      <c r="BM25" s="520">
        <f>+Fin!BM219</f>
        <v>0</v>
      </c>
      <c r="BN25" s="520">
        <f>+Fin!BN219</f>
        <v>0</v>
      </c>
      <c r="BO25" s="520">
        <f>+Fin!BO219</f>
        <v>0</v>
      </c>
      <c r="BP25" s="520">
        <f>+Fin!BP219</f>
        <v>0</v>
      </c>
      <c r="BQ25" s="520">
        <f>+Fin!BQ219</f>
        <v>0</v>
      </c>
      <c r="BR25" s="520">
        <f>+Fin!BR219</f>
        <v>0</v>
      </c>
      <c r="BS25" s="520">
        <f>+Fin!BS219</f>
        <v>0</v>
      </c>
      <c r="BT25" s="520">
        <f>+Fin!BT219</f>
        <v>0</v>
      </c>
      <c r="BU25" s="520">
        <f>+Fin!BU219</f>
        <v>0</v>
      </c>
      <c r="BV25" s="520">
        <f>+Fin!BV219</f>
        <v>0</v>
      </c>
      <c r="BW25" s="520">
        <f>+Fin!BW219</f>
        <v>0</v>
      </c>
      <c r="BX25" s="520">
        <f>+Fin!BX219</f>
        <v>0</v>
      </c>
      <c r="BY25" s="520">
        <f>+Fin!BY219</f>
        <v>0</v>
      </c>
      <c r="BZ25" s="520">
        <f>+Fin!BZ219</f>
        <v>0</v>
      </c>
      <c r="CA25" s="520">
        <f>+Fin!CA219</f>
        <v>0</v>
      </c>
      <c r="CB25" s="520">
        <f>+Fin!CB219</f>
        <v>0</v>
      </c>
      <c r="CC25" s="520">
        <f>+Fin!CC219</f>
        <v>0</v>
      </c>
      <c r="CD25" s="520">
        <f>+Fin!CD219</f>
        <v>0</v>
      </c>
      <c r="CE25" s="520">
        <f>+Fin!CE219</f>
        <v>0</v>
      </c>
      <c r="CF25" s="520">
        <f>+Fin!CF219</f>
        <v>0</v>
      </c>
      <c r="CG25" s="520">
        <f>+Fin!CG219</f>
        <v>0</v>
      </c>
      <c r="CH25" s="520">
        <f>+Fin!CH219</f>
        <v>0</v>
      </c>
      <c r="CI25" s="520">
        <f>+Fin!CI219</f>
        <v>0</v>
      </c>
      <c r="CJ25" s="520">
        <f>+Fin!CJ219</f>
        <v>0</v>
      </c>
      <c r="CK25" s="520">
        <f>+Fin!CK219</f>
        <v>0</v>
      </c>
      <c r="CL25" s="520">
        <f>+Fin!CL219</f>
        <v>0</v>
      </c>
      <c r="CM25" s="520">
        <f>+Fin!CM219</f>
        <v>0</v>
      </c>
      <c r="CN25" s="520">
        <f>+Fin!CN219</f>
        <v>0</v>
      </c>
      <c r="CO25" s="520">
        <f>+Fin!CO219</f>
        <v>0</v>
      </c>
      <c r="CP25" s="520">
        <f>+Fin!CP219</f>
        <v>0</v>
      </c>
      <c r="CQ25" s="520">
        <f>+Fin!CQ219</f>
        <v>0</v>
      </c>
      <c r="CR25" s="520">
        <f>+Fin!CR219</f>
        <v>0</v>
      </c>
      <c r="CS25" s="520">
        <f>+Fin!CS219</f>
        <v>0</v>
      </c>
      <c r="CT25" s="520">
        <f>+Fin!CT219</f>
        <v>0</v>
      </c>
      <c r="CU25" s="520">
        <f>+Fin!CU219</f>
        <v>0</v>
      </c>
      <c r="CV25" s="520">
        <f>+Fin!CV219</f>
        <v>0</v>
      </c>
      <c r="CW25" s="520">
        <f>+Fin!CW219</f>
        <v>0</v>
      </c>
      <c r="CX25" s="520">
        <f>+Fin!CX219</f>
        <v>0</v>
      </c>
      <c r="CY25" s="520">
        <f>+Fin!CY219</f>
        <v>0</v>
      </c>
      <c r="CZ25" s="520">
        <f>+Fin!CZ219</f>
        <v>0</v>
      </c>
      <c r="DA25" s="520">
        <f>+Fin!DA219</f>
        <v>0</v>
      </c>
      <c r="DB25" s="520">
        <f>+Fin!DB219</f>
        <v>0</v>
      </c>
      <c r="DC25" s="520">
        <f>+Fin!DC219</f>
        <v>0</v>
      </c>
      <c r="DD25" s="520">
        <f>+Fin!DD219</f>
        <v>0</v>
      </c>
      <c r="DE25" s="520">
        <f>+Fin!DE219</f>
        <v>0</v>
      </c>
      <c r="DF25" s="520">
        <f>+Fin!DF219</f>
        <v>0</v>
      </c>
      <c r="DG25" s="520">
        <f>+Fin!DG219</f>
        <v>0</v>
      </c>
      <c r="DH25" s="520">
        <f>+Fin!DH219</f>
        <v>0</v>
      </c>
      <c r="DI25" s="520">
        <f>+Fin!DI219</f>
        <v>0</v>
      </c>
      <c r="DJ25" s="520">
        <f>+Fin!DJ219</f>
        <v>0</v>
      </c>
      <c r="DK25" s="520">
        <f>+Fin!DK219</f>
        <v>0</v>
      </c>
      <c r="DL25" s="520">
        <f>+Fin!DL219</f>
        <v>0</v>
      </c>
      <c r="DM25" s="520">
        <f>+Fin!DM219</f>
        <v>0</v>
      </c>
      <c r="DN25" s="520">
        <f>+Fin!DN219</f>
        <v>0</v>
      </c>
      <c r="DO25" s="520">
        <f>+Fin!DO219</f>
        <v>0</v>
      </c>
      <c r="DP25" s="520">
        <f>+Fin!DP219</f>
        <v>0</v>
      </c>
      <c r="DQ25" s="520">
        <f>+Fin!DQ219</f>
        <v>0</v>
      </c>
      <c r="DR25" s="520">
        <f>+Fin!DR219</f>
        <v>0</v>
      </c>
      <c r="DS25" s="520">
        <f>+Fin!DS219</f>
        <v>0</v>
      </c>
      <c r="DT25" s="520">
        <f>+Fin!DT219</f>
        <v>0</v>
      </c>
      <c r="DU25" s="520">
        <f>+Fin!DU219</f>
        <v>0</v>
      </c>
      <c r="DV25" s="520">
        <f>+Fin!DV219</f>
        <v>0</v>
      </c>
      <c r="DW25" s="520">
        <f>+Fin!DW219</f>
        <v>0</v>
      </c>
      <c r="DX25" s="520">
        <f>+Fin!DX219</f>
        <v>0</v>
      </c>
      <c r="DY25" s="520">
        <f>+Fin!DY219</f>
        <v>0</v>
      </c>
      <c r="DZ25" s="520">
        <f>+Fin!DZ219</f>
        <v>0</v>
      </c>
      <c r="EA25" s="520">
        <f>+Fin!EA219</f>
        <v>0</v>
      </c>
      <c r="EB25" s="520">
        <f>+Fin!EB219</f>
        <v>0</v>
      </c>
      <c r="EC25" s="520">
        <f>+Fin!EC219</f>
        <v>0</v>
      </c>
      <c r="ED25" s="520">
        <f>+Fin!ED219</f>
        <v>0</v>
      </c>
      <c r="EE25" s="520">
        <f>+Fin!EE219</f>
        <v>0</v>
      </c>
      <c r="EF25" s="520">
        <f>+Fin!EF219</f>
        <v>0</v>
      </c>
      <c r="EG25" s="520">
        <f>+Fin!EG219</f>
        <v>0</v>
      </c>
      <c r="EH25" s="520">
        <f>+Fin!EH219</f>
        <v>0</v>
      </c>
      <c r="EI25" s="520">
        <f>+Fin!EI219</f>
        <v>0</v>
      </c>
      <c r="EJ25" s="520">
        <f>+Fin!EJ219</f>
        <v>0</v>
      </c>
      <c r="EK25" s="520">
        <f>+Fin!EK219</f>
        <v>0</v>
      </c>
      <c r="EL25" s="520">
        <f>+Fin!EL219</f>
        <v>0</v>
      </c>
      <c r="EM25" s="520">
        <f>+Fin!EM219</f>
        <v>0</v>
      </c>
      <c r="EN25" s="520">
        <f>+Fin!EN219</f>
        <v>0</v>
      </c>
      <c r="EO25" s="520">
        <f>+Fin!EO219</f>
        <v>0</v>
      </c>
      <c r="EP25" s="520">
        <f>+Fin!EP219</f>
        <v>0</v>
      </c>
      <c r="EQ25" s="520">
        <f>+Fin!EQ219</f>
        <v>0</v>
      </c>
      <c r="ER25" s="520">
        <f>+Fin!ER219</f>
        <v>0</v>
      </c>
      <c r="ES25" s="520">
        <f>+Fin!ES219</f>
        <v>0</v>
      </c>
      <c r="ET25" s="520">
        <f>+Fin!ET219</f>
        <v>0</v>
      </c>
      <c r="EU25" s="520">
        <f>+Fin!EU219</f>
        <v>0</v>
      </c>
      <c r="EV25" s="520">
        <f>+Fin!EV219</f>
        <v>0</v>
      </c>
      <c r="EW25" s="520">
        <f>+Fin!EW219</f>
        <v>0</v>
      </c>
      <c r="EX25" s="520">
        <f>+Fin!EX219</f>
        <v>0</v>
      </c>
      <c r="EY25" s="520">
        <f>+Fin!EY219</f>
        <v>0</v>
      </c>
      <c r="EZ25" s="520">
        <f>+Fin!EZ219</f>
        <v>0</v>
      </c>
      <c r="FA25" s="520">
        <f>+Fin!FA219</f>
        <v>0</v>
      </c>
      <c r="FB25" s="520">
        <f>+Fin!FB219</f>
        <v>0</v>
      </c>
      <c r="FC25" s="520">
        <f>+Fin!FC219</f>
        <v>0</v>
      </c>
      <c r="FD25" s="520">
        <f>+Fin!FD219</f>
        <v>0</v>
      </c>
      <c r="FE25" s="520">
        <f>+Fin!FE219</f>
        <v>0</v>
      </c>
      <c r="FF25" s="520">
        <f>+Fin!FF219</f>
        <v>0</v>
      </c>
      <c r="FG25" s="520">
        <f>+Fin!FG219</f>
        <v>0</v>
      </c>
      <c r="FH25" s="520">
        <f>+Fin!FH219</f>
        <v>0</v>
      </c>
      <c r="FI25" s="520">
        <f>+Fin!FI219</f>
        <v>0</v>
      </c>
      <c r="FJ25" s="520">
        <f>+Fin!FJ219</f>
        <v>0</v>
      </c>
      <c r="FK25" s="520">
        <f>+Fin!FK219</f>
        <v>0</v>
      </c>
      <c r="FL25" s="520">
        <f>+Fin!FL219</f>
        <v>0</v>
      </c>
      <c r="FM25" s="520">
        <f>+Fin!FM219</f>
        <v>0</v>
      </c>
      <c r="FN25" s="520">
        <f>+Fin!FN219</f>
        <v>0</v>
      </c>
      <c r="FO25" s="520">
        <f>+Fin!FO219</f>
        <v>0</v>
      </c>
      <c r="FP25" s="520">
        <f>+Fin!FP219</f>
        <v>0</v>
      </c>
      <c r="FQ25" s="520">
        <f>+Fin!FQ219</f>
        <v>0</v>
      </c>
      <c r="FR25" s="520">
        <f>+Fin!FR219</f>
        <v>0</v>
      </c>
      <c r="FS25" s="520">
        <f>+Fin!FS219</f>
        <v>0</v>
      </c>
      <c r="FT25" s="520">
        <f>+Fin!FT219</f>
        <v>0</v>
      </c>
      <c r="FU25" s="520">
        <f>+Fin!FU219</f>
        <v>0</v>
      </c>
      <c r="FV25" s="520">
        <f>+Fin!FV219</f>
        <v>0</v>
      </c>
      <c r="FW25" s="520">
        <f>+Fin!FW219</f>
        <v>0</v>
      </c>
      <c r="FX25" s="520">
        <f>+Fin!FX219</f>
        <v>0</v>
      </c>
      <c r="FY25" s="520">
        <f>+Fin!FY219</f>
        <v>0</v>
      </c>
      <c r="FZ25" s="520">
        <f>+Fin!FZ219</f>
        <v>0</v>
      </c>
      <c r="GA25" s="520">
        <f>+Fin!GA219</f>
        <v>0</v>
      </c>
      <c r="GB25" s="520">
        <f>+Fin!GB219</f>
        <v>0</v>
      </c>
      <c r="GC25" s="520">
        <f>+Fin!GC219</f>
        <v>0</v>
      </c>
      <c r="GD25" s="520">
        <f>+Fin!GD219</f>
        <v>0</v>
      </c>
      <c r="GE25" s="520">
        <f>+Fin!GE219</f>
        <v>0</v>
      </c>
      <c r="GF25" s="520">
        <f>+Fin!GF219</f>
        <v>0</v>
      </c>
      <c r="GG25" s="520">
        <f>+Fin!GG219</f>
        <v>0</v>
      </c>
      <c r="GH25" s="520">
        <f>+Fin!GH219</f>
        <v>0</v>
      </c>
      <c r="GI25" s="520">
        <f>+Fin!GI219</f>
        <v>0</v>
      </c>
      <c r="GJ25" s="520">
        <f>+Fin!GJ219</f>
        <v>0</v>
      </c>
      <c r="GK25" s="520">
        <f>+Fin!GK219</f>
        <v>0</v>
      </c>
      <c r="GL25" s="520">
        <f>+Fin!GL219</f>
        <v>0</v>
      </c>
      <c r="GM25" s="520">
        <f>+Fin!GM219</f>
        <v>0</v>
      </c>
      <c r="GN25" s="520">
        <f>+Fin!GN219</f>
        <v>0</v>
      </c>
      <c r="GO25" s="520">
        <f>+Fin!GO219</f>
        <v>0</v>
      </c>
      <c r="GP25" s="520">
        <f>+Fin!GP219</f>
        <v>0</v>
      </c>
      <c r="GQ25" s="520">
        <f>+Fin!GQ219</f>
        <v>0</v>
      </c>
      <c r="GR25" s="520">
        <f>+Fin!GR219</f>
        <v>0</v>
      </c>
      <c r="GS25" s="520">
        <f>+Fin!GS219</f>
        <v>0</v>
      </c>
      <c r="GT25" s="520">
        <f>+Fin!GT219</f>
        <v>0</v>
      </c>
      <c r="GU25" s="520">
        <f>+Fin!GU219</f>
        <v>0</v>
      </c>
      <c r="GV25" s="520">
        <f>+Fin!GV219</f>
        <v>0</v>
      </c>
      <c r="GW25" s="520">
        <f>+Fin!GW219</f>
        <v>0</v>
      </c>
      <c r="GX25" s="520">
        <f>+Fin!GX219</f>
        <v>0</v>
      </c>
      <c r="GY25" s="520">
        <f>+Fin!GY219</f>
        <v>0</v>
      </c>
      <c r="GZ25" s="520">
        <f>+Fin!GZ219</f>
        <v>0</v>
      </c>
      <c r="HA25" s="520">
        <f>+Fin!HA219</f>
        <v>0</v>
      </c>
      <c r="HB25" s="520">
        <f>+Fin!HB219</f>
        <v>0</v>
      </c>
      <c r="HC25" s="520">
        <f>+Fin!HC219</f>
        <v>0</v>
      </c>
      <c r="HD25" s="520">
        <f>+Fin!HD219</f>
        <v>0</v>
      </c>
      <c r="HE25" s="520">
        <f>+Fin!HE219</f>
        <v>0</v>
      </c>
      <c r="HF25" s="520">
        <f>+Fin!HF219</f>
        <v>0</v>
      </c>
      <c r="HG25" s="520">
        <f>+Fin!HG219</f>
        <v>0</v>
      </c>
      <c r="HH25" s="520">
        <f>+Fin!HH219</f>
        <v>0</v>
      </c>
      <c r="HI25" s="520">
        <f>+Fin!HI219</f>
        <v>0</v>
      </c>
      <c r="HJ25" s="520">
        <f>+Fin!HJ219</f>
        <v>0</v>
      </c>
      <c r="HK25" s="520">
        <f>+Fin!HK219</f>
        <v>0</v>
      </c>
      <c r="HL25" s="520">
        <f>+Fin!HL219</f>
        <v>0</v>
      </c>
      <c r="HM25" s="520">
        <f>+Fin!HM219</f>
        <v>0</v>
      </c>
      <c r="HN25" s="520">
        <f>+Fin!HN219</f>
        <v>0</v>
      </c>
      <c r="HO25" s="520">
        <f>+Fin!HO219</f>
        <v>0</v>
      </c>
      <c r="HP25" s="520">
        <f>+Fin!HP219</f>
        <v>0</v>
      </c>
      <c r="HQ25" s="520">
        <f>+Fin!HQ219</f>
        <v>0</v>
      </c>
      <c r="HR25" s="520">
        <f>+Fin!HR219</f>
        <v>0</v>
      </c>
      <c r="HS25" s="520">
        <f>+Fin!HS219</f>
        <v>0</v>
      </c>
      <c r="HT25" s="520">
        <f>+Fin!HT219</f>
        <v>0</v>
      </c>
      <c r="HU25" s="520">
        <f>+Fin!HU219</f>
        <v>0</v>
      </c>
      <c r="HV25" s="520">
        <f>+Fin!HV219</f>
        <v>0</v>
      </c>
      <c r="HW25" s="520">
        <f>+Fin!HW219</f>
        <v>0</v>
      </c>
      <c r="HX25" s="520">
        <f>+Fin!HX219</f>
        <v>0</v>
      </c>
      <c r="HY25" s="520">
        <f>+Fin!HY219</f>
        <v>0</v>
      </c>
      <c r="HZ25" s="520">
        <f>+Fin!HZ219</f>
        <v>0</v>
      </c>
      <c r="IA25" s="520">
        <f>+Fin!IA219</f>
        <v>0</v>
      </c>
      <c r="IB25" s="520">
        <f>+Fin!IB219</f>
        <v>0</v>
      </c>
      <c r="IC25" s="520">
        <f>+Fin!IC219</f>
        <v>0</v>
      </c>
      <c r="ID25" s="520">
        <f>+Fin!ID219</f>
        <v>0</v>
      </c>
      <c r="IE25" s="520">
        <f>+Fin!IE219</f>
        <v>0</v>
      </c>
      <c r="IF25" s="520">
        <f>+Fin!IF219</f>
        <v>0</v>
      </c>
      <c r="IG25" s="520">
        <f>+Fin!IG219</f>
        <v>0</v>
      </c>
      <c r="IH25" s="520">
        <f>+Fin!IH219</f>
        <v>0</v>
      </c>
      <c r="II25" s="520">
        <f>+Fin!II219</f>
        <v>0</v>
      </c>
      <c r="IJ25" s="520">
        <f>+Fin!IJ219</f>
        <v>0</v>
      </c>
      <c r="IK25" s="520">
        <f>+Fin!IK219</f>
        <v>0</v>
      </c>
      <c r="IL25" s="520">
        <f>+Fin!IL219</f>
        <v>0</v>
      </c>
      <c r="IM25" s="520">
        <f>+Fin!IM219</f>
        <v>0</v>
      </c>
      <c r="IN25" s="520">
        <f>+Fin!IN219</f>
        <v>0</v>
      </c>
      <c r="IO25" s="520">
        <f>+Fin!IO219</f>
        <v>0</v>
      </c>
    </row>
    <row r="26" spans="1:249" s="270" customFormat="1" x14ac:dyDescent="0.2">
      <c r="A26" s="258"/>
      <c r="B26" s="524"/>
      <c r="C26" s="258" t="s">
        <v>164</v>
      </c>
      <c r="D26" s="517"/>
      <c r="E26" s="517"/>
      <c r="F26" s="517"/>
      <c r="G26" s="517"/>
      <c r="H26" s="517"/>
      <c r="I26" s="517"/>
      <c r="J26" s="517"/>
      <c r="K26" s="517" t="s">
        <v>63</v>
      </c>
      <c r="L26" s="520"/>
      <c r="M26" s="519" t="str">
        <f>IF(ROUND(N26,2)=ROUND(N35,2),"OK","CHECK")</f>
        <v>OK</v>
      </c>
      <c r="N26" s="520">
        <f t="shared" si="0"/>
        <v>70623.29483583344</v>
      </c>
      <c r="O26" s="525"/>
      <c r="P26" s="526"/>
      <c r="Q26" s="520">
        <f>+Fin!Q218+Fin!Q192</f>
        <v>0</v>
      </c>
      <c r="R26" s="520">
        <f>+Fin!R218+Fin!R192</f>
        <v>0</v>
      </c>
      <c r="S26" s="520">
        <f>+Fin!S218+Fin!S192</f>
        <v>0</v>
      </c>
      <c r="T26" s="520">
        <f>+Fin!T218+Fin!T192</f>
        <v>0</v>
      </c>
      <c r="U26" s="520">
        <f>+Fin!U218+Fin!U192</f>
        <v>8044.9129312611758</v>
      </c>
      <c r="V26" s="520">
        <f>+Fin!V218+Fin!V192</f>
        <v>12.952837372269016</v>
      </c>
      <c r="W26" s="520">
        <f>+Fin!W218+Fin!W192</f>
        <v>18.636134292527334</v>
      </c>
      <c r="X26" s="520">
        <f>+Fin!X218+Fin!X192</f>
        <v>24.932663785434912</v>
      </c>
      <c r="Y26" s="520">
        <f>+Fin!Y218+Fin!Y192</f>
        <v>31.894203742780025</v>
      </c>
      <c r="Z26" s="520">
        <f>+Fin!Z218+Fin!Z192</f>
        <v>235.19706033561496</v>
      </c>
      <c r="AA26" s="520">
        <f>+Fin!AA218+Fin!AA192</f>
        <v>253.54702242205224</v>
      </c>
      <c r="AB26" s="520">
        <f>+Fin!AB218+Fin!AB192</f>
        <v>290.48580848992941</v>
      </c>
      <c r="AC26" s="520">
        <f>+Fin!AC218+Fin!AC192</f>
        <v>331.38267306848871</v>
      </c>
      <c r="AD26" s="520">
        <f>+Fin!AD218+Fin!AD192</f>
        <v>376.61628124593085</v>
      </c>
      <c r="AE26" s="520">
        <f>+Fin!AE218+Fin!AE192</f>
        <v>11572.433831291479</v>
      </c>
      <c r="AF26" s="520">
        <f>+Fin!AF218+Fin!AF192</f>
        <v>469.19153692570563</v>
      </c>
      <c r="AG26" s="520">
        <f>+Fin!AG218+Fin!AG192</f>
        <v>493.72039603846775</v>
      </c>
      <c r="AH26" s="520">
        <f>+Fin!AH218+Fin!AH192</f>
        <v>519.32790159380295</v>
      </c>
      <c r="AI26" s="520">
        <f>+Fin!AI218+Fin!AI192</f>
        <v>546.04064494569786</v>
      </c>
      <c r="AJ26" s="520">
        <f>+Fin!AJ218+Fin!AJ192</f>
        <v>693.88333783399366</v>
      </c>
      <c r="AK26" s="520">
        <f>+Fin!AK218+Fin!AK192</f>
        <v>842.87839517537623</v>
      </c>
      <c r="AL26" s="520">
        <f>+Fin!AL218+Fin!AL192</f>
        <v>877.52494870526903</v>
      </c>
      <c r="AM26" s="520">
        <f>+Fin!AM218+Fin!AM192</f>
        <v>914.00817569997537</v>
      </c>
      <c r="AN26" s="520">
        <f>+Fin!AN218+Fin!AN192</f>
        <v>1432.4109308360028</v>
      </c>
      <c r="AO26" s="520">
        <f>+Fin!AO218+Fin!AO192</f>
        <v>21327.071043861026</v>
      </c>
      <c r="AP26" s="520">
        <f>+Fin!AP218+Fin!AP192</f>
        <v>1445.8907820071804</v>
      </c>
      <c r="AQ26" s="520">
        <f>+Fin!AQ218+Fin!AQ192</f>
        <v>1193.8964858250695</v>
      </c>
      <c r="AR26" s="520">
        <f>+Fin!AR218+Fin!AR192</f>
        <v>833.84097594378636</v>
      </c>
      <c r="AS26" s="520">
        <f>+Fin!AS218+Fin!AS192</f>
        <v>0</v>
      </c>
      <c r="AT26" s="520">
        <f>+Fin!AT218+Fin!AT192</f>
        <v>0</v>
      </c>
      <c r="AU26" s="520">
        <f>+Fin!AU218+Fin!AU192</f>
        <v>0</v>
      </c>
      <c r="AV26" s="520">
        <f>+Fin!AV218+Fin!AV192</f>
        <v>0</v>
      </c>
      <c r="AW26" s="520">
        <f>+Fin!AW218+Fin!AW192</f>
        <v>0</v>
      </c>
      <c r="AX26" s="520">
        <f>+Fin!AX218+Fin!AX192</f>
        <v>0</v>
      </c>
      <c r="AY26" s="520">
        <f>+Fin!AY218+Fin!AY192</f>
        <v>17840.617833134409</v>
      </c>
      <c r="AZ26" s="520">
        <f>+Fin!AZ218+Fin!AZ192</f>
        <v>0</v>
      </c>
      <c r="BA26" s="520">
        <f>+Fin!BA218+Fin!BA192</f>
        <v>0</v>
      </c>
      <c r="BB26" s="520">
        <f>+Fin!BB218+Fin!BB192</f>
        <v>0</v>
      </c>
      <c r="BC26" s="520">
        <f>+Fin!BC218+Fin!BC192</f>
        <v>0</v>
      </c>
      <c r="BD26" s="520">
        <f>+Fin!BD218+Fin!BD192</f>
        <v>0</v>
      </c>
      <c r="BE26" s="520">
        <f>+Fin!BE218+Fin!BE192</f>
        <v>0</v>
      </c>
      <c r="BF26" s="520">
        <f>+Fin!BF218+Fin!BF192</f>
        <v>0</v>
      </c>
      <c r="BG26" s="520">
        <f>+Fin!BG218+Fin!BG192</f>
        <v>0</v>
      </c>
      <c r="BH26" s="520">
        <f>+Fin!BH218+Fin!BH192</f>
        <v>0</v>
      </c>
      <c r="BI26" s="520">
        <f>+Fin!BI218+Fin!BI192</f>
        <v>0</v>
      </c>
      <c r="BJ26" s="520">
        <f>+Fin!BJ218+Fin!BJ192</f>
        <v>0</v>
      </c>
      <c r="BK26" s="520">
        <f>+Fin!BK218+Fin!BK192</f>
        <v>0</v>
      </c>
      <c r="BL26" s="520">
        <f>+Fin!BL218+Fin!BL192</f>
        <v>0</v>
      </c>
      <c r="BM26" s="520">
        <f>+Fin!BM218+Fin!BM192</f>
        <v>0</v>
      </c>
      <c r="BN26" s="520">
        <f>+Fin!BN218+Fin!BN192</f>
        <v>0</v>
      </c>
      <c r="BO26" s="520">
        <f>+Fin!BO218+Fin!BO192</f>
        <v>0</v>
      </c>
      <c r="BP26" s="520">
        <f>+Fin!BP218+Fin!BP192</f>
        <v>0</v>
      </c>
      <c r="BQ26" s="520">
        <f>+Fin!BQ218+Fin!BQ192</f>
        <v>0</v>
      </c>
      <c r="BR26" s="520">
        <f>+Fin!BR218+Fin!BR192</f>
        <v>0</v>
      </c>
      <c r="BS26" s="520">
        <f>+Fin!BS218+Fin!BS192</f>
        <v>0</v>
      </c>
      <c r="BT26" s="520">
        <f>+Fin!BT218+Fin!BT192</f>
        <v>0</v>
      </c>
      <c r="BU26" s="520">
        <f>+Fin!BU218+Fin!BU192</f>
        <v>0</v>
      </c>
      <c r="BV26" s="520">
        <f>+Fin!BV218+Fin!BV192</f>
        <v>0</v>
      </c>
      <c r="BW26" s="520">
        <f>+Fin!BW218+Fin!BW192</f>
        <v>0</v>
      </c>
      <c r="BX26" s="520">
        <f>+Fin!BX218+Fin!BX192</f>
        <v>0</v>
      </c>
      <c r="BY26" s="520">
        <f>+Fin!BY218+Fin!BY192</f>
        <v>0</v>
      </c>
      <c r="BZ26" s="520">
        <f>+Fin!BZ218+Fin!BZ192</f>
        <v>0</v>
      </c>
      <c r="CA26" s="520">
        <f>+Fin!CA218+Fin!CA192</f>
        <v>0</v>
      </c>
      <c r="CB26" s="520">
        <f>+Fin!CB218+Fin!CB192</f>
        <v>0</v>
      </c>
      <c r="CC26" s="520">
        <f>+Fin!CC218+Fin!CC192</f>
        <v>0</v>
      </c>
      <c r="CD26" s="520">
        <f>+Fin!CD218+Fin!CD192</f>
        <v>0</v>
      </c>
      <c r="CE26" s="520">
        <f>+Fin!CE218+Fin!CE192</f>
        <v>0</v>
      </c>
      <c r="CF26" s="520">
        <f>+Fin!CF218+Fin!CF192</f>
        <v>0</v>
      </c>
      <c r="CG26" s="520">
        <f>+Fin!CG218+Fin!CG192</f>
        <v>0</v>
      </c>
      <c r="CH26" s="520">
        <f>+Fin!CH218+Fin!CH192</f>
        <v>0</v>
      </c>
      <c r="CI26" s="520">
        <f>+Fin!CI218+Fin!CI192</f>
        <v>0</v>
      </c>
      <c r="CJ26" s="520">
        <f>+Fin!CJ218+Fin!CJ192</f>
        <v>0</v>
      </c>
      <c r="CK26" s="520">
        <f>+Fin!CK218+Fin!CK192</f>
        <v>0</v>
      </c>
      <c r="CL26" s="520">
        <f>+Fin!CL218+Fin!CL192</f>
        <v>0</v>
      </c>
      <c r="CM26" s="520">
        <f>+Fin!CM218+Fin!CM192</f>
        <v>0</v>
      </c>
      <c r="CN26" s="520">
        <f>+Fin!CN218+Fin!CN192</f>
        <v>0</v>
      </c>
      <c r="CO26" s="520">
        <f>+Fin!CO218+Fin!CO192</f>
        <v>0</v>
      </c>
      <c r="CP26" s="520">
        <f>+Fin!CP218+Fin!CP192</f>
        <v>0</v>
      </c>
      <c r="CQ26" s="520">
        <f>+Fin!CQ218+Fin!CQ192</f>
        <v>0</v>
      </c>
      <c r="CR26" s="520">
        <f>+Fin!CR218+Fin!CR192</f>
        <v>0</v>
      </c>
      <c r="CS26" s="520">
        <f>+Fin!CS218+Fin!CS192</f>
        <v>0</v>
      </c>
      <c r="CT26" s="520">
        <f>+Fin!CT218+Fin!CT192</f>
        <v>0</v>
      </c>
      <c r="CU26" s="520">
        <f>+Fin!CU218+Fin!CU192</f>
        <v>0</v>
      </c>
      <c r="CV26" s="520">
        <f>+Fin!CV218+Fin!CV192</f>
        <v>0</v>
      </c>
      <c r="CW26" s="520">
        <f>+Fin!CW218+Fin!CW192</f>
        <v>0</v>
      </c>
      <c r="CX26" s="520">
        <f>+Fin!CX218+Fin!CX192</f>
        <v>0</v>
      </c>
      <c r="CY26" s="520">
        <f>+Fin!CY218+Fin!CY192</f>
        <v>0</v>
      </c>
      <c r="CZ26" s="520">
        <f>+Fin!CZ218+Fin!CZ192</f>
        <v>0</v>
      </c>
      <c r="DA26" s="520">
        <f>+Fin!DA218+Fin!DA192</f>
        <v>0</v>
      </c>
      <c r="DB26" s="520">
        <f>+Fin!DB218+Fin!DB192</f>
        <v>0</v>
      </c>
      <c r="DC26" s="520">
        <f>+Fin!DC218+Fin!DC192</f>
        <v>0</v>
      </c>
      <c r="DD26" s="520">
        <f>+Fin!DD218+Fin!DD192</f>
        <v>0</v>
      </c>
      <c r="DE26" s="520">
        <f>+Fin!DE218+Fin!DE192</f>
        <v>0</v>
      </c>
      <c r="DF26" s="520">
        <f>+Fin!DF218+Fin!DF192</f>
        <v>0</v>
      </c>
      <c r="DG26" s="520">
        <f>+Fin!DG218+Fin!DG192</f>
        <v>0</v>
      </c>
      <c r="DH26" s="520">
        <f>+Fin!DH218+Fin!DH192</f>
        <v>0</v>
      </c>
      <c r="DI26" s="520">
        <f>+Fin!DI218+Fin!DI192</f>
        <v>0</v>
      </c>
      <c r="DJ26" s="520">
        <f>+Fin!DJ218+Fin!DJ192</f>
        <v>0</v>
      </c>
      <c r="DK26" s="520">
        <f>+Fin!DK218+Fin!DK192</f>
        <v>0</v>
      </c>
      <c r="DL26" s="520">
        <f>+Fin!DL218+Fin!DL192</f>
        <v>0</v>
      </c>
      <c r="DM26" s="520">
        <f>+Fin!DM218+Fin!DM192</f>
        <v>0</v>
      </c>
      <c r="DN26" s="520">
        <f>+Fin!DN218+Fin!DN192</f>
        <v>0</v>
      </c>
      <c r="DO26" s="520">
        <f>+Fin!DO218+Fin!DO192</f>
        <v>0</v>
      </c>
      <c r="DP26" s="520">
        <f>+Fin!DP218+Fin!DP192</f>
        <v>0</v>
      </c>
      <c r="DQ26" s="520">
        <f>+Fin!DQ218+Fin!DQ192</f>
        <v>0</v>
      </c>
      <c r="DR26" s="520">
        <f>+Fin!DR218+Fin!DR192</f>
        <v>0</v>
      </c>
      <c r="DS26" s="520">
        <f>+Fin!DS218+Fin!DS192</f>
        <v>0</v>
      </c>
      <c r="DT26" s="520">
        <f>+Fin!DT218+Fin!DT192</f>
        <v>0</v>
      </c>
      <c r="DU26" s="520">
        <f>+Fin!DU218+Fin!DU192</f>
        <v>0</v>
      </c>
      <c r="DV26" s="520">
        <f>+Fin!DV218+Fin!DV192</f>
        <v>0</v>
      </c>
      <c r="DW26" s="520">
        <f>+Fin!DW218+Fin!DW192</f>
        <v>0</v>
      </c>
      <c r="DX26" s="520">
        <f>+Fin!DX218+Fin!DX192</f>
        <v>0</v>
      </c>
      <c r="DY26" s="520">
        <f>+Fin!DY218+Fin!DY192</f>
        <v>0</v>
      </c>
      <c r="DZ26" s="520">
        <f>+Fin!DZ218+Fin!DZ192</f>
        <v>0</v>
      </c>
      <c r="EA26" s="520">
        <f>+Fin!EA218+Fin!EA192</f>
        <v>0</v>
      </c>
      <c r="EB26" s="520">
        <f>+Fin!EB218+Fin!EB192</f>
        <v>0</v>
      </c>
      <c r="EC26" s="520">
        <f>+Fin!EC218+Fin!EC192</f>
        <v>0</v>
      </c>
      <c r="ED26" s="520">
        <f>+Fin!ED218+Fin!ED192</f>
        <v>0</v>
      </c>
      <c r="EE26" s="520">
        <f>+Fin!EE218+Fin!EE192</f>
        <v>0</v>
      </c>
      <c r="EF26" s="520">
        <f>+Fin!EF218+Fin!EF192</f>
        <v>0</v>
      </c>
      <c r="EG26" s="520">
        <f>+Fin!EG218+Fin!EG192</f>
        <v>0</v>
      </c>
      <c r="EH26" s="520">
        <f>+Fin!EH218+Fin!EH192</f>
        <v>0</v>
      </c>
      <c r="EI26" s="520">
        <f>+Fin!EI218+Fin!EI192</f>
        <v>0</v>
      </c>
      <c r="EJ26" s="520">
        <f>+Fin!EJ218+Fin!EJ192</f>
        <v>0</v>
      </c>
      <c r="EK26" s="520">
        <f>+Fin!EK218+Fin!EK192</f>
        <v>0</v>
      </c>
      <c r="EL26" s="520">
        <f>+Fin!EL218+Fin!EL192</f>
        <v>0</v>
      </c>
      <c r="EM26" s="520">
        <f>+Fin!EM218+Fin!EM192</f>
        <v>0</v>
      </c>
      <c r="EN26" s="520">
        <f>+Fin!EN218+Fin!EN192</f>
        <v>0</v>
      </c>
      <c r="EO26" s="520">
        <f>+Fin!EO218+Fin!EO192</f>
        <v>0</v>
      </c>
      <c r="EP26" s="520">
        <f>+Fin!EP218+Fin!EP192</f>
        <v>0</v>
      </c>
      <c r="EQ26" s="520">
        <f>+Fin!EQ218+Fin!EQ192</f>
        <v>0</v>
      </c>
      <c r="ER26" s="520">
        <f>+Fin!ER218+Fin!ER192</f>
        <v>0</v>
      </c>
      <c r="ES26" s="520">
        <f>+Fin!ES218+Fin!ES192</f>
        <v>0</v>
      </c>
      <c r="ET26" s="520">
        <f>+Fin!ET218+Fin!ET192</f>
        <v>0</v>
      </c>
      <c r="EU26" s="520">
        <f>+Fin!EU218+Fin!EU192</f>
        <v>0</v>
      </c>
      <c r="EV26" s="520">
        <f>+Fin!EV218+Fin!EV192</f>
        <v>0</v>
      </c>
      <c r="EW26" s="520">
        <f>+Fin!EW218+Fin!EW192</f>
        <v>0</v>
      </c>
      <c r="EX26" s="520">
        <f>+Fin!EX218+Fin!EX192</f>
        <v>0</v>
      </c>
      <c r="EY26" s="520">
        <f>+Fin!EY218+Fin!EY192</f>
        <v>0</v>
      </c>
      <c r="EZ26" s="520">
        <f>+Fin!EZ218+Fin!EZ192</f>
        <v>0</v>
      </c>
      <c r="FA26" s="520">
        <f>+Fin!FA218+Fin!FA192</f>
        <v>0</v>
      </c>
      <c r="FB26" s="520">
        <f>+Fin!FB218+Fin!FB192</f>
        <v>0</v>
      </c>
      <c r="FC26" s="520">
        <f>+Fin!FC218+Fin!FC192</f>
        <v>0</v>
      </c>
      <c r="FD26" s="520">
        <f>+Fin!FD218+Fin!FD192</f>
        <v>0</v>
      </c>
      <c r="FE26" s="520">
        <f>+Fin!FE218+Fin!FE192</f>
        <v>0</v>
      </c>
      <c r="FF26" s="520">
        <f>+Fin!FF218+Fin!FF192</f>
        <v>0</v>
      </c>
      <c r="FG26" s="520">
        <f>+Fin!FG218+Fin!FG192</f>
        <v>0</v>
      </c>
      <c r="FH26" s="520">
        <f>+Fin!FH218+Fin!FH192</f>
        <v>0</v>
      </c>
      <c r="FI26" s="520">
        <f>+Fin!FI218+Fin!FI192</f>
        <v>0</v>
      </c>
      <c r="FJ26" s="520">
        <f>+Fin!FJ218+Fin!FJ192</f>
        <v>0</v>
      </c>
      <c r="FK26" s="520">
        <f>+Fin!FK218+Fin!FK192</f>
        <v>0</v>
      </c>
      <c r="FL26" s="520">
        <f>+Fin!FL218+Fin!FL192</f>
        <v>0</v>
      </c>
      <c r="FM26" s="520">
        <f>+Fin!FM218+Fin!FM192</f>
        <v>0</v>
      </c>
      <c r="FN26" s="520">
        <f>+Fin!FN218+Fin!FN192</f>
        <v>0</v>
      </c>
      <c r="FO26" s="520">
        <f>+Fin!FO218+Fin!FO192</f>
        <v>0</v>
      </c>
      <c r="FP26" s="520">
        <f>+Fin!FP218+Fin!FP192</f>
        <v>0</v>
      </c>
      <c r="FQ26" s="520">
        <f>+Fin!FQ218+Fin!FQ192</f>
        <v>0</v>
      </c>
      <c r="FR26" s="520">
        <f>+Fin!FR218+Fin!FR192</f>
        <v>0</v>
      </c>
      <c r="FS26" s="520">
        <f>+Fin!FS218+Fin!FS192</f>
        <v>0</v>
      </c>
      <c r="FT26" s="520">
        <f>+Fin!FT218+Fin!FT192</f>
        <v>0</v>
      </c>
      <c r="FU26" s="520">
        <f>+Fin!FU218+Fin!FU192</f>
        <v>0</v>
      </c>
      <c r="FV26" s="520">
        <f>+Fin!FV218+Fin!FV192</f>
        <v>0</v>
      </c>
      <c r="FW26" s="520">
        <f>+Fin!FW218+Fin!FW192</f>
        <v>0</v>
      </c>
      <c r="FX26" s="520">
        <f>+Fin!FX218+Fin!FX192</f>
        <v>0</v>
      </c>
      <c r="FY26" s="520">
        <f>+Fin!FY218+Fin!FY192</f>
        <v>0</v>
      </c>
      <c r="FZ26" s="520">
        <f>+Fin!FZ218+Fin!FZ192</f>
        <v>0</v>
      </c>
      <c r="GA26" s="520">
        <f>+Fin!GA218+Fin!GA192</f>
        <v>0</v>
      </c>
      <c r="GB26" s="520">
        <f>+Fin!GB218+Fin!GB192</f>
        <v>0</v>
      </c>
      <c r="GC26" s="520">
        <f>+Fin!GC218+Fin!GC192</f>
        <v>0</v>
      </c>
      <c r="GD26" s="520">
        <f>+Fin!GD218+Fin!GD192</f>
        <v>0</v>
      </c>
      <c r="GE26" s="520">
        <f>+Fin!GE218+Fin!GE192</f>
        <v>0</v>
      </c>
      <c r="GF26" s="520">
        <f>+Fin!GF218+Fin!GF192</f>
        <v>0</v>
      </c>
      <c r="GG26" s="520">
        <f>+Fin!GG218+Fin!GG192</f>
        <v>0</v>
      </c>
      <c r="GH26" s="520">
        <f>+Fin!GH218+Fin!GH192</f>
        <v>0</v>
      </c>
      <c r="GI26" s="520">
        <f>+Fin!GI218+Fin!GI192</f>
        <v>0</v>
      </c>
      <c r="GJ26" s="520">
        <f>+Fin!GJ218+Fin!GJ192</f>
        <v>0</v>
      </c>
      <c r="GK26" s="520">
        <f>+Fin!GK218+Fin!GK192</f>
        <v>0</v>
      </c>
      <c r="GL26" s="520">
        <f>+Fin!GL218+Fin!GL192</f>
        <v>0</v>
      </c>
      <c r="GM26" s="520">
        <f>+Fin!GM218+Fin!GM192</f>
        <v>0</v>
      </c>
      <c r="GN26" s="520">
        <f>+Fin!GN218+Fin!GN192</f>
        <v>0</v>
      </c>
      <c r="GO26" s="520">
        <f>+Fin!GO218+Fin!GO192</f>
        <v>0</v>
      </c>
      <c r="GP26" s="520">
        <f>+Fin!GP218+Fin!GP192</f>
        <v>0</v>
      </c>
      <c r="GQ26" s="520">
        <f>+Fin!GQ218+Fin!GQ192</f>
        <v>0</v>
      </c>
      <c r="GR26" s="520">
        <f>+Fin!GR218+Fin!GR192</f>
        <v>0</v>
      </c>
      <c r="GS26" s="520">
        <f>+Fin!GS218+Fin!GS192</f>
        <v>0</v>
      </c>
      <c r="GT26" s="520">
        <f>+Fin!GT218+Fin!GT192</f>
        <v>0</v>
      </c>
      <c r="GU26" s="520">
        <f>+Fin!GU218+Fin!GU192</f>
        <v>0</v>
      </c>
      <c r="GV26" s="520">
        <f>+Fin!GV218+Fin!GV192</f>
        <v>0</v>
      </c>
      <c r="GW26" s="520">
        <f>+Fin!GW218+Fin!GW192</f>
        <v>0</v>
      </c>
      <c r="GX26" s="520">
        <f>+Fin!GX218+Fin!GX192</f>
        <v>0</v>
      </c>
      <c r="GY26" s="520">
        <f>+Fin!GY218+Fin!GY192</f>
        <v>0</v>
      </c>
      <c r="GZ26" s="520">
        <f>+Fin!GZ218+Fin!GZ192</f>
        <v>0</v>
      </c>
      <c r="HA26" s="520">
        <f>+Fin!HA218+Fin!HA192</f>
        <v>0</v>
      </c>
      <c r="HB26" s="520">
        <f>+Fin!HB218+Fin!HB192</f>
        <v>0</v>
      </c>
      <c r="HC26" s="520">
        <f>+Fin!HC218+Fin!HC192</f>
        <v>0</v>
      </c>
      <c r="HD26" s="520">
        <f>+Fin!HD218+Fin!HD192</f>
        <v>0</v>
      </c>
      <c r="HE26" s="520">
        <f>+Fin!HE218+Fin!HE192</f>
        <v>0</v>
      </c>
      <c r="HF26" s="520">
        <f>+Fin!HF218+Fin!HF192</f>
        <v>0</v>
      </c>
      <c r="HG26" s="520">
        <f>+Fin!HG218+Fin!HG192</f>
        <v>0</v>
      </c>
      <c r="HH26" s="520">
        <f>+Fin!HH218+Fin!HH192</f>
        <v>0</v>
      </c>
      <c r="HI26" s="520">
        <f>+Fin!HI218+Fin!HI192</f>
        <v>0</v>
      </c>
      <c r="HJ26" s="520">
        <f>+Fin!HJ218+Fin!HJ192</f>
        <v>0</v>
      </c>
      <c r="HK26" s="520">
        <f>+Fin!HK218+Fin!HK192</f>
        <v>0</v>
      </c>
      <c r="HL26" s="520">
        <f>+Fin!HL218+Fin!HL192</f>
        <v>0</v>
      </c>
      <c r="HM26" s="520">
        <f>+Fin!HM218+Fin!HM192</f>
        <v>0</v>
      </c>
      <c r="HN26" s="520">
        <f>+Fin!HN218+Fin!HN192</f>
        <v>0</v>
      </c>
      <c r="HO26" s="520">
        <f>+Fin!HO218+Fin!HO192</f>
        <v>0</v>
      </c>
      <c r="HP26" s="520">
        <f>+Fin!HP218+Fin!HP192</f>
        <v>0</v>
      </c>
      <c r="HQ26" s="520">
        <f>+Fin!HQ218+Fin!HQ192</f>
        <v>0</v>
      </c>
      <c r="HR26" s="520">
        <f>+Fin!HR218+Fin!HR192</f>
        <v>0</v>
      </c>
      <c r="HS26" s="520">
        <f>+Fin!HS218+Fin!HS192</f>
        <v>0</v>
      </c>
      <c r="HT26" s="520">
        <f>+Fin!HT218+Fin!HT192</f>
        <v>0</v>
      </c>
      <c r="HU26" s="520">
        <f>+Fin!HU218+Fin!HU192</f>
        <v>0</v>
      </c>
      <c r="HV26" s="520">
        <f>+Fin!HV218+Fin!HV192</f>
        <v>0</v>
      </c>
      <c r="HW26" s="520">
        <f>+Fin!HW218+Fin!HW192</f>
        <v>0</v>
      </c>
      <c r="HX26" s="520">
        <f>+Fin!HX218+Fin!HX192</f>
        <v>0</v>
      </c>
      <c r="HY26" s="520">
        <f>+Fin!HY218+Fin!HY192</f>
        <v>0</v>
      </c>
      <c r="HZ26" s="520">
        <f>+Fin!HZ218+Fin!HZ192</f>
        <v>0</v>
      </c>
      <c r="IA26" s="520">
        <f>+Fin!IA218+Fin!IA192</f>
        <v>0</v>
      </c>
      <c r="IB26" s="520">
        <f>+Fin!IB218+Fin!IB192</f>
        <v>0</v>
      </c>
      <c r="IC26" s="520">
        <f>+Fin!IC218+Fin!IC192</f>
        <v>0</v>
      </c>
      <c r="ID26" s="520">
        <f>+Fin!ID218+Fin!ID192</f>
        <v>0</v>
      </c>
      <c r="IE26" s="520">
        <f>+Fin!IE218+Fin!IE192</f>
        <v>0</v>
      </c>
      <c r="IF26" s="520">
        <f>+Fin!IF218+Fin!IF192</f>
        <v>0</v>
      </c>
      <c r="IG26" s="520">
        <f>+Fin!IG218+Fin!IG192</f>
        <v>0</v>
      </c>
      <c r="IH26" s="520">
        <f>+Fin!IH218+Fin!IH192</f>
        <v>0</v>
      </c>
      <c r="II26" s="520">
        <f>+Fin!II218+Fin!II192</f>
        <v>0</v>
      </c>
      <c r="IJ26" s="520">
        <f>+Fin!IJ218+Fin!IJ192</f>
        <v>0</v>
      </c>
      <c r="IK26" s="520">
        <f>+Fin!IK218+Fin!IK192</f>
        <v>0</v>
      </c>
      <c r="IL26" s="520">
        <f>+Fin!IL218+Fin!IL192</f>
        <v>0</v>
      </c>
      <c r="IM26" s="520">
        <f>+Fin!IM218+Fin!IM192</f>
        <v>0</v>
      </c>
      <c r="IN26" s="520">
        <f>+Fin!IN218+Fin!IN192</f>
        <v>0</v>
      </c>
      <c r="IO26" s="520">
        <f>+Fin!IO218+Fin!IO192</f>
        <v>0</v>
      </c>
    </row>
    <row r="27" spans="1:249" s="270" customFormat="1" x14ac:dyDescent="0.2">
      <c r="A27" s="258"/>
      <c r="B27" s="524"/>
      <c r="C27" s="517" t="s">
        <v>43</v>
      </c>
      <c r="D27" s="517"/>
      <c r="E27" s="517"/>
      <c r="F27" s="517"/>
      <c r="G27" s="517"/>
      <c r="H27" s="517"/>
      <c r="I27" s="517"/>
      <c r="J27" s="517"/>
      <c r="K27" s="517" t="s">
        <v>63</v>
      </c>
      <c r="L27" s="520"/>
      <c r="M27" s="519" t="str">
        <f>IF(ROUND(N27,2)=ROUND(N36,2),"OK","CHECK")</f>
        <v>OK</v>
      </c>
      <c r="N27" s="520">
        <f t="shared" si="0"/>
        <v>4676041.7814603765</v>
      </c>
      <c r="O27" s="525"/>
      <c r="P27" s="526"/>
      <c r="Q27" s="520">
        <f>+Fin!Q270</f>
        <v>0</v>
      </c>
      <c r="R27" s="520">
        <f>+Fin!R270</f>
        <v>61500</v>
      </c>
      <c r="S27" s="520">
        <f>+Fin!S270</f>
        <v>61500</v>
      </c>
      <c r="T27" s="520">
        <f>+Fin!T270</f>
        <v>61500</v>
      </c>
      <c r="U27" s="520">
        <f>+Fin!U270</f>
        <v>39769.130469647171</v>
      </c>
      <c r="V27" s="520">
        <f>+Fin!V270</f>
        <v>43742.437508790208</v>
      </c>
      <c r="W27" s="520">
        <f>+Fin!W270</f>
        <v>45929.219222449974</v>
      </c>
      <c r="X27" s="520">
        <f>+Fin!X270</f>
        <v>46333.374053113141</v>
      </c>
      <c r="Y27" s="520">
        <f>+Fin!Y270</f>
        <v>46920.846023495702</v>
      </c>
      <c r="Z27" s="520">
        <f>+Fin!Z270</f>
        <v>48359.600324604813</v>
      </c>
      <c r="AA27" s="520">
        <f>+Fin!AA270</f>
        <v>49981.409461011019</v>
      </c>
      <c r="AB27" s="520">
        <f>+Fin!AB270</f>
        <v>51784.800923033494</v>
      </c>
      <c r="AC27" s="520">
        <f>+Fin!AC270</f>
        <v>53590.79935374346</v>
      </c>
      <c r="AD27" s="520">
        <f>+Fin!AD270</f>
        <v>55695.913847119249</v>
      </c>
      <c r="AE27" s="520">
        <f>+Fin!AE270</f>
        <v>58041.868639372362</v>
      </c>
      <c r="AF27" s="520">
        <f>+Fin!AF270</f>
        <v>60563.467618229792</v>
      </c>
      <c r="AG27" s="520">
        <f>+Fin!AG270</f>
        <v>63100.784660665151</v>
      </c>
      <c r="AH27" s="520">
        <f>+Fin!AH270</f>
        <v>66018.801758976086</v>
      </c>
      <c r="AI27" s="520">
        <f>+Fin!AI270</f>
        <v>69415.056481261141</v>
      </c>
      <c r="AJ27" s="520">
        <f>+Fin!AJ270</f>
        <v>73777.965910671934</v>
      </c>
      <c r="AK27" s="520">
        <f>+Fin!AK270</f>
        <v>78539.241702383806</v>
      </c>
      <c r="AL27" s="520">
        <f>+Fin!AL270</f>
        <v>83199.516004699966</v>
      </c>
      <c r="AM27" s="520">
        <f>+Fin!AM270</f>
        <v>88303.629788663573</v>
      </c>
      <c r="AN27" s="520">
        <f>+Fin!AN270</f>
        <v>89001.438474087801</v>
      </c>
      <c r="AO27" s="520">
        <f>+Fin!AO270</f>
        <v>116327.44459041808</v>
      </c>
      <c r="AP27" s="520">
        <f>+Fin!AP270</f>
        <v>113758.63942741184</v>
      </c>
      <c r="AQ27" s="520">
        <f>+Fin!AQ270</f>
        <v>109488.60843905996</v>
      </c>
      <c r="AR27" s="520">
        <f>+Fin!AR270</f>
        <v>104207.95531981395</v>
      </c>
      <c r="AS27" s="520">
        <f>+Fin!AS270</f>
        <v>104485.62767496044</v>
      </c>
      <c r="AT27" s="520">
        <f>+Fin!AT270</f>
        <v>181126.87456639955</v>
      </c>
      <c r="AU27" s="520">
        <f>+Fin!AU270</f>
        <v>255667.02541093878</v>
      </c>
      <c r="AV27" s="520">
        <f>+Fin!AV270</f>
        <v>256649.74573748122</v>
      </c>
      <c r="AW27" s="520">
        <f>+Fin!AW270</f>
        <v>257120.6286538869</v>
      </c>
      <c r="AX27" s="520">
        <f>+Fin!AX270</f>
        <v>265830.93702550669</v>
      </c>
      <c r="AY27" s="520">
        <f>+Fin!AY270</f>
        <v>275778.17110265931</v>
      </c>
      <c r="AZ27" s="520">
        <f>+Fin!AZ270</f>
        <v>275629.58233853907</v>
      </c>
      <c r="BA27" s="520">
        <f>+Fin!BA270</f>
        <v>275164.15410378954</v>
      </c>
      <c r="BB27" s="520">
        <f>+Fin!BB270</f>
        <v>274832.76254807482</v>
      </c>
      <c r="BC27" s="520">
        <f>+Fin!BC270</f>
        <v>274483.97293568513</v>
      </c>
      <c r="BD27" s="520">
        <f>+Fin!BD270</f>
        <v>138920.34935973259</v>
      </c>
      <c r="BE27" s="520">
        <f>+Fin!BE270</f>
        <v>0</v>
      </c>
      <c r="BF27" s="520">
        <f>+Fin!BF270</f>
        <v>0</v>
      </c>
      <c r="BG27" s="520">
        <f>+Fin!BG270</f>
        <v>0</v>
      </c>
      <c r="BH27" s="520">
        <f>+Fin!BH270</f>
        <v>0</v>
      </c>
      <c r="BI27" s="520">
        <f>+Fin!BI270</f>
        <v>0</v>
      </c>
      <c r="BJ27" s="520">
        <f>+Fin!BJ270</f>
        <v>0</v>
      </c>
      <c r="BK27" s="520">
        <f>+Fin!BK270</f>
        <v>0</v>
      </c>
      <c r="BL27" s="520">
        <f>+Fin!BL270</f>
        <v>0</v>
      </c>
      <c r="BM27" s="520">
        <f>+Fin!BM270</f>
        <v>0</v>
      </c>
      <c r="BN27" s="520">
        <f>+Fin!BN270</f>
        <v>0</v>
      </c>
      <c r="BO27" s="520">
        <f>+Fin!BO270</f>
        <v>0</v>
      </c>
      <c r="BP27" s="520">
        <f>+Fin!BP270</f>
        <v>0</v>
      </c>
      <c r="BQ27" s="520">
        <f>+Fin!BQ270</f>
        <v>0</v>
      </c>
      <c r="BR27" s="520">
        <f>+Fin!BR270</f>
        <v>0</v>
      </c>
      <c r="BS27" s="520">
        <f>+Fin!BS270</f>
        <v>0</v>
      </c>
      <c r="BT27" s="520">
        <f>+Fin!BT270</f>
        <v>0</v>
      </c>
      <c r="BU27" s="520">
        <f>+Fin!BU270</f>
        <v>0</v>
      </c>
      <c r="BV27" s="520">
        <f>+Fin!BV270</f>
        <v>0</v>
      </c>
      <c r="BW27" s="520">
        <f>+Fin!BW270</f>
        <v>0</v>
      </c>
      <c r="BX27" s="520">
        <f>+Fin!BX270</f>
        <v>0</v>
      </c>
      <c r="BY27" s="520">
        <f>+Fin!BY270</f>
        <v>0</v>
      </c>
      <c r="BZ27" s="520">
        <f>+Fin!BZ270</f>
        <v>0</v>
      </c>
      <c r="CA27" s="520">
        <f>+Fin!CA270</f>
        <v>0</v>
      </c>
      <c r="CB27" s="520">
        <f>+Fin!CB270</f>
        <v>0</v>
      </c>
      <c r="CC27" s="520">
        <f>+Fin!CC270</f>
        <v>0</v>
      </c>
      <c r="CD27" s="520">
        <f>+Fin!CD270</f>
        <v>0</v>
      </c>
      <c r="CE27" s="520">
        <f>+Fin!CE270</f>
        <v>0</v>
      </c>
      <c r="CF27" s="520">
        <f>+Fin!CF270</f>
        <v>0</v>
      </c>
      <c r="CG27" s="520">
        <f>+Fin!CG270</f>
        <v>0</v>
      </c>
      <c r="CH27" s="520">
        <f>+Fin!CH270</f>
        <v>0</v>
      </c>
      <c r="CI27" s="520">
        <f>+Fin!CI270</f>
        <v>0</v>
      </c>
      <c r="CJ27" s="520">
        <f>+Fin!CJ270</f>
        <v>0</v>
      </c>
      <c r="CK27" s="520">
        <f>+Fin!CK270</f>
        <v>0</v>
      </c>
      <c r="CL27" s="520">
        <f>+Fin!CL270</f>
        <v>0</v>
      </c>
      <c r="CM27" s="520">
        <f>+Fin!CM270</f>
        <v>0</v>
      </c>
      <c r="CN27" s="520">
        <f>+Fin!CN270</f>
        <v>0</v>
      </c>
      <c r="CO27" s="520">
        <f>+Fin!CO270</f>
        <v>0</v>
      </c>
      <c r="CP27" s="520">
        <f>+Fin!CP270</f>
        <v>0</v>
      </c>
      <c r="CQ27" s="520">
        <f>+Fin!CQ270</f>
        <v>0</v>
      </c>
      <c r="CR27" s="520">
        <f>+Fin!CR270</f>
        <v>0</v>
      </c>
      <c r="CS27" s="520">
        <f>+Fin!CS270</f>
        <v>0</v>
      </c>
      <c r="CT27" s="520">
        <f>+Fin!CT270</f>
        <v>0</v>
      </c>
      <c r="CU27" s="520">
        <f>+Fin!CU270</f>
        <v>0</v>
      </c>
      <c r="CV27" s="520">
        <f>+Fin!CV270</f>
        <v>0</v>
      </c>
      <c r="CW27" s="520">
        <f>+Fin!CW270</f>
        <v>0</v>
      </c>
      <c r="CX27" s="520">
        <f>+Fin!CX270</f>
        <v>0</v>
      </c>
      <c r="CY27" s="520">
        <f>+Fin!CY270</f>
        <v>0</v>
      </c>
      <c r="CZ27" s="520">
        <f>+Fin!CZ270</f>
        <v>0</v>
      </c>
      <c r="DA27" s="520">
        <f>+Fin!DA270</f>
        <v>0</v>
      </c>
      <c r="DB27" s="520">
        <f>+Fin!DB270</f>
        <v>0</v>
      </c>
      <c r="DC27" s="520">
        <f>+Fin!DC270</f>
        <v>0</v>
      </c>
      <c r="DD27" s="520">
        <f>+Fin!DD270</f>
        <v>0</v>
      </c>
      <c r="DE27" s="520">
        <f>+Fin!DE270</f>
        <v>0</v>
      </c>
      <c r="DF27" s="520">
        <f>+Fin!DF270</f>
        <v>0</v>
      </c>
      <c r="DG27" s="520">
        <f>+Fin!DG270</f>
        <v>0</v>
      </c>
      <c r="DH27" s="520">
        <f>+Fin!DH270</f>
        <v>0</v>
      </c>
      <c r="DI27" s="520">
        <f>+Fin!DI270</f>
        <v>0</v>
      </c>
      <c r="DJ27" s="520">
        <f>+Fin!DJ270</f>
        <v>0</v>
      </c>
      <c r="DK27" s="520">
        <f>+Fin!DK270</f>
        <v>0</v>
      </c>
      <c r="DL27" s="520">
        <f>+Fin!DL270</f>
        <v>0</v>
      </c>
      <c r="DM27" s="520">
        <f>+Fin!DM270</f>
        <v>0</v>
      </c>
      <c r="DN27" s="520">
        <f>+Fin!DN270</f>
        <v>0</v>
      </c>
      <c r="DO27" s="520">
        <f>+Fin!DO270</f>
        <v>0</v>
      </c>
      <c r="DP27" s="520">
        <f>+Fin!DP270</f>
        <v>0</v>
      </c>
      <c r="DQ27" s="520">
        <f>+Fin!DQ270</f>
        <v>0</v>
      </c>
      <c r="DR27" s="520">
        <f>+Fin!DR270</f>
        <v>0</v>
      </c>
      <c r="DS27" s="520">
        <f>+Fin!DS270</f>
        <v>0</v>
      </c>
      <c r="DT27" s="520">
        <f>+Fin!DT270</f>
        <v>0</v>
      </c>
      <c r="DU27" s="520">
        <f>+Fin!DU270</f>
        <v>0</v>
      </c>
      <c r="DV27" s="520">
        <f>+Fin!DV270</f>
        <v>0</v>
      </c>
      <c r="DW27" s="520">
        <f>+Fin!DW270</f>
        <v>0</v>
      </c>
      <c r="DX27" s="520">
        <f>+Fin!DX270</f>
        <v>0</v>
      </c>
      <c r="DY27" s="520">
        <f>+Fin!DY270</f>
        <v>0</v>
      </c>
      <c r="DZ27" s="520">
        <f>+Fin!DZ270</f>
        <v>0</v>
      </c>
      <c r="EA27" s="520">
        <f>+Fin!EA270</f>
        <v>0</v>
      </c>
      <c r="EB27" s="520">
        <f>+Fin!EB270</f>
        <v>0</v>
      </c>
      <c r="EC27" s="520">
        <f>+Fin!EC270</f>
        <v>0</v>
      </c>
      <c r="ED27" s="520">
        <f>+Fin!ED270</f>
        <v>0</v>
      </c>
      <c r="EE27" s="520">
        <f>+Fin!EE270</f>
        <v>0</v>
      </c>
      <c r="EF27" s="520">
        <f>+Fin!EF270</f>
        <v>0</v>
      </c>
      <c r="EG27" s="520">
        <f>+Fin!EG270</f>
        <v>0</v>
      </c>
      <c r="EH27" s="520">
        <f>+Fin!EH270</f>
        <v>0</v>
      </c>
      <c r="EI27" s="520">
        <f>+Fin!EI270</f>
        <v>0</v>
      </c>
      <c r="EJ27" s="520">
        <f>+Fin!EJ270</f>
        <v>0</v>
      </c>
      <c r="EK27" s="520">
        <f>+Fin!EK270</f>
        <v>0</v>
      </c>
      <c r="EL27" s="520">
        <f>+Fin!EL270</f>
        <v>0</v>
      </c>
      <c r="EM27" s="520">
        <f>+Fin!EM270</f>
        <v>0</v>
      </c>
      <c r="EN27" s="520">
        <f>+Fin!EN270</f>
        <v>0</v>
      </c>
      <c r="EO27" s="520">
        <f>+Fin!EO270</f>
        <v>0</v>
      </c>
      <c r="EP27" s="520">
        <f>+Fin!EP270</f>
        <v>0</v>
      </c>
      <c r="EQ27" s="520">
        <f>+Fin!EQ270</f>
        <v>0</v>
      </c>
      <c r="ER27" s="520">
        <f>+Fin!ER270</f>
        <v>0</v>
      </c>
      <c r="ES27" s="520">
        <f>+Fin!ES270</f>
        <v>0</v>
      </c>
      <c r="ET27" s="520">
        <f>+Fin!ET270</f>
        <v>0</v>
      </c>
      <c r="EU27" s="520">
        <f>+Fin!EU270</f>
        <v>0</v>
      </c>
      <c r="EV27" s="520">
        <f>+Fin!EV270</f>
        <v>0</v>
      </c>
      <c r="EW27" s="520">
        <f>+Fin!EW270</f>
        <v>0</v>
      </c>
      <c r="EX27" s="520">
        <f>+Fin!EX270</f>
        <v>0</v>
      </c>
      <c r="EY27" s="520">
        <f>+Fin!EY270</f>
        <v>0</v>
      </c>
      <c r="EZ27" s="520">
        <f>+Fin!EZ270</f>
        <v>0</v>
      </c>
      <c r="FA27" s="520">
        <f>+Fin!FA270</f>
        <v>0</v>
      </c>
      <c r="FB27" s="520">
        <f>+Fin!FB270</f>
        <v>0</v>
      </c>
      <c r="FC27" s="520">
        <f>+Fin!FC270</f>
        <v>0</v>
      </c>
      <c r="FD27" s="520">
        <f>+Fin!FD270</f>
        <v>0</v>
      </c>
      <c r="FE27" s="520">
        <f>+Fin!FE270</f>
        <v>0</v>
      </c>
      <c r="FF27" s="520">
        <f>+Fin!FF270</f>
        <v>0</v>
      </c>
      <c r="FG27" s="520">
        <f>+Fin!FG270</f>
        <v>0</v>
      </c>
      <c r="FH27" s="520">
        <f>+Fin!FH270</f>
        <v>0</v>
      </c>
      <c r="FI27" s="520">
        <f>+Fin!FI270</f>
        <v>0</v>
      </c>
      <c r="FJ27" s="520">
        <f>+Fin!FJ270</f>
        <v>0</v>
      </c>
      <c r="FK27" s="520">
        <f>+Fin!FK270</f>
        <v>0</v>
      </c>
      <c r="FL27" s="520">
        <f>+Fin!FL270</f>
        <v>0</v>
      </c>
      <c r="FM27" s="520">
        <f>+Fin!FM270</f>
        <v>0</v>
      </c>
      <c r="FN27" s="520">
        <f>+Fin!FN270</f>
        <v>0</v>
      </c>
      <c r="FO27" s="520">
        <f>+Fin!FO270</f>
        <v>0</v>
      </c>
      <c r="FP27" s="520">
        <f>+Fin!FP270</f>
        <v>0</v>
      </c>
      <c r="FQ27" s="520">
        <f>+Fin!FQ270</f>
        <v>0</v>
      </c>
      <c r="FR27" s="520">
        <f>+Fin!FR270</f>
        <v>0</v>
      </c>
      <c r="FS27" s="520">
        <f>+Fin!FS270</f>
        <v>0</v>
      </c>
      <c r="FT27" s="520">
        <f>+Fin!FT270</f>
        <v>0</v>
      </c>
      <c r="FU27" s="520">
        <f>+Fin!FU270</f>
        <v>0</v>
      </c>
      <c r="FV27" s="520">
        <f>+Fin!FV270</f>
        <v>0</v>
      </c>
      <c r="FW27" s="520">
        <f>+Fin!FW270</f>
        <v>0</v>
      </c>
      <c r="FX27" s="520">
        <f>+Fin!FX270</f>
        <v>0</v>
      </c>
      <c r="FY27" s="520">
        <f>+Fin!FY270</f>
        <v>0</v>
      </c>
      <c r="FZ27" s="520">
        <f>+Fin!FZ270</f>
        <v>0</v>
      </c>
      <c r="GA27" s="520">
        <f>+Fin!GA270</f>
        <v>0</v>
      </c>
      <c r="GB27" s="520">
        <f>+Fin!GB270</f>
        <v>0</v>
      </c>
      <c r="GC27" s="520">
        <f>+Fin!GC270</f>
        <v>0</v>
      </c>
      <c r="GD27" s="520">
        <f>+Fin!GD270</f>
        <v>0</v>
      </c>
      <c r="GE27" s="520">
        <f>+Fin!GE270</f>
        <v>0</v>
      </c>
      <c r="GF27" s="520">
        <f>+Fin!GF270</f>
        <v>0</v>
      </c>
      <c r="GG27" s="520">
        <f>+Fin!GG270</f>
        <v>0</v>
      </c>
      <c r="GH27" s="520">
        <f>+Fin!GH270</f>
        <v>0</v>
      </c>
      <c r="GI27" s="520">
        <f>+Fin!GI270</f>
        <v>0</v>
      </c>
      <c r="GJ27" s="520">
        <f>+Fin!GJ270</f>
        <v>0</v>
      </c>
      <c r="GK27" s="520">
        <f>+Fin!GK270</f>
        <v>0</v>
      </c>
      <c r="GL27" s="520">
        <f>+Fin!GL270</f>
        <v>0</v>
      </c>
      <c r="GM27" s="520">
        <f>+Fin!GM270</f>
        <v>0</v>
      </c>
      <c r="GN27" s="520">
        <f>+Fin!GN270</f>
        <v>0</v>
      </c>
      <c r="GO27" s="520">
        <f>+Fin!GO270</f>
        <v>0</v>
      </c>
      <c r="GP27" s="520">
        <f>+Fin!GP270</f>
        <v>0</v>
      </c>
      <c r="GQ27" s="520">
        <f>+Fin!GQ270</f>
        <v>0</v>
      </c>
      <c r="GR27" s="520">
        <f>+Fin!GR270</f>
        <v>0</v>
      </c>
      <c r="GS27" s="520">
        <f>+Fin!GS270</f>
        <v>0</v>
      </c>
      <c r="GT27" s="520">
        <f>+Fin!GT270</f>
        <v>0</v>
      </c>
      <c r="GU27" s="520">
        <f>+Fin!GU270</f>
        <v>0</v>
      </c>
      <c r="GV27" s="520">
        <f>+Fin!GV270</f>
        <v>0</v>
      </c>
      <c r="GW27" s="520">
        <f>+Fin!GW270</f>
        <v>0</v>
      </c>
      <c r="GX27" s="520">
        <f>+Fin!GX270</f>
        <v>0</v>
      </c>
      <c r="GY27" s="520">
        <f>+Fin!GY270</f>
        <v>0</v>
      </c>
      <c r="GZ27" s="520">
        <f>+Fin!GZ270</f>
        <v>0</v>
      </c>
      <c r="HA27" s="520">
        <f>+Fin!HA270</f>
        <v>0</v>
      </c>
      <c r="HB27" s="520">
        <f>+Fin!HB270</f>
        <v>0</v>
      </c>
      <c r="HC27" s="520">
        <f>+Fin!HC270</f>
        <v>0</v>
      </c>
      <c r="HD27" s="520">
        <f>+Fin!HD270</f>
        <v>0</v>
      </c>
      <c r="HE27" s="520">
        <f>+Fin!HE270</f>
        <v>0</v>
      </c>
      <c r="HF27" s="520">
        <f>+Fin!HF270</f>
        <v>0</v>
      </c>
      <c r="HG27" s="520">
        <f>+Fin!HG270</f>
        <v>0</v>
      </c>
      <c r="HH27" s="520">
        <f>+Fin!HH270</f>
        <v>0</v>
      </c>
      <c r="HI27" s="520">
        <f>+Fin!HI270</f>
        <v>0</v>
      </c>
      <c r="HJ27" s="520">
        <f>+Fin!HJ270</f>
        <v>0</v>
      </c>
      <c r="HK27" s="520">
        <f>+Fin!HK270</f>
        <v>0</v>
      </c>
      <c r="HL27" s="520">
        <f>+Fin!HL270</f>
        <v>0</v>
      </c>
      <c r="HM27" s="520">
        <f>+Fin!HM270</f>
        <v>0</v>
      </c>
      <c r="HN27" s="520">
        <f>+Fin!HN270</f>
        <v>0</v>
      </c>
      <c r="HO27" s="520">
        <f>+Fin!HO270</f>
        <v>0</v>
      </c>
      <c r="HP27" s="520">
        <f>+Fin!HP270</f>
        <v>0</v>
      </c>
      <c r="HQ27" s="520">
        <f>+Fin!HQ270</f>
        <v>0</v>
      </c>
      <c r="HR27" s="520">
        <f>+Fin!HR270</f>
        <v>0</v>
      </c>
      <c r="HS27" s="520">
        <f>+Fin!HS270</f>
        <v>0</v>
      </c>
      <c r="HT27" s="520">
        <f>+Fin!HT270</f>
        <v>0</v>
      </c>
      <c r="HU27" s="520">
        <f>+Fin!HU270</f>
        <v>0</v>
      </c>
      <c r="HV27" s="520">
        <f>+Fin!HV270</f>
        <v>0</v>
      </c>
      <c r="HW27" s="520">
        <f>+Fin!HW270</f>
        <v>0</v>
      </c>
      <c r="HX27" s="520">
        <f>+Fin!HX270</f>
        <v>0</v>
      </c>
      <c r="HY27" s="520">
        <f>+Fin!HY270</f>
        <v>0</v>
      </c>
      <c r="HZ27" s="520">
        <f>+Fin!HZ270</f>
        <v>0</v>
      </c>
      <c r="IA27" s="520">
        <f>+Fin!IA270</f>
        <v>0</v>
      </c>
      <c r="IB27" s="520">
        <f>+Fin!IB270</f>
        <v>0</v>
      </c>
      <c r="IC27" s="520">
        <f>+Fin!IC270</f>
        <v>0</v>
      </c>
      <c r="ID27" s="520">
        <f>+Fin!ID270</f>
        <v>0</v>
      </c>
      <c r="IE27" s="520">
        <f>+Fin!IE270</f>
        <v>0</v>
      </c>
      <c r="IF27" s="520">
        <f>+Fin!IF270</f>
        <v>0</v>
      </c>
      <c r="IG27" s="520">
        <f>+Fin!IG270</f>
        <v>0</v>
      </c>
      <c r="IH27" s="520">
        <f>+Fin!IH270</f>
        <v>0</v>
      </c>
      <c r="II27" s="520">
        <f>+Fin!II270</f>
        <v>0</v>
      </c>
      <c r="IJ27" s="520">
        <f>+Fin!IJ270</f>
        <v>0</v>
      </c>
      <c r="IK27" s="520">
        <f>+Fin!IK270</f>
        <v>0</v>
      </c>
      <c r="IL27" s="520">
        <f>+Fin!IL270</f>
        <v>0</v>
      </c>
      <c r="IM27" s="520">
        <f>+Fin!IM270</f>
        <v>0</v>
      </c>
      <c r="IN27" s="520">
        <f>+Fin!IN270</f>
        <v>0</v>
      </c>
      <c r="IO27" s="520">
        <f>+Fin!IO270</f>
        <v>0</v>
      </c>
    </row>
    <row r="28" spans="1:249" s="270" customFormat="1" x14ac:dyDescent="0.2">
      <c r="A28" s="258"/>
      <c r="B28" s="258"/>
      <c r="C28" s="258"/>
      <c r="D28" s="258"/>
      <c r="E28" s="258"/>
      <c r="F28" s="258"/>
      <c r="G28" s="258"/>
      <c r="H28" s="258"/>
      <c r="I28" s="258"/>
      <c r="J28" s="258"/>
      <c r="K28" s="258"/>
      <c r="L28" s="487"/>
      <c r="M28" s="258"/>
      <c r="N28" s="258"/>
      <c r="O28" s="527"/>
      <c r="P28" s="528"/>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c r="BU28" s="487"/>
      <c r="BV28" s="487"/>
      <c r="BW28" s="487"/>
      <c r="BX28" s="487"/>
      <c r="BY28" s="487"/>
      <c r="BZ28" s="487"/>
      <c r="CA28" s="487"/>
      <c r="CB28" s="487"/>
      <c r="CC28" s="487"/>
      <c r="CD28" s="487"/>
      <c r="CE28" s="487"/>
      <c r="CF28" s="487"/>
      <c r="CG28" s="487"/>
      <c r="CH28" s="487"/>
      <c r="CI28" s="487"/>
      <c r="CJ28" s="487"/>
      <c r="CK28" s="487"/>
      <c r="CL28" s="487"/>
      <c r="CM28" s="487"/>
      <c r="CN28" s="487"/>
      <c r="CO28" s="487"/>
      <c r="CP28" s="487"/>
      <c r="CQ28" s="487"/>
      <c r="CR28" s="487"/>
      <c r="CS28" s="487"/>
      <c r="CT28" s="487"/>
      <c r="CU28" s="487"/>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X28" s="487"/>
      <c r="DY28" s="487"/>
      <c r="DZ28" s="487"/>
      <c r="EA28" s="487"/>
      <c r="EB28" s="487"/>
      <c r="EC28" s="487"/>
      <c r="ED28" s="487"/>
      <c r="EE28" s="487"/>
      <c r="EF28" s="487"/>
      <c r="EG28" s="487"/>
      <c r="EH28" s="487"/>
      <c r="EI28" s="487"/>
      <c r="EJ28" s="487"/>
      <c r="EK28" s="487"/>
      <c r="EL28" s="487"/>
      <c r="EM28" s="487"/>
      <c r="EN28" s="487"/>
      <c r="EO28" s="487"/>
      <c r="EP28" s="487"/>
      <c r="EQ28" s="487"/>
      <c r="ER28" s="487"/>
      <c r="ES28" s="487"/>
      <c r="ET28" s="487"/>
      <c r="EU28" s="487"/>
      <c r="EV28" s="487"/>
      <c r="EW28" s="487"/>
      <c r="EX28" s="487"/>
      <c r="EY28" s="487"/>
      <c r="EZ28" s="487"/>
      <c r="FA28" s="487"/>
      <c r="FB28" s="487"/>
      <c r="FC28" s="487"/>
      <c r="FD28" s="487"/>
      <c r="FE28" s="487"/>
      <c r="FF28" s="487"/>
      <c r="FG28" s="487"/>
      <c r="FH28" s="487"/>
      <c r="FI28" s="487"/>
      <c r="FJ28" s="487"/>
      <c r="FK28" s="487"/>
      <c r="FL28" s="487"/>
      <c r="FM28" s="487"/>
      <c r="FN28" s="487"/>
      <c r="FO28" s="487"/>
      <c r="FP28" s="487"/>
      <c r="FQ28" s="487"/>
      <c r="FR28" s="487"/>
      <c r="FS28" s="487"/>
      <c r="FT28" s="487"/>
      <c r="FU28" s="487"/>
      <c r="FV28" s="487"/>
      <c r="FW28" s="487"/>
      <c r="FX28" s="487"/>
      <c r="FY28" s="487"/>
      <c r="FZ28" s="487"/>
      <c r="GA28" s="487"/>
      <c r="GB28" s="487"/>
      <c r="GC28" s="487"/>
      <c r="GD28" s="487"/>
      <c r="GE28" s="487"/>
      <c r="GF28" s="487"/>
      <c r="GG28" s="487"/>
      <c r="GH28" s="487"/>
      <c r="GI28" s="487"/>
      <c r="GJ28" s="487"/>
      <c r="GK28" s="487"/>
      <c r="GL28" s="487"/>
      <c r="GM28" s="487"/>
      <c r="GN28" s="487"/>
      <c r="GO28" s="487"/>
      <c r="GP28" s="487"/>
      <c r="GQ28" s="487"/>
      <c r="GR28" s="487"/>
      <c r="GS28" s="487"/>
      <c r="GT28" s="487"/>
      <c r="GU28" s="487"/>
      <c r="GV28" s="487"/>
      <c r="GW28" s="487"/>
      <c r="GX28" s="487"/>
      <c r="GY28" s="487"/>
      <c r="GZ28" s="487"/>
      <c r="HA28" s="487"/>
      <c r="HB28" s="487"/>
      <c r="HC28" s="487"/>
      <c r="HD28" s="487"/>
      <c r="HE28" s="487"/>
      <c r="HF28" s="487"/>
      <c r="HG28" s="487"/>
      <c r="HH28" s="487"/>
      <c r="HI28" s="487"/>
      <c r="HJ28" s="487"/>
      <c r="HK28" s="487"/>
      <c r="HL28" s="487"/>
      <c r="HM28" s="487"/>
      <c r="HN28" s="487"/>
      <c r="HO28" s="487"/>
      <c r="HP28" s="487"/>
      <c r="HQ28" s="487"/>
      <c r="HR28" s="487"/>
      <c r="HS28" s="487"/>
      <c r="HT28" s="487"/>
      <c r="HU28" s="487"/>
      <c r="HV28" s="487"/>
      <c r="HW28" s="487"/>
      <c r="HX28" s="487"/>
      <c r="HY28" s="487"/>
      <c r="HZ28" s="487"/>
      <c r="IA28" s="487"/>
      <c r="IB28" s="487"/>
      <c r="IC28" s="487"/>
      <c r="ID28" s="487"/>
      <c r="IE28" s="487"/>
      <c r="IF28" s="487"/>
      <c r="IG28" s="487"/>
      <c r="IH28" s="487"/>
      <c r="II28" s="487"/>
      <c r="IJ28" s="487"/>
      <c r="IK28" s="487"/>
      <c r="IL28" s="487"/>
      <c r="IM28" s="487"/>
      <c r="IN28" s="487"/>
      <c r="IO28" s="487"/>
    </row>
    <row r="29" spans="1:249" s="270" customFormat="1" x14ac:dyDescent="0.2">
      <c r="A29" s="258"/>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c r="EW29" s="258"/>
      <c r="EX29" s="258"/>
      <c r="EY29" s="258"/>
      <c r="EZ29" s="258"/>
      <c r="FA29" s="258"/>
      <c r="FB29" s="258"/>
      <c r="FC29" s="258"/>
      <c r="FD29" s="258"/>
      <c r="FE29" s="258"/>
      <c r="FF29" s="258"/>
      <c r="FG29" s="258"/>
      <c r="FH29" s="258"/>
      <c r="FI29" s="258"/>
      <c r="FJ29" s="258"/>
      <c r="FK29" s="258"/>
      <c r="FL29" s="258"/>
      <c r="FM29" s="258"/>
      <c r="FN29" s="258"/>
      <c r="FO29" s="258"/>
      <c r="FP29" s="258"/>
      <c r="FQ29" s="258"/>
      <c r="FR29" s="258"/>
      <c r="FS29" s="258"/>
      <c r="FT29" s="258"/>
      <c r="FU29" s="258"/>
      <c r="FV29" s="258"/>
      <c r="FW29" s="258"/>
      <c r="FX29" s="258"/>
      <c r="FY29" s="258"/>
      <c r="FZ29" s="258"/>
      <c r="GA29" s="258"/>
      <c r="GB29" s="258"/>
      <c r="GC29" s="258"/>
      <c r="GD29" s="258"/>
      <c r="GE29" s="258"/>
      <c r="GF29" s="258"/>
      <c r="GG29" s="258"/>
      <c r="GH29" s="258"/>
      <c r="GI29" s="258"/>
      <c r="GJ29" s="258"/>
      <c r="GK29" s="258"/>
      <c r="GL29" s="258"/>
      <c r="GM29" s="258"/>
      <c r="GN29" s="258"/>
      <c r="GO29" s="258"/>
      <c r="GP29" s="258"/>
      <c r="GQ29" s="258"/>
      <c r="GR29" s="258"/>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row>
    <row r="30" spans="1:249" s="270" customFormat="1" x14ac:dyDescent="0.2">
      <c r="A30" s="529"/>
      <c r="B30" s="530"/>
      <c r="C30" s="530"/>
      <c r="D30" s="530"/>
      <c r="E30" s="530"/>
      <c r="F30" s="530"/>
      <c r="G30" s="530"/>
      <c r="H30" s="530"/>
      <c r="I30" s="530"/>
      <c r="J30" s="530"/>
      <c r="K30" s="530"/>
      <c r="L30" s="530"/>
      <c r="M30" s="529"/>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0"/>
      <c r="BN30" s="530"/>
      <c r="BO30" s="530"/>
      <c r="BP30" s="530"/>
      <c r="BQ30" s="530"/>
      <c r="BR30" s="530"/>
      <c r="BS30" s="530"/>
      <c r="BT30" s="530"/>
      <c r="BU30" s="530"/>
      <c r="BV30" s="530"/>
      <c r="BW30" s="530"/>
      <c r="BX30" s="530"/>
      <c r="BY30" s="530"/>
      <c r="BZ30" s="530"/>
      <c r="CA30" s="530"/>
      <c r="CB30" s="530"/>
      <c r="CC30" s="530"/>
      <c r="CD30" s="530"/>
      <c r="CE30" s="530"/>
      <c r="CF30" s="530"/>
      <c r="CG30" s="530"/>
      <c r="CH30" s="530"/>
      <c r="CI30" s="530"/>
      <c r="CJ30" s="530"/>
      <c r="CK30" s="530"/>
      <c r="CL30" s="530"/>
      <c r="CM30" s="530"/>
      <c r="CN30" s="530"/>
      <c r="CO30" s="530"/>
      <c r="CP30" s="530"/>
      <c r="CQ30" s="530"/>
      <c r="CR30" s="530"/>
      <c r="CS30" s="530"/>
      <c r="CT30" s="530"/>
      <c r="CU30" s="530"/>
      <c r="CV30" s="530"/>
      <c r="CW30" s="530"/>
      <c r="CX30" s="530"/>
      <c r="CY30" s="530"/>
      <c r="CZ30" s="530"/>
      <c r="DA30" s="530"/>
      <c r="DB30" s="530"/>
      <c r="DC30" s="530"/>
      <c r="DD30" s="530"/>
      <c r="DE30" s="530"/>
      <c r="DF30" s="530"/>
      <c r="DG30" s="530"/>
      <c r="DH30" s="530"/>
      <c r="DI30" s="530"/>
      <c r="DJ30" s="530"/>
      <c r="DK30" s="530"/>
      <c r="DL30" s="530"/>
      <c r="DM30" s="530"/>
      <c r="DN30" s="530"/>
      <c r="DO30" s="530"/>
      <c r="DP30" s="530"/>
      <c r="DQ30" s="530"/>
      <c r="DR30" s="530"/>
      <c r="DS30" s="530"/>
      <c r="DT30" s="530"/>
      <c r="DU30" s="530"/>
      <c r="DV30" s="530"/>
      <c r="DW30" s="530"/>
      <c r="DX30" s="530"/>
      <c r="DY30" s="530"/>
      <c r="DZ30" s="530"/>
      <c r="EA30" s="530"/>
      <c r="EB30" s="530"/>
      <c r="EC30" s="530"/>
      <c r="ED30" s="530"/>
      <c r="EE30" s="530"/>
      <c r="EF30" s="530"/>
      <c r="EG30" s="530"/>
      <c r="EH30" s="530"/>
      <c r="EI30" s="530"/>
      <c r="EJ30" s="530"/>
      <c r="EK30" s="530"/>
      <c r="EL30" s="530"/>
      <c r="EM30" s="530"/>
      <c r="EN30" s="530"/>
      <c r="EO30" s="530"/>
      <c r="EP30" s="530"/>
      <c r="EQ30" s="530"/>
      <c r="ER30" s="530"/>
      <c r="ES30" s="530"/>
      <c r="ET30" s="530"/>
      <c r="EU30" s="530"/>
      <c r="EV30" s="530"/>
      <c r="EW30" s="530"/>
      <c r="EX30" s="530"/>
      <c r="EY30" s="530"/>
      <c r="EZ30" s="530"/>
      <c r="FA30" s="530"/>
      <c r="FB30" s="530"/>
      <c r="FC30" s="530"/>
      <c r="FD30" s="530"/>
      <c r="FE30" s="530"/>
      <c r="FF30" s="530"/>
      <c r="FG30" s="530"/>
      <c r="FH30" s="530"/>
      <c r="FI30" s="530"/>
      <c r="FJ30" s="530"/>
      <c r="FK30" s="530"/>
      <c r="FL30" s="530"/>
      <c r="FM30" s="530"/>
      <c r="FN30" s="530"/>
      <c r="FO30" s="530"/>
      <c r="FP30" s="530"/>
      <c r="FQ30" s="530"/>
      <c r="FR30" s="530"/>
      <c r="FS30" s="530"/>
      <c r="FT30" s="530"/>
      <c r="FU30" s="530"/>
      <c r="FV30" s="530"/>
      <c r="FW30" s="530"/>
      <c r="FX30" s="530"/>
      <c r="FY30" s="530"/>
      <c r="FZ30" s="530"/>
      <c r="GA30" s="530"/>
      <c r="GB30" s="530"/>
      <c r="GC30" s="530"/>
      <c r="GD30" s="530"/>
      <c r="GE30" s="530"/>
      <c r="GF30" s="530"/>
      <c r="GG30" s="530"/>
      <c r="GH30" s="530"/>
      <c r="GI30" s="530"/>
      <c r="GJ30" s="530"/>
      <c r="GK30" s="530"/>
      <c r="GL30" s="530"/>
      <c r="GM30" s="530"/>
      <c r="GN30" s="530"/>
      <c r="GO30" s="530"/>
      <c r="GP30" s="530"/>
      <c r="GQ30" s="530"/>
      <c r="GR30" s="530"/>
      <c r="GS30" s="530"/>
      <c r="GT30" s="530"/>
      <c r="GU30" s="530"/>
      <c r="GV30" s="530"/>
      <c r="GW30" s="530"/>
      <c r="GX30" s="530"/>
      <c r="GY30" s="530"/>
      <c r="GZ30" s="530"/>
      <c r="HA30" s="530"/>
      <c r="HB30" s="530"/>
      <c r="HC30" s="530"/>
      <c r="HD30" s="530"/>
      <c r="HE30" s="530"/>
      <c r="HF30" s="530"/>
      <c r="HG30" s="530"/>
      <c r="HH30" s="530"/>
      <c r="HI30" s="530"/>
      <c r="HJ30" s="530"/>
      <c r="HK30" s="530"/>
      <c r="HL30" s="530"/>
      <c r="HM30" s="530"/>
      <c r="HN30" s="530"/>
      <c r="HO30" s="530"/>
      <c r="HP30" s="530"/>
      <c r="HQ30" s="530"/>
      <c r="HR30" s="530"/>
      <c r="HS30" s="530"/>
      <c r="HT30" s="530"/>
      <c r="HU30" s="530"/>
      <c r="HV30" s="530"/>
      <c r="HW30" s="530"/>
      <c r="HX30" s="530"/>
      <c r="HY30" s="530"/>
      <c r="HZ30" s="530"/>
      <c r="IA30" s="530"/>
      <c r="IB30" s="530"/>
      <c r="IC30" s="530"/>
      <c r="ID30" s="530"/>
      <c r="IE30" s="530"/>
      <c r="IF30" s="530"/>
      <c r="IG30" s="530"/>
      <c r="IH30" s="530"/>
      <c r="II30" s="530"/>
      <c r="IJ30" s="530"/>
      <c r="IK30" s="530"/>
      <c r="IL30" s="530"/>
      <c r="IM30" s="530"/>
      <c r="IN30" s="530"/>
      <c r="IO30" s="530"/>
    </row>
    <row r="31" spans="1:249" s="270" customFormat="1" x14ac:dyDescent="0.2">
      <c r="A31" s="531"/>
      <c r="B31" s="532"/>
      <c r="C31" s="533"/>
      <c r="D31" s="533"/>
      <c r="E31" s="533"/>
      <c r="F31" s="533"/>
      <c r="G31" s="533"/>
      <c r="H31" s="533"/>
      <c r="I31" s="533"/>
      <c r="J31" s="533"/>
      <c r="K31" s="533" t="s">
        <v>63</v>
      </c>
      <c r="L31" s="534"/>
      <c r="M31" s="535" t="str">
        <f t="shared" ref="M31:M36" si="1">+M22</f>
        <v>OK</v>
      </c>
      <c r="N31" s="534">
        <f t="shared" ref="N31:N36" si="2">+SUM(Q31:IO31)</f>
        <v>0</v>
      </c>
      <c r="O31" s="536"/>
      <c r="P31" s="537"/>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c r="EB31" s="534"/>
      <c r="EC31" s="534"/>
      <c r="ED31" s="534"/>
      <c r="EE31" s="534"/>
      <c r="EF31" s="534"/>
      <c r="EG31" s="534"/>
      <c r="EH31" s="534"/>
      <c r="EI31" s="534"/>
      <c r="EJ31" s="534"/>
      <c r="EK31" s="534"/>
      <c r="EL31" s="534"/>
      <c r="EM31" s="534"/>
      <c r="EN31" s="534"/>
      <c r="EO31" s="534"/>
      <c r="EP31" s="534"/>
      <c r="EQ31" s="534"/>
      <c r="ER31" s="534"/>
      <c r="ES31" s="534"/>
      <c r="ET31" s="534"/>
      <c r="EU31" s="534"/>
      <c r="EV31" s="534"/>
      <c r="EW31" s="534"/>
      <c r="EX31" s="534"/>
      <c r="EY31" s="534"/>
      <c r="EZ31" s="534"/>
      <c r="FA31" s="534"/>
      <c r="FB31" s="534"/>
      <c r="FC31" s="534"/>
      <c r="FD31" s="534"/>
      <c r="FE31" s="534"/>
      <c r="FF31" s="534"/>
      <c r="FG31" s="534"/>
      <c r="FH31" s="534"/>
      <c r="FI31" s="534"/>
      <c r="FJ31" s="534"/>
      <c r="FK31" s="534"/>
      <c r="FL31" s="534"/>
      <c r="FM31" s="534"/>
      <c r="FN31" s="534"/>
      <c r="FO31" s="534"/>
      <c r="FP31" s="534"/>
      <c r="FQ31" s="534"/>
      <c r="FR31" s="534"/>
      <c r="FS31" s="534"/>
      <c r="FT31" s="534"/>
      <c r="FU31" s="534"/>
      <c r="FV31" s="534"/>
      <c r="FW31" s="534"/>
      <c r="FX31" s="534"/>
      <c r="FY31" s="534"/>
      <c r="FZ31" s="534"/>
      <c r="GA31" s="534"/>
      <c r="GB31" s="534"/>
      <c r="GC31" s="534"/>
      <c r="GD31" s="534"/>
      <c r="GE31" s="534"/>
      <c r="GF31" s="534"/>
      <c r="GG31" s="534"/>
      <c r="GH31" s="534"/>
      <c r="GI31" s="534"/>
      <c r="GJ31" s="534"/>
      <c r="GK31" s="534"/>
      <c r="GL31" s="534"/>
      <c r="GM31" s="534"/>
      <c r="GN31" s="534"/>
      <c r="GO31" s="534"/>
      <c r="GP31" s="534"/>
      <c r="GQ31" s="534"/>
      <c r="GR31" s="534"/>
      <c r="GS31" s="534"/>
      <c r="GT31" s="534"/>
      <c r="GU31" s="534"/>
      <c r="GV31" s="534"/>
      <c r="GW31" s="534"/>
      <c r="GX31" s="534"/>
      <c r="GY31" s="534"/>
      <c r="GZ31" s="534"/>
      <c r="HA31" s="534"/>
      <c r="HB31" s="534"/>
      <c r="HC31" s="534"/>
      <c r="HD31" s="534"/>
      <c r="HE31" s="534"/>
      <c r="HF31" s="534"/>
      <c r="HG31" s="534"/>
      <c r="HH31" s="534"/>
      <c r="HI31" s="534"/>
      <c r="HJ31" s="534"/>
      <c r="HK31" s="534"/>
      <c r="HL31" s="534"/>
      <c r="HM31" s="534"/>
      <c r="HN31" s="534"/>
      <c r="HO31" s="534"/>
      <c r="HP31" s="534"/>
      <c r="HQ31" s="534"/>
      <c r="HR31" s="534"/>
      <c r="HS31" s="534"/>
      <c r="HT31" s="534"/>
      <c r="HU31" s="534"/>
      <c r="HV31" s="534"/>
      <c r="HW31" s="534"/>
      <c r="HX31" s="534"/>
      <c r="HY31" s="534"/>
      <c r="HZ31" s="534"/>
      <c r="IA31" s="534"/>
      <c r="IB31" s="534"/>
      <c r="IC31" s="534"/>
      <c r="ID31" s="534"/>
      <c r="IE31" s="534"/>
      <c r="IF31" s="534"/>
      <c r="IG31" s="534"/>
      <c r="IH31" s="534"/>
      <c r="II31" s="534"/>
      <c r="IJ31" s="534"/>
      <c r="IK31" s="534"/>
      <c r="IL31" s="534"/>
      <c r="IM31" s="534"/>
      <c r="IN31" s="534"/>
      <c r="IO31" s="534"/>
    </row>
    <row r="32" spans="1:249" s="270" customFormat="1" x14ac:dyDescent="0.2">
      <c r="A32" s="531"/>
      <c r="B32" s="532"/>
      <c r="C32" s="533" t="s">
        <v>260</v>
      </c>
      <c r="D32" s="533"/>
      <c r="E32" s="533"/>
      <c r="F32" s="533"/>
      <c r="G32" s="533"/>
      <c r="H32" s="533"/>
      <c r="I32" s="533"/>
      <c r="J32" s="533"/>
      <c r="K32" s="533" t="s">
        <v>63</v>
      </c>
      <c r="L32" s="534"/>
      <c r="M32" s="538" t="str">
        <f t="shared" si="1"/>
        <v>OK</v>
      </c>
      <c r="N32" s="534">
        <f t="shared" si="2"/>
        <v>427654.43840678042</v>
      </c>
      <c r="O32" s="536"/>
      <c r="P32" s="537"/>
      <c r="Q32" s="534">
        <v>0</v>
      </c>
      <c r="R32" s="534">
        <v>0</v>
      </c>
      <c r="S32" s="534">
        <v>0</v>
      </c>
      <c r="T32" s="534">
        <v>0</v>
      </c>
      <c r="U32" s="534">
        <v>0</v>
      </c>
      <c r="V32" s="534">
        <v>539.70155717787566</v>
      </c>
      <c r="W32" s="534">
        <v>776.50559552197228</v>
      </c>
      <c r="X32" s="534">
        <v>1038.8609910597879</v>
      </c>
      <c r="Y32" s="534">
        <v>1328.9251559491677</v>
      </c>
      <c r="Z32" s="534">
        <v>9799.8775139839563</v>
      </c>
      <c r="AA32" s="534">
        <v>10564.459267585509</v>
      </c>
      <c r="AB32" s="534">
        <v>12103.575353747059</v>
      </c>
      <c r="AC32" s="534">
        <v>13807.611377853696</v>
      </c>
      <c r="AD32" s="534">
        <v>15692.345051913784</v>
      </c>
      <c r="AE32" s="534">
        <v>18486.313556027482</v>
      </c>
      <c r="AF32" s="534">
        <v>19549.647371904401</v>
      </c>
      <c r="AG32" s="534">
        <v>20571.68316826949</v>
      </c>
      <c r="AH32" s="534">
        <v>21638.662566408457</v>
      </c>
      <c r="AI32" s="534">
        <v>22751.693539404077</v>
      </c>
      <c r="AJ32" s="534">
        <v>23911.805743083067</v>
      </c>
      <c r="AK32" s="534">
        <v>25119.933132307342</v>
      </c>
      <c r="AL32" s="534">
        <v>26563.539529386209</v>
      </c>
      <c r="AM32" s="534">
        <v>28083.673987498973</v>
      </c>
      <c r="AN32" s="534">
        <v>29683.78878483345</v>
      </c>
      <c r="AO32" s="534">
        <v>31367.430343745451</v>
      </c>
      <c r="AP32" s="534">
        <v>33138.234424650494</v>
      </c>
      <c r="AQ32" s="534">
        <v>31550.109822034487</v>
      </c>
      <c r="AR32" s="534">
        <v>29586.060572434217</v>
      </c>
      <c r="AS32" s="534">
        <v>0</v>
      </c>
      <c r="AT32" s="534">
        <v>0</v>
      </c>
      <c r="AU32" s="534">
        <v>0</v>
      </c>
      <c r="AV32" s="534">
        <v>0</v>
      </c>
      <c r="AW32" s="534">
        <v>0</v>
      </c>
      <c r="AX32" s="534">
        <v>0</v>
      </c>
      <c r="AY32" s="534">
        <v>0</v>
      </c>
      <c r="AZ32" s="534">
        <v>0</v>
      </c>
      <c r="BA32" s="534">
        <v>0</v>
      </c>
      <c r="BB32" s="534">
        <v>0</v>
      </c>
      <c r="BC32" s="534">
        <v>0</v>
      </c>
      <c r="BD32" s="534">
        <v>0</v>
      </c>
      <c r="BE32" s="534">
        <v>0</v>
      </c>
      <c r="BF32" s="534">
        <v>0</v>
      </c>
      <c r="BG32" s="534">
        <v>0</v>
      </c>
      <c r="BH32" s="534">
        <v>0</v>
      </c>
      <c r="BI32" s="534">
        <v>0</v>
      </c>
      <c r="BJ32" s="534">
        <v>0</v>
      </c>
      <c r="BK32" s="534">
        <v>0</v>
      </c>
      <c r="BL32" s="534">
        <v>0</v>
      </c>
      <c r="BM32" s="534">
        <v>0</v>
      </c>
      <c r="BN32" s="534">
        <v>0</v>
      </c>
      <c r="BO32" s="534">
        <v>0</v>
      </c>
      <c r="BP32" s="534">
        <v>0</v>
      </c>
      <c r="BQ32" s="534">
        <v>0</v>
      </c>
      <c r="BR32" s="534">
        <v>0</v>
      </c>
      <c r="BS32" s="534">
        <v>0</v>
      </c>
      <c r="BT32" s="534">
        <v>0</v>
      </c>
      <c r="BU32" s="534">
        <v>0</v>
      </c>
      <c r="BV32" s="534">
        <v>0</v>
      </c>
      <c r="BW32" s="534">
        <v>0</v>
      </c>
      <c r="BX32" s="534">
        <v>0</v>
      </c>
      <c r="BY32" s="534">
        <v>0</v>
      </c>
      <c r="BZ32" s="534">
        <v>0</v>
      </c>
      <c r="CA32" s="534">
        <v>0</v>
      </c>
      <c r="CB32" s="534">
        <v>0</v>
      </c>
      <c r="CC32" s="534">
        <v>0</v>
      </c>
      <c r="CD32" s="534">
        <v>0</v>
      </c>
      <c r="CE32" s="534">
        <v>0</v>
      </c>
      <c r="CF32" s="534">
        <v>0</v>
      </c>
      <c r="CG32" s="534">
        <v>0</v>
      </c>
      <c r="CH32" s="534">
        <v>0</v>
      </c>
      <c r="CI32" s="534">
        <v>0</v>
      </c>
      <c r="CJ32" s="534">
        <v>0</v>
      </c>
      <c r="CK32" s="534">
        <v>0</v>
      </c>
      <c r="CL32" s="534">
        <v>0</v>
      </c>
      <c r="CM32" s="534">
        <v>0</v>
      </c>
      <c r="CN32" s="534">
        <v>0</v>
      </c>
      <c r="CO32" s="534">
        <v>0</v>
      </c>
      <c r="CP32" s="534">
        <v>0</v>
      </c>
      <c r="CQ32" s="534">
        <v>0</v>
      </c>
      <c r="CR32" s="534">
        <v>0</v>
      </c>
      <c r="CS32" s="534">
        <v>0</v>
      </c>
      <c r="CT32" s="534">
        <v>0</v>
      </c>
      <c r="CU32" s="534">
        <v>0</v>
      </c>
      <c r="CV32" s="534">
        <v>0</v>
      </c>
      <c r="CW32" s="534">
        <v>0</v>
      </c>
      <c r="CX32" s="534">
        <v>0</v>
      </c>
      <c r="CY32" s="534">
        <v>0</v>
      </c>
      <c r="CZ32" s="534">
        <v>0</v>
      </c>
      <c r="DA32" s="534">
        <v>0</v>
      </c>
      <c r="DB32" s="534">
        <v>0</v>
      </c>
      <c r="DC32" s="534">
        <v>0</v>
      </c>
      <c r="DD32" s="534">
        <v>0</v>
      </c>
      <c r="DE32" s="534">
        <v>0</v>
      </c>
      <c r="DF32" s="534">
        <v>0</v>
      </c>
      <c r="DG32" s="534">
        <v>0</v>
      </c>
      <c r="DH32" s="534">
        <v>0</v>
      </c>
      <c r="DI32" s="534">
        <v>0</v>
      </c>
      <c r="DJ32" s="534">
        <v>0</v>
      </c>
      <c r="DK32" s="534">
        <v>0</v>
      </c>
      <c r="DL32" s="534">
        <v>0</v>
      </c>
      <c r="DM32" s="534">
        <v>0</v>
      </c>
      <c r="DN32" s="534">
        <v>0</v>
      </c>
      <c r="DO32" s="534">
        <v>0</v>
      </c>
      <c r="DP32" s="534">
        <v>0</v>
      </c>
      <c r="DQ32" s="534">
        <v>0</v>
      </c>
      <c r="DR32" s="534">
        <v>0</v>
      </c>
      <c r="DS32" s="534">
        <v>0</v>
      </c>
      <c r="DT32" s="534">
        <v>0</v>
      </c>
      <c r="DU32" s="534">
        <v>0</v>
      </c>
      <c r="DV32" s="534">
        <v>0</v>
      </c>
      <c r="DW32" s="534">
        <v>0</v>
      </c>
      <c r="DX32" s="534">
        <v>0</v>
      </c>
      <c r="DY32" s="534">
        <v>0</v>
      </c>
      <c r="DZ32" s="534">
        <v>0</v>
      </c>
      <c r="EA32" s="534">
        <v>0</v>
      </c>
      <c r="EB32" s="534">
        <v>0</v>
      </c>
      <c r="EC32" s="534">
        <v>0</v>
      </c>
      <c r="ED32" s="534">
        <v>0</v>
      </c>
      <c r="EE32" s="534">
        <v>0</v>
      </c>
      <c r="EF32" s="534">
        <v>0</v>
      </c>
      <c r="EG32" s="534">
        <v>0</v>
      </c>
      <c r="EH32" s="534">
        <v>0</v>
      </c>
      <c r="EI32" s="534">
        <v>0</v>
      </c>
      <c r="EJ32" s="534">
        <v>0</v>
      </c>
      <c r="EK32" s="534">
        <v>0</v>
      </c>
      <c r="EL32" s="534">
        <v>0</v>
      </c>
      <c r="EM32" s="534">
        <v>0</v>
      </c>
      <c r="EN32" s="534">
        <v>0</v>
      </c>
      <c r="EO32" s="534">
        <v>0</v>
      </c>
      <c r="EP32" s="534">
        <v>0</v>
      </c>
      <c r="EQ32" s="534">
        <v>0</v>
      </c>
      <c r="ER32" s="534">
        <v>0</v>
      </c>
      <c r="ES32" s="534">
        <v>0</v>
      </c>
      <c r="ET32" s="534">
        <v>0</v>
      </c>
      <c r="EU32" s="534">
        <v>0</v>
      </c>
      <c r="EV32" s="534">
        <v>0</v>
      </c>
      <c r="EW32" s="534">
        <v>0</v>
      </c>
      <c r="EX32" s="534">
        <v>0</v>
      </c>
      <c r="EY32" s="534">
        <v>0</v>
      </c>
      <c r="EZ32" s="534">
        <v>0</v>
      </c>
      <c r="FA32" s="534">
        <v>0</v>
      </c>
      <c r="FB32" s="534">
        <v>0</v>
      </c>
      <c r="FC32" s="534">
        <v>0</v>
      </c>
      <c r="FD32" s="534">
        <v>0</v>
      </c>
      <c r="FE32" s="534">
        <v>0</v>
      </c>
      <c r="FF32" s="534">
        <v>0</v>
      </c>
      <c r="FG32" s="534">
        <v>0</v>
      </c>
      <c r="FH32" s="534">
        <v>0</v>
      </c>
      <c r="FI32" s="534">
        <v>0</v>
      </c>
      <c r="FJ32" s="534">
        <v>0</v>
      </c>
      <c r="FK32" s="534">
        <v>0</v>
      </c>
      <c r="FL32" s="534">
        <v>0</v>
      </c>
      <c r="FM32" s="534">
        <v>0</v>
      </c>
      <c r="FN32" s="534">
        <v>0</v>
      </c>
      <c r="FO32" s="534">
        <v>0</v>
      </c>
      <c r="FP32" s="534">
        <v>0</v>
      </c>
      <c r="FQ32" s="534">
        <v>0</v>
      </c>
      <c r="FR32" s="534">
        <v>0</v>
      </c>
      <c r="FS32" s="534">
        <v>0</v>
      </c>
      <c r="FT32" s="534">
        <v>0</v>
      </c>
      <c r="FU32" s="534">
        <v>0</v>
      </c>
      <c r="FV32" s="534">
        <v>0</v>
      </c>
      <c r="FW32" s="534">
        <v>0</v>
      </c>
      <c r="FX32" s="534">
        <v>0</v>
      </c>
      <c r="FY32" s="534">
        <v>0</v>
      </c>
      <c r="FZ32" s="534">
        <v>0</v>
      </c>
      <c r="GA32" s="534">
        <v>0</v>
      </c>
      <c r="GB32" s="534">
        <v>0</v>
      </c>
      <c r="GC32" s="534">
        <v>0</v>
      </c>
      <c r="GD32" s="534">
        <v>0</v>
      </c>
      <c r="GE32" s="534">
        <v>0</v>
      </c>
      <c r="GF32" s="534">
        <v>0</v>
      </c>
      <c r="GG32" s="534">
        <v>0</v>
      </c>
      <c r="GH32" s="534">
        <v>0</v>
      </c>
      <c r="GI32" s="534">
        <v>0</v>
      </c>
      <c r="GJ32" s="534">
        <v>0</v>
      </c>
      <c r="GK32" s="534">
        <v>0</v>
      </c>
      <c r="GL32" s="534">
        <v>0</v>
      </c>
      <c r="GM32" s="534">
        <v>0</v>
      </c>
      <c r="GN32" s="534">
        <v>0</v>
      </c>
      <c r="GO32" s="534">
        <v>0</v>
      </c>
      <c r="GP32" s="534">
        <v>0</v>
      </c>
      <c r="GQ32" s="534">
        <v>0</v>
      </c>
      <c r="GR32" s="534">
        <v>0</v>
      </c>
      <c r="GS32" s="534">
        <v>0</v>
      </c>
      <c r="GT32" s="534">
        <v>0</v>
      </c>
      <c r="GU32" s="534">
        <v>0</v>
      </c>
      <c r="GV32" s="534">
        <v>0</v>
      </c>
      <c r="GW32" s="534">
        <v>0</v>
      </c>
      <c r="GX32" s="534">
        <v>0</v>
      </c>
      <c r="GY32" s="534">
        <v>0</v>
      </c>
      <c r="GZ32" s="534">
        <v>0</v>
      </c>
      <c r="HA32" s="534">
        <v>0</v>
      </c>
      <c r="HB32" s="534">
        <v>0</v>
      </c>
      <c r="HC32" s="534">
        <v>0</v>
      </c>
      <c r="HD32" s="534">
        <v>0</v>
      </c>
      <c r="HE32" s="534">
        <v>0</v>
      </c>
      <c r="HF32" s="534">
        <v>0</v>
      </c>
      <c r="HG32" s="534">
        <v>0</v>
      </c>
      <c r="HH32" s="534">
        <v>0</v>
      </c>
      <c r="HI32" s="534">
        <v>0</v>
      </c>
      <c r="HJ32" s="534">
        <v>0</v>
      </c>
      <c r="HK32" s="534">
        <v>0</v>
      </c>
      <c r="HL32" s="534">
        <v>0</v>
      </c>
      <c r="HM32" s="534">
        <v>0</v>
      </c>
      <c r="HN32" s="534">
        <v>0</v>
      </c>
      <c r="HO32" s="534">
        <v>0</v>
      </c>
      <c r="HP32" s="534">
        <v>0</v>
      </c>
      <c r="HQ32" s="534">
        <v>0</v>
      </c>
      <c r="HR32" s="534">
        <v>0</v>
      </c>
      <c r="HS32" s="534">
        <v>0</v>
      </c>
      <c r="HT32" s="534">
        <v>0</v>
      </c>
      <c r="HU32" s="534">
        <v>0</v>
      </c>
      <c r="HV32" s="534">
        <v>0</v>
      </c>
      <c r="HW32" s="534">
        <v>0</v>
      </c>
      <c r="HX32" s="534">
        <v>0</v>
      </c>
      <c r="HY32" s="534">
        <v>0</v>
      </c>
      <c r="HZ32" s="534">
        <v>0</v>
      </c>
      <c r="IA32" s="534">
        <v>0</v>
      </c>
      <c r="IB32" s="534">
        <v>0</v>
      </c>
      <c r="IC32" s="534">
        <v>0</v>
      </c>
      <c r="ID32" s="534">
        <v>0</v>
      </c>
      <c r="IE32" s="534">
        <v>0</v>
      </c>
      <c r="IF32" s="534">
        <v>0</v>
      </c>
      <c r="IG32" s="534">
        <v>0</v>
      </c>
      <c r="IH32" s="534">
        <v>0</v>
      </c>
      <c r="II32" s="534">
        <v>0</v>
      </c>
      <c r="IJ32" s="534">
        <v>0</v>
      </c>
      <c r="IK32" s="534">
        <v>0</v>
      </c>
      <c r="IL32" s="534">
        <v>0</v>
      </c>
      <c r="IM32" s="534">
        <v>0</v>
      </c>
      <c r="IN32" s="534">
        <v>0</v>
      </c>
      <c r="IO32" s="534">
        <v>0</v>
      </c>
    </row>
    <row r="33" spans="1:249" s="270" customFormat="1" x14ac:dyDescent="0.2">
      <c r="A33" s="531"/>
      <c r="B33" s="532"/>
      <c r="C33" s="533" t="s">
        <v>73</v>
      </c>
      <c r="D33" s="533"/>
      <c r="E33" s="533"/>
      <c r="F33" s="533"/>
      <c r="G33" s="533"/>
      <c r="H33" s="533"/>
      <c r="I33" s="533"/>
      <c r="J33" s="533"/>
      <c r="K33" s="533" t="s">
        <v>63</v>
      </c>
      <c r="L33" s="534"/>
      <c r="M33" s="538" t="str">
        <f t="shared" si="1"/>
        <v>OK</v>
      </c>
      <c r="N33" s="534">
        <f t="shared" si="2"/>
        <v>313910.83358659851</v>
      </c>
      <c r="O33" s="536"/>
      <c r="P33" s="537"/>
      <c r="Q33" s="534">
        <v>0</v>
      </c>
      <c r="R33" s="534">
        <v>0</v>
      </c>
      <c r="S33" s="534">
        <v>0</v>
      </c>
      <c r="T33" s="534">
        <v>2692.085174796453</v>
      </c>
      <c r="U33" s="534">
        <v>3887.4732955742647</v>
      </c>
      <c r="V33" s="534">
        <v>1368.9413706881614</v>
      </c>
      <c r="W33" s="534">
        <v>1585.1746377621182</v>
      </c>
      <c r="X33" s="534">
        <v>1826.1460309171671</v>
      </c>
      <c r="Y33" s="534">
        <v>2091.0309584081278</v>
      </c>
      <c r="Z33" s="534">
        <v>2234.8612616227101</v>
      </c>
      <c r="AA33" s="534">
        <v>2483.3469456730418</v>
      </c>
      <c r="AB33" s="534">
        <v>2701.6488251499013</v>
      </c>
      <c r="AC33" s="534">
        <v>2954.0066602775159</v>
      </c>
      <c r="AD33" s="534">
        <v>3105.9081402819047</v>
      </c>
      <c r="AE33" s="534">
        <v>3356.848176385216</v>
      </c>
      <c r="AF33" s="534">
        <v>3734.4677636830684</v>
      </c>
      <c r="AG33" s="534">
        <v>4031.6091928702144</v>
      </c>
      <c r="AH33" s="534">
        <v>4407.9977848620492</v>
      </c>
      <c r="AI33" s="534">
        <v>4834.9837245341078</v>
      </c>
      <c r="AJ33" s="534">
        <v>5183.2973913445458</v>
      </c>
      <c r="AK33" s="534">
        <v>5397.7403829528903</v>
      </c>
      <c r="AL33" s="534">
        <v>5152.2009753896455</v>
      </c>
      <c r="AM33" s="534">
        <v>5153.3683819462549</v>
      </c>
      <c r="AN33" s="534">
        <v>5579.4166041562667</v>
      </c>
      <c r="AO33" s="534">
        <v>5604.3686889780784</v>
      </c>
      <c r="AP33" s="534">
        <v>6498.0922850655752</v>
      </c>
      <c r="AQ33" s="534">
        <v>6693.7903799019577</v>
      </c>
      <c r="AR33" s="534">
        <v>6953.5617772199748</v>
      </c>
      <c r="AS33" s="534">
        <v>7273.9631759357089</v>
      </c>
      <c r="AT33" s="534">
        <v>7703.6355831298733</v>
      </c>
      <c r="AU33" s="534">
        <v>9674.9728346018928</v>
      </c>
      <c r="AV33" s="534">
        <v>11195.996218899842</v>
      </c>
      <c r="AW33" s="534">
        <v>11354.32538880326</v>
      </c>
      <c r="AX33" s="534">
        <v>11665.94387593715</v>
      </c>
      <c r="AY33" s="534">
        <v>12185.596123718682</v>
      </c>
      <c r="AZ33" s="534">
        <v>12785.168145198666</v>
      </c>
      <c r="BA33" s="534">
        <v>13265.638165528426</v>
      </c>
      <c r="BB33" s="534">
        <v>13776.034553174752</v>
      </c>
      <c r="BC33" s="534">
        <v>14330.629817677251</v>
      </c>
      <c r="BD33" s="534">
        <v>14932.713615848705</v>
      </c>
      <c r="BE33" s="534">
        <v>12981.616243807486</v>
      </c>
      <c r="BF33" s="534">
        <v>13266.074581726716</v>
      </c>
      <c r="BG33" s="534">
        <v>13209.619932323629</v>
      </c>
      <c r="BH33" s="534">
        <v>13148.974364401478</v>
      </c>
      <c r="BI33" s="534">
        <v>13042.999778069923</v>
      </c>
      <c r="BJ33" s="534">
        <v>8604.564377373923</v>
      </c>
      <c r="BK33" s="534">
        <v>0</v>
      </c>
      <c r="BL33" s="534">
        <v>0</v>
      </c>
      <c r="BM33" s="534">
        <v>0</v>
      </c>
      <c r="BN33" s="534">
        <v>0</v>
      </c>
      <c r="BO33" s="534">
        <v>0</v>
      </c>
      <c r="BP33" s="534">
        <v>0</v>
      </c>
      <c r="BQ33" s="534">
        <v>0</v>
      </c>
      <c r="BR33" s="534">
        <v>0</v>
      </c>
      <c r="BS33" s="534">
        <v>0</v>
      </c>
      <c r="BT33" s="534">
        <v>0</v>
      </c>
      <c r="BU33" s="534">
        <v>0</v>
      </c>
      <c r="BV33" s="534">
        <v>0</v>
      </c>
      <c r="BW33" s="534">
        <v>0</v>
      </c>
      <c r="BX33" s="534">
        <v>0</v>
      </c>
      <c r="BY33" s="534">
        <v>0</v>
      </c>
      <c r="BZ33" s="534">
        <v>0</v>
      </c>
      <c r="CA33" s="534">
        <v>0</v>
      </c>
      <c r="CB33" s="534">
        <v>0</v>
      </c>
      <c r="CC33" s="534">
        <v>0</v>
      </c>
      <c r="CD33" s="534">
        <v>0</v>
      </c>
      <c r="CE33" s="534">
        <v>0</v>
      </c>
      <c r="CF33" s="534">
        <v>0</v>
      </c>
      <c r="CG33" s="534">
        <v>0</v>
      </c>
      <c r="CH33" s="534">
        <v>0</v>
      </c>
      <c r="CI33" s="534">
        <v>0</v>
      </c>
      <c r="CJ33" s="534">
        <v>0</v>
      </c>
      <c r="CK33" s="534">
        <v>0</v>
      </c>
      <c r="CL33" s="534">
        <v>0</v>
      </c>
      <c r="CM33" s="534">
        <v>0</v>
      </c>
      <c r="CN33" s="534">
        <v>0</v>
      </c>
      <c r="CO33" s="534">
        <v>0</v>
      </c>
      <c r="CP33" s="534">
        <v>0</v>
      </c>
      <c r="CQ33" s="534">
        <v>0</v>
      </c>
      <c r="CR33" s="534">
        <v>0</v>
      </c>
      <c r="CS33" s="534">
        <v>0</v>
      </c>
      <c r="CT33" s="534">
        <v>0</v>
      </c>
      <c r="CU33" s="534">
        <v>0</v>
      </c>
      <c r="CV33" s="534">
        <v>0</v>
      </c>
      <c r="CW33" s="534">
        <v>0</v>
      </c>
      <c r="CX33" s="534">
        <v>0</v>
      </c>
      <c r="CY33" s="534">
        <v>0</v>
      </c>
      <c r="CZ33" s="534">
        <v>0</v>
      </c>
      <c r="DA33" s="534">
        <v>0</v>
      </c>
      <c r="DB33" s="534">
        <v>0</v>
      </c>
      <c r="DC33" s="534">
        <v>0</v>
      </c>
      <c r="DD33" s="534">
        <v>0</v>
      </c>
      <c r="DE33" s="534">
        <v>0</v>
      </c>
      <c r="DF33" s="534">
        <v>0</v>
      </c>
      <c r="DG33" s="534">
        <v>0</v>
      </c>
      <c r="DH33" s="534">
        <v>0</v>
      </c>
      <c r="DI33" s="534">
        <v>0</v>
      </c>
      <c r="DJ33" s="534">
        <v>0</v>
      </c>
      <c r="DK33" s="534">
        <v>0</v>
      </c>
      <c r="DL33" s="534">
        <v>0</v>
      </c>
      <c r="DM33" s="534">
        <v>0</v>
      </c>
      <c r="DN33" s="534">
        <v>0</v>
      </c>
      <c r="DO33" s="534">
        <v>0</v>
      </c>
      <c r="DP33" s="534">
        <v>0</v>
      </c>
      <c r="DQ33" s="534">
        <v>0</v>
      </c>
      <c r="DR33" s="534">
        <v>0</v>
      </c>
      <c r="DS33" s="534">
        <v>0</v>
      </c>
      <c r="DT33" s="534">
        <v>0</v>
      </c>
      <c r="DU33" s="534">
        <v>0</v>
      </c>
      <c r="DV33" s="534">
        <v>0</v>
      </c>
      <c r="DW33" s="534">
        <v>0</v>
      </c>
      <c r="DX33" s="534">
        <v>0</v>
      </c>
      <c r="DY33" s="534">
        <v>0</v>
      </c>
      <c r="DZ33" s="534">
        <v>0</v>
      </c>
      <c r="EA33" s="534">
        <v>0</v>
      </c>
      <c r="EB33" s="534">
        <v>0</v>
      </c>
      <c r="EC33" s="534">
        <v>0</v>
      </c>
      <c r="ED33" s="534">
        <v>0</v>
      </c>
      <c r="EE33" s="534">
        <v>0</v>
      </c>
      <c r="EF33" s="534">
        <v>0</v>
      </c>
      <c r="EG33" s="534">
        <v>0</v>
      </c>
      <c r="EH33" s="534">
        <v>0</v>
      </c>
      <c r="EI33" s="534">
        <v>0</v>
      </c>
      <c r="EJ33" s="534">
        <v>0</v>
      </c>
      <c r="EK33" s="534">
        <v>0</v>
      </c>
      <c r="EL33" s="534">
        <v>0</v>
      </c>
      <c r="EM33" s="534">
        <v>0</v>
      </c>
      <c r="EN33" s="534">
        <v>0</v>
      </c>
      <c r="EO33" s="534">
        <v>0</v>
      </c>
      <c r="EP33" s="534">
        <v>0</v>
      </c>
      <c r="EQ33" s="534">
        <v>0</v>
      </c>
      <c r="ER33" s="534">
        <v>0</v>
      </c>
      <c r="ES33" s="534">
        <v>0</v>
      </c>
      <c r="ET33" s="534">
        <v>0</v>
      </c>
      <c r="EU33" s="534">
        <v>0</v>
      </c>
      <c r="EV33" s="534">
        <v>0</v>
      </c>
      <c r="EW33" s="534">
        <v>0</v>
      </c>
      <c r="EX33" s="534">
        <v>0</v>
      </c>
      <c r="EY33" s="534">
        <v>0</v>
      </c>
      <c r="EZ33" s="534">
        <v>0</v>
      </c>
      <c r="FA33" s="534">
        <v>0</v>
      </c>
      <c r="FB33" s="534">
        <v>0</v>
      </c>
      <c r="FC33" s="534">
        <v>0</v>
      </c>
      <c r="FD33" s="534">
        <v>0</v>
      </c>
      <c r="FE33" s="534">
        <v>0</v>
      </c>
      <c r="FF33" s="534">
        <v>0</v>
      </c>
      <c r="FG33" s="534">
        <v>0</v>
      </c>
      <c r="FH33" s="534">
        <v>0</v>
      </c>
      <c r="FI33" s="534">
        <v>0</v>
      </c>
      <c r="FJ33" s="534">
        <v>0</v>
      </c>
      <c r="FK33" s="534">
        <v>0</v>
      </c>
      <c r="FL33" s="534">
        <v>0</v>
      </c>
      <c r="FM33" s="534">
        <v>0</v>
      </c>
      <c r="FN33" s="534">
        <v>0</v>
      </c>
      <c r="FO33" s="534">
        <v>0</v>
      </c>
      <c r="FP33" s="534">
        <v>0</v>
      </c>
      <c r="FQ33" s="534">
        <v>0</v>
      </c>
      <c r="FR33" s="534">
        <v>0</v>
      </c>
      <c r="FS33" s="534">
        <v>0</v>
      </c>
      <c r="FT33" s="534">
        <v>0</v>
      </c>
      <c r="FU33" s="534">
        <v>0</v>
      </c>
      <c r="FV33" s="534">
        <v>0</v>
      </c>
      <c r="FW33" s="534">
        <v>0</v>
      </c>
      <c r="FX33" s="534">
        <v>0</v>
      </c>
      <c r="FY33" s="534">
        <v>0</v>
      </c>
      <c r="FZ33" s="534">
        <v>0</v>
      </c>
      <c r="GA33" s="534">
        <v>0</v>
      </c>
      <c r="GB33" s="534">
        <v>0</v>
      </c>
      <c r="GC33" s="534">
        <v>0</v>
      </c>
      <c r="GD33" s="534">
        <v>0</v>
      </c>
      <c r="GE33" s="534">
        <v>0</v>
      </c>
      <c r="GF33" s="534">
        <v>0</v>
      </c>
      <c r="GG33" s="534">
        <v>0</v>
      </c>
      <c r="GH33" s="534">
        <v>0</v>
      </c>
      <c r="GI33" s="534">
        <v>0</v>
      </c>
      <c r="GJ33" s="534">
        <v>0</v>
      </c>
      <c r="GK33" s="534">
        <v>0</v>
      </c>
      <c r="GL33" s="534">
        <v>0</v>
      </c>
      <c r="GM33" s="534">
        <v>0</v>
      </c>
      <c r="GN33" s="534">
        <v>0</v>
      </c>
      <c r="GO33" s="534">
        <v>0</v>
      </c>
      <c r="GP33" s="534">
        <v>0</v>
      </c>
      <c r="GQ33" s="534">
        <v>0</v>
      </c>
      <c r="GR33" s="534">
        <v>0</v>
      </c>
      <c r="GS33" s="534">
        <v>0</v>
      </c>
      <c r="GT33" s="534">
        <v>0</v>
      </c>
      <c r="GU33" s="534">
        <v>0</v>
      </c>
      <c r="GV33" s="534">
        <v>0</v>
      </c>
      <c r="GW33" s="534">
        <v>0</v>
      </c>
      <c r="GX33" s="534">
        <v>0</v>
      </c>
      <c r="GY33" s="534">
        <v>0</v>
      </c>
      <c r="GZ33" s="534">
        <v>0</v>
      </c>
      <c r="HA33" s="534">
        <v>0</v>
      </c>
      <c r="HB33" s="534">
        <v>0</v>
      </c>
      <c r="HC33" s="534">
        <v>0</v>
      </c>
      <c r="HD33" s="534">
        <v>0</v>
      </c>
      <c r="HE33" s="534">
        <v>0</v>
      </c>
      <c r="HF33" s="534">
        <v>0</v>
      </c>
      <c r="HG33" s="534">
        <v>0</v>
      </c>
      <c r="HH33" s="534">
        <v>0</v>
      </c>
      <c r="HI33" s="534">
        <v>0</v>
      </c>
      <c r="HJ33" s="534">
        <v>0</v>
      </c>
      <c r="HK33" s="534">
        <v>0</v>
      </c>
      <c r="HL33" s="534">
        <v>0</v>
      </c>
      <c r="HM33" s="534">
        <v>0</v>
      </c>
      <c r="HN33" s="534">
        <v>0</v>
      </c>
      <c r="HO33" s="534">
        <v>0</v>
      </c>
      <c r="HP33" s="534">
        <v>0</v>
      </c>
      <c r="HQ33" s="534">
        <v>0</v>
      </c>
      <c r="HR33" s="534">
        <v>0</v>
      </c>
      <c r="HS33" s="534">
        <v>0</v>
      </c>
      <c r="HT33" s="534">
        <v>0</v>
      </c>
      <c r="HU33" s="534">
        <v>0</v>
      </c>
      <c r="HV33" s="534">
        <v>0</v>
      </c>
      <c r="HW33" s="534">
        <v>0</v>
      </c>
      <c r="HX33" s="534">
        <v>0</v>
      </c>
      <c r="HY33" s="534">
        <v>0</v>
      </c>
      <c r="HZ33" s="534">
        <v>0</v>
      </c>
      <c r="IA33" s="534">
        <v>0</v>
      </c>
      <c r="IB33" s="534">
        <v>0</v>
      </c>
      <c r="IC33" s="534">
        <v>0</v>
      </c>
      <c r="ID33" s="534">
        <v>0</v>
      </c>
      <c r="IE33" s="534">
        <v>0</v>
      </c>
      <c r="IF33" s="534">
        <v>0</v>
      </c>
      <c r="IG33" s="534">
        <v>0</v>
      </c>
      <c r="IH33" s="534">
        <v>0</v>
      </c>
      <c r="II33" s="534">
        <v>0</v>
      </c>
      <c r="IJ33" s="534">
        <v>0</v>
      </c>
      <c r="IK33" s="534">
        <v>0</v>
      </c>
      <c r="IL33" s="534">
        <v>0</v>
      </c>
      <c r="IM33" s="534">
        <v>0</v>
      </c>
      <c r="IN33" s="534">
        <v>0</v>
      </c>
      <c r="IO33" s="534">
        <v>0</v>
      </c>
    </row>
    <row r="34" spans="1:249" s="270" customFormat="1" x14ac:dyDescent="0.2">
      <c r="A34" s="531"/>
      <c r="B34" s="532"/>
      <c r="C34" s="533" t="s">
        <v>163</v>
      </c>
      <c r="D34" s="533"/>
      <c r="E34" s="533"/>
      <c r="F34" s="533"/>
      <c r="G34" s="533"/>
      <c r="H34" s="533"/>
      <c r="I34" s="533"/>
      <c r="J34" s="533"/>
      <c r="K34" s="533" t="s">
        <v>63</v>
      </c>
      <c r="L34" s="534"/>
      <c r="M34" s="538" t="str">
        <f t="shared" si="1"/>
        <v>OK</v>
      </c>
      <c r="N34" s="534">
        <f t="shared" si="2"/>
        <v>7399.157934068744</v>
      </c>
      <c r="O34" s="536"/>
      <c r="P34" s="537"/>
      <c r="Q34" s="534">
        <v>0</v>
      </c>
      <c r="R34" s="534">
        <v>0</v>
      </c>
      <c r="S34" s="534">
        <v>0</v>
      </c>
      <c r="T34" s="534">
        <v>0</v>
      </c>
      <c r="U34" s="534">
        <v>0</v>
      </c>
      <c r="V34" s="534">
        <v>214.60361445895464</v>
      </c>
      <c r="W34" s="534">
        <v>204.55801434489464</v>
      </c>
      <c r="X34" s="534">
        <v>191.72799714611077</v>
      </c>
      <c r="Y34" s="534">
        <v>175.3417843313382</v>
      </c>
      <c r="Z34" s="534">
        <v>154.41367751348707</v>
      </c>
      <c r="AA34" s="534">
        <v>127.68476462004948</v>
      </c>
      <c r="AB34" s="534">
        <v>93.547191131769083</v>
      </c>
      <c r="AC34" s="534">
        <v>62.209213881913925</v>
      </c>
      <c r="AD34" s="534">
        <v>33.441240128606935</v>
      </c>
      <c r="AE34" s="534">
        <v>0</v>
      </c>
      <c r="AF34" s="534">
        <v>485.52442828237349</v>
      </c>
      <c r="AG34" s="534">
        <v>463.26960180185034</v>
      </c>
      <c r="AH34" s="534">
        <v>433.09444834869271</v>
      </c>
      <c r="AI34" s="534">
        <v>392.18018255028295</v>
      </c>
      <c r="AJ34" s="534">
        <v>336.70483431646147</v>
      </c>
      <c r="AK34" s="534">
        <v>261.48622287107719</v>
      </c>
      <c r="AL34" s="534">
        <v>159.4978679007825</v>
      </c>
      <c r="AM34" s="534">
        <v>90.467788475952574</v>
      </c>
      <c r="AN34" s="534">
        <v>43.745279158234538</v>
      </c>
      <c r="AO34" s="534">
        <v>0</v>
      </c>
      <c r="AP34" s="534">
        <v>528.32802467821818</v>
      </c>
      <c r="AQ34" s="534">
        <v>513.84065580987499</v>
      </c>
      <c r="AR34" s="534">
        <v>493.7144174253682</v>
      </c>
      <c r="AS34" s="534">
        <v>465.75451144167295</v>
      </c>
      <c r="AT34" s="534">
        <v>426.91186595165027</v>
      </c>
      <c r="AU34" s="534">
        <v>372.95062911689837</v>
      </c>
      <c r="AV34" s="534">
        <v>297.9862428347094</v>
      </c>
      <c r="AW34" s="534">
        <v>224.30083897758612</v>
      </c>
      <c r="AX34" s="534">
        <v>151.87259656993265</v>
      </c>
      <c r="AY34" s="534">
        <v>0</v>
      </c>
      <c r="AZ34" s="534">
        <v>0</v>
      </c>
      <c r="BA34" s="534">
        <v>0</v>
      </c>
      <c r="BB34" s="534">
        <v>0</v>
      </c>
      <c r="BC34" s="534">
        <v>0</v>
      </c>
      <c r="BD34" s="534">
        <v>0</v>
      </c>
      <c r="BE34" s="534">
        <v>0</v>
      </c>
      <c r="BF34" s="534">
        <v>0</v>
      </c>
      <c r="BG34" s="534">
        <v>0</v>
      </c>
      <c r="BH34" s="534">
        <v>0</v>
      </c>
      <c r="BI34" s="534">
        <v>0</v>
      </c>
      <c r="BJ34" s="534">
        <v>0</v>
      </c>
      <c r="BK34" s="534">
        <v>0</v>
      </c>
      <c r="BL34" s="534">
        <v>0</v>
      </c>
      <c r="BM34" s="534">
        <v>0</v>
      </c>
      <c r="BN34" s="534">
        <v>0</v>
      </c>
      <c r="BO34" s="534">
        <v>0</v>
      </c>
      <c r="BP34" s="534">
        <v>0</v>
      </c>
      <c r="BQ34" s="534">
        <v>0</v>
      </c>
      <c r="BR34" s="534">
        <v>0</v>
      </c>
      <c r="BS34" s="534">
        <v>0</v>
      </c>
      <c r="BT34" s="534">
        <v>0</v>
      </c>
      <c r="BU34" s="534">
        <v>0</v>
      </c>
      <c r="BV34" s="534">
        <v>0</v>
      </c>
      <c r="BW34" s="534">
        <v>0</v>
      </c>
      <c r="BX34" s="534">
        <v>0</v>
      </c>
      <c r="BY34" s="534">
        <v>0</v>
      </c>
      <c r="BZ34" s="534">
        <v>0</v>
      </c>
      <c r="CA34" s="534">
        <v>0</v>
      </c>
      <c r="CB34" s="534">
        <v>0</v>
      </c>
      <c r="CC34" s="534">
        <v>0</v>
      </c>
      <c r="CD34" s="534">
        <v>0</v>
      </c>
      <c r="CE34" s="534">
        <v>0</v>
      </c>
      <c r="CF34" s="534">
        <v>0</v>
      </c>
      <c r="CG34" s="534">
        <v>0</v>
      </c>
      <c r="CH34" s="534">
        <v>0</v>
      </c>
      <c r="CI34" s="534">
        <v>0</v>
      </c>
      <c r="CJ34" s="534">
        <v>0</v>
      </c>
      <c r="CK34" s="534">
        <v>0</v>
      </c>
      <c r="CL34" s="534">
        <v>0</v>
      </c>
      <c r="CM34" s="534">
        <v>0</v>
      </c>
      <c r="CN34" s="534">
        <v>0</v>
      </c>
      <c r="CO34" s="534">
        <v>0</v>
      </c>
      <c r="CP34" s="534">
        <v>0</v>
      </c>
      <c r="CQ34" s="534">
        <v>0</v>
      </c>
      <c r="CR34" s="534">
        <v>0</v>
      </c>
      <c r="CS34" s="534">
        <v>0</v>
      </c>
      <c r="CT34" s="534">
        <v>0</v>
      </c>
      <c r="CU34" s="534">
        <v>0</v>
      </c>
      <c r="CV34" s="534">
        <v>0</v>
      </c>
      <c r="CW34" s="534">
        <v>0</v>
      </c>
      <c r="CX34" s="534">
        <v>0</v>
      </c>
      <c r="CY34" s="534">
        <v>0</v>
      </c>
      <c r="CZ34" s="534">
        <v>0</v>
      </c>
      <c r="DA34" s="534">
        <v>0</v>
      </c>
      <c r="DB34" s="534">
        <v>0</v>
      </c>
      <c r="DC34" s="534">
        <v>0</v>
      </c>
      <c r="DD34" s="534">
        <v>0</v>
      </c>
      <c r="DE34" s="534">
        <v>0</v>
      </c>
      <c r="DF34" s="534">
        <v>0</v>
      </c>
      <c r="DG34" s="534">
        <v>0</v>
      </c>
      <c r="DH34" s="534">
        <v>0</v>
      </c>
      <c r="DI34" s="534">
        <v>0</v>
      </c>
      <c r="DJ34" s="534">
        <v>0</v>
      </c>
      <c r="DK34" s="534">
        <v>0</v>
      </c>
      <c r="DL34" s="534">
        <v>0</v>
      </c>
      <c r="DM34" s="534">
        <v>0</v>
      </c>
      <c r="DN34" s="534">
        <v>0</v>
      </c>
      <c r="DO34" s="534">
        <v>0</v>
      </c>
      <c r="DP34" s="534">
        <v>0</v>
      </c>
      <c r="DQ34" s="534">
        <v>0</v>
      </c>
      <c r="DR34" s="534">
        <v>0</v>
      </c>
      <c r="DS34" s="534">
        <v>0</v>
      </c>
      <c r="DT34" s="534">
        <v>0</v>
      </c>
      <c r="DU34" s="534">
        <v>0</v>
      </c>
      <c r="DV34" s="534">
        <v>0</v>
      </c>
      <c r="DW34" s="534">
        <v>0</v>
      </c>
      <c r="DX34" s="534">
        <v>0</v>
      </c>
      <c r="DY34" s="534">
        <v>0</v>
      </c>
      <c r="DZ34" s="534">
        <v>0</v>
      </c>
      <c r="EA34" s="534">
        <v>0</v>
      </c>
      <c r="EB34" s="534">
        <v>0</v>
      </c>
      <c r="EC34" s="534">
        <v>0</v>
      </c>
      <c r="ED34" s="534">
        <v>0</v>
      </c>
      <c r="EE34" s="534">
        <v>0</v>
      </c>
      <c r="EF34" s="534">
        <v>0</v>
      </c>
      <c r="EG34" s="534">
        <v>0</v>
      </c>
      <c r="EH34" s="534">
        <v>0</v>
      </c>
      <c r="EI34" s="534">
        <v>0</v>
      </c>
      <c r="EJ34" s="534">
        <v>0</v>
      </c>
      <c r="EK34" s="534">
        <v>0</v>
      </c>
      <c r="EL34" s="534">
        <v>0</v>
      </c>
      <c r="EM34" s="534">
        <v>0</v>
      </c>
      <c r="EN34" s="534">
        <v>0</v>
      </c>
      <c r="EO34" s="534">
        <v>0</v>
      </c>
      <c r="EP34" s="534">
        <v>0</v>
      </c>
      <c r="EQ34" s="534">
        <v>0</v>
      </c>
      <c r="ER34" s="534">
        <v>0</v>
      </c>
      <c r="ES34" s="534">
        <v>0</v>
      </c>
      <c r="ET34" s="534">
        <v>0</v>
      </c>
      <c r="EU34" s="534">
        <v>0</v>
      </c>
      <c r="EV34" s="534">
        <v>0</v>
      </c>
      <c r="EW34" s="534">
        <v>0</v>
      </c>
      <c r="EX34" s="534">
        <v>0</v>
      </c>
      <c r="EY34" s="534">
        <v>0</v>
      </c>
      <c r="EZ34" s="534">
        <v>0</v>
      </c>
      <c r="FA34" s="534">
        <v>0</v>
      </c>
      <c r="FB34" s="534">
        <v>0</v>
      </c>
      <c r="FC34" s="534">
        <v>0</v>
      </c>
      <c r="FD34" s="534">
        <v>0</v>
      </c>
      <c r="FE34" s="534">
        <v>0</v>
      </c>
      <c r="FF34" s="534">
        <v>0</v>
      </c>
      <c r="FG34" s="534">
        <v>0</v>
      </c>
      <c r="FH34" s="534">
        <v>0</v>
      </c>
      <c r="FI34" s="534">
        <v>0</v>
      </c>
      <c r="FJ34" s="534">
        <v>0</v>
      </c>
      <c r="FK34" s="534">
        <v>0</v>
      </c>
      <c r="FL34" s="534">
        <v>0</v>
      </c>
      <c r="FM34" s="534">
        <v>0</v>
      </c>
      <c r="FN34" s="534">
        <v>0</v>
      </c>
      <c r="FO34" s="534">
        <v>0</v>
      </c>
      <c r="FP34" s="534">
        <v>0</v>
      </c>
      <c r="FQ34" s="534">
        <v>0</v>
      </c>
      <c r="FR34" s="534">
        <v>0</v>
      </c>
      <c r="FS34" s="534">
        <v>0</v>
      </c>
      <c r="FT34" s="534">
        <v>0</v>
      </c>
      <c r="FU34" s="534">
        <v>0</v>
      </c>
      <c r="FV34" s="534">
        <v>0</v>
      </c>
      <c r="FW34" s="534">
        <v>0</v>
      </c>
      <c r="FX34" s="534">
        <v>0</v>
      </c>
      <c r="FY34" s="534">
        <v>0</v>
      </c>
      <c r="FZ34" s="534">
        <v>0</v>
      </c>
      <c r="GA34" s="534">
        <v>0</v>
      </c>
      <c r="GB34" s="534">
        <v>0</v>
      </c>
      <c r="GC34" s="534">
        <v>0</v>
      </c>
      <c r="GD34" s="534">
        <v>0</v>
      </c>
      <c r="GE34" s="534">
        <v>0</v>
      </c>
      <c r="GF34" s="534">
        <v>0</v>
      </c>
      <c r="GG34" s="534">
        <v>0</v>
      </c>
      <c r="GH34" s="534">
        <v>0</v>
      </c>
      <c r="GI34" s="534">
        <v>0</v>
      </c>
      <c r="GJ34" s="534">
        <v>0</v>
      </c>
      <c r="GK34" s="534">
        <v>0</v>
      </c>
      <c r="GL34" s="534">
        <v>0</v>
      </c>
      <c r="GM34" s="534">
        <v>0</v>
      </c>
      <c r="GN34" s="534">
        <v>0</v>
      </c>
      <c r="GO34" s="534">
        <v>0</v>
      </c>
      <c r="GP34" s="534">
        <v>0</v>
      </c>
      <c r="GQ34" s="534">
        <v>0</v>
      </c>
      <c r="GR34" s="534">
        <v>0</v>
      </c>
      <c r="GS34" s="534">
        <v>0</v>
      </c>
      <c r="GT34" s="534">
        <v>0</v>
      </c>
      <c r="GU34" s="534">
        <v>0</v>
      </c>
      <c r="GV34" s="534">
        <v>0</v>
      </c>
      <c r="GW34" s="534">
        <v>0</v>
      </c>
      <c r="GX34" s="534">
        <v>0</v>
      </c>
      <c r="GY34" s="534">
        <v>0</v>
      </c>
      <c r="GZ34" s="534">
        <v>0</v>
      </c>
      <c r="HA34" s="534">
        <v>0</v>
      </c>
      <c r="HB34" s="534">
        <v>0</v>
      </c>
      <c r="HC34" s="534">
        <v>0</v>
      </c>
      <c r="HD34" s="534">
        <v>0</v>
      </c>
      <c r="HE34" s="534">
        <v>0</v>
      </c>
      <c r="HF34" s="534">
        <v>0</v>
      </c>
      <c r="HG34" s="534">
        <v>0</v>
      </c>
      <c r="HH34" s="534">
        <v>0</v>
      </c>
      <c r="HI34" s="534">
        <v>0</v>
      </c>
      <c r="HJ34" s="534">
        <v>0</v>
      </c>
      <c r="HK34" s="534">
        <v>0</v>
      </c>
      <c r="HL34" s="534">
        <v>0</v>
      </c>
      <c r="HM34" s="534">
        <v>0</v>
      </c>
      <c r="HN34" s="534">
        <v>0</v>
      </c>
      <c r="HO34" s="534">
        <v>0</v>
      </c>
      <c r="HP34" s="534">
        <v>0</v>
      </c>
      <c r="HQ34" s="534">
        <v>0</v>
      </c>
      <c r="HR34" s="534">
        <v>0</v>
      </c>
      <c r="HS34" s="534">
        <v>0</v>
      </c>
      <c r="HT34" s="534">
        <v>0</v>
      </c>
      <c r="HU34" s="534">
        <v>0</v>
      </c>
      <c r="HV34" s="534">
        <v>0</v>
      </c>
      <c r="HW34" s="534">
        <v>0</v>
      </c>
      <c r="HX34" s="534">
        <v>0</v>
      </c>
      <c r="HY34" s="534">
        <v>0</v>
      </c>
      <c r="HZ34" s="534">
        <v>0</v>
      </c>
      <c r="IA34" s="534">
        <v>0</v>
      </c>
      <c r="IB34" s="534">
        <v>0</v>
      </c>
      <c r="IC34" s="534">
        <v>0</v>
      </c>
      <c r="ID34" s="534">
        <v>0</v>
      </c>
      <c r="IE34" s="534">
        <v>0</v>
      </c>
      <c r="IF34" s="534">
        <v>0</v>
      </c>
      <c r="IG34" s="534">
        <v>0</v>
      </c>
      <c r="IH34" s="534">
        <v>0</v>
      </c>
      <c r="II34" s="534">
        <v>0</v>
      </c>
      <c r="IJ34" s="534">
        <v>0</v>
      </c>
      <c r="IK34" s="534">
        <v>0</v>
      </c>
      <c r="IL34" s="534">
        <v>0</v>
      </c>
      <c r="IM34" s="534">
        <v>0</v>
      </c>
      <c r="IN34" s="534">
        <v>0</v>
      </c>
      <c r="IO34" s="534">
        <v>0</v>
      </c>
    </row>
    <row r="35" spans="1:249" s="270" customFormat="1" x14ac:dyDescent="0.2">
      <c r="A35" s="531"/>
      <c r="B35" s="532"/>
      <c r="C35" s="533" t="s">
        <v>164</v>
      </c>
      <c r="D35" s="533"/>
      <c r="E35" s="533"/>
      <c r="F35" s="533"/>
      <c r="G35" s="533"/>
      <c r="H35" s="533"/>
      <c r="I35" s="533"/>
      <c r="J35" s="533"/>
      <c r="K35" s="533" t="s">
        <v>63</v>
      </c>
      <c r="L35" s="534"/>
      <c r="M35" s="538" t="str">
        <f t="shared" si="1"/>
        <v>OK</v>
      </c>
      <c r="N35" s="534">
        <f t="shared" si="2"/>
        <v>70623.29483583344</v>
      </c>
      <c r="O35" s="536"/>
      <c r="P35" s="537"/>
      <c r="Q35" s="534">
        <v>0</v>
      </c>
      <c r="R35" s="534">
        <v>0</v>
      </c>
      <c r="S35" s="534">
        <v>0</v>
      </c>
      <c r="T35" s="534">
        <v>0</v>
      </c>
      <c r="U35" s="534">
        <v>8044.9129312611758</v>
      </c>
      <c r="V35" s="534">
        <v>12.952837372269016</v>
      </c>
      <c r="W35" s="534">
        <v>18.636134292527334</v>
      </c>
      <c r="X35" s="534">
        <v>24.932663785434912</v>
      </c>
      <c r="Y35" s="534">
        <v>31.894203742780025</v>
      </c>
      <c r="Z35" s="534">
        <v>235.19706033561496</v>
      </c>
      <c r="AA35" s="534">
        <v>253.54702242205224</v>
      </c>
      <c r="AB35" s="534">
        <v>290.48580848992941</v>
      </c>
      <c r="AC35" s="534">
        <v>331.38267306848871</v>
      </c>
      <c r="AD35" s="534">
        <v>376.61628124593085</v>
      </c>
      <c r="AE35" s="534">
        <v>11572.433831291479</v>
      </c>
      <c r="AF35" s="534">
        <v>469.19153692570563</v>
      </c>
      <c r="AG35" s="534">
        <v>493.72039603846775</v>
      </c>
      <c r="AH35" s="534">
        <v>519.32790159380295</v>
      </c>
      <c r="AI35" s="534">
        <v>546.04064494569786</v>
      </c>
      <c r="AJ35" s="534">
        <v>693.88333783399366</v>
      </c>
      <c r="AK35" s="534">
        <v>842.87839517537623</v>
      </c>
      <c r="AL35" s="534">
        <v>877.52494870526903</v>
      </c>
      <c r="AM35" s="534">
        <v>914.00817569997537</v>
      </c>
      <c r="AN35" s="534">
        <v>1432.4109308360028</v>
      </c>
      <c r="AO35" s="534">
        <v>21327.071043861026</v>
      </c>
      <c r="AP35" s="534">
        <v>1445.8907820071804</v>
      </c>
      <c r="AQ35" s="534">
        <v>1193.8964858250695</v>
      </c>
      <c r="AR35" s="534">
        <v>833.84097594378636</v>
      </c>
      <c r="AS35" s="534">
        <v>0</v>
      </c>
      <c r="AT35" s="534">
        <v>0</v>
      </c>
      <c r="AU35" s="534">
        <v>0</v>
      </c>
      <c r="AV35" s="534">
        <v>0</v>
      </c>
      <c r="AW35" s="534">
        <v>0</v>
      </c>
      <c r="AX35" s="534">
        <v>0</v>
      </c>
      <c r="AY35" s="534">
        <v>17840.617833134409</v>
      </c>
      <c r="AZ35" s="534">
        <v>0</v>
      </c>
      <c r="BA35" s="534">
        <v>0</v>
      </c>
      <c r="BB35" s="534">
        <v>0</v>
      </c>
      <c r="BC35" s="534">
        <v>0</v>
      </c>
      <c r="BD35" s="534">
        <v>0</v>
      </c>
      <c r="BE35" s="534">
        <v>0</v>
      </c>
      <c r="BF35" s="534">
        <v>0</v>
      </c>
      <c r="BG35" s="534">
        <v>0</v>
      </c>
      <c r="BH35" s="534">
        <v>0</v>
      </c>
      <c r="BI35" s="534">
        <v>0</v>
      </c>
      <c r="BJ35" s="534">
        <v>0</v>
      </c>
      <c r="BK35" s="534">
        <v>0</v>
      </c>
      <c r="BL35" s="534">
        <v>0</v>
      </c>
      <c r="BM35" s="534">
        <v>0</v>
      </c>
      <c r="BN35" s="534">
        <v>0</v>
      </c>
      <c r="BO35" s="534">
        <v>0</v>
      </c>
      <c r="BP35" s="534">
        <v>0</v>
      </c>
      <c r="BQ35" s="534">
        <v>0</v>
      </c>
      <c r="BR35" s="534">
        <v>0</v>
      </c>
      <c r="BS35" s="534">
        <v>0</v>
      </c>
      <c r="BT35" s="534">
        <v>0</v>
      </c>
      <c r="BU35" s="534">
        <v>0</v>
      </c>
      <c r="BV35" s="534">
        <v>0</v>
      </c>
      <c r="BW35" s="534">
        <v>0</v>
      </c>
      <c r="BX35" s="534">
        <v>0</v>
      </c>
      <c r="BY35" s="534">
        <v>0</v>
      </c>
      <c r="BZ35" s="534">
        <v>0</v>
      </c>
      <c r="CA35" s="534">
        <v>0</v>
      </c>
      <c r="CB35" s="534">
        <v>0</v>
      </c>
      <c r="CC35" s="534">
        <v>0</v>
      </c>
      <c r="CD35" s="534">
        <v>0</v>
      </c>
      <c r="CE35" s="534">
        <v>0</v>
      </c>
      <c r="CF35" s="534">
        <v>0</v>
      </c>
      <c r="CG35" s="534">
        <v>0</v>
      </c>
      <c r="CH35" s="534">
        <v>0</v>
      </c>
      <c r="CI35" s="534">
        <v>0</v>
      </c>
      <c r="CJ35" s="534">
        <v>0</v>
      </c>
      <c r="CK35" s="534">
        <v>0</v>
      </c>
      <c r="CL35" s="534">
        <v>0</v>
      </c>
      <c r="CM35" s="534">
        <v>0</v>
      </c>
      <c r="CN35" s="534">
        <v>0</v>
      </c>
      <c r="CO35" s="534">
        <v>0</v>
      </c>
      <c r="CP35" s="534">
        <v>0</v>
      </c>
      <c r="CQ35" s="534">
        <v>0</v>
      </c>
      <c r="CR35" s="534">
        <v>0</v>
      </c>
      <c r="CS35" s="534">
        <v>0</v>
      </c>
      <c r="CT35" s="534">
        <v>0</v>
      </c>
      <c r="CU35" s="534">
        <v>0</v>
      </c>
      <c r="CV35" s="534">
        <v>0</v>
      </c>
      <c r="CW35" s="534">
        <v>0</v>
      </c>
      <c r="CX35" s="534">
        <v>0</v>
      </c>
      <c r="CY35" s="534">
        <v>0</v>
      </c>
      <c r="CZ35" s="534">
        <v>0</v>
      </c>
      <c r="DA35" s="534">
        <v>0</v>
      </c>
      <c r="DB35" s="534">
        <v>0</v>
      </c>
      <c r="DC35" s="534">
        <v>0</v>
      </c>
      <c r="DD35" s="534">
        <v>0</v>
      </c>
      <c r="DE35" s="534">
        <v>0</v>
      </c>
      <c r="DF35" s="534">
        <v>0</v>
      </c>
      <c r="DG35" s="534">
        <v>0</v>
      </c>
      <c r="DH35" s="534">
        <v>0</v>
      </c>
      <c r="DI35" s="534">
        <v>0</v>
      </c>
      <c r="DJ35" s="534">
        <v>0</v>
      </c>
      <c r="DK35" s="534">
        <v>0</v>
      </c>
      <c r="DL35" s="534">
        <v>0</v>
      </c>
      <c r="DM35" s="534">
        <v>0</v>
      </c>
      <c r="DN35" s="534">
        <v>0</v>
      </c>
      <c r="DO35" s="534">
        <v>0</v>
      </c>
      <c r="DP35" s="534">
        <v>0</v>
      </c>
      <c r="DQ35" s="534">
        <v>0</v>
      </c>
      <c r="DR35" s="534">
        <v>0</v>
      </c>
      <c r="DS35" s="534">
        <v>0</v>
      </c>
      <c r="DT35" s="534">
        <v>0</v>
      </c>
      <c r="DU35" s="534">
        <v>0</v>
      </c>
      <c r="DV35" s="534">
        <v>0</v>
      </c>
      <c r="DW35" s="534">
        <v>0</v>
      </c>
      <c r="DX35" s="534">
        <v>0</v>
      </c>
      <c r="DY35" s="534">
        <v>0</v>
      </c>
      <c r="DZ35" s="534">
        <v>0</v>
      </c>
      <c r="EA35" s="534">
        <v>0</v>
      </c>
      <c r="EB35" s="534">
        <v>0</v>
      </c>
      <c r="EC35" s="534">
        <v>0</v>
      </c>
      <c r="ED35" s="534">
        <v>0</v>
      </c>
      <c r="EE35" s="534">
        <v>0</v>
      </c>
      <c r="EF35" s="534">
        <v>0</v>
      </c>
      <c r="EG35" s="534">
        <v>0</v>
      </c>
      <c r="EH35" s="534">
        <v>0</v>
      </c>
      <c r="EI35" s="534">
        <v>0</v>
      </c>
      <c r="EJ35" s="534">
        <v>0</v>
      </c>
      <c r="EK35" s="534">
        <v>0</v>
      </c>
      <c r="EL35" s="534">
        <v>0</v>
      </c>
      <c r="EM35" s="534">
        <v>0</v>
      </c>
      <c r="EN35" s="534">
        <v>0</v>
      </c>
      <c r="EO35" s="534">
        <v>0</v>
      </c>
      <c r="EP35" s="534">
        <v>0</v>
      </c>
      <c r="EQ35" s="534">
        <v>0</v>
      </c>
      <c r="ER35" s="534">
        <v>0</v>
      </c>
      <c r="ES35" s="534">
        <v>0</v>
      </c>
      <c r="ET35" s="534">
        <v>0</v>
      </c>
      <c r="EU35" s="534">
        <v>0</v>
      </c>
      <c r="EV35" s="534">
        <v>0</v>
      </c>
      <c r="EW35" s="534">
        <v>0</v>
      </c>
      <c r="EX35" s="534">
        <v>0</v>
      </c>
      <c r="EY35" s="534">
        <v>0</v>
      </c>
      <c r="EZ35" s="534">
        <v>0</v>
      </c>
      <c r="FA35" s="534">
        <v>0</v>
      </c>
      <c r="FB35" s="534">
        <v>0</v>
      </c>
      <c r="FC35" s="534">
        <v>0</v>
      </c>
      <c r="FD35" s="534">
        <v>0</v>
      </c>
      <c r="FE35" s="534">
        <v>0</v>
      </c>
      <c r="FF35" s="534">
        <v>0</v>
      </c>
      <c r="FG35" s="534">
        <v>0</v>
      </c>
      <c r="FH35" s="534">
        <v>0</v>
      </c>
      <c r="FI35" s="534">
        <v>0</v>
      </c>
      <c r="FJ35" s="534">
        <v>0</v>
      </c>
      <c r="FK35" s="534">
        <v>0</v>
      </c>
      <c r="FL35" s="534">
        <v>0</v>
      </c>
      <c r="FM35" s="534">
        <v>0</v>
      </c>
      <c r="FN35" s="534">
        <v>0</v>
      </c>
      <c r="FO35" s="534">
        <v>0</v>
      </c>
      <c r="FP35" s="534">
        <v>0</v>
      </c>
      <c r="FQ35" s="534">
        <v>0</v>
      </c>
      <c r="FR35" s="534">
        <v>0</v>
      </c>
      <c r="FS35" s="534">
        <v>0</v>
      </c>
      <c r="FT35" s="534">
        <v>0</v>
      </c>
      <c r="FU35" s="534">
        <v>0</v>
      </c>
      <c r="FV35" s="534">
        <v>0</v>
      </c>
      <c r="FW35" s="534">
        <v>0</v>
      </c>
      <c r="FX35" s="534">
        <v>0</v>
      </c>
      <c r="FY35" s="534">
        <v>0</v>
      </c>
      <c r="FZ35" s="534">
        <v>0</v>
      </c>
      <c r="GA35" s="534">
        <v>0</v>
      </c>
      <c r="GB35" s="534">
        <v>0</v>
      </c>
      <c r="GC35" s="534">
        <v>0</v>
      </c>
      <c r="GD35" s="534">
        <v>0</v>
      </c>
      <c r="GE35" s="534">
        <v>0</v>
      </c>
      <c r="GF35" s="534">
        <v>0</v>
      </c>
      <c r="GG35" s="534">
        <v>0</v>
      </c>
      <c r="GH35" s="534">
        <v>0</v>
      </c>
      <c r="GI35" s="534">
        <v>0</v>
      </c>
      <c r="GJ35" s="534">
        <v>0</v>
      </c>
      <c r="GK35" s="534">
        <v>0</v>
      </c>
      <c r="GL35" s="534">
        <v>0</v>
      </c>
      <c r="GM35" s="534">
        <v>0</v>
      </c>
      <c r="GN35" s="534">
        <v>0</v>
      </c>
      <c r="GO35" s="534">
        <v>0</v>
      </c>
      <c r="GP35" s="534">
        <v>0</v>
      </c>
      <c r="GQ35" s="534">
        <v>0</v>
      </c>
      <c r="GR35" s="534">
        <v>0</v>
      </c>
      <c r="GS35" s="534">
        <v>0</v>
      </c>
      <c r="GT35" s="534">
        <v>0</v>
      </c>
      <c r="GU35" s="534">
        <v>0</v>
      </c>
      <c r="GV35" s="534">
        <v>0</v>
      </c>
      <c r="GW35" s="534">
        <v>0</v>
      </c>
      <c r="GX35" s="534">
        <v>0</v>
      </c>
      <c r="GY35" s="534">
        <v>0</v>
      </c>
      <c r="GZ35" s="534">
        <v>0</v>
      </c>
      <c r="HA35" s="534">
        <v>0</v>
      </c>
      <c r="HB35" s="534">
        <v>0</v>
      </c>
      <c r="HC35" s="534">
        <v>0</v>
      </c>
      <c r="HD35" s="534">
        <v>0</v>
      </c>
      <c r="HE35" s="534">
        <v>0</v>
      </c>
      <c r="HF35" s="534">
        <v>0</v>
      </c>
      <c r="HG35" s="534">
        <v>0</v>
      </c>
      <c r="HH35" s="534">
        <v>0</v>
      </c>
      <c r="HI35" s="534">
        <v>0</v>
      </c>
      <c r="HJ35" s="534">
        <v>0</v>
      </c>
      <c r="HK35" s="534">
        <v>0</v>
      </c>
      <c r="HL35" s="534">
        <v>0</v>
      </c>
      <c r="HM35" s="534">
        <v>0</v>
      </c>
      <c r="HN35" s="534">
        <v>0</v>
      </c>
      <c r="HO35" s="534">
        <v>0</v>
      </c>
      <c r="HP35" s="534">
        <v>0</v>
      </c>
      <c r="HQ35" s="534">
        <v>0</v>
      </c>
      <c r="HR35" s="534">
        <v>0</v>
      </c>
      <c r="HS35" s="534">
        <v>0</v>
      </c>
      <c r="HT35" s="534">
        <v>0</v>
      </c>
      <c r="HU35" s="534">
        <v>0</v>
      </c>
      <c r="HV35" s="534">
        <v>0</v>
      </c>
      <c r="HW35" s="534">
        <v>0</v>
      </c>
      <c r="HX35" s="534">
        <v>0</v>
      </c>
      <c r="HY35" s="534">
        <v>0</v>
      </c>
      <c r="HZ35" s="534">
        <v>0</v>
      </c>
      <c r="IA35" s="534">
        <v>0</v>
      </c>
      <c r="IB35" s="534">
        <v>0</v>
      </c>
      <c r="IC35" s="534">
        <v>0</v>
      </c>
      <c r="ID35" s="534">
        <v>0</v>
      </c>
      <c r="IE35" s="534">
        <v>0</v>
      </c>
      <c r="IF35" s="534">
        <v>0</v>
      </c>
      <c r="IG35" s="534">
        <v>0</v>
      </c>
      <c r="IH35" s="534">
        <v>0</v>
      </c>
      <c r="II35" s="534">
        <v>0</v>
      </c>
      <c r="IJ35" s="534">
        <v>0</v>
      </c>
      <c r="IK35" s="534">
        <v>0</v>
      </c>
      <c r="IL35" s="534">
        <v>0</v>
      </c>
      <c r="IM35" s="534">
        <v>0</v>
      </c>
      <c r="IN35" s="534">
        <v>0</v>
      </c>
      <c r="IO35" s="534">
        <v>0</v>
      </c>
    </row>
    <row r="36" spans="1:249" s="270" customFormat="1" x14ac:dyDescent="0.2">
      <c r="A36" s="531"/>
      <c r="B36" s="532"/>
      <c r="C36" s="533" t="s">
        <v>43</v>
      </c>
      <c r="D36" s="533"/>
      <c r="E36" s="533"/>
      <c r="F36" s="533"/>
      <c r="G36" s="533"/>
      <c r="H36" s="533"/>
      <c r="I36" s="533"/>
      <c r="J36" s="533"/>
      <c r="K36" s="533" t="s">
        <v>63</v>
      </c>
      <c r="L36" s="534"/>
      <c r="M36" s="538" t="str">
        <f t="shared" si="1"/>
        <v>OK</v>
      </c>
      <c r="N36" s="534">
        <f t="shared" si="2"/>
        <v>4676041.7814603765</v>
      </c>
      <c r="O36" s="536"/>
      <c r="P36" s="537"/>
      <c r="Q36" s="534">
        <v>0</v>
      </c>
      <c r="R36" s="534">
        <v>61500</v>
      </c>
      <c r="S36" s="534">
        <v>61500</v>
      </c>
      <c r="T36" s="534">
        <v>61500</v>
      </c>
      <c r="U36" s="534">
        <v>39769.130469647171</v>
      </c>
      <c r="V36" s="534">
        <v>43742.437508790208</v>
      </c>
      <c r="W36" s="534">
        <v>45929.219222449974</v>
      </c>
      <c r="X36" s="534">
        <v>46333.374053113141</v>
      </c>
      <c r="Y36" s="534">
        <v>46920.846023495702</v>
      </c>
      <c r="Z36" s="534">
        <v>48359.600324604813</v>
      </c>
      <c r="AA36" s="534">
        <v>49981.409461011019</v>
      </c>
      <c r="AB36" s="534">
        <v>51784.800923033494</v>
      </c>
      <c r="AC36" s="534">
        <v>53590.79935374346</v>
      </c>
      <c r="AD36" s="534">
        <v>55695.913847119249</v>
      </c>
      <c r="AE36" s="534">
        <v>58041.868639372362</v>
      </c>
      <c r="AF36" s="534">
        <v>60563.467618229792</v>
      </c>
      <c r="AG36" s="534">
        <v>63100.784660665151</v>
      </c>
      <c r="AH36" s="534">
        <v>66018.801758976086</v>
      </c>
      <c r="AI36" s="534">
        <v>69415.056481261141</v>
      </c>
      <c r="AJ36" s="534">
        <v>73777.965910671934</v>
      </c>
      <c r="AK36" s="534">
        <v>78539.241702383806</v>
      </c>
      <c r="AL36" s="534">
        <v>83199.516004699966</v>
      </c>
      <c r="AM36" s="534">
        <v>88303.629788663573</v>
      </c>
      <c r="AN36" s="534">
        <v>89001.438474087801</v>
      </c>
      <c r="AO36" s="534">
        <v>116327.44459041808</v>
      </c>
      <c r="AP36" s="534">
        <v>113758.63942741184</v>
      </c>
      <c r="AQ36" s="534">
        <v>109488.60843905996</v>
      </c>
      <c r="AR36" s="534">
        <v>104207.95531981395</v>
      </c>
      <c r="AS36" s="534">
        <v>104485.62767496044</v>
      </c>
      <c r="AT36" s="534">
        <v>181126.87456639955</v>
      </c>
      <c r="AU36" s="534">
        <v>255667.02541093878</v>
      </c>
      <c r="AV36" s="534">
        <v>256649.74573748122</v>
      </c>
      <c r="AW36" s="534">
        <v>257120.6286538869</v>
      </c>
      <c r="AX36" s="534">
        <v>265830.93702550669</v>
      </c>
      <c r="AY36" s="534">
        <v>275778.17110265931</v>
      </c>
      <c r="AZ36" s="534">
        <v>275629.58233853907</v>
      </c>
      <c r="BA36" s="534">
        <v>275164.15410378954</v>
      </c>
      <c r="BB36" s="534">
        <v>274832.76254807482</v>
      </c>
      <c r="BC36" s="534">
        <v>274483.97293568513</v>
      </c>
      <c r="BD36" s="534">
        <v>138920.34935973259</v>
      </c>
      <c r="BE36" s="534">
        <v>0</v>
      </c>
      <c r="BF36" s="534">
        <v>0</v>
      </c>
      <c r="BG36" s="534">
        <v>0</v>
      </c>
      <c r="BH36" s="534">
        <v>0</v>
      </c>
      <c r="BI36" s="534">
        <v>0</v>
      </c>
      <c r="BJ36" s="534">
        <v>0</v>
      </c>
      <c r="BK36" s="534">
        <v>0</v>
      </c>
      <c r="BL36" s="534">
        <v>0</v>
      </c>
      <c r="BM36" s="534">
        <v>0</v>
      </c>
      <c r="BN36" s="534">
        <v>0</v>
      </c>
      <c r="BO36" s="534">
        <v>0</v>
      </c>
      <c r="BP36" s="534">
        <v>0</v>
      </c>
      <c r="BQ36" s="534">
        <v>0</v>
      </c>
      <c r="BR36" s="534">
        <v>0</v>
      </c>
      <c r="BS36" s="534">
        <v>0</v>
      </c>
      <c r="BT36" s="534">
        <v>0</v>
      </c>
      <c r="BU36" s="534">
        <v>0</v>
      </c>
      <c r="BV36" s="534">
        <v>0</v>
      </c>
      <c r="BW36" s="534">
        <v>0</v>
      </c>
      <c r="BX36" s="534">
        <v>0</v>
      </c>
      <c r="BY36" s="534">
        <v>0</v>
      </c>
      <c r="BZ36" s="534">
        <v>0</v>
      </c>
      <c r="CA36" s="534">
        <v>0</v>
      </c>
      <c r="CB36" s="534">
        <v>0</v>
      </c>
      <c r="CC36" s="534">
        <v>0</v>
      </c>
      <c r="CD36" s="534">
        <v>0</v>
      </c>
      <c r="CE36" s="534">
        <v>0</v>
      </c>
      <c r="CF36" s="534">
        <v>0</v>
      </c>
      <c r="CG36" s="534">
        <v>0</v>
      </c>
      <c r="CH36" s="534">
        <v>0</v>
      </c>
      <c r="CI36" s="534">
        <v>0</v>
      </c>
      <c r="CJ36" s="534">
        <v>0</v>
      </c>
      <c r="CK36" s="534">
        <v>0</v>
      </c>
      <c r="CL36" s="534">
        <v>0</v>
      </c>
      <c r="CM36" s="534">
        <v>0</v>
      </c>
      <c r="CN36" s="534">
        <v>0</v>
      </c>
      <c r="CO36" s="534">
        <v>0</v>
      </c>
      <c r="CP36" s="534">
        <v>0</v>
      </c>
      <c r="CQ36" s="534">
        <v>0</v>
      </c>
      <c r="CR36" s="534">
        <v>0</v>
      </c>
      <c r="CS36" s="534">
        <v>0</v>
      </c>
      <c r="CT36" s="534">
        <v>0</v>
      </c>
      <c r="CU36" s="534">
        <v>0</v>
      </c>
      <c r="CV36" s="534">
        <v>0</v>
      </c>
      <c r="CW36" s="534">
        <v>0</v>
      </c>
      <c r="CX36" s="534">
        <v>0</v>
      </c>
      <c r="CY36" s="534">
        <v>0</v>
      </c>
      <c r="CZ36" s="534">
        <v>0</v>
      </c>
      <c r="DA36" s="534">
        <v>0</v>
      </c>
      <c r="DB36" s="534">
        <v>0</v>
      </c>
      <c r="DC36" s="534">
        <v>0</v>
      </c>
      <c r="DD36" s="534">
        <v>0</v>
      </c>
      <c r="DE36" s="534">
        <v>0</v>
      </c>
      <c r="DF36" s="534">
        <v>0</v>
      </c>
      <c r="DG36" s="534">
        <v>0</v>
      </c>
      <c r="DH36" s="534">
        <v>0</v>
      </c>
      <c r="DI36" s="534">
        <v>0</v>
      </c>
      <c r="DJ36" s="534">
        <v>0</v>
      </c>
      <c r="DK36" s="534">
        <v>0</v>
      </c>
      <c r="DL36" s="534">
        <v>0</v>
      </c>
      <c r="DM36" s="534">
        <v>0</v>
      </c>
      <c r="DN36" s="534">
        <v>0</v>
      </c>
      <c r="DO36" s="534">
        <v>0</v>
      </c>
      <c r="DP36" s="534">
        <v>0</v>
      </c>
      <c r="DQ36" s="534">
        <v>0</v>
      </c>
      <c r="DR36" s="534">
        <v>0</v>
      </c>
      <c r="DS36" s="534">
        <v>0</v>
      </c>
      <c r="DT36" s="534">
        <v>0</v>
      </c>
      <c r="DU36" s="534">
        <v>0</v>
      </c>
      <c r="DV36" s="534">
        <v>0</v>
      </c>
      <c r="DW36" s="534">
        <v>0</v>
      </c>
      <c r="DX36" s="534">
        <v>0</v>
      </c>
      <c r="DY36" s="534">
        <v>0</v>
      </c>
      <c r="DZ36" s="534">
        <v>0</v>
      </c>
      <c r="EA36" s="534">
        <v>0</v>
      </c>
      <c r="EB36" s="534">
        <v>0</v>
      </c>
      <c r="EC36" s="534">
        <v>0</v>
      </c>
      <c r="ED36" s="534">
        <v>0</v>
      </c>
      <c r="EE36" s="534">
        <v>0</v>
      </c>
      <c r="EF36" s="534">
        <v>0</v>
      </c>
      <c r="EG36" s="534">
        <v>0</v>
      </c>
      <c r="EH36" s="534">
        <v>0</v>
      </c>
      <c r="EI36" s="534">
        <v>0</v>
      </c>
      <c r="EJ36" s="534">
        <v>0</v>
      </c>
      <c r="EK36" s="534">
        <v>0</v>
      </c>
      <c r="EL36" s="534">
        <v>0</v>
      </c>
      <c r="EM36" s="534">
        <v>0</v>
      </c>
      <c r="EN36" s="534">
        <v>0</v>
      </c>
      <c r="EO36" s="534">
        <v>0</v>
      </c>
      <c r="EP36" s="534">
        <v>0</v>
      </c>
      <c r="EQ36" s="534">
        <v>0</v>
      </c>
      <c r="ER36" s="534">
        <v>0</v>
      </c>
      <c r="ES36" s="534">
        <v>0</v>
      </c>
      <c r="ET36" s="534">
        <v>0</v>
      </c>
      <c r="EU36" s="534">
        <v>0</v>
      </c>
      <c r="EV36" s="534">
        <v>0</v>
      </c>
      <c r="EW36" s="534">
        <v>0</v>
      </c>
      <c r="EX36" s="534">
        <v>0</v>
      </c>
      <c r="EY36" s="534">
        <v>0</v>
      </c>
      <c r="EZ36" s="534">
        <v>0</v>
      </c>
      <c r="FA36" s="534">
        <v>0</v>
      </c>
      <c r="FB36" s="534">
        <v>0</v>
      </c>
      <c r="FC36" s="534">
        <v>0</v>
      </c>
      <c r="FD36" s="534">
        <v>0</v>
      </c>
      <c r="FE36" s="534">
        <v>0</v>
      </c>
      <c r="FF36" s="534">
        <v>0</v>
      </c>
      <c r="FG36" s="534">
        <v>0</v>
      </c>
      <c r="FH36" s="534">
        <v>0</v>
      </c>
      <c r="FI36" s="534">
        <v>0</v>
      </c>
      <c r="FJ36" s="534">
        <v>0</v>
      </c>
      <c r="FK36" s="534">
        <v>0</v>
      </c>
      <c r="FL36" s="534">
        <v>0</v>
      </c>
      <c r="FM36" s="534">
        <v>0</v>
      </c>
      <c r="FN36" s="534">
        <v>0</v>
      </c>
      <c r="FO36" s="534">
        <v>0</v>
      </c>
      <c r="FP36" s="534">
        <v>0</v>
      </c>
      <c r="FQ36" s="534">
        <v>0</v>
      </c>
      <c r="FR36" s="534">
        <v>0</v>
      </c>
      <c r="FS36" s="534">
        <v>0</v>
      </c>
      <c r="FT36" s="534">
        <v>0</v>
      </c>
      <c r="FU36" s="534">
        <v>0</v>
      </c>
      <c r="FV36" s="534">
        <v>0</v>
      </c>
      <c r="FW36" s="534">
        <v>0</v>
      </c>
      <c r="FX36" s="534">
        <v>0</v>
      </c>
      <c r="FY36" s="534">
        <v>0</v>
      </c>
      <c r="FZ36" s="534">
        <v>0</v>
      </c>
      <c r="GA36" s="534">
        <v>0</v>
      </c>
      <c r="GB36" s="534">
        <v>0</v>
      </c>
      <c r="GC36" s="534">
        <v>0</v>
      </c>
      <c r="GD36" s="534">
        <v>0</v>
      </c>
      <c r="GE36" s="534">
        <v>0</v>
      </c>
      <c r="GF36" s="534">
        <v>0</v>
      </c>
      <c r="GG36" s="534">
        <v>0</v>
      </c>
      <c r="GH36" s="534">
        <v>0</v>
      </c>
      <c r="GI36" s="534">
        <v>0</v>
      </c>
      <c r="GJ36" s="534">
        <v>0</v>
      </c>
      <c r="GK36" s="534">
        <v>0</v>
      </c>
      <c r="GL36" s="534">
        <v>0</v>
      </c>
      <c r="GM36" s="534">
        <v>0</v>
      </c>
      <c r="GN36" s="534">
        <v>0</v>
      </c>
      <c r="GO36" s="534">
        <v>0</v>
      </c>
      <c r="GP36" s="534">
        <v>0</v>
      </c>
      <c r="GQ36" s="534">
        <v>0</v>
      </c>
      <c r="GR36" s="534">
        <v>0</v>
      </c>
      <c r="GS36" s="534">
        <v>0</v>
      </c>
      <c r="GT36" s="534">
        <v>0</v>
      </c>
      <c r="GU36" s="534">
        <v>0</v>
      </c>
      <c r="GV36" s="534">
        <v>0</v>
      </c>
      <c r="GW36" s="534">
        <v>0</v>
      </c>
      <c r="GX36" s="534">
        <v>0</v>
      </c>
      <c r="GY36" s="534">
        <v>0</v>
      </c>
      <c r="GZ36" s="534">
        <v>0</v>
      </c>
      <c r="HA36" s="534">
        <v>0</v>
      </c>
      <c r="HB36" s="534">
        <v>0</v>
      </c>
      <c r="HC36" s="534">
        <v>0</v>
      </c>
      <c r="HD36" s="534">
        <v>0</v>
      </c>
      <c r="HE36" s="534">
        <v>0</v>
      </c>
      <c r="HF36" s="534">
        <v>0</v>
      </c>
      <c r="HG36" s="534">
        <v>0</v>
      </c>
      <c r="HH36" s="534">
        <v>0</v>
      </c>
      <c r="HI36" s="534">
        <v>0</v>
      </c>
      <c r="HJ36" s="534">
        <v>0</v>
      </c>
      <c r="HK36" s="534">
        <v>0</v>
      </c>
      <c r="HL36" s="534">
        <v>0</v>
      </c>
      <c r="HM36" s="534">
        <v>0</v>
      </c>
      <c r="HN36" s="534">
        <v>0</v>
      </c>
      <c r="HO36" s="534">
        <v>0</v>
      </c>
      <c r="HP36" s="534">
        <v>0</v>
      </c>
      <c r="HQ36" s="534">
        <v>0</v>
      </c>
      <c r="HR36" s="534">
        <v>0</v>
      </c>
      <c r="HS36" s="534">
        <v>0</v>
      </c>
      <c r="HT36" s="534">
        <v>0</v>
      </c>
      <c r="HU36" s="534">
        <v>0</v>
      </c>
      <c r="HV36" s="534">
        <v>0</v>
      </c>
      <c r="HW36" s="534">
        <v>0</v>
      </c>
      <c r="HX36" s="534">
        <v>0</v>
      </c>
      <c r="HY36" s="534">
        <v>0</v>
      </c>
      <c r="HZ36" s="534">
        <v>0</v>
      </c>
      <c r="IA36" s="534">
        <v>0</v>
      </c>
      <c r="IB36" s="534">
        <v>0</v>
      </c>
      <c r="IC36" s="534">
        <v>0</v>
      </c>
      <c r="ID36" s="534">
        <v>0</v>
      </c>
      <c r="IE36" s="534">
        <v>0</v>
      </c>
      <c r="IF36" s="534">
        <v>0</v>
      </c>
      <c r="IG36" s="534">
        <v>0</v>
      </c>
      <c r="IH36" s="534">
        <v>0</v>
      </c>
      <c r="II36" s="534">
        <v>0</v>
      </c>
      <c r="IJ36" s="534">
        <v>0</v>
      </c>
      <c r="IK36" s="534">
        <v>0</v>
      </c>
      <c r="IL36" s="534">
        <v>0</v>
      </c>
      <c r="IM36" s="534">
        <v>0</v>
      </c>
      <c r="IN36" s="534">
        <v>0</v>
      </c>
      <c r="IO36" s="534">
        <v>0</v>
      </c>
    </row>
    <row r="37" spans="1:249" s="270" customFormat="1" x14ac:dyDescent="0.2">
      <c r="A37" s="539"/>
      <c r="B37" s="539"/>
      <c r="C37" s="539"/>
      <c r="D37" s="539"/>
      <c r="E37" s="539"/>
      <c r="F37" s="539"/>
      <c r="G37" s="539"/>
      <c r="H37" s="539"/>
      <c r="I37" s="539"/>
      <c r="J37" s="539"/>
      <c r="K37" s="539"/>
      <c r="L37" s="540"/>
      <c r="M37" s="539"/>
      <c r="N37" s="539"/>
      <c r="O37" s="541"/>
      <c r="P37" s="542"/>
      <c r="Q37" s="540"/>
      <c r="R37" s="540"/>
      <c r="S37" s="540"/>
      <c r="T37" s="540"/>
      <c r="U37" s="540"/>
      <c r="V37" s="540"/>
      <c r="W37" s="540"/>
      <c r="X37" s="540"/>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540"/>
      <c r="BO37" s="540"/>
      <c r="BP37" s="540"/>
      <c r="BQ37" s="540"/>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540"/>
      <c r="DW37" s="540"/>
      <c r="DX37" s="540"/>
      <c r="DY37" s="540"/>
      <c r="DZ37" s="540"/>
      <c r="EA37" s="540"/>
      <c r="EB37" s="540"/>
      <c r="EC37" s="540"/>
      <c r="ED37" s="540"/>
      <c r="EE37" s="540"/>
      <c r="EF37" s="540"/>
      <c r="EG37" s="540"/>
      <c r="EH37" s="540"/>
      <c r="EI37" s="540"/>
      <c r="EJ37" s="540"/>
      <c r="EK37" s="540"/>
      <c r="EL37" s="540"/>
      <c r="EM37" s="540"/>
      <c r="EN37" s="540"/>
      <c r="EO37" s="540"/>
      <c r="EP37" s="540"/>
      <c r="EQ37" s="540"/>
      <c r="ER37" s="540"/>
      <c r="ES37" s="540"/>
      <c r="ET37" s="540"/>
      <c r="EU37" s="540"/>
      <c r="EV37" s="540"/>
      <c r="EW37" s="540"/>
      <c r="EX37" s="540"/>
      <c r="EY37" s="540"/>
      <c r="EZ37" s="540"/>
      <c r="FA37" s="540"/>
      <c r="FB37" s="540"/>
      <c r="FC37" s="540"/>
      <c r="FD37" s="540"/>
      <c r="FE37" s="540"/>
      <c r="FF37" s="540"/>
      <c r="FG37" s="540"/>
      <c r="FH37" s="540"/>
      <c r="FI37" s="540"/>
      <c r="FJ37" s="540"/>
      <c r="FK37" s="540"/>
      <c r="FL37" s="540"/>
      <c r="FM37" s="540"/>
      <c r="FN37" s="540"/>
      <c r="FO37" s="540"/>
      <c r="FP37" s="540"/>
      <c r="FQ37" s="540"/>
      <c r="FR37" s="540"/>
      <c r="FS37" s="540"/>
      <c r="FT37" s="540"/>
      <c r="FU37" s="540"/>
      <c r="FV37" s="540"/>
      <c r="FW37" s="540"/>
      <c r="FX37" s="540"/>
      <c r="FY37" s="540"/>
      <c r="FZ37" s="540"/>
      <c r="GA37" s="540"/>
      <c r="GB37" s="540"/>
      <c r="GC37" s="540"/>
      <c r="GD37" s="540"/>
      <c r="GE37" s="540"/>
      <c r="GF37" s="540"/>
      <c r="GG37" s="540"/>
      <c r="GH37" s="540"/>
      <c r="GI37" s="540"/>
      <c r="GJ37" s="540"/>
      <c r="GK37" s="540"/>
      <c r="GL37" s="540"/>
      <c r="GM37" s="540"/>
      <c r="GN37" s="540"/>
      <c r="GO37" s="540"/>
      <c r="GP37" s="540"/>
      <c r="GQ37" s="540"/>
      <c r="GR37" s="540"/>
      <c r="GS37" s="540"/>
      <c r="GT37" s="540"/>
      <c r="GU37" s="540"/>
      <c r="GV37" s="540"/>
      <c r="GW37" s="540"/>
      <c r="GX37" s="540"/>
      <c r="GY37" s="540"/>
      <c r="GZ37" s="540"/>
      <c r="HA37" s="540"/>
      <c r="HB37" s="540"/>
      <c r="HC37" s="540"/>
      <c r="HD37" s="540"/>
      <c r="HE37" s="540"/>
      <c r="HF37" s="540"/>
      <c r="HG37" s="540"/>
      <c r="HH37" s="540"/>
      <c r="HI37" s="540"/>
      <c r="HJ37" s="540"/>
      <c r="HK37" s="540"/>
      <c r="HL37" s="540"/>
      <c r="HM37" s="540"/>
      <c r="HN37" s="540"/>
      <c r="HO37" s="540"/>
      <c r="HP37" s="540"/>
      <c r="HQ37" s="540"/>
      <c r="HR37" s="540"/>
      <c r="HS37" s="540"/>
      <c r="HT37" s="540"/>
      <c r="HU37" s="540"/>
      <c r="HV37" s="540"/>
      <c r="HW37" s="540"/>
      <c r="HX37" s="540"/>
      <c r="HY37" s="540"/>
      <c r="HZ37" s="540"/>
      <c r="IA37" s="540"/>
      <c r="IB37" s="540"/>
      <c r="IC37" s="540"/>
      <c r="ID37" s="540"/>
      <c r="IE37" s="540"/>
      <c r="IF37" s="540"/>
      <c r="IG37" s="540"/>
      <c r="IH37" s="540"/>
      <c r="II37" s="540"/>
      <c r="IJ37" s="540"/>
      <c r="IK37" s="540"/>
      <c r="IL37" s="540"/>
      <c r="IM37" s="540"/>
      <c r="IN37" s="540"/>
      <c r="IO37" s="540"/>
    </row>
    <row r="38" spans="1:249" s="270" customFormat="1" x14ac:dyDescent="0.2">
      <c r="A38" s="543"/>
      <c r="B38" s="543"/>
      <c r="C38" s="543"/>
      <c r="D38" s="543"/>
      <c r="E38" s="543"/>
      <c r="F38" s="543"/>
      <c r="G38" s="543"/>
      <c r="H38" s="543"/>
      <c r="I38" s="543"/>
      <c r="J38" s="543"/>
      <c r="K38" s="543"/>
      <c r="L38" s="544"/>
      <c r="M38" s="543"/>
      <c r="N38" s="543"/>
      <c r="O38" s="543"/>
      <c r="P38" s="543"/>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row>
    <row r="39" spans="1:249" s="270" customFormat="1" x14ac:dyDescent="0.2">
      <c r="A39" s="258"/>
      <c r="B39" s="258"/>
      <c r="C39" s="258"/>
      <c r="D39" s="258"/>
      <c r="E39" s="258"/>
      <c r="F39" s="258"/>
      <c r="G39" s="258"/>
      <c r="H39" s="258"/>
      <c r="I39" s="258"/>
      <c r="J39" s="258"/>
      <c r="K39" s="258"/>
      <c r="L39" s="258"/>
      <c r="M39" s="258"/>
      <c r="N39" s="258"/>
      <c r="O39" s="258"/>
      <c r="P39" s="258"/>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row>
    <row r="40" spans="1:249"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sheetData>
  <customSheetViews>
    <customSheetView guid="{A171ABFC-BD20-4BE9-8F97-F532286F0C2D}" scale="70" showGridLines="0" hiddenColumns="1">
      <pane xSplit="15" ySplit="9" topLeftCell="Q10" activePane="bottomRight" state="frozen"/>
      <selection pane="bottomRight" activeCell="Q42" sqref="Q42:IV58"/>
      <pageMargins left="0.75" right="0.75" top="1" bottom="1" header="0.5" footer="0.5"/>
      <pageSetup paperSize="9" orientation="portrait" r:id="rId1"/>
      <headerFooter alignWithMargins="0"/>
    </customSheetView>
    <customSheetView guid="{5F88CBE0-3291-4A41-996B-A8A1DC273A84}" scale="70" showGridLines="0" hiddenColumns="1">
      <pane xSplit="15" ySplit="9" topLeftCell="Q10" activePane="bottomRight" state="frozen"/>
      <selection pane="bottomRight" activeCell="G4" sqref="G4"/>
      <pageMargins left="0.75" right="0.75" top="1" bottom="1" header="0.5" footer="0.5"/>
      <pageSetup paperSize="9" orientation="portrait" r:id="rId2"/>
      <headerFooter alignWithMargins="0"/>
    </customSheetView>
  </customSheetViews>
  <phoneticPr fontId="5" type="noConversion"/>
  <conditionalFormatting sqref="G4">
    <cfRule type="cellIs" dxfId="1" priority="1" stopIfTrue="1" operator="greaterThan">
      <formula>0</formula>
    </cfRule>
  </conditionalFormatting>
  <conditionalFormatting sqref="F6:P6 Q6:IO8">
    <cfRule type="cellIs" dxfId="0" priority="2" stopIfTrue="1" operator="equal">
      <formula>0</formula>
    </cfRule>
  </conditionalFormatting>
  <pageMargins left="0.74803149606299213" right="0.74803149606299213" top="0.98425196850393704" bottom="0.98425196850393704" header="0.51181102362204722" footer="0.51181102362204722"/>
  <pageSetup paperSize="9" scale="35" orientation="landscape" r:id="rId3"/>
  <headerFooter alignWithMargins="0"/>
  <colBreaks count="1" manualBreakCount="1">
    <brk id="30" max="35" man="1"/>
  </colBreaks>
  <ignoredErrors>
    <ignoredError sqref="M23:M24 M25"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2049" r:id="rId6" name="Button 1">
              <controlPr defaultSize="0" print="0" autoFill="0" autoPict="0" macro="[0]!Macro1">
                <anchor moveWithCells="1" sizeWithCells="1">
                  <from>
                    <xdr:col>2</xdr:col>
                    <xdr:colOff>66675</xdr:colOff>
                    <xdr:row>12</xdr:row>
                    <xdr:rowOff>9525</xdr:rowOff>
                  </from>
                  <to>
                    <xdr:col>6</xdr:col>
                    <xdr:colOff>228600</xdr:colOff>
                    <xdr:row>14</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8000"/>
    <pageSetUpPr fitToPage="1"/>
  </sheetPr>
  <dimension ref="A1:EQ173"/>
  <sheetViews>
    <sheetView showGridLines="0" view="pageBreakPreview" zoomScale="70" zoomScaleNormal="70" zoomScaleSheetLayoutView="70" workbookViewId="0">
      <pane xSplit="2" ySplit="14" topLeftCell="P15" activePane="bottomRight" state="frozen"/>
      <selection pane="topRight" activeCell="C1" sqref="C1"/>
      <selection pane="bottomLeft" activeCell="A15" sqref="A15"/>
      <selection pane="bottomRight" activeCell="W17" sqref="W17"/>
    </sheetView>
  </sheetViews>
  <sheetFormatPr baseColWidth="10" defaultColWidth="11.42578125" defaultRowHeight="12.75" outlineLevelRow="1" x14ac:dyDescent="0.2"/>
  <cols>
    <col min="1" max="1" width="2.140625" style="281" customWidth="1"/>
    <col min="2" max="2" width="12.140625" style="281" customWidth="1"/>
    <col min="3" max="3" width="16" style="281" bestFit="1" customWidth="1"/>
    <col min="4" max="4" width="15.7109375" style="281" bestFit="1" customWidth="1"/>
    <col min="5" max="5" width="13.140625" style="283" bestFit="1" customWidth="1"/>
    <col min="6" max="6" width="15.42578125" style="283" bestFit="1" customWidth="1"/>
    <col min="7" max="7" width="20" style="283" customWidth="1"/>
    <col min="8" max="8" width="5.140625" style="283" hidden="1" customWidth="1"/>
    <col min="9" max="9" width="2" style="284" customWidth="1"/>
    <col min="10" max="10" width="18" style="283" customWidth="1"/>
    <col min="11" max="11" width="16.42578125" style="283" customWidth="1"/>
    <col min="12" max="13" width="19" style="283" customWidth="1"/>
    <col min="14" max="14" width="14.5703125" style="283" customWidth="1"/>
    <col min="15" max="15" width="14.42578125" style="283" customWidth="1"/>
    <col min="16" max="16" width="1.5703125" style="283" customWidth="1"/>
    <col min="17" max="17" width="14" style="283" bestFit="1" customWidth="1"/>
    <col min="18" max="18" width="1.7109375" style="283" customWidth="1"/>
    <col min="19" max="19" width="14.42578125" style="284" customWidth="1"/>
    <col min="20" max="20" width="2.5703125" style="283" customWidth="1"/>
    <col min="21" max="21" width="14.85546875" style="283" customWidth="1"/>
    <col min="22" max="22" width="2.5703125" style="283" customWidth="1"/>
    <col min="23" max="23" width="17" style="283" customWidth="1"/>
    <col min="24" max="24" width="3.85546875" style="283" customWidth="1"/>
    <col min="25" max="25" width="15.85546875" style="283" customWidth="1"/>
    <col min="26" max="26" width="4.140625" style="283" customWidth="1"/>
    <col min="27" max="27" width="19" style="283" customWidth="1"/>
    <col min="28" max="28" width="23.85546875" style="283" customWidth="1"/>
    <col min="29" max="36" width="19" style="283" customWidth="1"/>
    <col min="37" max="37" width="6" style="283" customWidth="1"/>
    <col min="38" max="38" width="19" style="283" customWidth="1"/>
    <col min="39" max="39" width="6" style="283" customWidth="1"/>
    <col min="40" max="40" width="16" style="281" customWidth="1"/>
    <col min="41" max="41" width="10.140625" style="281" customWidth="1"/>
    <col min="42" max="42" width="15.140625" style="281" customWidth="1"/>
    <col min="43" max="43" width="13.7109375" style="281" customWidth="1"/>
    <col min="44" max="44" width="11.42578125" style="281"/>
    <col min="45" max="45" width="14.42578125" style="281" customWidth="1"/>
    <col min="46" max="46" width="14.140625" style="281" customWidth="1"/>
    <col min="47" max="50" width="11.42578125" style="281"/>
    <col min="51" max="51" width="12.5703125" style="281" customWidth="1"/>
    <col min="52" max="56" width="11.42578125" style="281"/>
    <col min="57" max="57" width="13.85546875" style="281" bestFit="1" customWidth="1"/>
    <col min="58" max="58" width="24.5703125" style="281" customWidth="1"/>
    <col min="59" max="60" width="15.140625" style="281" bestFit="1" customWidth="1"/>
    <col min="61" max="61" width="15.5703125" style="281" bestFit="1" customWidth="1"/>
    <col min="62" max="62" width="19" style="281" bestFit="1" customWidth="1"/>
    <col min="63" max="63" width="18.85546875" style="281" customWidth="1"/>
    <col min="64" max="64" width="13.5703125" style="281" bestFit="1" customWidth="1"/>
    <col min="65" max="69" width="11.42578125" style="281"/>
    <col min="70" max="70" width="13.7109375" style="281" customWidth="1"/>
    <col min="71" max="71" width="4.7109375" style="281" customWidth="1"/>
    <col min="72" max="72" width="13.28515625" style="281" customWidth="1"/>
    <col min="73" max="74" width="11.42578125" style="281"/>
    <col min="75" max="75" width="32.7109375" style="281" customWidth="1"/>
    <col min="76" max="76" width="11.5703125" style="281" bestFit="1" customWidth="1"/>
    <col min="77" max="77" width="11.42578125" style="281"/>
    <col min="78" max="78" width="12.42578125" style="281" bestFit="1" customWidth="1"/>
    <col min="79" max="79" width="11.42578125" style="281"/>
    <col min="80" max="80" width="12.42578125" style="281" bestFit="1" customWidth="1"/>
    <col min="81" max="81" width="11.42578125" style="281"/>
    <col min="82" max="82" width="38.140625" style="281" customWidth="1"/>
    <col min="83" max="84" width="11.42578125" style="281"/>
    <col min="85" max="85" width="7.85546875" style="281" customWidth="1"/>
    <col min="86" max="86" width="19.28515625" style="281" customWidth="1"/>
    <col min="87" max="16384" width="11.42578125" style="281"/>
  </cols>
  <sheetData>
    <row r="1" spans="1:46" hidden="1" outlineLevel="1" x14ac:dyDescent="0.2">
      <c r="C1" s="282"/>
    </row>
    <row r="2" spans="1:46" ht="18" collapsed="1" x14ac:dyDescent="0.25">
      <c r="B2" s="210"/>
      <c r="C2" s="210"/>
      <c r="D2" s="285"/>
      <c r="E2" s="210"/>
      <c r="F2" s="210"/>
      <c r="G2" s="210"/>
      <c r="H2" s="210"/>
      <c r="I2" s="210"/>
      <c r="J2" s="187"/>
      <c r="K2" s="210"/>
    </row>
    <row r="3" spans="1:46" ht="20.25" x14ac:dyDescent="0.25">
      <c r="B3" s="210"/>
      <c r="C3" s="210"/>
      <c r="D3" s="285"/>
      <c r="E3" s="210"/>
      <c r="F3" s="210"/>
      <c r="G3" s="210"/>
      <c r="H3" s="210"/>
      <c r="I3" s="210"/>
      <c r="J3" s="187"/>
      <c r="K3" s="210"/>
      <c r="V3" s="286"/>
      <c r="Y3" s="693">
        <f ca="1">+TODAY()</f>
        <v>43784</v>
      </c>
    </row>
    <row r="4" spans="1:46" ht="18" x14ac:dyDescent="0.2">
      <c r="B4" s="210"/>
      <c r="C4" s="210"/>
      <c r="E4" s="287"/>
      <c r="F4" s="287"/>
      <c r="G4" s="210"/>
      <c r="H4" s="210"/>
      <c r="I4" s="210"/>
      <c r="J4" s="187"/>
      <c r="K4" s="210"/>
      <c r="V4" s="286"/>
    </row>
    <row r="5" spans="1:46" ht="13.5" thickBot="1" x14ac:dyDescent="0.25">
      <c r="B5" s="288"/>
      <c r="C5" s="210"/>
      <c r="D5" s="210"/>
      <c r="E5" s="210"/>
      <c r="F5" s="210"/>
      <c r="G5" s="210"/>
      <c r="H5" s="210"/>
      <c r="I5" s="210"/>
      <c r="J5" s="1"/>
      <c r="K5" s="800"/>
      <c r="L5" s="800"/>
      <c r="M5" s="800"/>
      <c r="N5" s="800"/>
      <c r="O5" s="286"/>
      <c r="P5" s="284"/>
    </row>
    <row r="6" spans="1:46" s="289" customFormat="1" ht="13.5" thickBot="1" x14ac:dyDescent="0.25">
      <c r="B6" s="290"/>
      <c r="J6" s="807" t="s">
        <v>387</v>
      </c>
      <c r="K6" s="808"/>
      <c r="L6" s="808"/>
      <c r="M6" s="808"/>
      <c r="N6" s="808"/>
      <c r="O6" s="809"/>
      <c r="P6" s="291"/>
      <c r="S6" s="292"/>
      <c r="T6" s="292"/>
      <c r="U6" s="292"/>
      <c r="V6" s="292"/>
    </row>
    <row r="7" spans="1:46" s="289" customFormat="1" x14ac:dyDescent="0.2">
      <c r="B7" s="293"/>
      <c r="I7" s="294"/>
      <c r="J7" s="801"/>
      <c r="K7" s="802"/>
      <c r="L7" s="295"/>
      <c r="M7" s="296" t="s">
        <v>383</v>
      </c>
      <c r="N7" s="297"/>
      <c r="O7" s="691">
        <f>+'Valuation &amp; IRR'!E72</f>
        <v>0.105</v>
      </c>
      <c r="Q7" s="281"/>
      <c r="R7" s="281"/>
      <c r="V7" s="281"/>
      <c r="W7" s="281"/>
      <c r="X7" s="281"/>
      <c r="Y7" s="281"/>
      <c r="Z7" s="281"/>
      <c r="AA7" s="281"/>
      <c r="AB7" s="281"/>
      <c r="AC7" s="281"/>
      <c r="AD7" s="281"/>
      <c r="AE7" s="281"/>
    </row>
    <row r="8" spans="1:46" s="289" customFormat="1" ht="25.5" customHeight="1" x14ac:dyDescent="0.2">
      <c r="B8" s="293"/>
      <c r="J8" s="803" t="str">
        <f>+'Valuation &amp; IRR'!J19</f>
        <v>Shareholder Pre-Tax Equity IRR</v>
      </c>
      <c r="K8" s="804"/>
      <c r="L8" s="689">
        <f>+'Valuation &amp; IRR'!N19</f>
        <v>0.14047175049781802</v>
      </c>
      <c r="M8" s="804" t="s">
        <v>388</v>
      </c>
      <c r="N8" s="804"/>
      <c r="O8" s="692">
        <f ca="1">+'Valuation &amp; IRR'!M33</f>
        <v>988165.60716439586</v>
      </c>
      <c r="Q8" s="281"/>
      <c r="R8" s="281"/>
      <c r="W8" s="281"/>
      <c r="X8" s="281"/>
      <c r="Y8" s="281"/>
      <c r="Z8" s="281"/>
      <c r="AA8" s="281"/>
      <c r="AB8" s="281"/>
      <c r="AC8" s="281"/>
      <c r="AD8" s="281"/>
      <c r="AE8" s="281"/>
    </row>
    <row r="9" spans="1:46" s="289" customFormat="1" ht="13.5" thickBot="1" x14ac:dyDescent="0.25">
      <c r="B9" s="293"/>
      <c r="C9" s="281"/>
      <c r="D9" s="281"/>
      <c r="E9" s="281"/>
      <c r="F9" s="281"/>
      <c r="G9" s="281"/>
      <c r="H9" s="281"/>
      <c r="I9" s="281"/>
      <c r="J9" s="805" t="str">
        <f>+'Valuation &amp; IRR'!J27</f>
        <v>Shareholder Post-Tax Equity IRR</v>
      </c>
      <c r="K9" s="806"/>
      <c r="L9" s="690">
        <f ca="1">+'Valuation &amp; IRR'!N27</f>
        <v>0.13360962271690366</v>
      </c>
      <c r="M9" s="806" t="s">
        <v>389</v>
      </c>
      <c r="N9" s="806"/>
      <c r="O9" s="688">
        <f ca="1">+'Valuation &amp; IRR'!M34</f>
        <v>821964.40456196631</v>
      </c>
      <c r="Q9" s="281"/>
      <c r="R9" s="281"/>
      <c r="V9" s="281"/>
      <c r="W9" s="281"/>
      <c r="X9" s="281"/>
      <c r="Y9" s="281"/>
      <c r="Z9" s="281"/>
      <c r="AA9" s="281"/>
      <c r="AB9" s="281"/>
      <c r="AC9" s="281"/>
      <c r="AD9" s="281"/>
      <c r="AE9" s="281"/>
    </row>
    <row r="10" spans="1:46" ht="15" x14ac:dyDescent="0.2">
      <c r="B10" s="298"/>
      <c r="E10" s="281"/>
      <c r="F10" s="281"/>
      <c r="G10" s="299"/>
      <c r="H10" s="299"/>
      <c r="I10" s="289"/>
      <c r="J10" s="300"/>
      <c r="K10" s="300"/>
      <c r="L10" s="286"/>
      <c r="M10" s="301"/>
      <c r="N10" s="289"/>
      <c r="O10" s="289"/>
      <c r="P10" s="302"/>
      <c r="Q10" s="281"/>
      <c r="R10" s="281"/>
      <c r="X10" s="281"/>
      <c r="Y10" s="281"/>
      <c r="Z10" s="281"/>
      <c r="AA10" s="281"/>
      <c r="AB10" s="281"/>
      <c r="AC10" s="281"/>
      <c r="AD10" s="281"/>
      <c r="AE10" s="281"/>
      <c r="AF10" s="281"/>
      <c r="AG10" s="281"/>
      <c r="AH10" s="281"/>
      <c r="AI10" s="281"/>
      <c r="AJ10" s="281"/>
      <c r="AK10" s="303"/>
      <c r="AL10" s="281"/>
      <c r="AM10" s="281"/>
      <c r="AN10" s="302"/>
      <c r="AO10" s="302"/>
      <c r="AP10" s="304"/>
      <c r="AQ10" s="305"/>
      <c r="AR10" s="306"/>
      <c r="AS10" s="301"/>
      <c r="AT10" s="301"/>
    </row>
    <row r="11" spans="1:46" ht="18.75" x14ac:dyDescent="0.2">
      <c r="B11" s="307"/>
      <c r="E11" s="281"/>
      <c r="F11" s="281"/>
      <c r="G11" s="300"/>
      <c r="H11" s="281"/>
      <c r="I11" s="289"/>
      <c r="J11" s="300"/>
      <c r="K11" s="300"/>
      <c r="L11" s="286"/>
      <c r="M11" s="301"/>
      <c r="N11" s="289"/>
      <c r="O11" s="289"/>
      <c r="P11" s="302"/>
      <c r="Q11" s="281"/>
      <c r="R11" s="281"/>
      <c r="V11" s="281"/>
      <c r="W11" s="281"/>
      <c r="X11" s="281"/>
      <c r="Y11" s="281"/>
      <c r="Z11" s="281"/>
      <c r="AA11" s="281"/>
      <c r="AB11" s="289"/>
      <c r="AC11" s="281"/>
      <c r="AD11" s="281"/>
      <c r="AE11" s="281"/>
      <c r="AF11" s="281"/>
      <c r="AG11" s="281"/>
      <c r="AH11" s="281"/>
      <c r="AI11" s="281"/>
      <c r="AJ11" s="303"/>
      <c r="AK11" s="281"/>
      <c r="AL11" s="281"/>
      <c r="AM11" s="281"/>
      <c r="AN11" s="302"/>
      <c r="AO11" s="302"/>
      <c r="AP11" s="304"/>
      <c r="AQ11" s="305"/>
      <c r="AR11" s="306"/>
      <c r="AS11" s="301"/>
      <c r="AT11" s="301"/>
    </row>
    <row r="12" spans="1:46" ht="13.5" thickBot="1" x14ac:dyDescent="0.25">
      <c r="B12" s="308"/>
      <c r="E12" s="281"/>
      <c r="F12" s="281"/>
      <c r="G12" s="281"/>
      <c r="H12" s="281"/>
      <c r="I12" s="289"/>
      <c r="J12" s="281"/>
      <c r="K12" s="281"/>
      <c r="M12" s="309"/>
      <c r="N12" s="302"/>
      <c r="O12" s="302"/>
      <c r="P12" s="302"/>
      <c r="Q12" s="281"/>
      <c r="R12" s="281"/>
      <c r="S12" s="281"/>
      <c r="T12" s="281"/>
      <c r="U12" s="281"/>
      <c r="V12" s="281"/>
      <c r="W12" s="281"/>
      <c r="X12" s="281"/>
      <c r="Y12" s="281"/>
      <c r="Z12" s="281"/>
      <c r="AA12" s="281"/>
      <c r="AB12" s="289"/>
      <c r="AC12" s="281"/>
      <c r="AD12" s="281"/>
      <c r="AE12" s="281"/>
      <c r="AF12" s="281"/>
      <c r="AG12" s="281"/>
      <c r="AH12" s="281"/>
      <c r="AI12" s="281"/>
      <c r="AJ12" s="281"/>
      <c r="AK12" s="281"/>
      <c r="AL12" s="281"/>
      <c r="AM12" s="281"/>
      <c r="AN12" s="302"/>
      <c r="AO12" s="302"/>
      <c r="AP12" s="304"/>
      <c r="AQ12" s="305"/>
      <c r="AR12" s="306"/>
      <c r="AS12" s="301"/>
      <c r="AT12" s="301"/>
    </row>
    <row r="13" spans="1:46" ht="47.25" customHeight="1" thickBot="1" x14ac:dyDescent="0.25">
      <c r="C13" s="310" t="s">
        <v>357</v>
      </c>
      <c r="D13" s="311"/>
      <c r="E13" s="311"/>
      <c r="F13" s="311"/>
      <c r="G13" s="312"/>
      <c r="H13" s="313"/>
      <c r="I13" s="289"/>
      <c r="J13" s="310" t="s">
        <v>358</v>
      </c>
      <c r="K13" s="311"/>
      <c r="L13" s="311"/>
      <c r="M13" s="311"/>
      <c r="N13" s="311"/>
      <c r="O13" s="314"/>
      <c r="P13" s="302"/>
      <c r="Q13" s="315" t="s">
        <v>33</v>
      </c>
      <c r="R13" s="302"/>
      <c r="S13" s="315" t="s">
        <v>43</v>
      </c>
      <c r="U13" s="315" t="s">
        <v>359</v>
      </c>
      <c r="W13" s="316" t="s">
        <v>452</v>
      </c>
      <c r="Y13" s="316" t="s">
        <v>450</v>
      </c>
      <c r="Z13" s="317"/>
      <c r="AA13" s="316" t="s">
        <v>453</v>
      </c>
      <c r="AC13" s="318"/>
      <c r="AD13" s="289"/>
      <c r="AE13" s="317"/>
      <c r="AF13" s="317"/>
      <c r="AG13" s="289"/>
      <c r="AH13" s="319"/>
      <c r="AI13" s="317"/>
      <c r="AJ13" s="317"/>
      <c r="AK13" s="317"/>
      <c r="AL13" s="317"/>
      <c r="AM13" s="317"/>
      <c r="AN13" s="317"/>
      <c r="AO13" s="317"/>
      <c r="AP13" s="317"/>
      <c r="AQ13" s="317"/>
      <c r="AR13" s="306"/>
      <c r="AS13" s="301"/>
      <c r="AT13" s="301"/>
    </row>
    <row r="14" spans="1:46" ht="42.75" customHeight="1" thickBot="1" x14ac:dyDescent="0.25">
      <c r="C14" s="320" t="s">
        <v>270</v>
      </c>
      <c r="D14" s="321" t="s">
        <v>360</v>
      </c>
      <c r="E14" s="322" t="s">
        <v>119</v>
      </c>
      <c r="F14" s="323" t="s">
        <v>361</v>
      </c>
      <c r="G14" s="324" t="s">
        <v>362</v>
      </c>
      <c r="I14" s="325"/>
      <c r="J14" s="320" t="s">
        <v>363</v>
      </c>
      <c r="K14" s="323" t="s">
        <v>364</v>
      </c>
      <c r="L14" s="323" t="s">
        <v>365</v>
      </c>
      <c r="M14" s="323" t="s">
        <v>382</v>
      </c>
      <c r="N14" s="323" t="s">
        <v>374</v>
      </c>
      <c r="O14" s="324" t="s">
        <v>366</v>
      </c>
      <c r="P14" s="302"/>
      <c r="Q14" s="326" t="s">
        <v>367</v>
      </c>
      <c r="R14" s="302"/>
      <c r="S14" s="326" t="s">
        <v>368</v>
      </c>
      <c r="U14" s="326" t="s">
        <v>369</v>
      </c>
      <c r="W14" s="326" t="s">
        <v>452</v>
      </c>
      <c r="Y14" s="326" t="s">
        <v>450</v>
      </c>
      <c r="Z14" s="325"/>
      <c r="AA14" s="326" t="s">
        <v>453</v>
      </c>
      <c r="AC14" s="325"/>
      <c r="AD14" s="284"/>
      <c r="AE14" s="325"/>
      <c r="AF14" s="325"/>
      <c r="AG14" s="289"/>
      <c r="AH14" s="327"/>
      <c r="AI14" s="325"/>
      <c r="AJ14" s="325"/>
      <c r="AK14" s="325"/>
      <c r="AL14" s="325"/>
      <c r="AM14" s="325"/>
      <c r="AN14" s="325"/>
      <c r="AO14" s="325"/>
      <c r="AP14" s="325"/>
      <c r="AQ14" s="325"/>
      <c r="AR14" s="306"/>
      <c r="AS14" s="301"/>
      <c r="AT14" s="301"/>
    </row>
    <row r="15" spans="1:46" x14ac:dyDescent="0.2">
      <c r="A15" s="303"/>
      <c r="B15" s="331">
        <v>2018</v>
      </c>
      <c r="C15" s="784">
        <f t="shared" ref="C15:C58" si="0">+INDEX($108:$108,MATCH($B15,$107:$107,0))</f>
        <v>118885.88824258334</v>
      </c>
      <c r="D15" s="784">
        <f t="shared" ref="D15:D58" si="1">+INDEX($109:$109,MATCH($B15,$107:$107,0))</f>
        <v>-20866.926728617222</v>
      </c>
      <c r="E15" s="784">
        <f t="shared" ref="E15:E58" si="2">+INDEX($110:$110,MATCH($B15,$107:$107,0))</f>
        <v>-446</v>
      </c>
      <c r="F15" s="784">
        <f t="shared" ref="F15:F58" si="3">+INDEX($111:$111,MATCH($B15,$107:$107,0))</f>
        <v>-7726.0040000000026</v>
      </c>
      <c r="G15" s="783">
        <f t="shared" ref="G15:G58" si="4">+INDEX($112:$112,MATCH($B15,$107:$107,0))</f>
        <v>89846.957513966117</v>
      </c>
      <c r="I15" s="325"/>
      <c r="J15" s="790">
        <f t="shared" ref="J15:J58" si="5">+INDEX($115:$115,MATCH($B15,$107:$107,0))</f>
        <v>-43757.752098483172</v>
      </c>
      <c r="K15" s="786">
        <f t="shared" ref="K15:K58" si="6">+INDEX($116:$116,MATCH($B15,$107:$107,0))</f>
        <v>0</v>
      </c>
      <c r="L15" s="784">
        <f t="shared" ref="L15:L58" si="7">+INDEX($117:$117,MATCH($B15,$107:$107,0))</f>
        <v>-43757.752098483172</v>
      </c>
      <c r="M15" s="784">
        <f t="shared" ref="M15:M58" si="8">+INDEX($118:$118,MATCH($B15,$107:$107,0))</f>
        <v>0</v>
      </c>
      <c r="N15" s="784">
        <f t="shared" ref="N15:N58" si="9">+INDEX($119:$119,MATCH($B15,$107:$107,0))</f>
        <v>44111.109954011299</v>
      </c>
      <c r="O15" s="784">
        <f t="shared" ref="O15:O58" si="10">+INDEX($120:$120,MATCH($B15,$107:$107,0))</f>
        <v>1693485.906507757</v>
      </c>
      <c r="P15" s="787"/>
      <c r="Q15" s="788">
        <f t="shared" ref="Q15:Q58" si="11">+INDEX($123:$123,MATCH($B15,$107:$107,0))</f>
        <v>0</v>
      </c>
      <c r="R15" s="787"/>
      <c r="S15" s="788">
        <f t="shared" ref="S15:S58" si="12">+INDEX($124:$124,MATCH($B15,$107:$107,0))</f>
        <v>0</v>
      </c>
      <c r="T15" s="791"/>
      <c r="U15" s="788">
        <f t="shared" ref="U15:U58" si="13">+INDEX($126:$126,MATCH($B15,$107:$107,0))</f>
        <v>-46089.205415482946</v>
      </c>
      <c r="V15" s="791"/>
      <c r="W15" s="788">
        <f t="shared" ref="W15:W58" si="14">+INDEX($130:$130,MATCH($B15,$107:$107,0))</f>
        <v>0</v>
      </c>
      <c r="X15" s="791"/>
      <c r="Y15" s="788">
        <f t="shared" ref="Y15:Y58" ca="1" si="15">+INDEX($128:$128,MATCH($B15,$107:$107,0))</f>
        <v>0</v>
      </c>
      <c r="Z15" s="789"/>
      <c r="AA15" s="788">
        <f t="shared" ref="AA15:AA58" ca="1" si="16">+INDEX($134:$134,MATCH($B15,$107:$107,0))</f>
        <v>0</v>
      </c>
      <c r="AC15" s="292"/>
      <c r="AD15" s="328"/>
      <c r="AE15" s="292"/>
      <c r="AF15" s="292"/>
      <c r="AG15" s="289"/>
      <c r="AH15" s="329"/>
      <c r="AI15" s="329"/>
      <c r="AJ15" s="329"/>
      <c r="AK15" s="329"/>
      <c r="AL15" s="329"/>
      <c r="AM15" s="329"/>
      <c r="AN15" s="330"/>
      <c r="AO15" s="330"/>
      <c r="AP15" s="330"/>
      <c r="AQ15" s="330"/>
      <c r="AR15" s="306"/>
      <c r="AS15" s="301"/>
      <c r="AT15" s="301"/>
    </row>
    <row r="16" spans="1:46" x14ac:dyDescent="0.2">
      <c r="A16" s="303"/>
      <c r="B16" s="331">
        <f>+B15+1</f>
        <v>2019</v>
      </c>
      <c r="C16" s="784">
        <f t="shared" si="0"/>
        <v>135523.30071911303</v>
      </c>
      <c r="D16" s="784">
        <f t="shared" si="1"/>
        <v>-22075.289012235549</v>
      </c>
      <c r="E16" s="784">
        <f t="shared" si="2"/>
        <v>-737.58974504569574</v>
      </c>
      <c r="F16" s="784">
        <f t="shared" si="3"/>
        <v>-4923.1641749466244</v>
      </c>
      <c r="G16" s="783">
        <f t="shared" si="4"/>
        <v>107787.25778688517</v>
      </c>
      <c r="I16" s="325"/>
      <c r="J16" s="790">
        <f t="shared" si="5"/>
        <v>-43943.328094499469</v>
      </c>
      <c r="K16" s="786">
        <f t="shared" si="6"/>
        <v>0</v>
      </c>
      <c r="L16" s="784">
        <f t="shared" si="7"/>
        <v>-43943.328094499469</v>
      </c>
      <c r="M16" s="784">
        <f t="shared" si="8"/>
        <v>2692.085174796453</v>
      </c>
      <c r="N16" s="784">
        <f t="shared" si="9"/>
        <v>45992.237501333198</v>
      </c>
      <c r="O16" s="784">
        <f t="shared" si="10"/>
        <v>1739478.1440090905</v>
      </c>
      <c r="P16" s="787"/>
      <c r="Q16" s="788">
        <f t="shared" si="11"/>
        <v>0</v>
      </c>
      <c r="R16" s="787"/>
      <c r="S16" s="788">
        <f t="shared" si="12"/>
        <v>0</v>
      </c>
      <c r="T16" s="791"/>
      <c r="U16" s="788">
        <f t="shared" si="13"/>
        <v>-66536.014867182152</v>
      </c>
      <c r="V16" s="791"/>
      <c r="W16" s="788">
        <f t="shared" si="14"/>
        <v>0</v>
      </c>
      <c r="X16" s="791"/>
      <c r="Y16" s="788">
        <f t="shared" ca="1" si="15"/>
        <v>0</v>
      </c>
      <c r="Z16" s="789"/>
      <c r="AA16" s="788">
        <f t="shared" ca="1" si="16"/>
        <v>0</v>
      </c>
      <c r="AC16" s="292"/>
      <c r="AD16" s="328"/>
      <c r="AE16" s="292"/>
      <c r="AF16" s="292"/>
      <c r="AG16" s="289"/>
      <c r="AH16" s="329"/>
      <c r="AI16" s="329"/>
      <c r="AJ16" s="329"/>
      <c r="AK16" s="329"/>
      <c r="AL16" s="329"/>
      <c r="AM16" s="329"/>
      <c r="AN16" s="330"/>
      <c r="AO16" s="330"/>
      <c r="AP16" s="330"/>
      <c r="AQ16" s="330"/>
      <c r="AR16" s="306"/>
      <c r="AS16" s="301"/>
      <c r="AT16" s="301"/>
    </row>
    <row r="17" spans="1:46" x14ac:dyDescent="0.2">
      <c r="A17" s="303"/>
      <c r="B17" s="331">
        <f t="shared" ref="B17:B58" si="17">+B16+1</f>
        <v>2020</v>
      </c>
      <c r="C17" s="784">
        <f t="shared" si="0"/>
        <v>155007.90602940397</v>
      </c>
      <c r="D17" s="784">
        <f t="shared" si="1"/>
        <v>-23353.625155802732</v>
      </c>
      <c r="E17" s="784">
        <f t="shared" si="2"/>
        <v>-845.09727037031769</v>
      </c>
      <c r="F17" s="784">
        <f t="shared" si="3"/>
        <v>-3516.2529273851965</v>
      </c>
      <c r="G17" s="783">
        <f t="shared" si="4"/>
        <v>127292.93067584572</v>
      </c>
      <c r="I17" s="325"/>
      <c r="J17" s="790">
        <f t="shared" si="5"/>
        <v>-82351.55247593153</v>
      </c>
      <c r="K17" s="786">
        <f t="shared" si="6"/>
        <v>1758.1264636926353</v>
      </c>
      <c r="L17" s="784">
        <f t="shared" si="7"/>
        <v>-80593.426012238895</v>
      </c>
      <c r="M17" s="784">
        <f t="shared" si="8"/>
        <v>3887.4732955742647</v>
      </c>
      <c r="N17" s="784">
        <f t="shared" si="9"/>
        <v>43835.091716203009</v>
      </c>
      <c r="O17" s="784">
        <f t="shared" si="10"/>
        <v>1752987.6938136853</v>
      </c>
      <c r="P17" s="787"/>
      <c r="Q17" s="788">
        <f t="shared" si="11"/>
        <v>10121.893906041663</v>
      </c>
      <c r="R17" s="787"/>
      <c r="S17" s="788">
        <f t="shared" si="12"/>
        <v>21730.869530352829</v>
      </c>
      <c r="T17" s="791"/>
      <c r="U17" s="788">
        <f t="shared" si="13"/>
        <v>165130.7029326651</v>
      </c>
      <c r="V17" s="791"/>
      <c r="W17" s="788">
        <f t="shared" si="14"/>
        <v>247570.44432824067</v>
      </c>
      <c r="X17" s="791"/>
      <c r="Y17" s="788">
        <f t="shared" ca="1" si="15"/>
        <v>0</v>
      </c>
      <c r="Z17" s="789"/>
      <c r="AA17" s="788">
        <f t="shared" ca="1" si="16"/>
        <v>247570.44432824067</v>
      </c>
      <c r="AC17" s="292"/>
      <c r="AD17" s="328"/>
      <c r="AE17" s="292"/>
      <c r="AF17" s="292"/>
      <c r="AG17" s="289"/>
      <c r="AH17" s="329"/>
      <c r="AI17" s="329"/>
      <c r="AJ17" s="329"/>
      <c r="AK17" s="329"/>
      <c r="AL17" s="329"/>
      <c r="AM17" s="329"/>
      <c r="AN17" s="330"/>
      <c r="AO17" s="330"/>
      <c r="AP17" s="330"/>
      <c r="AQ17" s="330"/>
      <c r="AR17" s="306"/>
      <c r="AS17" s="301"/>
      <c r="AT17" s="301"/>
    </row>
    <row r="18" spans="1:46" x14ac:dyDescent="0.2">
      <c r="A18" s="303"/>
      <c r="B18" s="331">
        <f t="shared" si="17"/>
        <v>2021</v>
      </c>
      <c r="C18" s="784">
        <f t="shared" si="0"/>
        <v>177172.65595104065</v>
      </c>
      <c r="D18" s="784">
        <f t="shared" si="1"/>
        <v>-24705.987206575235</v>
      </c>
      <c r="E18" s="784">
        <f t="shared" si="2"/>
        <v>-947.27186232849067</v>
      </c>
      <c r="F18" s="784">
        <f t="shared" si="3"/>
        <v>-2511.4000285149973</v>
      </c>
      <c r="G18" s="783">
        <f t="shared" si="4"/>
        <v>149007.99685362194</v>
      </c>
      <c r="I18" s="325"/>
      <c r="J18" s="790">
        <f t="shared" si="5"/>
        <v>-81240.336425812871</v>
      </c>
      <c r="K18" s="786">
        <f t="shared" si="6"/>
        <v>2511.4000285149973</v>
      </c>
      <c r="L18" s="784">
        <f t="shared" si="7"/>
        <v>-78728.936397297875</v>
      </c>
      <c r="M18" s="784">
        <f t="shared" si="8"/>
        <v>1368.9413706881614</v>
      </c>
      <c r="N18" s="784">
        <f t="shared" si="9"/>
        <v>41049.628640649462</v>
      </c>
      <c r="O18" s="784">
        <f t="shared" si="10"/>
        <v>1755499.0938422005</v>
      </c>
      <c r="P18" s="787"/>
      <c r="Q18" s="788">
        <f t="shared" si="11"/>
        <v>-2737.9914649635248</v>
      </c>
      <c r="R18" s="787"/>
      <c r="S18" s="788">
        <f t="shared" si="12"/>
        <v>-3973.3070391430374</v>
      </c>
      <c r="T18" s="791"/>
      <c r="U18" s="788">
        <f t="shared" si="13"/>
        <v>0</v>
      </c>
      <c r="V18" s="791"/>
      <c r="W18" s="788">
        <f t="shared" si="14"/>
        <v>64936.703322905661</v>
      </c>
      <c r="X18" s="791"/>
      <c r="Y18" s="788">
        <f t="shared" ca="1" si="15"/>
        <v>0</v>
      </c>
      <c r="Z18" s="789"/>
      <c r="AA18" s="788">
        <f t="shared" ca="1" si="16"/>
        <v>64936.703322905661</v>
      </c>
      <c r="AC18" s="292"/>
      <c r="AD18" s="328"/>
      <c r="AE18" s="292"/>
      <c r="AF18" s="292"/>
      <c r="AG18" s="289"/>
      <c r="AH18" s="329"/>
      <c r="AI18" s="329"/>
      <c r="AJ18" s="329"/>
      <c r="AK18" s="329"/>
      <c r="AL18" s="329"/>
      <c r="AM18" s="329"/>
      <c r="AN18" s="330"/>
      <c r="AO18" s="330"/>
      <c r="AP18" s="330"/>
      <c r="AQ18" s="330"/>
      <c r="AR18" s="306"/>
      <c r="AS18" s="301"/>
      <c r="AT18" s="301"/>
    </row>
    <row r="19" spans="1:46" x14ac:dyDescent="0.2">
      <c r="A19" s="303"/>
      <c r="B19" s="331">
        <f t="shared" si="17"/>
        <v>2022</v>
      </c>
      <c r="C19" s="784">
        <f t="shared" si="0"/>
        <v>190618.33383550725</v>
      </c>
      <c r="D19" s="784">
        <f t="shared" si="1"/>
        <v>-25771.393741783409</v>
      </c>
      <c r="E19" s="784">
        <f t="shared" si="2"/>
        <v>-1019.4985617497009</v>
      </c>
      <c r="F19" s="784">
        <f t="shared" si="3"/>
        <v>-3207.5042996959728</v>
      </c>
      <c r="G19" s="783">
        <f t="shared" si="4"/>
        <v>160619.93723227814</v>
      </c>
      <c r="I19" s="325"/>
      <c r="J19" s="790">
        <f t="shared" si="5"/>
        <v>-81397.13054759652</v>
      </c>
      <c r="K19" s="786">
        <f t="shared" si="6"/>
        <v>3207.5042996959728</v>
      </c>
      <c r="L19" s="784">
        <f t="shared" si="7"/>
        <v>-78189.626247900553</v>
      </c>
      <c r="M19" s="784">
        <f t="shared" si="8"/>
        <v>1585.1746377621182</v>
      </c>
      <c r="N19" s="784">
        <f t="shared" si="9"/>
        <v>37233.015546619128</v>
      </c>
      <c r="O19" s="784">
        <f t="shared" si="10"/>
        <v>1758706.5981418965</v>
      </c>
      <c r="P19" s="787"/>
      <c r="Q19" s="788">
        <f t="shared" si="11"/>
        <v>-3037.0853628754758</v>
      </c>
      <c r="R19" s="787"/>
      <c r="S19" s="788">
        <f t="shared" si="12"/>
        <v>-2186.781713659766</v>
      </c>
      <c r="T19" s="791"/>
      <c r="U19" s="788">
        <f t="shared" si="13"/>
        <v>0</v>
      </c>
      <c r="V19" s="791"/>
      <c r="W19" s="788">
        <f t="shared" si="14"/>
        <v>78791.618545604462</v>
      </c>
      <c r="X19" s="791"/>
      <c r="Y19" s="788">
        <f t="shared" ca="1" si="15"/>
        <v>-780.47775198182228</v>
      </c>
      <c r="Z19" s="789"/>
      <c r="AA19" s="788">
        <f t="shared" ca="1" si="16"/>
        <v>78011.140793622646</v>
      </c>
      <c r="AB19" s="328"/>
      <c r="AC19" s="292"/>
      <c r="AD19" s="328"/>
      <c r="AE19" s="292"/>
      <c r="AF19" s="292"/>
      <c r="AG19" s="289"/>
      <c r="AH19" s="329"/>
      <c r="AI19" s="329"/>
      <c r="AJ19" s="329"/>
      <c r="AK19" s="329"/>
      <c r="AL19" s="329"/>
      <c r="AM19" s="329"/>
      <c r="AN19" s="330"/>
      <c r="AO19" s="330"/>
      <c r="AP19" s="330"/>
      <c r="AQ19" s="330"/>
      <c r="AR19" s="306"/>
      <c r="AS19" s="301"/>
      <c r="AT19" s="301"/>
    </row>
    <row r="20" spans="1:46" x14ac:dyDescent="0.2">
      <c r="A20" s="303"/>
      <c r="B20" s="331">
        <f t="shared" si="17"/>
        <v>2023</v>
      </c>
      <c r="C20" s="784">
        <f t="shared" si="0"/>
        <v>205083.20401391943</v>
      </c>
      <c r="D20" s="784">
        <f t="shared" si="1"/>
        <v>-26882.74424497689</v>
      </c>
      <c r="E20" s="784">
        <f t="shared" si="2"/>
        <v>-1097.2312440403507</v>
      </c>
      <c r="F20" s="784">
        <f t="shared" si="3"/>
        <v>-4096.5532036931381</v>
      </c>
      <c r="G20" s="783">
        <f t="shared" si="4"/>
        <v>173006.67532120904</v>
      </c>
      <c r="I20" s="325"/>
      <c r="J20" s="790">
        <f t="shared" si="5"/>
        <v>-81596.567968767064</v>
      </c>
      <c r="K20" s="786">
        <f t="shared" si="6"/>
        <v>4096.5532036931381</v>
      </c>
      <c r="L20" s="784">
        <f t="shared" si="7"/>
        <v>-77500.014765073924</v>
      </c>
      <c r="M20" s="784">
        <f t="shared" si="8"/>
        <v>1826.1460309171671</v>
      </c>
      <c r="N20" s="784">
        <f t="shared" si="9"/>
        <v>35247.639624934141</v>
      </c>
      <c r="O20" s="784">
        <f t="shared" si="10"/>
        <v>1762803.1513455897</v>
      </c>
      <c r="P20" s="787"/>
      <c r="Q20" s="788">
        <f t="shared" si="11"/>
        <v>-2843.7019947117424</v>
      </c>
      <c r="R20" s="787"/>
      <c r="S20" s="788">
        <f t="shared" si="12"/>
        <v>-404.15483066316665</v>
      </c>
      <c r="T20" s="791"/>
      <c r="U20" s="788">
        <f t="shared" si="13"/>
        <v>0</v>
      </c>
      <c r="V20" s="791"/>
      <c r="W20" s="788">
        <f t="shared" si="14"/>
        <v>94084.949761677373</v>
      </c>
      <c r="X20" s="791"/>
      <c r="Y20" s="788">
        <f t="shared" ca="1" si="15"/>
        <v>-1164.4991811465022</v>
      </c>
      <c r="Z20" s="789"/>
      <c r="AA20" s="788">
        <f t="shared" ca="1" si="16"/>
        <v>92920.450580530873</v>
      </c>
      <c r="AB20" s="328"/>
      <c r="AC20" s="292"/>
      <c r="AD20" s="328"/>
      <c r="AE20" s="292"/>
      <c r="AF20" s="292"/>
      <c r="AG20" s="289"/>
      <c r="AH20" s="329"/>
      <c r="AI20" s="329"/>
      <c r="AJ20" s="329"/>
      <c r="AK20" s="329"/>
      <c r="AL20" s="329"/>
      <c r="AM20" s="329"/>
      <c r="AN20" s="330"/>
      <c r="AO20" s="330"/>
      <c r="AP20" s="330"/>
      <c r="AQ20" s="330"/>
      <c r="AR20" s="306"/>
      <c r="AS20" s="301"/>
      <c r="AT20" s="301"/>
    </row>
    <row r="21" spans="1:46" x14ac:dyDescent="0.2">
      <c r="B21" s="331">
        <f t="shared" si="17"/>
        <v>2024</v>
      </c>
      <c r="C21" s="784">
        <f t="shared" si="0"/>
        <v>220644.46141165117</v>
      </c>
      <c r="D21" s="784">
        <f t="shared" si="1"/>
        <v>-28042.019976946256</v>
      </c>
      <c r="E21" s="784">
        <f t="shared" si="2"/>
        <v>-1180.8721342435792</v>
      </c>
      <c r="F21" s="784">
        <f t="shared" si="3"/>
        <v>-5232.0267044627799</v>
      </c>
      <c r="G21" s="783">
        <f t="shared" si="4"/>
        <v>186189.54259599856</v>
      </c>
      <c r="I21" s="325"/>
      <c r="J21" s="790">
        <f t="shared" si="5"/>
        <v>-81939.832196578151</v>
      </c>
      <c r="K21" s="786">
        <f t="shared" si="6"/>
        <v>5232.0267044627799</v>
      </c>
      <c r="L21" s="784">
        <f t="shared" si="7"/>
        <v>-76707.805492115367</v>
      </c>
      <c r="M21" s="784">
        <f t="shared" si="8"/>
        <v>2091.0309584081278</v>
      </c>
      <c r="N21" s="784">
        <f t="shared" si="9"/>
        <v>35191.503580349105</v>
      </c>
      <c r="O21" s="784">
        <f t="shared" si="10"/>
        <v>1768035.1780500526</v>
      </c>
      <c r="P21" s="787"/>
      <c r="Q21" s="788">
        <f t="shared" si="11"/>
        <v>-2068.5240352732362</v>
      </c>
      <c r="R21" s="787"/>
      <c r="S21" s="788">
        <f t="shared" si="12"/>
        <v>-587.47197038256127</v>
      </c>
      <c r="T21" s="791"/>
      <c r="U21" s="788">
        <f t="shared" si="13"/>
        <v>0</v>
      </c>
      <c r="V21" s="791"/>
      <c r="W21" s="788">
        <f t="shared" si="14"/>
        <v>108916.77205663551</v>
      </c>
      <c r="X21" s="791"/>
      <c r="Y21" s="788">
        <f t="shared" ca="1" si="15"/>
        <v>-1577.4291556687028</v>
      </c>
      <c r="Z21" s="789"/>
      <c r="AA21" s="788">
        <f t="shared" ca="1" si="16"/>
        <v>107339.3429009668</v>
      </c>
      <c r="AB21" s="328"/>
      <c r="AC21" s="292"/>
      <c r="AD21" s="328"/>
      <c r="AE21" s="292"/>
      <c r="AF21" s="292"/>
      <c r="AG21" s="289"/>
      <c r="AH21" s="329"/>
      <c r="AI21" s="329"/>
      <c r="AJ21" s="329"/>
      <c r="AK21" s="329"/>
      <c r="AL21" s="329"/>
      <c r="AM21" s="329"/>
      <c r="AN21" s="330"/>
      <c r="AO21" s="330"/>
      <c r="AP21" s="330"/>
      <c r="AQ21" s="330"/>
      <c r="AR21" s="306"/>
      <c r="AS21" s="301"/>
      <c r="AT21" s="301"/>
    </row>
    <row r="22" spans="1:46" x14ac:dyDescent="0.2">
      <c r="B22" s="331">
        <f t="shared" si="17"/>
        <v>2025</v>
      </c>
      <c r="C22" s="784">
        <f t="shared" si="0"/>
        <v>237385.14474138763</v>
      </c>
      <c r="D22" s="784">
        <f t="shared" si="1"/>
        <v>-29251.287637213056</v>
      </c>
      <c r="E22" s="784">
        <f t="shared" si="2"/>
        <v>-1270.0974482756708</v>
      </c>
      <c r="F22" s="784">
        <f t="shared" si="3"/>
        <v>-6682.2282233593996</v>
      </c>
      <c r="G22" s="783">
        <f t="shared" si="4"/>
        <v>200181.53143253952</v>
      </c>
      <c r="I22" s="325"/>
      <c r="J22" s="790">
        <f t="shared" si="5"/>
        <v>-82495.624613422275</v>
      </c>
      <c r="K22" s="786">
        <f t="shared" si="6"/>
        <v>6682.2282233594015</v>
      </c>
      <c r="L22" s="784">
        <f t="shared" si="7"/>
        <v>-75813.396390062873</v>
      </c>
      <c r="M22" s="784">
        <f t="shared" si="8"/>
        <v>2234.8612616227101</v>
      </c>
      <c r="N22" s="784">
        <f t="shared" si="9"/>
        <v>34972.67174980972</v>
      </c>
      <c r="O22" s="784">
        <f t="shared" si="10"/>
        <v>1774717.4062734121</v>
      </c>
      <c r="P22" s="787"/>
      <c r="Q22" s="788">
        <f t="shared" si="11"/>
        <v>-593.60765917007666</v>
      </c>
      <c r="R22" s="787"/>
      <c r="S22" s="788">
        <f t="shared" si="12"/>
        <v>-1438.7543011091111</v>
      </c>
      <c r="T22" s="791"/>
      <c r="U22" s="788">
        <f t="shared" si="13"/>
        <v>0</v>
      </c>
      <c r="V22" s="791"/>
      <c r="W22" s="788">
        <f t="shared" si="14"/>
        <v>124570.63434382014</v>
      </c>
      <c r="X22" s="791"/>
      <c r="Y22" s="788">
        <f t="shared" ca="1" si="15"/>
        <v>-2021.174779777821</v>
      </c>
      <c r="Z22" s="789"/>
      <c r="AA22" s="788">
        <f t="shared" ca="1" si="16"/>
        <v>122549.45956404232</v>
      </c>
      <c r="AB22" s="328"/>
      <c r="AC22" s="292"/>
      <c r="AD22" s="328"/>
      <c r="AE22" s="292"/>
      <c r="AF22" s="292"/>
      <c r="AG22" s="289"/>
      <c r="AH22" s="329"/>
      <c r="AI22" s="329"/>
      <c r="AJ22" s="329"/>
      <c r="AK22" s="329"/>
      <c r="AL22" s="329"/>
      <c r="AM22" s="329"/>
      <c r="AN22" s="330"/>
      <c r="AO22" s="330"/>
      <c r="AP22" s="330"/>
      <c r="AQ22" s="330"/>
      <c r="AR22" s="306"/>
      <c r="AS22" s="301"/>
      <c r="AT22" s="301"/>
    </row>
    <row r="23" spans="1:46" x14ac:dyDescent="0.2">
      <c r="B23" s="331">
        <f t="shared" si="17"/>
        <v>2026</v>
      </c>
      <c r="C23" s="784">
        <f t="shared" si="0"/>
        <v>255394.57873366229</v>
      </c>
      <c r="D23" s="784">
        <f t="shared" si="1"/>
        <v>-30512.70304843966</v>
      </c>
      <c r="E23" s="784">
        <f t="shared" si="2"/>
        <v>-1366.5625319919407</v>
      </c>
      <c r="F23" s="784">
        <f t="shared" si="3"/>
        <v>-8534.3933720700988</v>
      </c>
      <c r="G23" s="783">
        <f t="shared" si="4"/>
        <v>214980.91978116057</v>
      </c>
      <c r="I23" s="325"/>
      <c r="J23" s="790">
        <f t="shared" si="5"/>
        <v>-83095.711374395789</v>
      </c>
      <c r="K23" s="786">
        <f t="shared" si="6"/>
        <v>8534.3933720700988</v>
      </c>
      <c r="L23" s="784">
        <f t="shared" si="7"/>
        <v>-74561.318002325686</v>
      </c>
      <c r="M23" s="784">
        <f t="shared" si="8"/>
        <v>2483.3469456730418</v>
      </c>
      <c r="N23" s="784">
        <f t="shared" si="9"/>
        <v>34137.495750128968</v>
      </c>
      <c r="O23" s="784">
        <f t="shared" si="10"/>
        <v>1783251.7996454821</v>
      </c>
      <c r="P23" s="787"/>
      <c r="Q23" s="788">
        <f t="shared" si="11"/>
        <v>1735.2347358003062</v>
      </c>
      <c r="R23" s="787"/>
      <c r="S23" s="788">
        <f t="shared" si="12"/>
        <v>-1621.8091364062057</v>
      </c>
      <c r="T23" s="791"/>
      <c r="U23" s="788">
        <f t="shared" si="13"/>
        <v>0</v>
      </c>
      <c r="V23" s="791"/>
      <c r="W23" s="788">
        <f t="shared" si="14"/>
        <v>143016.37432390204</v>
      </c>
      <c r="X23" s="791"/>
      <c r="Y23" s="788">
        <f t="shared" ca="1" si="15"/>
        <v>-2497.6332852815908</v>
      </c>
      <c r="Z23" s="789"/>
      <c r="AA23" s="788">
        <f t="shared" ca="1" si="16"/>
        <v>140518.74103862044</v>
      </c>
      <c r="AB23" s="328"/>
      <c r="AC23" s="292"/>
      <c r="AD23" s="328"/>
      <c r="AE23" s="292"/>
      <c r="AF23" s="292"/>
      <c r="AG23" s="289"/>
      <c r="AH23" s="329"/>
      <c r="AI23" s="329"/>
      <c r="AJ23" s="329"/>
      <c r="AK23" s="329"/>
      <c r="AL23" s="329"/>
      <c r="AM23" s="329"/>
      <c r="AN23" s="330"/>
      <c r="AO23" s="330"/>
      <c r="AP23" s="330"/>
      <c r="AQ23" s="330"/>
      <c r="AR23" s="306"/>
      <c r="AS23" s="301"/>
      <c r="AT23" s="301"/>
    </row>
    <row r="24" spans="1:46" x14ac:dyDescent="0.2">
      <c r="B24" s="331">
        <f t="shared" si="17"/>
        <v>2027</v>
      </c>
      <c r="C24" s="784">
        <f t="shared" si="0"/>
        <v>276228.42658277228</v>
      </c>
      <c r="D24" s="784">
        <f t="shared" si="1"/>
        <v>-32043.527968003862</v>
      </c>
      <c r="E24" s="784">
        <f t="shared" si="2"/>
        <v>-1477.6866800817588</v>
      </c>
      <c r="F24" s="784">
        <f t="shared" si="3"/>
        <v>-7834.4943124637866</v>
      </c>
      <c r="G24" s="783">
        <f t="shared" si="4"/>
        <v>234872.71762222287</v>
      </c>
      <c r="I24" s="325"/>
      <c r="J24" s="790">
        <f t="shared" si="5"/>
        <v>-83800.141507278648</v>
      </c>
      <c r="K24" s="786">
        <f t="shared" si="6"/>
        <v>7834.4943124637866</v>
      </c>
      <c r="L24" s="784">
        <f t="shared" si="7"/>
        <v>-75965.647194814868</v>
      </c>
      <c r="M24" s="784">
        <f t="shared" si="8"/>
        <v>2701.6488251499013</v>
      </c>
      <c r="N24" s="784">
        <f t="shared" si="9"/>
        <v>33212.315713235752</v>
      </c>
      <c r="O24" s="784">
        <f t="shared" si="10"/>
        <v>1791086.2939579464</v>
      </c>
      <c r="P24" s="787"/>
      <c r="Q24" s="788">
        <f t="shared" si="11"/>
        <v>1227.4759061671175</v>
      </c>
      <c r="R24" s="787"/>
      <c r="S24" s="788">
        <f t="shared" si="12"/>
        <v>-1803.391462022475</v>
      </c>
      <c r="T24" s="791"/>
      <c r="U24" s="788">
        <f t="shared" si="13"/>
        <v>0</v>
      </c>
      <c r="V24" s="791"/>
      <c r="W24" s="788">
        <f t="shared" si="14"/>
        <v>161032.80369670255</v>
      </c>
      <c r="X24" s="791"/>
      <c r="Y24" s="788">
        <f t="shared" ca="1" si="15"/>
        <v>-3045.1476984471396</v>
      </c>
      <c r="Z24" s="789"/>
      <c r="AA24" s="788">
        <f t="shared" ca="1" si="16"/>
        <v>157987.65599825542</v>
      </c>
      <c r="AB24" s="328"/>
      <c r="AC24" s="292"/>
      <c r="AD24" s="328"/>
      <c r="AE24" s="292"/>
      <c r="AF24" s="292"/>
      <c r="AG24" s="289"/>
      <c r="AH24" s="329"/>
      <c r="AI24" s="329"/>
      <c r="AJ24" s="329"/>
      <c r="AK24" s="329"/>
      <c r="AL24" s="329"/>
      <c r="AM24" s="329"/>
      <c r="AN24" s="330"/>
      <c r="AO24" s="330"/>
      <c r="AP24" s="330"/>
      <c r="AQ24" s="330"/>
      <c r="AR24" s="306"/>
      <c r="AS24" s="301"/>
      <c r="AT24" s="301"/>
    </row>
    <row r="25" spans="1:46" x14ac:dyDescent="0.2">
      <c r="B25" s="331">
        <f t="shared" si="17"/>
        <v>2028</v>
      </c>
      <c r="C25" s="784">
        <f t="shared" si="0"/>
        <v>298758.97588646598</v>
      </c>
      <c r="D25" s="784">
        <f t="shared" si="1"/>
        <v>-33651.154504607315</v>
      </c>
      <c r="E25" s="784">
        <f t="shared" si="2"/>
        <v>-1597.9256776029658</v>
      </c>
      <c r="F25" s="784">
        <f t="shared" si="3"/>
        <v>-7191.9934383267437</v>
      </c>
      <c r="G25" s="783">
        <f t="shared" si="4"/>
        <v>256317.90226592892</v>
      </c>
      <c r="I25" s="325"/>
      <c r="J25" s="790">
        <f t="shared" si="5"/>
        <v>-84613.291333387679</v>
      </c>
      <c r="K25" s="786">
        <f t="shared" si="6"/>
        <v>7191.9934383267464</v>
      </c>
      <c r="L25" s="784">
        <f t="shared" si="7"/>
        <v>-77421.297895060939</v>
      </c>
      <c r="M25" s="784">
        <f t="shared" si="8"/>
        <v>2954.0066602775159</v>
      </c>
      <c r="N25" s="784">
        <f t="shared" si="9"/>
        <v>32207.400373325174</v>
      </c>
      <c r="O25" s="784">
        <f t="shared" si="10"/>
        <v>1798278.2873962729</v>
      </c>
      <c r="P25" s="787"/>
      <c r="Q25" s="788">
        <f t="shared" si="11"/>
        <v>144.02437779743559</v>
      </c>
      <c r="R25" s="787"/>
      <c r="S25" s="788">
        <f t="shared" si="12"/>
        <v>-1805.9984307099658</v>
      </c>
      <c r="T25" s="791"/>
      <c r="U25" s="788">
        <f t="shared" si="13"/>
        <v>0</v>
      </c>
      <c r="V25" s="791"/>
      <c r="W25" s="788">
        <f t="shared" si="14"/>
        <v>180188.63697823297</v>
      </c>
      <c r="X25" s="791"/>
      <c r="Y25" s="788">
        <f t="shared" ca="1" si="15"/>
        <v>-3641.3909924200379</v>
      </c>
      <c r="Z25" s="789"/>
      <c r="AA25" s="788">
        <f t="shared" ca="1" si="16"/>
        <v>176547.24598581294</v>
      </c>
      <c r="AB25" s="328"/>
      <c r="AC25" s="292"/>
      <c r="AD25" s="328"/>
      <c r="AE25" s="292"/>
      <c r="AF25" s="292"/>
      <c r="AG25" s="289"/>
      <c r="AH25" s="329"/>
      <c r="AI25" s="329"/>
      <c r="AJ25" s="329"/>
      <c r="AK25" s="329"/>
      <c r="AL25" s="329"/>
      <c r="AM25" s="329"/>
      <c r="AN25" s="330"/>
      <c r="AO25" s="330"/>
      <c r="AP25" s="330"/>
      <c r="AQ25" s="330"/>
      <c r="AR25" s="306"/>
      <c r="AS25" s="301"/>
      <c r="AT25" s="301"/>
    </row>
    <row r="26" spans="1:46" x14ac:dyDescent="0.2">
      <c r="B26" s="331">
        <f t="shared" si="17"/>
        <v>2029</v>
      </c>
      <c r="C26" s="784">
        <f t="shared" si="0"/>
        <v>323124.27256532089</v>
      </c>
      <c r="D26" s="784">
        <f t="shared" si="1"/>
        <v>-35339.435801940366</v>
      </c>
      <c r="E26" s="784">
        <f t="shared" si="2"/>
        <v>-1727.2994169124825</v>
      </c>
      <c r="F26" s="784">
        <f t="shared" si="3"/>
        <v>-6602.1835684591333</v>
      </c>
      <c r="G26" s="783">
        <f t="shared" si="4"/>
        <v>279455.3537780089</v>
      </c>
      <c r="I26" s="325"/>
      <c r="J26" s="790">
        <f t="shared" si="5"/>
        <v>-85238.4395154214</v>
      </c>
      <c r="K26" s="786">
        <f t="shared" si="6"/>
        <v>6602.1835684591351</v>
      </c>
      <c r="L26" s="784">
        <f t="shared" si="7"/>
        <v>-78636.255946962265</v>
      </c>
      <c r="M26" s="784">
        <f t="shared" si="8"/>
        <v>3105.9081402819047</v>
      </c>
      <c r="N26" s="784">
        <f t="shared" si="9"/>
        <v>31004.852032772986</v>
      </c>
      <c r="O26" s="784">
        <f t="shared" si="10"/>
        <v>1804880.4709647321</v>
      </c>
      <c r="P26" s="787"/>
      <c r="Q26" s="788">
        <f t="shared" si="11"/>
        <v>-1687.6121661333927</v>
      </c>
      <c r="R26" s="787"/>
      <c r="S26" s="788">
        <f t="shared" si="12"/>
        <v>-2105.1144933757896</v>
      </c>
      <c r="T26" s="791"/>
      <c r="U26" s="788">
        <f t="shared" si="13"/>
        <v>0</v>
      </c>
      <c r="V26" s="791"/>
      <c r="W26" s="788">
        <f t="shared" si="14"/>
        <v>200132.27931181935</v>
      </c>
      <c r="X26" s="791"/>
      <c r="Y26" s="788">
        <f t="shared" ca="1" si="15"/>
        <v>-4290.19534956196</v>
      </c>
      <c r="Z26" s="789"/>
      <c r="AA26" s="788">
        <f t="shared" ca="1" si="16"/>
        <v>195842.0839622574</v>
      </c>
      <c r="AB26" s="328"/>
      <c r="AC26" s="292"/>
      <c r="AD26" s="328"/>
      <c r="AE26" s="292"/>
      <c r="AF26" s="292"/>
      <c r="AG26" s="289"/>
      <c r="AH26" s="329"/>
      <c r="AI26" s="329"/>
      <c r="AJ26" s="329"/>
      <c r="AK26" s="329"/>
      <c r="AL26" s="329"/>
      <c r="AM26" s="329"/>
      <c r="AN26" s="330"/>
      <c r="AO26" s="330"/>
      <c r="AP26" s="330"/>
      <c r="AQ26" s="330"/>
      <c r="AR26" s="306"/>
      <c r="AS26" s="301"/>
      <c r="AT26" s="301"/>
    </row>
    <row r="27" spans="1:46" x14ac:dyDescent="0.2">
      <c r="B27" s="331">
        <f t="shared" si="17"/>
        <v>2030</v>
      </c>
      <c r="C27" s="784">
        <f t="shared" si="0"/>
        <v>349473.58787748212</v>
      </c>
      <c r="D27" s="784">
        <f t="shared" si="1"/>
        <v>-37112.418316241608</v>
      </c>
      <c r="E27" s="784">
        <f t="shared" si="2"/>
        <v>-1867.6403246759485</v>
      </c>
      <c r="F27" s="784">
        <f t="shared" si="3"/>
        <v>-6060.7435539836861</v>
      </c>
      <c r="G27" s="783">
        <f t="shared" si="4"/>
        <v>304432.7856825809</v>
      </c>
      <c r="I27" s="325"/>
      <c r="J27" s="790">
        <f t="shared" si="5"/>
        <v>-97157.372832587396</v>
      </c>
      <c r="K27" s="786">
        <f t="shared" si="6"/>
        <v>6060.7435539836879</v>
      </c>
      <c r="L27" s="784">
        <f t="shared" si="7"/>
        <v>-91096.629278603708</v>
      </c>
      <c r="M27" s="784">
        <f t="shared" si="8"/>
        <v>3356.848176385216</v>
      </c>
      <c r="N27" s="784">
        <f t="shared" si="9"/>
        <v>29650.941742673072</v>
      </c>
      <c r="O27" s="784">
        <f t="shared" si="10"/>
        <v>1810941.2145187156</v>
      </c>
      <c r="P27" s="787"/>
      <c r="Q27" s="788">
        <f t="shared" si="11"/>
        <v>-4503.9712512130063</v>
      </c>
      <c r="R27" s="787"/>
      <c r="S27" s="788">
        <f t="shared" si="12"/>
        <v>-2345.9547922531128</v>
      </c>
      <c r="T27" s="791"/>
      <c r="U27" s="788">
        <f t="shared" si="13"/>
        <v>0</v>
      </c>
      <c r="V27" s="791"/>
      <c r="W27" s="788">
        <f t="shared" si="14"/>
        <v>209843.07853689627</v>
      </c>
      <c r="X27" s="791"/>
      <c r="Y27" s="788">
        <f t="shared" ca="1" si="15"/>
        <v>-4995.6732313366201</v>
      </c>
      <c r="Z27" s="789"/>
      <c r="AA27" s="788">
        <f t="shared" ca="1" si="16"/>
        <v>204847.40530555966</v>
      </c>
      <c r="AB27" s="328"/>
      <c r="AC27" s="292"/>
      <c r="AD27" s="328"/>
      <c r="AE27" s="292"/>
      <c r="AF27" s="292"/>
      <c r="AG27" s="289"/>
      <c r="AH27" s="329"/>
      <c r="AI27" s="329"/>
      <c r="AJ27" s="329"/>
      <c r="AK27" s="329"/>
      <c r="AL27" s="329"/>
      <c r="AM27" s="329"/>
      <c r="AN27" s="330"/>
      <c r="AO27" s="330"/>
      <c r="AP27" s="330"/>
      <c r="AQ27" s="330"/>
      <c r="AR27" s="306"/>
      <c r="AS27" s="301"/>
      <c r="AT27" s="301"/>
    </row>
    <row r="28" spans="1:46" x14ac:dyDescent="0.2">
      <c r="B28" s="331">
        <f t="shared" si="17"/>
        <v>2031</v>
      </c>
      <c r="C28" s="784">
        <f t="shared" si="0"/>
        <v>377968.33092216315</v>
      </c>
      <c r="D28" s="784">
        <f t="shared" si="1"/>
        <v>-38974.351514804897</v>
      </c>
      <c r="E28" s="784">
        <f t="shared" si="2"/>
        <v>-2019.9423845308647</v>
      </c>
      <c r="F28" s="784">
        <f t="shared" si="3"/>
        <v>-5563.7066201307889</v>
      </c>
      <c r="G28" s="783">
        <f t="shared" si="4"/>
        <v>331410.33040269662</v>
      </c>
      <c r="I28" s="325"/>
      <c r="J28" s="790">
        <f t="shared" si="5"/>
        <v>-87302.320641335493</v>
      </c>
      <c r="K28" s="786">
        <f t="shared" si="6"/>
        <v>5563.7066201307898</v>
      </c>
      <c r="L28" s="784">
        <f t="shared" si="7"/>
        <v>-81738.614021204703</v>
      </c>
      <c r="M28" s="784">
        <f t="shared" si="8"/>
        <v>3734.4677636830684</v>
      </c>
      <c r="N28" s="784">
        <f t="shared" si="9"/>
        <v>28062.176706786842</v>
      </c>
      <c r="O28" s="784">
        <f t="shared" si="10"/>
        <v>1816504.9211388463</v>
      </c>
      <c r="P28" s="787"/>
      <c r="Q28" s="788">
        <f t="shared" si="11"/>
        <v>-8628.2109688004566</v>
      </c>
      <c r="R28" s="787"/>
      <c r="S28" s="788">
        <f t="shared" si="12"/>
        <v>-2521.5989788574298</v>
      </c>
      <c r="T28" s="791"/>
      <c r="U28" s="788">
        <f t="shared" si="13"/>
        <v>0</v>
      </c>
      <c r="V28" s="791"/>
      <c r="W28" s="788">
        <f t="shared" si="14"/>
        <v>242256.37419751711</v>
      </c>
      <c r="X28" s="791"/>
      <c r="Y28" s="788">
        <f t="shared" ca="1" si="15"/>
        <v>-5762.32110288694</v>
      </c>
      <c r="Z28" s="789"/>
      <c r="AA28" s="788">
        <f t="shared" ca="1" si="16"/>
        <v>236494.05309463019</v>
      </c>
      <c r="AB28" s="328"/>
      <c r="AC28" s="292"/>
      <c r="AD28" s="328"/>
      <c r="AE28" s="292"/>
      <c r="AF28" s="292"/>
      <c r="AG28" s="289"/>
      <c r="AH28" s="329"/>
      <c r="AI28" s="329"/>
      <c r="AJ28" s="329"/>
      <c r="AK28" s="329"/>
      <c r="AL28" s="329"/>
      <c r="AM28" s="329"/>
      <c r="AN28" s="330"/>
      <c r="AO28" s="330"/>
      <c r="AP28" s="330"/>
      <c r="AQ28" s="330"/>
      <c r="AR28" s="306"/>
      <c r="AS28" s="301"/>
      <c r="AT28" s="301"/>
    </row>
    <row r="29" spans="1:46" x14ac:dyDescent="0.2">
      <c r="B29" s="331">
        <f t="shared" si="17"/>
        <v>2032</v>
      </c>
      <c r="C29" s="784">
        <f t="shared" si="0"/>
        <v>404274.70615933061</v>
      </c>
      <c r="D29" s="784">
        <f t="shared" si="1"/>
        <v>-40740.934330237193</v>
      </c>
      <c r="E29" s="784">
        <f t="shared" si="2"/>
        <v>-2165.5608753220044</v>
      </c>
      <c r="F29" s="784">
        <f t="shared" si="3"/>
        <v>-7543.7883632894109</v>
      </c>
      <c r="G29" s="783">
        <f t="shared" si="4"/>
        <v>353824.42259048193</v>
      </c>
      <c r="I29" s="325"/>
      <c r="J29" s="790">
        <f t="shared" si="5"/>
        <v>-88205.626801574035</v>
      </c>
      <c r="K29" s="786">
        <f t="shared" si="6"/>
        <v>7543.7883632894082</v>
      </c>
      <c r="L29" s="784">
        <f t="shared" si="7"/>
        <v>-80661.838438284627</v>
      </c>
      <c r="M29" s="784">
        <f t="shared" si="8"/>
        <v>4031.6091928702144</v>
      </c>
      <c r="N29" s="784">
        <f t="shared" si="9"/>
        <v>26436.007990946462</v>
      </c>
      <c r="O29" s="784">
        <f t="shared" si="10"/>
        <v>1824048.7095021359</v>
      </c>
      <c r="P29" s="787"/>
      <c r="Q29" s="788">
        <f t="shared" si="11"/>
        <v>-9101.8580557016976</v>
      </c>
      <c r="R29" s="787"/>
      <c r="S29" s="788">
        <f t="shared" si="12"/>
        <v>-2537.3170424353593</v>
      </c>
      <c r="T29" s="791"/>
      <c r="U29" s="788">
        <f t="shared" si="13"/>
        <v>0</v>
      </c>
      <c r="V29" s="791"/>
      <c r="W29" s="788">
        <f t="shared" si="14"/>
        <v>265555.01824693044</v>
      </c>
      <c r="X29" s="791"/>
      <c r="Y29" s="788">
        <f t="shared" ca="1" si="15"/>
        <v>-21907.555049245388</v>
      </c>
      <c r="Z29" s="789"/>
      <c r="AA29" s="788">
        <f t="shared" ca="1" si="16"/>
        <v>243647.46319768505</v>
      </c>
      <c r="AC29" s="292"/>
      <c r="AD29" s="328"/>
      <c r="AE29" s="292"/>
      <c r="AF29" s="292"/>
      <c r="AG29" s="289"/>
      <c r="AH29" s="329"/>
      <c r="AI29" s="329"/>
      <c r="AJ29" s="329"/>
      <c r="AK29" s="329"/>
      <c r="AL29" s="329"/>
      <c r="AM29" s="329"/>
      <c r="AN29" s="330"/>
      <c r="AO29" s="330"/>
      <c r="AP29" s="330"/>
      <c r="AQ29" s="330"/>
      <c r="AR29" s="306"/>
      <c r="AS29" s="301"/>
      <c r="AT29" s="301"/>
    </row>
    <row r="30" spans="1:46" x14ac:dyDescent="0.2">
      <c r="B30" s="331">
        <f t="shared" si="17"/>
        <v>2033</v>
      </c>
      <c r="C30" s="784">
        <f t="shared" si="0"/>
        <v>432135.8195189283</v>
      </c>
      <c r="D30" s="784">
        <f t="shared" si="1"/>
        <v>-42587.590699750173</v>
      </c>
      <c r="E30" s="784">
        <f t="shared" si="2"/>
        <v>-2321.9700940118796</v>
      </c>
      <c r="F30" s="784">
        <f t="shared" si="3"/>
        <v>-10228.566449602433</v>
      </c>
      <c r="G30" s="783">
        <f t="shared" si="4"/>
        <v>376997.69227556384</v>
      </c>
      <c r="I30" s="325"/>
      <c r="J30" s="790">
        <f t="shared" si="5"/>
        <v>-88979.298211534071</v>
      </c>
      <c r="K30" s="786">
        <f t="shared" si="6"/>
        <v>10228.566449602433</v>
      </c>
      <c r="L30" s="784">
        <f t="shared" si="7"/>
        <v>-78750.731761931645</v>
      </c>
      <c r="M30" s="784">
        <f t="shared" si="8"/>
        <v>4407.9977848620492</v>
      </c>
      <c r="N30" s="784">
        <f t="shared" si="9"/>
        <v>24671.199298894149</v>
      </c>
      <c r="O30" s="784">
        <f t="shared" si="10"/>
        <v>1834277.2759517382</v>
      </c>
      <c r="P30" s="787"/>
      <c r="Q30" s="788">
        <f t="shared" si="11"/>
        <v>-7120.5756760086297</v>
      </c>
      <c r="R30" s="787"/>
      <c r="S30" s="788">
        <f t="shared" si="12"/>
        <v>-2918.0170983109347</v>
      </c>
      <c r="T30" s="791"/>
      <c r="U30" s="788">
        <f t="shared" si="13"/>
        <v>0</v>
      </c>
      <c r="V30" s="791"/>
      <c r="W30" s="788">
        <f t="shared" si="14"/>
        <v>292616.36552417465</v>
      </c>
      <c r="X30" s="791"/>
      <c r="Y30" s="788">
        <f t="shared" ca="1" si="15"/>
        <v>-56072.340952049773</v>
      </c>
      <c r="Z30" s="789"/>
      <c r="AA30" s="788">
        <f t="shared" ca="1" si="16"/>
        <v>236544.02457212488</v>
      </c>
      <c r="AC30" s="292"/>
      <c r="AD30" s="328"/>
      <c r="AE30" s="292"/>
      <c r="AF30" s="292"/>
      <c r="AG30" s="289"/>
      <c r="AH30" s="329"/>
      <c r="AI30" s="329"/>
      <c r="AJ30" s="329"/>
      <c r="AK30" s="329"/>
      <c r="AL30" s="329"/>
      <c r="AM30" s="329"/>
      <c r="AN30" s="330"/>
      <c r="AO30" s="330"/>
      <c r="AP30" s="330"/>
      <c r="AQ30" s="330"/>
      <c r="AR30" s="306"/>
      <c r="AS30" s="301"/>
      <c r="AT30" s="301"/>
    </row>
    <row r="31" spans="1:46" x14ac:dyDescent="0.2">
      <c r="B31" s="331">
        <f t="shared" si="17"/>
        <v>2034</v>
      </c>
      <c r="C31" s="784">
        <f t="shared" si="0"/>
        <v>461537.30685369787</v>
      </c>
      <c r="D31" s="784">
        <f t="shared" si="1"/>
        <v>-44517.950101683113</v>
      </c>
      <c r="E31" s="784">
        <f t="shared" si="2"/>
        <v>-2489.7667838205948</v>
      </c>
      <c r="F31" s="784">
        <f t="shared" si="3"/>
        <v>-13868.837058455365</v>
      </c>
      <c r="G31" s="783">
        <f t="shared" si="4"/>
        <v>400660.7529097388</v>
      </c>
      <c r="I31" s="325"/>
      <c r="J31" s="790">
        <f t="shared" si="5"/>
        <v>-90050.930703775273</v>
      </c>
      <c r="K31" s="786">
        <f t="shared" si="6"/>
        <v>13868.837058455363</v>
      </c>
      <c r="L31" s="784">
        <f t="shared" si="7"/>
        <v>-76182.09364531991</v>
      </c>
      <c r="M31" s="784">
        <f t="shared" si="8"/>
        <v>4834.9837245341078</v>
      </c>
      <c r="N31" s="784">
        <f t="shared" si="9"/>
        <v>22833.15370152417</v>
      </c>
      <c r="O31" s="784">
        <f t="shared" si="10"/>
        <v>1848146.1130101937</v>
      </c>
      <c r="P31" s="787"/>
      <c r="Q31" s="788">
        <f t="shared" si="11"/>
        <v>-2658.4747542637706</v>
      </c>
      <c r="R31" s="787"/>
      <c r="S31" s="788">
        <f t="shared" si="12"/>
        <v>-3396.2547222850553</v>
      </c>
      <c r="T31" s="791"/>
      <c r="U31" s="788">
        <f t="shared" si="13"/>
        <v>0</v>
      </c>
      <c r="V31" s="791"/>
      <c r="W31" s="788">
        <f t="shared" si="14"/>
        <v>323258.91351240413</v>
      </c>
      <c r="X31" s="791"/>
      <c r="Y31" s="788">
        <f t="shared" ca="1" si="15"/>
        <v>-60056.505532768781</v>
      </c>
      <c r="Z31" s="789"/>
      <c r="AA31" s="788">
        <f t="shared" ca="1" si="16"/>
        <v>263202.40797963535</v>
      </c>
      <c r="AC31" s="292"/>
      <c r="AD31" s="328"/>
      <c r="AE31" s="292"/>
      <c r="AF31" s="292"/>
      <c r="AG31" s="289"/>
      <c r="AH31" s="329"/>
      <c r="AI31" s="329"/>
      <c r="AJ31" s="329"/>
      <c r="AK31" s="329"/>
      <c r="AL31" s="329"/>
      <c r="AM31" s="329"/>
      <c r="AN31" s="330"/>
      <c r="AO31" s="330"/>
      <c r="AP31" s="330"/>
      <c r="AQ31" s="330"/>
      <c r="AR31" s="306"/>
      <c r="AS31" s="301"/>
      <c r="AT31" s="301"/>
    </row>
    <row r="32" spans="1:46" x14ac:dyDescent="0.2">
      <c r="B32" s="331">
        <f t="shared" si="17"/>
        <v>2035</v>
      </c>
      <c r="C32" s="784">
        <f t="shared" si="0"/>
        <v>492416.79754232417</v>
      </c>
      <c r="D32" s="784">
        <f t="shared" si="1"/>
        <v>-46535.806527030727</v>
      </c>
      <c r="E32" s="784">
        <f t="shared" si="2"/>
        <v>-2669.0732419341457</v>
      </c>
      <c r="F32" s="784">
        <f t="shared" si="3"/>
        <v>-18804.652861346072</v>
      </c>
      <c r="G32" s="783">
        <f t="shared" si="4"/>
        <v>424407.26491201326</v>
      </c>
      <c r="I32" s="325"/>
      <c r="J32" s="790">
        <f t="shared" si="5"/>
        <v>-91543.016003803205</v>
      </c>
      <c r="K32" s="786">
        <f t="shared" si="6"/>
        <v>18804.652861346069</v>
      </c>
      <c r="L32" s="784">
        <f t="shared" si="7"/>
        <v>-72738.363142457136</v>
      </c>
      <c r="M32" s="784">
        <f t="shared" si="8"/>
        <v>5183.2973913445458</v>
      </c>
      <c r="N32" s="784">
        <f t="shared" si="9"/>
        <v>20830.619583049644</v>
      </c>
      <c r="O32" s="784">
        <f t="shared" si="10"/>
        <v>1866950.7658715397</v>
      </c>
      <c r="P32" s="787"/>
      <c r="Q32" s="788">
        <f t="shared" si="11"/>
        <v>4593.5208819406616</v>
      </c>
      <c r="R32" s="787"/>
      <c r="S32" s="788">
        <f t="shared" si="12"/>
        <v>-4362.9094294107927</v>
      </c>
      <c r="T32" s="791"/>
      <c r="U32" s="788">
        <f t="shared" si="13"/>
        <v>0</v>
      </c>
      <c r="V32" s="791"/>
      <c r="W32" s="788">
        <f t="shared" si="14"/>
        <v>357082.81061343051</v>
      </c>
      <c r="X32" s="791"/>
      <c r="Y32" s="788">
        <f t="shared" ca="1" si="15"/>
        <v>-64185.140125869671</v>
      </c>
      <c r="Z32" s="789"/>
      <c r="AA32" s="788">
        <f t="shared" ca="1" si="16"/>
        <v>292897.67048756086</v>
      </c>
      <c r="AC32" s="292"/>
      <c r="AD32" s="328"/>
      <c r="AE32" s="292"/>
      <c r="AF32" s="292"/>
      <c r="AG32" s="289"/>
      <c r="AH32" s="329"/>
      <c r="AI32" s="329"/>
      <c r="AJ32" s="329"/>
      <c r="AK32" s="329"/>
      <c r="AL32" s="329"/>
      <c r="AM32" s="329"/>
      <c r="AN32" s="330"/>
      <c r="AO32" s="330"/>
      <c r="AP32" s="330"/>
      <c r="AQ32" s="330"/>
      <c r="AR32" s="306"/>
      <c r="AS32" s="301"/>
      <c r="AT32" s="301"/>
    </row>
    <row r="33" spans="2:48" x14ac:dyDescent="0.2">
      <c r="B33" s="331">
        <f t="shared" si="17"/>
        <v>2036</v>
      </c>
      <c r="C33" s="784">
        <f t="shared" si="0"/>
        <v>524642.9923395334</v>
      </c>
      <c r="D33" s="784">
        <f t="shared" si="1"/>
        <v>-48645.125936276221</v>
      </c>
      <c r="E33" s="784">
        <f t="shared" si="2"/>
        <v>-2860.4583224723983</v>
      </c>
      <c r="F33" s="784">
        <f t="shared" si="3"/>
        <v>-25497.088742573676</v>
      </c>
      <c r="G33" s="783">
        <f t="shared" si="4"/>
        <v>447640.31933821109</v>
      </c>
      <c r="I33" s="325"/>
      <c r="J33" s="790">
        <f t="shared" si="5"/>
        <v>-93593.624021086333</v>
      </c>
      <c r="K33" s="786">
        <f t="shared" si="6"/>
        <v>25497.088742573673</v>
      </c>
      <c r="L33" s="784">
        <f t="shared" si="7"/>
        <v>-68096.53527851266</v>
      </c>
      <c r="M33" s="784">
        <f t="shared" si="8"/>
        <v>5397.7403829528903</v>
      </c>
      <c r="N33" s="784">
        <f t="shared" si="9"/>
        <v>18438.406434377139</v>
      </c>
      <c r="O33" s="784">
        <f t="shared" si="10"/>
        <v>1892447.8546141132</v>
      </c>
      <c r="P33" s="787"/>
      <c r="Q33" s="788">
        <f t="shared" si="11"/>
        <v>15239.922202331221</v>
      </c>
      <c r="R33" s="787"/>
      <c r="S33" s="788">
        <f t="shared" si="12"/>
        <v>-4761.2757917118724</v>
      </c>
      <c r="T33" s="791"/>
      <c r="U33" s="788">
        <f t="shared" si="13"/>
        <v>0</v>
      </c>
      <c r="V33" s="791"/>
      <c r="W33" s="788">
        <f t="shared" si="14"/>
        <v>395420.17085327074</v>
      </c>
      <c r="X33" s="791"/>
      <c r="Y33" s="788">
        <f t="shared" ca="1" si="15"/>
        <v>-68434.360881708388</v>
      </c>
      <c r="Z33" s="789"/>
      <c r="AA33" s="788">
        <f t="shared" ca="1" si="16"/>
        <v>326985.80997156235</v>
      </c>
      <c r="AC33" s="292"/>
      <c r="AD33" s="328"/>
      <c r="AE33" s="292"/>
      <c r="AF33" s="292"/>
      <c r="AG33" s="289"/>
      <c r="AH33" s="329"/>
      <c r="AI33" s="329"/>
      <c r="AJ33" s="329"/>
      <c r="AK33" s="329"/>
      <c r="AL33" s="329"/>
      <c r="AM33" s="329"/>
      <c r="AN33" s="330"/>
      <c r="AO33" s="330"/>
      <c r="AP33" s="330"/>
      <c r="AQ33" s="330"/>
      <c r="AR33" s="306"/>
      <c r="AS33" s="301"/>
      <c r="AT33" s="301"/>
    </row>
    <row r="34" spans="2:48" x14ac:dyDescent="0.2">
      <c r="B34" s="331">
        <f t="shared" si="17"/>
        <v>2037</v>
      </c>
      <c r="C34" s="784">
        <f t="shared" si="0"/>
        <v>562789.32042620645</v>
      </c>
      <c r="D34" s="784">
        <f t="shared" si="1"/>
        <v>-51064.989406204753</v>
      </c>
      <c r="E34" s="784">
        <f t="shared" si="2"/>
        <v>-3065.0901951231494</v>
      </c>
      <c r="F34" s="784">
        <f t="shared" si="3"/>
        <v>-17257.519856207484</v>
      </c>
      <c r="G34" s="783">
        <f t="shared" si="4"/>
        <v>491401.72096867103</v>
      </c>
      <c r="I34" s="325"/>
      <c r="J34" s="790">
        <f t="shared" si="5"/>
        <v>-95402.753009835666</v>
      </c>
      <c r="K34" s="786">
        <f t="shared" si="6"/>
        <v>17257.51985620748</v>
      </c>
      <c r="L34" s="784">
        <f t="shared" si="7"/>
        <v>-78145.233153628185</v>
      </c>
      <c r="M34" s="784">
        <f t="shared" si="8"/>
        <v>5152.2009753896455</v>
      </c>
      <c r="N34" s="784">
        <f t="shared" si="9"/>
        <v>15547.325030521206</v>
      </c>
      <c r="O34" s="784">
        <f t="shared" si="10"/>
        <v>1909705.3744703208</v>
      </c>
      <c r="P34" s="787"/>
      <c r="Q34" s="788">
        <f t="shared" si="11"/>
        <v>9928.0096812515367</v>
      </c>
      <c r="R34" s="787"/>
      <c r="S34" s="788">
        <f t="shared" si="12"/>
        <v>-4660.2743023161602</v>
      </c>
      <c r="T34" s="791"/>
      <c r="U34" s="788">
        <f t="shared" si="13"/>
        <v>0</v>
      </c>
      <c r="V34" s="791"/>
      <c r="W34" s="788">
        <f t="shared" si="14"/>
        <v>423676.42416936788</v>
      </c>
      <c r="X34" s="791"/>
      <c r="Y34" s="788">
        <f t="shared" ca="1" si="15"/>
        <v>-73430.810545692395</v>
      </c>
      <c r="Z34" s="789"/>
      <c r="AA34" s="788">
        <f t="shared" ca="1" si="16"/>
        <v>350245.61362367548</v>
      </c>
      <c r="AC34" s="292"/>
      <c r="AD34" s="328"/>
      <c r="AE34" s="292"/>
      <c r="AF34" s="292"/>
      <c r="AG34" s="289"/>
      <c r="AH34" s="329"/>
      <c r="AI34" s="329"/>
      <c r="AJ34" s="329"/>
      <c r="AK34" s="329"/>
      <c r="AL34" s="329"/>
      <c r="AM34" s="329"/>
      <c r="AN34" s="330"/>
      <c r="AO34" s="330"/>
      <c r="AP34" s="330"/>
      <c r="AQ34" s="330"/>
      <c r="AR34" s="306"/>
      <c r="AS34" s="301"/>
      <c r="AT34" s="301"/>
    </row>
    <row r="35" spans="2:48" x14ac:dyDescent="0.2">
      <c r="B35" s="331">
        <f t="shared" si="17"/>
        <v>2038</v>
      </c>
      <c r="C35" s="784">
        <f t="shared" si="0"/>
        <v>603709.23429929616</v>
      </c>
      <c r="D35" s="784">
        <f t="shared" si="1"/>
        <v>-53605.229565480651</v>
      </c>
      <c r="E35" s="784">
        <f t="shared" si="2"/>
        <v>-3285.9896090785355</v>
      </c>
      <c r="F35" s="784">
        <f t="shared" si="3"/>
        <v>-11680.62732942951</v>
      </c>
      <c r="G35" s="783">
        <f t="shared" si="4"/>
        <v>535137.38779530756</v>
      </c>
      <c r="I35" s="325"/>
      <c r="J35" s="790">
        <f t="shared" si="5"/>
        <v>-97040.401064495876</v>
      </c>
      <c r="K35" s="786">
        <f t="shared" si="6"/>
        <v>11680.62732942951</v>
      </c>
      <c r="L35" s="784">
        <f t="shared" si="7"/>
        <v>-85359.773735066366</v>
      </c>
      <c r="M35" s="784">
        <f t="shared" si="8"/>
        <v>5153.3683819462549</v>
      </c>
      <c r="N35" s="784">
        <f t="shared" si="9"/>
        <v>12550.824875707913</v>
      </c>
      <c r="O35" s="784">
        <f t="shared" si="10"/>
        <v>1921386.0017997501</v>
      </c>
      <c r="P35" s="787"/>
      <c r="Q35" s="788">
        <f t="shared" si="11"/>
        <v>5666.0127925034576</v>
      </c>
      <c r="R35" s="787"/>
      <c r="S35" s="788">
        <f t="shared" si="12"/>
        <v>-5104.1137839636067</v>
      </c>
      <c r="T35" s="791"/>
      <c r="U35" s="788">
        <f t="shared" si="13"/>
        <v>0</v>
      </c>
      <c r="V35" s="791"/>
      <c r="W35" s="788">
        <f t="shared" si="14"/>
        <v>455492.88145072729</v>
      </c>
      <c r="X35" s="791"/>
      <c r="Y35" s="788">
        <f t="shared" ca="1" si="15"/>
        <v>-78902.460215317784</v>
      </c>
      <c r="Z35" s="789"/>
      <c r="AA35" s="788">
        <f t="shared" ca="1" si="16"/>
        <v>376590.42123540951</v>
      </c>
      <c r="AB35" s="328"/>
      <c r="AC35" s="292"/>
      <c r="AD35" s="328"/>
      <c r="AE35" s="292"/>
      <c r="AF35" s="292"/>
      <c r="AG35" s="289"/>
      <c r="AH35" s="329"/>
      <c r="AI35" s="329"/>
      <c r="AJ35" s="329"/>
      <c r="AK35" s="329"/>
      <c r="AL35" s="329"/>
      <c r="AM35" s="329"/>
      <c r="AN35" s="330"/>
      <c r="AO35" s="330"/>
      <c r="AP35" s="330"/>
      <c r="AQ35" s="330"/>
      <c r="AR35" s="306"/>
      <c r="AS35" s="301"/>
      <c r="AT35" s="301"/>
    </row>
    <row r="36" spans="2:48" x14ac:dyDescent="0.2">
      <c r="B36" s="331">
        <f t="shared" si="17"/>
        <v>2039</v>
      </c>
      <c r="C36" s="784">
        <f t="shared" si="0"/>
        <v>647604.3989289446</v>
      </c>
      <c r="D36" s="784">
        <f t="shared" si="1"/>
        <v>-56271.834581419265</v>
      </c>
      <c r="E36" s="784">
        <f t="shared" si="2"/>
        <v>-3525.1806027610319</v>
      </c>
      <c r="F36" s="784">
        <f t="shared" si="3"/>
        <v>-7905.9480125667942</v>
      </c>
      <c r="G36" s="783">
        <f t="shared" si="4"/>
        <v>579901.4357321976</v>
      </c>
      <c r="I36" s="325"/>
      <c r="J36" s="790">
        <f t="shared" si="5"/>
        <v>-99269.399235678968</v>
      </c>
      <c r="K36" s="786">
        <f t="shared" si="6"/>
        <v>7905.9480125667906</v>
      </c>
      <c r="L36" s="784">
        <f t="shared" si="7"/>
        <v>-91363.451223112177</v>
      </c>
      <c r="M36" s="784">
        <f t="shared" si="8"/>
        <v>5579.4166041562667</v>
      </c>
      <c r="N36" s="784">
        <f t="shared" si="9"/>
        <v>9197.4605800511199</v>
      </c>
      <c r="O36" s="784">
        <f t="shared" si="10"/>
        <v>1929291.9498123173</v>
      </c>
      <c r="P36" s="787"/>
      <c r="Q36" s="788">
        <f t="shared" si="11"/>
        <v>1855.1590133251939</v>
      </c>
      <c r="R36" s="787"/>
      <c r="S36" s="788">
        <f t="shared" si="12"/>
        <v>-697.80868542422832</v>
      </c>
      <c r="T36" s="791"/>
      <c r="U36" s="788">
        <f t="shared" si="13"/>
        <v>0</v>
      </c>
      <c r="V36" s="791"/>
      <c r="W36" s="788">
        <f t="shared" si="14"/>
        <v>495274.75144114264</v>
      </c>
      <c r="X36" s="791"/>
      <c r="Y36" s="788">
        <f t="shared" ca="1" si="15"/>
        <v>-84853.573476029589</v>
      </c>
      <c r="Z36" s="789"/>
      <c r="AA36" s="788">
        <f t="shared" ca="1" si="16"/>
        <v>410421.17796511308</v>
      </c>
      <c r="AB36" s="328"/>
      <c r="AC36" s="292"/>
      <c r="AD36" s="328"/>
      <c r="AE36" s="292"/>
      <c r="AF36" s="292"/>
      <c r="AG36" s="289"/>
      <c r="AH36" s="329"/>
      <c r="AI36" s="329"/>
      <c r="AJ36" s="329"/>
      <c r="AK36" s="329"/>
      <c r="AL36" s="329"/>
      <c r="AM36" s="329"/>
      <c r="AN36" s="330"/>
      <c r="AO36" s="330"/>
      <c r="AP36" s="330"/>
      <c r="AQ36" s="330"/>
      <c r="AR36" s="306"/>
      <c r="AS36" s="301"/>
      <c r="AT36" s="301"/>
    </row>
    <row r="37" spans="2:48" x14ac:dyDescent="0.2">
      <c r="B37" s="331">
        <f t="shared" si="17"/>
        <v>2040</v>
      </c>
      <c r="C37" s="784">
        <f t="shared" si="0"/>
        <v>694691.1421669611</v>
      </c>
      <c r="D37" s="784">
        <f t="shared" si="1"/>
        <v>-59071.090504156869</v>
      </c>
      <c r="E37" s="784">
        <f t="shared" si="2"/>
        <v>-3779.4945750365664</v>
      </c>
      <c r="F37" s="784">
        <f t="shared" si="3"/>
        <v>-5351.0836545507345</v>
      </c>
      <c r="G37" s="783">
        <f t="shared" si="4"/>
        <v>626489.47343321692</v>
      </c>
      <c r="I37" s="325"/>
      <c r="J37" s="790">
        <f t="shared" si="5"/>
        <v>-121035.19607419384</v>
      </c>
      <c r="K37" s="786">
        <f t="shared" si="6"/>
        <v>5351.0836545507191</v>
      </c>
      <c r="L37" s="784">
        <f t="shared" si="7"/>
        <v>-115684.11241964312</v>
      </c>
      <c r="M37" s="784">
        <f t="shared" si="8"/>
        <v>5604.3686889780784</v>
      </c>
      <c r="N37" s="784">
        <f t="shared" si="9"/>
        <v>10407.814388164668</v>
      </c>
      <c r="O37" s="784">
        <f t="shared" si="10"/>
        <v>1934643.0334668679</v>
      </c>
      <c r="P37" s="787"/>
      <c r="Q37" s="788">
        <f t="shared" si="11"/>
        <v>-2010.8248458083926</v>
      </c>
      <c r="R37" s="787"/>
      <c r="S37" s="788">
        <f t="shared" si="12"/>
        <v>-27326.006116330274</v>
      </c>
      <c r="T37" s="791"/>
      <c r="U37" s="788">
        <f t="shared" si="13"/>
        <v>0</v>
      </c>
      <c r="V37" s="791"/>
      <c r="W37" s="788">
        <f t="shared" si="14"/>
        <v>487072.89874041325</v>
      </c>
      <c r="X37" s="791"/>
      <c r="Y37" s="788">
        <f t="shared" ca="1" si="15"/>
        <v>-91300.245528631654</v>
      </c>
      <c r="Z37" s="789"/>
      <c r="AA37" s="788">
        <f t="shared" ca="1" si="16"/>
        <v>395772.65321178158</v>
      </c>
      <c r="AB37" s="328"/>
      <c r="AC37" s="292"/>
      <c r="AD37" s="328"/>
      <c r="AE37" s="292"/>
      <c r="AF37" s="292"/>
      <c r="AG37" s="289"/>
      <c r="AH37" s="329"/>
      <c r="AI37" s="329"/>
      <c r="AJ37" s="329"/>
      <c r="AK37" s="329"/>
      <c r="AL37" s="329"/>
      <c r="AM37" s="329"/>
      <c r="AN37" s="330"/>
      <c r="AO37" s="330"/>
      <c r="AP37" s="330"/>
      <c r="AQ37" s="330"/>
      <c r="AR37" s="306"/>
      <c r="AS37" s="301"/>
      <c r="AT37" s="301"/>
    </row>
    <row r="38" spans="2:48" x14ac:dyDescent="0.2">
      <c r="B38" s="331">
        <f t="shared" si="17"/>
        <v>2041</v>
      </c>
      <c r="C38" s="784">
        <f t="shared" si="0"/>
        <v>745201.52087198477</v>
      </c>
      <c r="D38" s="784">
        <f t="shared" si="1"/>
        <v>-62009.596084903082</v>
      </c>
      <c r="E38" s="784">
        <f t="shared" si="2"/>
        <v>-4056.8510170263103</v>
      </c>
      <c r="F38" s="784">
        <f t="shared" si="3"/>
        <v>-3621.8422170858075</v>
      </c>
      <c r="G38" s="783">
        <f t="shared" si="4"/>
        <v>675513.23155296955</v>
      </c>
      <c r="I38" s="325"/>
      <c r="J38" s="790">
        <f t="shared" si="5"/>
        <v>-103366.1790835</v>
      </c>
      <c r="K38" s="786">
        <f t="shared" si="6"/>
        <v>3621.8422170858103</v>
      </c>
      <c r="L38" s="784">
        <f t="shared" si="7"/>
        <v>-99744.336866414189</v>
      </c>
      <c r="M38" s="784">
        <f t="shared" si="8"/>
        <v>6498.0922850655752</v>
      </c>
      <c r="N38" s="784">
        <f t="shared" si="9"/>
        <v>11865.984284099002</v>
      </c>
      <c r="O38" s="784">
        <f t="shared" si="10"/>
        <v>1938264.8756839538</v>
      </c>
      <c r="P38" s="787"/>
      <c r="Q38" s="788">
        <f t="shared" si="11"/>
        <v>-6414.9157139993986</v>
      </c>
      <c r="R38" s="787"/>
      <c r="S38" s="788">
        <f t="shared" si="12"/>
        <v>2568.80516300624</v>
      </c>
      <c r="T38" s="791"/>
      <c r="U38" s="788">
        <f t="shared" si="13"/>
        <v>0</v>
      </c>
      <c r="V38" s="791"/>
      <c r="W38" s="788">
        <f t="shared" si="14"/>
        <v>578420.8764206277</v>
      </c>
      <c r="X38" s="791"/>
      <c r="Y38" s="788">
        <f t="shared" ca="1" si="15"/>
        <v>-98265.584697702259</v>
      </c>
      <c r="Z38" s="789"/>
      <c r="AA38" s="788">
        <f t="shared" ca="1" si="16"/>
        <v>480155.29172292544</v>
      </c>
      <c r="AB38" s="328"/>
      <c r="AC38" s="292"/>
      <c r="AD38" s="328"/>
      <c r="AE38" s="292"/>
      <c r="AF38" s="292"/>
      <c r="AG38" s="289"/>
      <c r="AH38" s="329"/>
      <c r="AI38" s="329"/>
      <c r="AJ38" s="329"/>
      <c r="AK38" s="329"/>
      <c r="AL38" s="329"/>
      <c r="AM38" s="329"/>
      <c r="AN38" s="330"/>
      <c r="AO38" s="330"/>
      <c r="AP38" s="330"/>
      <c r="AQ38" s="330"/>
      <c r="AR38" s="306"/>
      <c r="AS38" s="301"/>
      <c r="AT38" s="301"/>
    </row>
    <row r="39" spans="2:48" x14ac:dyDescent="0.2">
      <c r="B39" s="331">
        <f t="shared" si="17"/>
        <v>2042</v>
      </c>
      <c r="C39" s="784">
        <f t="shared" si="0"/>
        <v>792674.2453344469</v>
      </c>
      <c r="D39" s="784">
        <f t="shared" si="1"/>
        <v>-64710.374384743314</v>
      </c>
      <c r="E39" s="784">
        <f t="shared" si="2"/>
        <v>-4314.1450040972704</v>
      </c>
      <c r="F39" s="784">
        <f t="shared" si="3"/>
        <v>-5031.5595961266754</v>
      </c>
      <c r="G39" s="783">
        <f t="shared" si="4"/>
        <v>718618.1663494797</v>
      </c>
      <c r="I39" s="325"/>
      <c r="J39" s="790">
        <f t="shared" si="5"/>
        <v>-104381.60095482368</v>
      </c>
      <c r="K39" s="786">
        <f t="shared" si="6"/>
        <v>5031.5595961266663</v>
      </c>
      <c r="L39" s="784">
        <f t="shared" si="7"/>
        <v>-99350.04135869701</v>
      </c>
      <c r="M39" s="784">
        <f t="shared" si="8"/>
        <v>6693.7903799019577</v>
      </c>
      <c r="N39" s="784">
        <f t="shared" si="9"/>
        <v>6798.0230819313438</v>
      </c>
      <c r="O39" s="784">
        <f t="shared" si="10"/>
        <v>1943296.4352800804</v>
      </c>
      <c r="P39" s="787"/>
      <c r="Q39" s="788">
        <f t="shared" si="11"/>
        <v>-7769.6297578547201</v>
      </c>
      <c r="R39" s="787"/>
      <c r="S39" s="788">
        <f t="shared" si="12"/>
        <v>4270.0309883518785</v>
      </c>
      <c r="T39" s="791"/>
      <c r="U39" s="788">
        <f t="shared" si="13"/>
        <v>0</v>
      </c>
      <c r="V39" s="791"/>
      <c r="W39" s="788">
        <f t="shared" si="14"/>
        <v>622462.31660118187</v>
      </c>
      <c r="X39" s="791"/>
      <c r="Y39" s="788">
        <f t="shared" ca="1" si="15"/>
        <v>-104857.38156882711</v>
      </c>
      <c r="Z39" s="789"/>
      <c r="AA39" s="788">
        <f t="shared" ca="1" si="16"/>
        <v>517604.93503235478</v>
      </c>
      <c r="AB39" s="328"/>
      <c r="AC39" s="292"/>
      <c r="AD39" s="328"/>
      <c r="AE39" s="292"/>
      <c r="AF39" s="292"/>
      <c r="AG39" s="289"/>
      <c r="AH39" s="329"/>
      <c r="AI39" s="329"/>
      <c r="AJ39" s="329"/>
      <c r="AK39" s="329"/>
      <c r="AL39" s="329"/>
      <c r="AM39" s="329"/>
      <c r="AN39" s="330"/>
      <c r="AO39" s="330"/>
      <c r="AP39" s="330"/>
      <c r="AQ39" s="330"/>
      <c r="AR39" s="306"/>
      <c r="AS39" s="301"/>
      <c r="AT39" s="301"/>
    </row>
    <row r="40" spans="2:48" x14ac:dyDescent="0.2">
      <c r="B40" s="331">
        <f t="shared" si="17"/>
        <v>2043</v>
      </c>
      <c r="C40" s="784">
        <f t="shared" si="0"/>
        <v>843171.19814959902</v>
      </c>
      <c r="D40" s="784">
        <f t="shared" si="1"/>
        <v>-67528.782920634447</v>
      </c>
      <c r="E40" s="784">
        <f t="shared" si="2"/>
        <v>-4588.1007215996615</v>
      </c>
      <c r="F40" s="784">
        <f t="shared" si="3"/>
        <v>-6989.9764959238264</v>
      </c>
      <c r="G40" s="783">
        <f t="shared" si="4"/>
        <v>764064.33801144105</v>
      </c>
      <c r="I40" s="325"/>
      <c r="J40" s="790">
        <f t="shared" si="5"/>
        <v>-105017.22156630599</v>
      </c>
      <c r="K40" s="786">
        <f t="shared" si="6"/>
        <v>6989.9764959238237</v>
      </c>
      <c r="L40" s="784">
        <f t="shared" si="7"/>
        <v>-98027.245070382167</v>
      </c>
      <c r="M40" s="784">
        <f t="shared" si="8"/>
        <v>6953.5617772199748</v>
      </c>
      <c r="N40" s="784">
        <f t="shared" si="9"/>
        <v>2620.2078263631411</v>
      </c>
      <c r="O40" s="784">
        <f t="shared" si="10"/>
        <v>1950286.4117760039</v>
      </c>
      <c r="P40" s="787"/>
      <c r="Q40" s="788">
        <f t="shared" si="11"/>
        <v>-8148.265042363706</v>
      </c>
      <c r="R40" s="787"/>
      <c r="S40" s="788">
        <f t="shared" si="12"/>
        <v>5280.6531192460097</v>
      </c>
      <c r="T40" s="791"/>
      <c r="U40" s="788">
        <f t="shared" si="13"/>
        <v>0</v>
      </c>
      <c r="V40" s="791"/>
      <c r="W40" s="788">
        <f t="shared" si="14"/>
        <v>670123.04279516125</v>
      </c>
      <c r="X40" s="791"/>
      <c r="Y40" s="788">
        <f t="shared" ca="1" si="15"/>
        <v>-129480.65791657509</v>
      </c>
      <c r="Z40" s="789"/>
      <c r="AA40" s="788">
        <f t="shared" ca="1" si="16"/>
        <v>540642.38487858616</v>
      </c>
      <c r="AB40" s="328"/>
      <c r="AC40" s="292"/>
      <c r="AD40" s="328"/>
      <c r="AE40" s="292"/>
      <c r="AF40" s="292"/>
      <c r="AG40" s="289"/>
      <c r="AH40" s="329"/>
      <c r="AI40" s="329"/>
      <c r="AJ40" s="329"/>
      <c r="AK40" s="329"/>
      <c r="AL40" s="329"/>
      <c r="AM40" s="329"/>
      <c r="AN40" s="330"/>
      <c r="AO40" s="330"/>
      <c r="AP40" s="330"/>
      <c r="AQ40" s="330"/>
      <c r="AR40" s="306"/>
      <c r="AS40" s="301"/>
      <c r="AT40" s="301"/>
    </row>
    <row r="41" spans="2:48" x14ac:dyDescent="0.2">
      <c r="B41" s="331">
        <f t="shared" si="17"/>
        <v>2044</v>
      </c>
      <c r="C41" s="784">
        <f t="shared" si="0"/>
        <v>896885.03641123092</v>
      </c>
      <c r="D41" s="784">
        <f t="shared" si="1"/>
        <v>-70469.944983308698</v>
      </c>
      <c r="E41" s="784">
        <f t="shared" si="2"/>
        <v>-4879.7400909298531</v>
      </c>
      <c r="F41" s="784">
        <f t="shared" si="3"/>
        <v>-9710.6613725056704</v>
      </c>
      <c r="G41" s="783">
        <f t="shared" si="4"/>
        <v>811824.68996448664</v>
      </c>
      <c r="I41" s="325"/>
      <c r="J41" s="790">
        <f t="shared" si="5"/>
        <v>-104779.49441403223</v>
      </c>
      <c r="K41" s="786">
        <f t="shared" si="6"/>
        <v>9710.6613725056704</v>
      </c>
      <c r="L41" s="784">
        <f t="shared" si="7"/>
        <v>-95068.833041526566</v>
      </c>
      <c r="M41" s="784">
        <f t="shared" si="8"/>
        <v>7273.9631759357089</v>
      </c>
      <c r="N41" s="784">
        <f t="shared" si="9"/>
        <v>0</v>
      </c>
      <c r="O41" s="784">
        <f t="shared" si="10"/>
        <v>1959997.0731485097</v>
      </c>
      <c r="P41" s="787"/>
      <c r="Q41" s="788">
        <f t="shared" si="11"/>
        <v>-7196.555026770744</v>
      </c>
      <c r="R41" s="787"/>
      <c r="S41" s="788">
        <f t="shared" si="12"/>
        <v>-277.67235514649656</v>
      </c>
      <c r="T41" s="791"/>
      <c r="U41" s="788">
        <f t="shared" si="13"/>
        <v>0</v>
      </c>
      <c r="V41" s="791"/>
      <c r="W41" s="788">
        <f t="shared" si="14"/>
        <v>716555.5927169784</v>
      </c>
      <c r="X41" s="791"/>
      <c r="Y41" s="788">
        <f t="shared" ca="1" si="15"/>
        <v>-149918.14847945186</v>
      </c>
      <c r="Z41" s="789"/>
      <c r="AA41" s="788">
        <f t="shared" ca="1" si="16"/>
        <v>566637.44423752651</v>
      </c>
      <c r="AB41" s="328"/>
      <c r="AC41" s="292"/>
      <c r="AD41" s="328"/>
      <c r="AE41" s="292"/>
      <c r="AF41" s="292"/>
      <c r="AG41" s="289"/>
      <c r="AH41" s="329"/>
      <c r="AI41" s="329"/>
      <c r="AJ41" s="329"/>
      <c r="AK41" s="329"/>
      <c r="AL41" s="329"/>
      <c r="AM41" s="329"/>
      <c r="AN41" s="330"/>
      <c r="AO41" s="330"/>
      <c r="AP41" s="330"/>
      <c r="AQ41" s="330"/>
      <c r="AR41" s="306"/>
      <c r="AS41" s="301"/>
      <c r="AT41" s="301"/>
    </row>
    <row r="42" spans="2:48" x14ac:dyDescent="0.2">
      <c r="B42" s="331">
        <f t="shared" si="17"/>
        <v>2045</v>
      </c>
      <c r="C42" s="784">
        <f t="shared" si="0"/>
        <v>954020.69034579908</v>
      </c>
      <c r="D42" s="784">
        <f t="shared" si="1"/>
        <v>-73539.207004323398</v>
      </c>
      <c r="E42" s="784">
        <f t="shared" si="2"/>
        <v>-5190.4247287486833</v>
      </c>
      <c r="F42" s="784">
        <f t="shared" si="3"/>
        <v>-13490.309208687973</v>
      </c>
      <c r="G42" s="783">
        <f t="shared" si="4"/>
        <v>861800.749404039</v>
      </c>
      <c r="I42" s="325"/>
      <c r="J42" s="790">
        <f t="shared" si="5"/>
        <v>-105020.75716909257</v>
      </c>
      <c r="K42" s="786">
        <f t="shared" si="6"/>
        <v>13490.309208687973</v>
      </c>
      <c r="L42" s="784">
        <f t="shared" si="7"/>
        <v>-91530.447960404592</v>
      </c>
      <c r="M42" s="784">
        <f t="shared" si="8"/>
        <v>7703.6355831298733</v>
      </c>
      <c r="N42" s="784">
        <f t="shared" si="9"/>
        <v>0</v>
      </c>
      <c r="O42" s="784">
        <f t="shared" si="10"/>
        <v>1973487.3823571976</v>
      </c>
      <c r="P42" s="787"/>
      <c r="Q42" s="788">
        <f t="shared" si="11"/>
        <v>-4421.9055968976172</v>
      </c>
      <c r="R42" s="787"/>
      <c r="S42" s="788">
        <f t="shared" si="12"/>
        <v>-76641.246891439107</v>
      </c>
      <c r="T42" s="791"/>
      <c r="U42" s="788">
        <f t="shared" si="13"/>
        <v>0</v>
      </c>
      <c r="V42" s="791"/>
      <c r="W42" s="788">
        <f t="shared" si="14"/>
        <v>696910.7845384276</v>
      </c>
      <c r="X42" s="791"/>
      <c r="Y42" s="788">
        <f t="shared" ca="1" si="15"/>
        <v>-161202.89434504759</v>
      </c>
      <c r="Z42" s="789"/>
      <c r="AA42" s="788">
        <f t="shared" ca="1" si="16"/>
        <v>535707.89019337995</v>
      </c>
      <c r="AB42" s="328"/>
      <c r="AC42" s="292"/>
      <c r="AD42" s="328"/>
      <c r="AE42" s="292"/>
      <c r="AF42" s="292"/>
      <c r="AG42" s="289"/>
      <c r="AH42" s="329"/>
      <c r="AI42" s="329"/>
      <c r="AJ42" s="329"/>
      <c r="AK42" s="329"/>
      <c r="AL42" s="329"/>
      <c r="AM42" s="329"/>
      <c r="AN42" s="330"/>
      <c r="AO42" s="330"/>
      <c r="AP42" s="330"/>
      <c r="AQ42" s="330"/>
      <c r="AR42" s="306"/>
      <c r="AS42" s="301"/>
      <c r="AT42" s="301"/>
    </row>
    <row r="43" spans="2:48" x14ac:dyDescent="0.2">
      <c r="B43" s="331">
        <f t="shared" si="17"/>
        <v>2046</v>
      </c>
      <c r="C43" s="784">
        <f t="shared" si="0"/>
        <v>1014796.1451667695</v>
      </c>
      <c r="D43" s="784">
        <f t="shared" si="1"/>
        <v>-76742.148274780877</v>
      </c>
      <c r="E43" s="784">
        <f t="shared" si="2"/>
        <v>-5528.8514273091296</v>
      </c>
      <c r="F43" s="784">
        <f t="shared" si="3"/>
        <v>-18741.096570547237</v>
      </c>
      <c r="G43" s="783">
        <f t="shared" si="4"/>
        <v>913784.04889413237</v>
      </c>
      <c r="I43" s="325"/>
      <c r="J43" s="790">
        <f t="shared" si="5"/>
        <v>-104723.28169226708</v>
      </c>
      <c r="K43" s="786">
        <f t="shared" si="6"/>
        <v>-58146.153566330759</v>
      </c>
      <c r="L43" s="784">
        <f t="shared" si="7"/>
        <v>-162869.43525859783</v>
      </c>
      <c r="M43" s="784">
        <f t="shared" si="8"/>
        <v>9674.9728346018928</v>
      </c>
      <c r="N43" s="784">
        <f t="shared" si="9"/>
        <v>0</v>
      </c>
      <c r="O43" s="784">
        <f t="shared" si="10"/>
        <v>1915341.2287908667</v>
      </c>
      <c r="P43" s="787"/>
      <c r="Q43" s="788">
        <f t="shared" si="11"/>
        <v>860.43824163452518</v>
      </c>
      <c r="R43" s="787"/>
      <c r="S43" s="788">
        <f t="shared" si="12"/>
        <v>-74540.150844539225</v>
      </c>
      <c r="T43" s="791"/>
      <c r="U43" s="788">
        <f t="shared" si="13"/>
        <v>0</v>
      </c>
      <c r="V43" s="791"/>
      <c r="W43" s="788">
        <f t="shared" si="14"/>
        <v>686909.87386723177</v>
      </c>
      <c r="X43" s="791"/>
      <c r="Y43" s="788">
        <f t="shared" ca="1" si="15"/>
        <v>-173594.48933773427</v>
      </c>
      <c r="Z43" s="789"/>
      <c r="AA43" s="788">
        <f t="shared" ca="1" si="16"/>
        <v>513315.38452949747</v>
      </c>
      <c r="AB43" s="328"/>
      <c r="AC43" s="292"/>
      <c r="AD43" s="328"/>
      <c r="AE43" s="292"/>
      <c r="AF43" s="292"/>
      <c r="AG43" s="289"/>
      <c r="AH43" s="329"/>
      <c r="AI43" s="329"/>
      <c r="AJ43" s="329"/>
      <c r="AK43" s="329"/>
      <c r="AL43" s="329"/>
      <c r="AM43" s="329"/>
      <c r="AN43" s="330"/>
      <c r="AO43" s="330"/>
      <c r="AP43" s="330"/>
      <c r="AQ43" s="330"/>
      <c r="AR43" s="306"/>
      <c r="AS43" s="301"/>
      <c r="AT43" s="301"/>
    </row>
    <row r="44" spans="2:48" s="302" customFormat="1" x14ac:dyDescent="0.2">
      <c r="B44" s="331">
        <f t="shared" si="17"/>
        <v>2047</v>
      </c>
      <c r="C44" s="784">
        <f t="shared" si="0"/>
        <v>1077480.5551897804</v>
      </c>
      <c r="D44" s="784">
        <f t="shared" si="1"/>
        <v>-80199.822342142434</v>
      </c>
      <c r="E44" s="784">
        <f t="shared" si="2"/>
        <v>-5875.2188723279269</v>
      </c>
      <c r="F44" s="784">
        <f t="shared" si="3"/>
        <v>-18421.350964280813</v>
      </c>
      <c r="G44" s="783">
        <f t="shared" si="4"/>
        <v>972984.16301102925</v>
      </c>
      <c r="I44" s="325"/>
      <c r="J44" s="790">
        <f t="shared" si="5"/>
        <v>-100490.6413974912</v>
      </c>
      <c r="K44" s="786">
        <f t="shared" si="6"/>
        <v>-137166.27217820357</v>
      </c>
      <c r="L44" s="784">
        <f t="shared" si="7"/>
        <v>-237656.91357569478</v>
      </c>
      <c r="M44" s="784">
        <f t="shared" si="8"/>
        <v>11195.996218899842</v>
      </c>
      <c r="N44" s="784">
        <f t="shared" si="9"/>
        <v>0</v>
      </c>
      <c r="O44" s="784">
        <f t="shared" si="10"/>
        <v>1778174.9566126631</v>
      </c>
      <c r="P44" s="787"/>
      <c r="Q44" s="788">
        <f t="shared" si="11"/>
        <v>493.45984102274087</v>
      </c>
      <c r="R44" s="787"/>
      <c r="S44" s="788">
        <f t="shared" si="12"/>
        <v>-982.72032654244686</v>
      </c>
      <c r="T44" s="792"/>
      <c r="U44" s="788">
        <f t="shared" si="13"/>
        <v>0</v>
      </c>
      <c r="V44" s="792"/>
      <c r="W44" s="788">
        <f t="shared" si="14"/>
        <v>746033.98516871466</v>
      </c>
      <c r="X44" s="792"/>
      <c r="Y44" s="788">
        <f t="shared" ca="1" si="15"/>
        <v>-186983.15263826633</v>
      </c>
      <c r="Z44" s="789"/>
      <c r="AA44" s="788">
        <f t="shared" ca="1" si="16"/>
        <v>559050.83253044833</v>
      </c>
      <c r="AB44" s="328"/>
      <c r="AC44" s="292"/>
      <c r="AD44" s="328"/>
      <c r="AE44" s="292"/>
      <c r="AF44" s="292"/>
      <c r="AG44" s="289"/>
      <c r="AH44" s="329"/>
      <c r="AI44" s="329"/>
      <c r="AJ44" s="329"/>
      <c r="AK44" s="329"/>
      <c r="AL44" s="329"/>
      <c r="AM44" s="329"/>
      <c r="AN44" s="330"/>
      <c r="AO44" s="330"/>
      <c r="AP44" s="330"/>
      <c r="AQ44" s="330"/>
      <c r="AR44" s="306"/>
      <c r="AS44" s="301"/>
      <c r="AT44" s="301"/>
      <c r="AU44" s="281"/>
      <c r="AV44" s="281"/>
    </row>
    <row r="45" spans="2:48" s="302" customFormat="1" x14ac:dyDescent="0.2">
      <c r="B45" s="331">
        <f t="shared" si="17"/>
        <v>2048</v>
      </c>
      <c r="C45" s="784">
        <f t="shared" si="0"/>
        <v>1144037.0091485586</v>
      </c>
      <c r="D45" s="784">
        <f t="shared" si="1"/>
        <v>-83813.284463720251</v>
      </c>
      <c r="E45" s="784">
        <f t="shared" si="2"/>
        <v>-6235.334184088123</v>
      </c>
      <c r="F45" s="784">
        <f t="shared" si="3"/>
        <v>-18107.060601913374</v>
      </c>
      <c r="G45" s="783">
        <f t="shared" si="4"/>
        <v>1035881.329898837</v>
      </c>
      <c r="I45" s="325"/>
      <c r="J45" s="790">
        <f t="shared" si="5"/>
        <v>-93233.930921578722</v>
      </c>
      <c r="K45" s="786">
        <f t="shared" si="6"/>
        <v>-145648.91275555146</v>
      </c>
      <c r="L45" s="784">
        <f t="shared" si="7"/>
        <v>-238882.84367713018</v>
      </c>
      <c r="M45" s="784">
        <f t="shared" si="8"/>
        <v>11354.32538880326</v>
      </c>
      <c r="N45" s="784">
        <f t="shared" si="9"/>
        <v>0</v>
      </c>
      <c r="O45" s="784">
        <f t="shared" si="10"/>
        <v>1632526.0438571116</v>
      </c>
      <c r="P45" s="787"/>
      <c r="Q45" s="788">
        <f t="shared" si="11"/>
        <v>-379.09532086609397</v>
      </c>
      <c r="R45" s="787"/>
      <c r="S45" s="788">
        <f t="shared" si="12"/>
        <v>-470.88291640568059</v>
      </c>
      <c r="T45" s="792"/>
      <c r="U45" s="788">
        <f t="shared" si="13"/>
        <v>0</v>
      </c>
      <c r="V45" s="792"/>
      <c r="W45" s="788">
        <f t="shared" si="14"/>
        <v>807502.83337323833</v>
      </c>
      <c r="X45" s="792"/>
      <c r="Y45" s="788">
        <f t="shared" ca="1" si="15"/>
        <v>-201530.42915781628</v>
      </c>
      <c r="Z45" s="789"/>
      <c r="AA45" s="788">
        <f t="shared" ca="1" si="16"/>
        <v>605972.40421542199</v>
      </c>
      <c r="AB45" s="328"/>
      <c r="AC45" s="292"/>
      <c r="AD45" s="328"/>
      <c r="AE45" s="292"/>
      <c r="AF45" s="292"/>
      <c r="AG45" s="289"/>
      <c r="AH45" s="329"/>
      <c r="AI45" s="329"/>
      <c r="AJ45" s="329"/>
      <c r="AK45" s="329"/>
      <c r="AL45" s="329"/>
      <c r="AM45" s="329"/>
      <c r="AN45" s="330"/>
      <c r="AO45" s="330"/>
      <c r="AP45" s="330"/>
      <c r="AQ45" s="330"/>
      <c r="AR45" s="306"/>
      <c r="AS45" s="301"/>
      <c r="AT45" s="301"/>
      <c r="AU45" s="281"/>
      <c r="AV45" s="281"/>
    </row>
    <row r="46" spans="2:48" s="302" customFormat="1" x14ac:dyDescent="0.2">
      <c r="B46" s="331">
        <f t="shared" si="17"/>
        <v>2049</v>
      </c>
      <c r="C46" s="784">
        <f t="shared" si="0"/>
        <v>1214704.6849221813</v>
      </c>
      <c r="D46" s="784">
        <f t="shared" si="1"/>
        <v>-87589.553785149139</v>
      </c>
      <c r="E46" s="784">
        <f t="shared" si="2"/>
        <v>-6618.4474026856469</v>
      </c>
      <c r="F46" s="784">
        <f t="shared" si="3"/>
        <v>-17798.132410434951</v>
      </c>
      <c r="G46" s="783">
        <f t="shared" si="4"/>
        <v>1102698.5513239114</v>
      </c>
      <c r="I46" s="325"/>
      <c r="J46" s="790">
        <f t="shared" si="5"/>
        <v>-85037.861721469308</v>
      </c>
      <c r="K46" s="786">
        <f t="shared" si="6"/>
        <v>-154555.02954829673</v>
      </c>
      <c r="L46" s="784">
        <f t="shared" si="7"/>
        <v>-239592.89126976603</v>
      </c>
      <c r="M46" s="784">
        <f t="shared" si="8"/>
        <v>11665.94387593715</v>
      </c>
      <c r="N46" s="784">
        <f t="shared" si="9"/>
        <v>0</v>
      </c>
      <c r="O46" s="784">
        <f t="shared" si="10"/>
        <v>1477971.0143088149</v>
      </c>
      <c r="P46" s="787"/>
      <c r="Q46" s="788">
        <f t="shared" si="11"/>
        <v>-1809.776512616947</v>
      </c>
      <c r="R46" s="787"/>
      <c r="S46" s="788">
        <f t="shared" si="12"/>
        <v>-8710.3083716197871</v>
      </c>
      <c r="T46" s="792"/>
      <c r="U46" s="788">
        <f t="shared" si="13"/>
        <v>0</v>
      </c>
      <c r="V46" s="792"/>
      <c r="W46" s="788">
        <f t="shared" si="14"/>
        <v>864251.51904584584</v>
      </c>
      <c r="X46" s="792"/>
      <c r="Y46" s="788">
        <f t="shared" ca="1" si="15"/>
        <v>-217173.48623306019</v>
      </c>
      <c r="Z46" s="789"/>
      <c r="AA46" s="788">
        <f t="shared" ca="1" si="16"/>
        <v>647078.03281278559</v>
      </c>
      <c r="AB46" s="328"/>
      <c r="AC46" s="292"/>
      <c r="AD46" s="328"/>
      <c r="AE46" s="292"/>
      <c r="AF46" s="292"/>
      <c r="AG46" s="289"/>
      <c r="AH46" s="329"/>
      <c r="AI46" s="329"/>
      <c r="AJ46" s="329"/>
      <c r="AK46" s="329"/>
      <c r="AL46" s="329"/>
      <c r="AM46" s="329"/>
      <c r="AN46" s="330"/>
      <c r="AO46" s="330"/>
      <c r="AP46" s="330"/>
      <c r="AQ46" s="330"/>
      <c r="AR46" s="306"/>
      <c r="AS46" s="301"/>
      <c r="AT46" s="301"/>
      <c r="AU46" s="281"/>
      <c r="AV46" s="281"/>
    </row>
    <row r="47" spans="2:48" s="302" customFormat="1" x14ac:dyDescent="0.2">
      <c r="B47" s="331">
        <f t="shared" si="17"/>
        <v>2050</v>
      </c>
      <c r="C47" s="784">
        <f t="shared" si="0"/>
        <v>1289737.5345138805</v>
      </c>
      <c r="D47" s="784">
        <f t="shared" si="1"/>
        <v>-91535.96570484525</v>
      </c>
      <c r="E47" s="784">
        <f t="shared" si="2"/>
        <v>-7026.2168164658833</v>
      </c>
      <c r="F47" s="784">
        <f t="shared" si="3"/>
        <v>-17494.474904772869</v>
      </c>
      <c r="G47" s="783">
        <f t="shared" si="4"/>
        <v>1173680.8770877966</v>
      </c>
      <c r="I47" s="325"/>
      <c r="J47" s="790">
        <f t="shared" si="5"/>
        <v>-94186.094567548658</v>
      </c>
      <c r="K47" s="786">
        <f t="shared" si="6"/>
        <v>-180859.47128433429</v>
      </c>
      <c r="L47" s="784">
        <f t="shared" si="7"/>
        <v>-275045.56585188292</v>
      </c>
      <c r="M47" s="784">
        <f t="shared" si="8"/>
        <v>12185.596123718682</v>
      </c>
      <c r="N47" s="784">
        <f t="shared" si="9"/>
        <v>0</v>
      </c>
      <c r="O47" s="784">
        <f t="shared" si="10"/>
        <v>1297111.5430244806</v>
      </c>
      <c r="P47" s="787"/>
      <c r="Q47" s="788">
        <f t="shared" si="11"/>
        <v>-3857.5481055167693</v>
      </c>
      <c r="R47" s="787"/>
      <c r="S47" s="788">
        <f t="shared" si="12"/>
        <v>-9947.2340771526215</v>
      </c>
      <c r="T47" s="792"/>
      <c r="U47" s="788">
        <f t="shared" si="13"/>
        <v>0</v>
      </c>
      <c r="V47" s="792"/>
      <c r="W47" s="788">
        <f t="shared" si="14"/>
        <v>897016.12517696281</v>
      </c>
      <c r="X47" s="792"/>
      <c r="Y47" s="788">
        <f t="shared" ca="1" si="15"/>
        <v>-230148.99450671673</v>
      </c>
      <c r="Z47" s="789"/>
      <c r="AA47" s="788">
        <f t="shared" ca="1" si="16"/>
        <v>666867.13067024609</v>
      </c>
      <c r="AB47" s="328"/>
      <c r="AC47" s="292"/>
      <c r="AD47" s="328"/>
      <c r="AE47" s="292"/>
      <c r="AF47" s="292"/>
      <c r="AG47" s="289"/>
      <c r="AH47" s="329"/>
      <c r="AI47" s="329"/>
      <c r="AJ47" s="329"/>
      <c r="AK47" s="329"/>
      <c r="AL47" s="329"/>
      <c r="AM47" s="329"/>
      <c r="AN47" s="330"/>
      <c r="AO47" s="330"/>
      <c r="AP47" s="330"/>
      <c r="AQ47" s="330"/>
      <c r="AR47" s="306"/>
      <c r="AS47" s="301"/>
      <c r="AT47" s="301"/>
      <c r="AU47" s="281"/>
      <c r="AV47" s="281"/>
    </row>
    <row r="48" spans="2:48" s="302" customFormat="1" x14ac:dyDescent="0.2">
      <c r="B48" s="331">
        <f t="shared" si="17"/>
        <v>2051</v>
      </c>
      <c r="C48" s="784">
        <f t="shared" si="0"/>
        <v>1369405.1966552755</v>
      </c>
      <c r="D48" s="784">
        <f t="shared" si="1"/>
        <v>-95660.186123008156</v>
      </c>
      <c r="E48" s="784">
        <f t="shared" si="2"/>
        <v>-7459.425386884267</v>
      </c>
      <c r="F48" s="784">
        <f t="shared" si="3"/>
        <v>-17195.998160699615</v>
      </c>
      <c r="G48" s="783">
        <f t="shared" si="4"/>
        <v>1249089.5869846835</v>
      </c>
      <c r="I48" s="325"/>
      <c r="J48" s="790">
        <f t="shared" si="5"/>
        <v>-66380.025603821297</v>
      </c>
      <c r="K48" s="786">
        <f t="shared" si="6"/>
        <v>-209522.18265871578</v>
      </c>
      <c r="L48" s="784">
        <f t="shared" si="7"/>
        <v>-275902.20826253708</v>
      </c>
      <c r="M48" s="784">
        <f t="shared" si="8"/>
        <v>12785.168145198666</v>
      </c>
      <c r="N48" s="784">
        <f t="shared" si="9"/>
        <v>0</v>
      </c>
      <c r="O48" s="784">
        <f t="shared" si="10"/>
        <v>1087589.3603657647</v>
      </c>
      <c r="P48" s="787"/>
      <c r="Q48" s="788">
        <f t="shared" si="11"/>
        <v>-6588.554015575246</v>
      </c>
      <c r="R48" s="787"/>
      <c r="S48" s="788">
        <f t="shared" si="12"/>
        <v>148.58876412024256</v>
      </c>
      <c r="T48" s="792"/>
      <c r="U48" s="788">
        <f t="shared" si="13"/>
        <v>0</v>
      </c>
      <c r="V48" s="792"/>
      <c r="W48" s="788">
        <f t="shared" si="14"/>
        <v>979532.58161589014</v>
      </c>
      <c r="X48" s="792"/>
      <c r="Y48" s="788">
        <f t="shared" ca="1" si="15"/>
        <v>-251905.67056709318</v>
      </c>
      <c r="Z48" s="789"/>
      <c r="AA48" s="788">
        <f t="shared" ca="1" si="16"/>
        <v>727626.91104879696</v>
      </c>
      <c r="AB48" s="328"/>
      <c r="AC48" s="292"/>
      <c r="AD48" s="328"/>
      <c r="AE48" s="292"/>
      <c r="AF48" s="292"/>
      <c r="AG48" s="289"/>
      <c r="AH48" s="329"/>
      <c r="AI48" s="329"/>
      <c r="AJ48" s="329"/>
      <c r="AK48" s="329"/>
      <c r="AL48" s="329"/>
      <c r="AM48" s="329"/>
      <c r="AN48" s="330"/>
      <c r="AO48" s="330"/>
      <c r="AP48" s="330"/>
      <c r="AQ48" s="330"/>
      <c r="AR48" s="306"/>
      <c r="AS48" s="301"/>
      <c r="AT48" s="301"/>
      <c r="AU48" s="281"/>
      <c r="AV48" s="281"/>
    </row>
    <row r="49" spans="2:147" s="302" customFormat="1" x14ac:dyDescent="0.2">
      <c r="B49" s="331">
        <f t="shared" si="17"/>
        <v>2052</v>
      </c>
      <c r="C49" s="784">
        <f t="shared" si="0"/>
        <v>1455892.2500829627</v>
      </c>
      <c r="D49" s="784">
        <f t="shared" si="1"/>
        <v>-100061.91967675925</v>
      </c>
      <c r="E49" s="784">
        <f t="shared" si="2"/>
        <v>-7928.821010847113</v>
      </c>
      <c r="F49" s="784">
        <f t="shared" si="3"/>
        <v>-19251.269063199168</v>
      </c>
      <c r="G49" s="783">
        <f t="shared" si="4"/>
        <v>1328650.2403321571</v>
      </c>
      <c r="I49" s="325"/>
      <c r="J49" s="790">
        <f t="shared" si="5"/>
        <v>-55234.375104795596</v>
      </c>
      <c r="K49" s="784">
        <f t="shared" si="6"/>
        <v>-220522.09724829838</v>
      </c>
      <c r="L49" s="784">
        <f t="shared" si="7"/>
        <v>-275756.47235309397</v>
      </c>
      <c r="M49" s="784">
        <f t="shared" si="8"/>
        <v>13265.638165528426</v>
      </c>
      <c r="N49" s="784">
        <f t="shared" si="9"/>
        <v>0</v>
      </c>
      <c r="O49" s="784">
        <f t="shared" si="10"/>
        <v>867067.26311746635</v>
      </c>
      <c r="P49" s="787"/>
      <c r="Q49" s="788">
        <f t="shared" si="11"/>
        <v>-7453.8591490584149</v>
      </c>
      <c r="R49" s="787"/>
      <c r="S49" s="788">
        <f t="shared" si="12"/>
        <v>465.42823474953184</v>
      </c>
      <c r="T49" s="792"/>
      <c r="U49" s="788">
        <f t="shared" si="13"/>
        <v>0</v>
      </c>
      <c r="V49" s="792"/>
      <c r="W49" s="788">
        <f t="shared" si="14"/>
        <v>1059170.9752302826</v>
      </c>
      <c r="X49" s="792"/>
      <c r="Y49" s="788">
        <f t="shared" ca="1" si="15"/>
        <v>-271602.71523679845</v>
      </c>
      <c r="Z49" s="789"/>
      <c r="AA49" s="788">
        <f t="shared" ca="1" si="16"/>
        <v>787568.25999348424</v>
      </c>
      <c r="AB49" s="328"/>
      <c r="AC49" s="292"/>
      <c r="AD49" s="328"/>
      <c r="AE49" s="292"/>
      <c r="AF49" s="292"/>
      <c r="AG49" s="289"/>
      <c r="AH49" s="329"/>
      <c r="AI49" s="329"/>
      <c r="AJ49" s="329"/>
      <c r="AK49" s="329"/>
      <c r="AL49" s="329"/>
      <c r="AM49" s="329"/>
      <c r="AN49" s="330"/>
      <c r="AO49" s="330"/>
      <c r="AP49" s="330"/>
      <c r="AQ49" s="330"/>
      <c r="AR49" s="306"/>
      <c r="AS49" s="301"/>
      <c r="AT49" s="301"/>
      <c r="AU49" s="281"/>
      <c r="AV49" s="281"/>
    </row>
    <row r="50" spans="2:147" s="302" customFormat="1" x14ac:dyDescent="0.2">
      <c r="B50" s="331">
        <f t="shared" si="17"/>
        <v>2053</v>
      </c>
      <c r="C50" s="784">
        <f t="shared" si="0"/>
        <v>1547841.5366238826</v>
      </c>
      <c r="D50" s="784">
        <f t="shared" si="1"/>
        <v>-104666.19578309647</v>
      </c>
      <c r="E50" s="784">
        <f t="shared" si="2"/>
        <v>-8427.8598957397426</v>
      </c>
      <c r="F50" s="784">
        <f t="shared" si="3"/>
        <v>-21552.186565749842</v>
      </c>
      <c r="G50" s="783">
        <f t="shared" si="4"/>
        <v>1413195.2943792967</v>
      </c>
      <c r="I50" s="325"/>
      <c r="J50" s="790">
        <f t="shared" si="5"/>
        <v>-43194.455234845176</v>
      </c>
      <c r="K50" s="784">
        <f t="shared" si="6"/>
        <v>-232099.50735383405</v>
      </c>
      <c r="L50" s="784">
        <f t="shared" si="7"/>
        <v>-275293.96258867922</v>
      </c>
      <c r="M50" s="784">
        <f t="shared" si="8"/>
        <v>13776.034553174752</v>
      </c>
      <c r="N50" s="784">
        <f t="shared" si="9"/>
        <v>0</v>
      </c>
      <c r="O50" s="784">
        <f t="shared" si="10"/>
        <v>634967.75576363225</v>
      </c>
      <c r="P50" s="787"/>
      <c r="Q50" s="788">
        <f t="shared" si="11"/>
        <v>-8537.0104540626635</v>
      </c>
      <c r="R50" s="787"/>
      <c r="S50" s="788">
        <f t="shared" si="12"/>
        <v>331.39155571471201</v>
      </c>
      <c r="T50" s="792"/>
      <c r="U50" s="788">
        <f t="shared" si="13"/>
        <v>0</v>
      </c>
      <c r="V50" s="792"/>
      <c r="W50" s="788">
        <f t="shared" si="14"/>
        <v>1143471.7474454443</v>
      </c>
      <c r="X50" s="792"/>
      <c r="Y50" s="788">
        <f t="shared" ca="1" si="15"/>
        <v>-292448.02318743081</v>
      </c>
      <c r="Z50" s="789"/>
      <c r="AA50" s="788">
        <f t="shared" ca="1" si="16"/>
        <v>851023.72425801354</v>
      </c>
      <c r="AB50" s="328"/>
      <c r="AC50" s="292"/>
      <c r="AD50" s="328"/>
      <c r="AE50" s="292"/>
      <c r="AF50" s="292"/>
      <c r="AG50" s="289"/>
      <c r="AH50" s="329"/>
      <c r="AI50" s="329"/>
      <c r="AJ50" s="329"/>
      <c r="AK50" s="329"/>
      <c r="AL50" s="329"/>
      <c r="AM50" s="329"/>
      <c r="AN50" s="330"/>
      <c r="AO50" s="330"/>
      <c r="AP50" s="330"/>
      <c r="AQ50" s="330"/>
      <c r="AR50" s="306"/>
      <c r="AS50" s="301"/>
      <c r="AT50" s="301"/>
      <c r="AU50" s="281"/>
      <c r="AV50" s="281"/>
    </row>
    <row r="51" spans="2:147" s="302" customFormat="1" x14ac:dyDescent="0.2">
      <c r="B51" s="331">
        <f t="shared" si="17"/>
        <v>2054</v>
      </c>
      <c r="C51" s="784">
        <f t="shared" si="0"/>
        <v>1645598.032657746</v>
      </c>
      <c r="D51" s="784">
        <f t="shared" si="1"/>
        <v>-109482.33428955424</v>
      </c>
      <c r="E51" s="784">
        <f t="shared" si="2"/>
        <v>-8958.4792187224703</v>
      </c>
      <c r="F51" s="784">
        <f t="shared" si="3"/>
        <v>-24128.110424305614</v>
      </c>
      <c r="G51" s="783">
        <f t="shared" si="4"/>
        <v>1503029.1087251636</v>
      </c>
      <c r="I51" s="325"/>
      <c r="J51" s="790">
        <f t="shared" si="5"/>
        <v>-30680.825138206703</v>
      </c>
      <c r="K51" s="784">
        <f t="shared" si="6"/>
        <v>-244284.73148991028</v>
      </c>
      <c r="L51" s="784">
        <f t="shared" si="7"/>
        <v>-274965.55662811699</v>
      </c>
      <c r="M51" s="784">
        <f t="shared" si="8"/>
        <v>14330.629817677251</v>
      </c>
      <c r="N51" s="784">
        <f t="shared" si="9"/>
        <v>0</v>
      </c>
      <c r="O51" s="784">
        <f t="shared" si="10"/>
        <v>390683.02427372203</v>
      </c>
      <c r="P51" s="787"/>
      <c r="Q51" s="788">
        <f t="shared" si="11"/>
        <v>-9879.6845760317956</v>
      </c>
      <c r="R51" s="787"/>
      <c r="S51" s="788">
        <f t="shared" si="12"/>
        <v>348.7896123896935</v>
      </c>
      <c r="T51" s="792"/>
      <c r="U51" s="788">
        <f t="shared" si="13"/>
        <v>0</v>
      </c>
      <c r="V51" s="792"/>
      <c r="W51" s="788">
        <f t="shared" si="14"/>
        <v>1232863.2869510818</v>
      </c>
      <c r="X51" s="792"/>
      <c r="Y51" s="788">
        <f t="shared" ca="1" si="15"/>
        <v>-314460.19370689074</v>
      </c>
      <c r="Z51" s="789"/>
      <c r="AA51" s="788">
        <f t="shared" ca="1" si="16"/>
        <v>918403.09324419103</v>
      </c>
      <c r="AB51" s="328"/>
      <c r="AC51" s="292"/>
      <c r="AD51" s="328"/>
      <c r="AE51" s="292"/>
      <c r="AF51" s="292"/>
      <c r="AG51" s="289"/>
      <c r="AH51" s="329"/>
      <c r="AI51" s="329"/>
      <c r="AJ51" s="329"/>
      <c r="AK51" s="329"/>
      <c r="AL51" s="329"/>
      <c r="AM51" s="329"/>
      <c r="AN51" s="330"/>
      <c r="AO51" s="330"/>
      <c r="AP51" s="330"/>
      <c r="AQ51" s="330"/>
      <c r="AR51" s="306"/>
      <c r="AS51" s="301"/>
      <c r="AT51" s="301"/>
      <c r="AU51" s="281"/>
      <c r="AV51" s="281"/>
    </row>
    <row r="52" spans="2:147" s="302" customFormat="1" x14ac:dyDescent="0.2">
      <c r="B52" s="331">
        <f t="shared" si="17"/>
        <v>2055</v>
      </c>
      <c r="C52" s="784">
        <f t="shared" si="0"/>
        <v>1749528.5021189298</v>
      </c>
      <c r="D52" s="784">
        <f t="shared" si="1"/>
        <v>-114520.08388964013</v>
      </c>
      <c r="E52" s="784">
        <f t="shared" si="2"/>
        <v>-9522.6761102401288</v>
      </c>
      <c r="F52" s="784">
        <f t="shared" si="3"/>
        <v>-27011.909481734325</v>
      </c>
      <c r="G52" s="783">
        <f t="shared" si="4"/>
        <v>1598473.8326373152</v>
      </c>
      <c r="I52" s="325"/>
      <c r="J52" s="790">
        <f t="shared" si="5"/>
        <v>-17510.141386437728</v>
      </c>
      <c r="K52" s="784">
        <f t="shared" si="6"/>
        <v>-257109.67989313052</v>
      </c>
      <c r="L52" s="784">
        <f t="shared" si="7"/>
        <v>-274619.82127956825</v>
      </c>
      <c r="M52" s="784">
        <f t="shared" si="8"/>
        <v>14932.713615848705</v>
      </c>
      <c r="N52" s="784">
        <f t="shared" si="9"/>
        <v>0</v>
      </c>
      <c r="O52" s="784">
        <f t="shared" si="10"/>
        <v>133573.3443805915</v>
      </c>
      <c r="P52" s="787"/>
      <c r="Q52" s="788">
        <f t="shared" si="11"/>
        <v>-11530.676993100526</v>
      </c>
      <c r="R52" s="787"/>
      <c r="S52" s="788">
        <f t="shared" si="12"/>
        <v>135563.62357595254</v>
      </c>
      <c r="T52" s="792"/>
      <c r="U52" s="788">
        <f t="shared" si="13"/>
        <v>0</v>
      </c>
      <c r="V52" s="792"/>
      <c r="W52" s="788">
        <f t="shared" si="14"/>
        <v>1462819.6715564479</v>
      </c>
      <c r="X52" s="792"/>
      <c r="Y52" s="788">
        <f t="shared" ca="1" si="15"/>
        <v>-337774.35444222571</v>
      </c>
      <c r="Z52" s="789"/>
      <c r="AA52" s="788">
        <f t="shared" ca="1" si="16"/>
        <v>1125045.3171142221</v>
      </c>
      <c r="AB52" s="328"/>
      <c r="AC52" s="292"/>
      <c r="AD52" s="328"/>
      <c r="AE52" s="292"/>
      <c r="AF52" s="292"/>
      <c r="AG52" s="289"/>
      <c r="AH52" s="329"/>
      <c r="AI52" s="329"/>
      <c r="AJ52" s="329"/>
      <c r="AK52" s="329"/>
      <c r="AL52" s="329"/>
      <c r="AM52" s="329"/>
      <c r="AN52" s="330"/>
      <c r="AO52" s="330"/>
      <c r="AP52" s="330"/>
      <c r="AQ52" s="330"/>
      <c r="AR52" s="306"/>
      <c r="AS52" s="301"/>
      <c r="AT52" s="301"/>
      <c r="AU52" s="281"/>
      <c r="AV52" s="281"/>
    </row>
    <row r="53" spans="2:147" s="302" customFormat="1" x14ac:dyDescent="0.2">
      <c r="B53" s="331">
        <f t="shared" si="17"/>
        <v>2056</v>
      </c>
      <c r="C53" s="784">
        <f t="shared" si="0"/>
        <v>1860022.8725255821</v>
      </c>
      <c r="D53" s="784">
        <f t="shared" si="1"/>
        <v>-119789.64185586889</v>
      </c>
      <c r="E53" s="784">
        <f t="shared" si="2"/>
        <v>-10108.901955415566</v>
      </c>
      <c r="F53" s="784">
        <f t="shared" si="3"/>
        <v>-255963.02957205672</v>
      </c>
      <c r="G53" s="783">
        <f t="shared" si="4"/>
        <v>1474161.299142241</v>
      </c>
      <c r="I53" s="325"/>
      <c r="J53" s="790">
        <f t="shared" si="5"/>
        <v>-5486.0768349342115</v>
      </c>
      <c r="K53" s="784">
        <f t="shared" si="6"/>
        <v>-133573.24538059082</v>
      </c>
      <c r="L53" s="784">
        <f t="shared" si="7"/>
        <v>-139059.32221552503</v>
      </c>
      <c r="M53" s="784">
        <f t="shared" si="8"/>
        <v>12981.616243807486</v>
      </c>
      <c r="N53" s="784">
        <f t="shared" si="9"/>
        <v>0</v>
      </c>
      <c r="O53" s="784">
        <f t="shared" si="10"/>
        <v>9.9000000685919076E-2</v>
      </c>
      <c r="P53" s="787"/>
      <c r="Q53" s="788">
        <f t="shared" si="11"/>
        <v>99114.762919822184</v>
      </c>
      <c r="R53" s="787"/>
      <c r="S53" s="788">
        <f t="shared" si="12"/>
        <v>138920.34935973259</v>
      </c>
      <c r="T53" s="792"/>
      <c r="U53" s="788">
        <f t="shared" si="13"/>
        <v>0</v>
      </c>
      <c r="V53" s="792"/>
      <c r="W53" s="788">
        <f t="shared" si="14"/>
        <v>1586118.7054500785</v>
      </c>
      <c r="X53" s="792"/>
      <c r="Y53" s="788">
        <f t="shared" ca="1" si="15"/>
        <v>-361560.5291733343</v>
      </c>
      <c r="Z53" s="789"/>
      <c r="AA53" s="788">
        <f t="shared" ca="1" si="16"/>
        <v>1224558.1762767441</v>
      </c>
      <c r="AB53" s="328"/>
      <c r="AC53" s="292"/>
      <c r="AD53" s="328"/>
      <c r="AE53" s="292"/>
      <c r="AF53" s="292"/>
      <c r="AG53" s="289"/>
      <c r="AH53" s="329"/>
      <c r="AI53" s="329"/>
      <c r="AJ53" s="329"/>
      <c r="AK53" s="329"/>
      <c r="AL53" s="329"/>
      <c r="AM53" s="329"/>
      <c r="AN53" s="330"/>
      <c r="AO53" s="330"/>
      <c r="AP53" s="330"/>
      <c r="AQ53" s="330"/>
      <c r="AR53" s="306"/>
      <c r="AS53" s="301"/>
      <c r="AT53" s="301"/>
      <c r="AU53" s="281"/>
      <c r="AV53" s="281"/>
    </row>
    <row r="54" spans="2:147" s="302" customFormat="1" x14ac:dyDescent="0.2">
      <c r="B54" s="331">
        <f t="shared" si="17"/>
        <v>2057</v>
      </c>
      <c r="C54" s="784">
        <f t="shared" si="0"/>
        <v>2002219.3388551215</v>
      </c>
      <c r="D54" s="784">
        <f t="shared" si="1"/>
        <v>-126656.21517427311</v>
      </c>
      <c r="E54" s="784">
        <f t="shared" si="2"/>
        <v>-10877.998262087507</v>
      </c>
      <c r="F54" s="784">
        <f t="shared" si="3"/>
        <v>0</v>
      </c>
      <c r="G54" s="783">
        <f t="shared" si="4"/>
        <v>1864685.1254187608</v>
      </c>
      <c r="I54" s="325"/>
      <c r="J54" s="790">
        <f t="shared" si="5"/>
        <v>0</v>
      </c>
      <c r="K54" s="784">
        <f t="shared" si="6"/>
        <v>0</v>
      </c>
      <c r="L54" s="784">
        <f t="shared" si="7"/>
        <v>0</v>
      </c>
      <c r="M54" s="784">
        <f t="shared" si="8"/>
        <v>13266.074581726716</v>
      </c>
      <c r="N54" s="784">
        <f t="shared" si="9"/>
        <v>0</v>
      </c>
      <c r="O54" s="784">
        <f t="shared" si="10"/>
        <v>9.9000000685919076E-2</v>
      </c>
      <c r="P54" s="787"/>
      <c r="Q54" s="788">
        <f t="shared" si="11"/>
        <v>0</v>
      </c>
      <c r="R54" s="787"/>
      <c r="S54" s="788">
        <f t="shared" si="12"/>
        <v>0</v>
      </c>
      <c r="T54" s="792"/>
      <c r="U54" s="788">
        <f t="shared" si="13"/>
        <v>0</v>
      </c>
      <c r="V54" s="792"/>
      <c r="W54" s="788">
        <f t="shared" si="14"/>
        <v>1877951.2000004875</v>
      </c>
      <c r="X54" s="792"/>
      <c r="Y54" s="788">
        <f t="shared" ca="1" si="15"/>
        <v>-390657.44932356075</v>
      </c>
      <c r="Z54" s="789"/>
      <c r="AA54" s="788">
        <f t="shared" ca="1" si="16"/>
        <v>1487293.7506769267</v>
      </c>
      <c r="AB54" s="328"/>
      <c r="AC54" s="292"/>
      <c r="AD54" s="328"/>
      <c r="AE54" s="292"/>
      <c r="AF54" s="292"/>
      <c r="AG54" s="289"/>
      <c r="AH54" s="329"/>
      <c r="AI54" s="329"/>
      <c r="AJ54" s="329"/>
      <c r="AK54" s="329"/>
      <c r="AL54" s="329"/>
      <c r="AM54" s="329"/>
      <c r="AN54" s="330"/>
      <c r="AO54" s="330"/>
      <c r="AP54" s="330"/>
      <c r="AQ54" s="330"/>
      <c r="AR54" s="306"/>
      <c r="AS54" s="301"/>
      <c r="AT54" s="301"/>
      <c r="AU54" s="281"/>
      <c r="AV54" s="281"/>
    </row>
    <row r="55" spans="2:147" s="302" customFormat="1" x14ac:dyDescent="0.2">
      <c r="B55" s="331">
        <f t="shared" si="17"/>
        <v>2058</v>
      </c>
      <c r="C55" s="784">
        <f t="shared" si="0"/>
        <v>2155286.5505584273</v>
      </c>
      <c r="D55" s="784">
        <f t="shared" si="1"/>
        <v>-133916.39371936084</v>
      </c>
      <c r="E55" s="784">
        <f t="shared" si="2"/>
        <v>-11703.98707545153</v>
      </c>
      <c r="F55" s="784">
        <f t="shared" si="3"/>
        <v>0</v>
      </c>
      <c r="G55" s="783">
        <f t="shared" si="4"/>
        <v>2009666.1697636149</v>
      </c>
      <c r="I55" s="325"/>
      <c r="J55" s="790">
        <f t="shared" si="5"/>
        <v>0</v>
      </c>
      <c r="K55" s="784">
        <f t="shared" si="6"/>
        <v>0</v>
      </c>
      <c r="L55" s="784">
        <f t="shared" si="7"/>
        <v>0</v>
      </c>
      <c r="M55" s="784">
        <f t="shared" si="8"/>
        <v>13209.619932323629</v>
      </c>
      <c r="N55" s="784">
        <f t="shared" si="9"/>
        <v>0</v>
      </c>
      <c r="O55" s="784">
        <f t="shared" si="10"/>
        <v>9.9000000685919076E-2</v>
      </c>
      <c r="P55" s="787"/>
      <c r="Q55" s="788">
        <f t="shared" si="11"/>
        <v>0</v>
      </c>
      <c r="R55" s="787"/>
      <c r="S55" s="788">
        <f t="shared" si="12"/>
        <v>0</v>
      </c>
      <c r="T55" s="792"/>
      <c r="U55" s="788">
        <f t="shared" si="13"/>
        <v>0</v>
      </c>
      <c r="V55" s="792"/>
      <c r="W55" s="788">
        <f t="shared" si="14"/>
        <v>2022875.7896959386</v>
      </c>
      <c r="X55" s="792"/>
      <c r="Y55" s="788">
        <f t="shared" ca="1" si="15"/>
        <v>-420680.82391730789</v>
      </c>
      <c r="Z55" s="789"/>
      <c r="AA55" s="788">
        <f t="shared" ca="1" si="16"/>
        <v>1602194.9657786307</v>
      </c>
      <c r="AB55" s="328"/>
      <c r="AC55" s="292"/>
      <c r="AD55" s="328"/>
      <c r="AE55" s="292"/>
      <c r="AF55" s="292"/>
      <c r="AG55" s="289"/>
      <c r="AH55" s="329"/>
      <c r="AI55" s="329"/>
      <c r="AJ55" s="329"/>
      <c r="AK55" s="329"/>
      <c r="AL55" s="329"/>
      <c r="AM55" s="329"/>
      <c r="AN55" s="330"/>
      <c r="AO55" s="330"/>
      <c r="AP55" s="330"/>
      <c r="AQ55" s="330"/>
      <c r="AR55" s="306"/>
      <c r="AS55" s="301"/>
      <c r="AT55" s="301"/>
      <c r="AU55" s="281"/>
      <c r="AV55" s="281"/>
    </row>
    <row r="56" spans="2:147" s="302" customFormat="1" x14ac:dyDescent="0.2">
      <c r="B56" s="331">
        <f t="shared" si="17"/>
        <v>2059</v>
      </c>
      <c r="C56" s="784">
        <f t="shared" si="0"/>
        <v>2320055.5627807616</v>
      </c>
      <c r="D56" s="784">
        <f t="shared" si="1"/>
        <v>-141592.73970190145</v>
      </c>
      <c r="E56" s="784">
        <f t="shared" si="2"/>
        <v>-12593.122376190302</v>
      </c>
      <c r="F56" s="784">
        <f t="shared" si="3"/>
        <v>0</v>
      </c>
      <c r="G56" s="783">
        <f t="shared" si="4"/>
        <v>2165869.7007026696</v>
      </c>
      <c r="I56" s="325"/>
      <c r="J56" s="790">
        <f t="shared" si="5"/>
        <v>0</v>
      </c>
      <c r="K56" s="784">
        <f t="shared" si="6"/>
        <v>0</v>
      </c>
      <c r="L56" s="784">
        <f t="shared" si="7"/>
        <v>0</v>
      </c>
      <c r="M56" s="784">
        <f t="shared" si="8"/>
        <v>13148.974364401478</v>
      </c>
      <c r="N56" s="784">
        <f t="shared" si="9"/>
        <v>0</v>
      </c>
      <c r="O56" s="784">
        <f t="shared" si="10"/>
        <v>9.9000000685919076E-2</v>
      </c>
      <c r="P56" s="787"/>
      <c r="Q56" s="788">
        <f t="shared" si="11"/>
        <v>0</v>
      </c>
      <c r="R56" s="787"/>
      <c r="S56" s="788">
        <f t="shared" si="12"/>
        <v>0</v>
      </c>
      <c r="T56" s="792"/>
      <c r="U56" s="788">
        <f t="shared" si="13"/>
        <v>0</v>
      </c>
      <c r="V56" s="792"/>
      <c r="W56" s="788">
        <f t="shared" si="14"/>
        <v>2179018.6750670709</v>
      </c>
      <c r="X56" s="792"/>
      <c r="Y56" s="788">
        <f t="shared" ca="1" si="15"/>
        <v>-453021.68358548247</v>
      </c>
      <c r="Z56" s="789"/>
      <c r="AA56" s="788">
        <f t="shared" ca="1" si="16"/>
        <v>1725996.9914815885</v>
      </c>
      <c r="AB56" s="328"/>
      <c r="AC56" s="292"/>
      <c r="AD56" s="328"/>
      <c r="AE56" s="292"/>
      <c r="AF56" s="292"/>
      <c r="AG56" s="289"/>
      <c r="AH56" s="329"/>
      <c r="AI56" s="329"/>
      <c r="AJ56" s="329"/>
      <c r="AK56" s="329"/>
      <c r="AL56" s="329"/>
      <c r="AM56" s="329"/>
      <c r="AN56" s="330"/>
      <c r="AO56" s="330"/>
      <c r="AP56" s="330"/>
      <c r="AQ56" s="330"/>
      <c r="AR56" s="306"/>
      <c r="AS56" s="301"/>
      <c r="AT56" s="301"/>
      <c r="AU56" s="281"/>
      <c r="AV56" s="281"/>
    </row>
    <row r="57" spans="2:147" s="302" customFormat="1" x14ac:dyDescent="0.2">
      <c r="B57" s="331">
        <f t="shared" si="17"/>
        <v>2060</v>
      </c>
      <c r="C57" s="784">
        <f t="shared" si="0"/>
        <v>2497420.9638135266</v>
      </c>
      <c r="D57" s="784">
        <f t="shared" si="1"/>
        <v>-149709.10864210289</v>
      </c>
      <c r="E57" s="784">
        <f t="shared" si="2"/>
        <v>-13550.017342808085</v>
      </c>
      <c r="F57" s="784">
        <f t="shared" si="3"/>
        <v>0</v>
      </c>
      <c r="G57" s="783">
        <f t="shared" si="4"/>
        <v>2334161.8378286157</v>
      </c>
      <c r="I57" s="325"/>
      <c r="J57" s="790">
        <f t="shared" si="5"/>
        <v>0</v>
      </c>
      <c r="K57" s="784">
        <f t="shared" si="6"/>
        <v>0</v>
      </c>
      <c r="L57" s="784">
        <f t="shared" si="7"/>
        <v>0</v>
      </c>
      <c r="M57" s="784">
        <f t="shared" si="8"/>
        <v>13042.999778069923</v>
      </c>
      <c r="N57" s="784">
        <f t="shared" si="9"/>
        <v>0</v>
      </c>
      <c r="O57" s="784">
        <f t="shared" si="10"/>
        <v>9.9000000685919076E-2</v>
      </c>
      <c r="P57" s="787"/>
      <c r="Q57" s="788">
        <f t="shared" si="11"/>
        <v>0</v>
      </c>
      <c r="R57" s="787"/>
      <c r="S57" s="788">
        <f t="shared" si="12"/>
        <v>0</v>
      </c>
      <c r="T57" s="792"/>
      <c r="U57" s="788">
        <f t="shared" si="13"/>
        <v>0</v>
      </c>
      <c r="V57" s="792"/>
      <c r="W57" s="788">
        <f t="shared" si="14"/>
        <v>2347204.8376066857</v>
      </c>
      <c r="X57" s="792"/>
      <c r="Y57" s="788">
        <f t="shared" ca="1" si="15"/>
        <v>-487854.95606015594</v>
      </c>
      <c r="Z57" s="789"/>
      <c r="AA57" s="788">
        <f t="shared" ca="1" si="16"/>
        <v>1859349.8815465297</v>
      </c>
      <c r="AB57" s="328"/>
      <c r="AC57" s="292"/>
      <c r="AD57" s="328"/>
      <c r="AE57" s="292"/>
      <c r="AF57" s="292"/>
      <c r="AG57" s="289"/>
      <c r="AH57" s="329"/>
      <c r="AI57" s="329"/>
      <c r="AJ57" s="329"/>
      <c r="AK57" s="329"/>
      <c r="AL57" s="329"/>
      <c r="AM57" s="329"/>
      <c r="AN57" s="330"/>
      <c r="AO57" s="330"/>
      <c r="AP57" s="330"/>
      <c r="AQ57" s="330"/>
      <c r="AR57" s="306"/>
      <c r="AS57" s="301"/>
      <c r="AT57" s="301"/>
      <c r="AU57" s="281"/>
      <c r="AV57" s="281"/>
    </row>
    <row r="58" spans="2:147" s="302" customFormat="1" ht="13.5" thickBot="1" x14ac:dyDescent="0.25">
      <c r="B58" s="332">
        <f t="shared" si="17"/>
        <v>2061</v>
      </c>
      <c r="C58" s="784">
        <f t="shared" si="0"/>
        <v>1796688.1199474703</v>
      </c>
      <c r="D58" s="784">
        <f t="shared" si="1"/>
        <v>-107117.28412503307</v>
      </c>
      <c r="E58" s="784">
        <f t="shared" si="2"/>
        <v>-9865.7511136003723</v>
      </c>
      <c r="F58" s="784">
        <f t="shared" si="3"/>
        <v>0</v>
      </c>
      <c r="G58" s="783">
        <f t="shared" si="4"/>
        <v>1679705.0847088369</v>
      </c>
      <c r="I58" s="325"/>
      <c r="J58" s="790">
        <f t="shared" si="5"/>
        <v>0</v>
      </c>
      <c r="K58" s="784">
        <f t="shared" si="6"/>
        <v>0</v>
      </c>
      <c r="L58" s="784">
        <f t="shared" si="7"/>
        <v>0</v>
      </c>
      <c r="M58" s="784">
        <f t="shared" si="8"/>
        <v>8604.564377373923</v>
      </c>
      <c r="N58" s="784">
        <f t="shared" si="9"/>
        <v>0</v>
      </c>
      <c r="O58" s="784">
        <f t="shared" si="10"/>
        <v>9.9000000685919076E-2</v>
      </c>
      <c r="P58" s="787"/>
      <c r="Q58" s="788">
        <f t="shared" si="11"/>
        <v>0</v>
      </c>
      <c r="R58" s="787"/>
      <c r="S58" s="788">
        <f t="shared" si="12"/>
        <v>0</v>
      </c>
      <c r="T58" s="792"/>
      <c r="U58" s="788">
        <f t="shared" si="13"/>
        <v>0</v>
      </c>
      <c r="V58" s="792"/>
      <c r="W58" s="788">
        <f t="shared" si="14"/>
        <v>1688309.6490862109</v>
      </c>
      <c r="X58" s="792"/>
      <c r="Y58" s="788">
        <f t="shared" ca="1" si="15"/>
        <v>-269792.75283256453</v>
      </c>
      <c r="Z58" s="789"/>
      <c r="AA58" s="788">
        <f t="shared" ca="1" si="16"/>
        <v>1418516.8962536464</v>
      </c>
      <c r="AB58" s="328"/>
      <c r="AC58" s="292"/>
      <c r="AD58" s="328"/>
      <c r="AE58" s="292"/>
      <c r="AF58" s="292"/>
      <c r="AG58" s="289"/>
      <c r="AH58" s="329"/>
      <c r="AI58" s="329"/>
      <c r="AJ58" s="329"/>
      <c r="AK58" s="329"/>
      <c r="AL58" s="329"/>
      <c r="AM58" s="329"/>
      <c r="AN58" s="330"/>
      <c r="AO58" s="330"/>
      <c r="AP58" s="330"/>
      <c r="AQ58" s="330"/>
      <c r="AR58" s="306"/>
      <c r="AS58" s="301"/>
      <c r="AT58" s="301"/>
      <c r="AU58" s="281"/>
      <c r="AV58" s="281"/>
    </row>
    <row r="59" spans="2:147" ht="13.5" thickBot="1" x14ac:dyDescent="0.25">
      <c r="B59" s="333"/>
      <c r="C59" s="785">
        <f>+SUM(C15:C58)</f>
        <v>38517738.332421623</v>
      </c>
      <c r="D59" s="785">
        <f>+SUM(D15:D58)</f>
        <v>-2912934.1994395768</v>
      </c>
      <c r="E59" s="785">
        <f>+SUM(E15:E58)</f>
        <v>-209073.66959467556</v>
      </c>
      <c r="F59" s="785">
        <f>+SUM(F15:F58)</f>
        <v>-692329.72836553829</v>
      </c>
      <c r="G59" s="785">
        <f>+SUM(G15:G58)</f>
        <v>34703400.735021822</v>
      </c>
      <c r="I59" s="334"/>
      <c r="J59" s="785">
        <f>+SUM(J15:J58)</f>
        <v>-3183772.609542625</v>
      </c>
      <c r="K59" s="785">
        <f>+SUM(K15:K58)</f>
        <v>-1751229.4683499921</v>
      </c>
      <c r="L59" s="785">
        <f>+SUM(L15:L58)</f>
        <v>-4935002.0778926183</v>
      </c>
      <c r="M59" s="793"/>
      <c r="N59" s="785">
        <f>+SUM(N15:N58)</f>
        <v>688105.10770846205</v>
      </c>
      <c r="O59" s="785" t="s">
        <v>375</v>
      </c>
      <c r="P59" s="787"/>
      <c r="Q59" s="785">
        <f>+SUM(Q15:Q48)</f>
        <v>-41713.531747568784</v>
      </c>
      <c r="R59" s="787"/>
      <c r="S59" s="785">
        <f>+SUM(S15:S48)</f>
        <v>-214129.58233853907</v>
      </c>
      <c r="T59" s="791"/>
      <c r="U59" s="785">
        <f>+SUM(U15:U48)</f>
        <v>52505.482649999991</v>
      </c>
      <c r="V59" s="791"/>
      <c r="W59" s="793" t="s">
        <v>375</v>
      </c>
      <c r="X59" s="791"/>
      <c r="Y59" s="793" t="s">
        <v>375</v>
      </c>
      <c r="Z59" s="794"/>
      <c r="AA59" s="793" t="s">
        <v>375</v>
      </c>
      <c r="AB59" s="328"/>
      <c r="AC59" s="335"/>
      <c r="AD59" s="328"/>
      <c r="AE59" s="335"/>
      <c r="AF59" s="335"/>
      <c r="AG59" s="289"/>
      <c r="AH59" s="289"/>
      <c r="AI59" s="289"/>
      <c r="AJ59" s="289"/>
      <c r="AK59" s="328"/>
      <c r="AL59" s="328"/>
      <c r="AM59" s="289"/>
      <c r="AN59" s="289"/>
      <c r="AO59" s="289"/>
      <c r="AP59" s="289"/>
      <c r="AQ59" s="289"/>
      <c r="AR59" s="306"/>
      <c r="AS59" s="301"/>
      <c r="AT59" s="301"/>
    </row>
    <row r="60" spans="2:147" x14ac:dyDescent="0.2">
      <c r="B60" s="333"/>
      <c r="C60" s="336"/>
      <c r="D60" s="336"/>
      <c r="E60" s="336"/>
      <c r="F60" s="336"/>
      <c r="G60" s="336"/>
      <c r="H60" s="336"/>
      <c r="I60" s="336"/>
      <c r="J60" s="336"/>
      <c r="K60" s="336"/>
      <c r="L60" s="336"/>
      <c r="M60" s="336"/>
      <c r="N60" s="302"/>
      <c r="O60" s="302"/>
      <c r="P60" s="302"/>
      <c r="Q60" s="302"/>
      <c r="R60" s="281"/>
      <c r="S60" s="281"/>
      <c r="T60" s="281"/>
      <c r="U60" s="281"/>
      <c r="V60" s="281"/>
      <c r="W60" s="281"/>
      <c r="X60" s="281"/>
      <c r="Y60" s="281"/>
      <c r="Z60" s="281"/>
      <c r="AA60" s="281"/>
      <c r="AB60" s="281"/>
      <c r="AC60" s="281"/>
      <c r="AD60" s="281"/>
      <c r="AE60" s="281"/>
      <c r="AF60" s="281"/>
      <c r="AG60" s="281"/>
      <c r="AH60" s="281"/>
      <c r="AI60" s="336"/>
      <c r="AJ60" s="336"/>
      <c r="AK60" s="336"/>
      <c r="AL60" s="336"/>
      <c r="AM60" s="336"/>
      <c r="AN60" s="336"/>
      <c r="AO60" s="336"/>
      <c r="AP60" s="304"/>
      <c r="AQ60" s="305"/>
      <c r="AR60" s="306"/>
      <c r="AS60" s="301"/>
      <c r="AT60" s="301"/>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row>
    <row r="61" spans="2:147" x14ac:dyDescent="0.2">
      <c r="C61" s="337"/>
      <c r="E61" s="338"/>
      <c r="F61" s="339"/>
      <c r="G61" s="281"/>
      <c r="H61" s="281"/>
      <c r="I61" s="289"/>
      <c r="J61" s="281"/>
      <c r="K61" s="281"/>
      <c r="L61" s="281"/>
      <c r="M61" s="281"/>
      <c r="N61" s="281"/>
      <c r="O61" s="281"/>
      <c r="P61" s="302"/>
      <c r="Q61" s="302"/>
      <c r="R61" s="302"/>
      <c r="S61" s="281"/>
      <c r="T61" s="281"/>
      <c r="U61" s="281"/>
      <c r="V61" s="281"/>
      <c r="W61" s="281"/>
      <c r="X61" s="281"/>
      <c r="Y61" s="281"/>
      <c r="Z61" s="281"/>
      <c r="AA61" s="281"/>
      <c r="AB61" s="281"/>
      <c r="AC61" s="281"/>
      <c r="AD61" s="281"/>
      <c r="AE61" s="281"/>
      <c r="AF61" s="281"/>
      <c r="AG61" s="281"/>
      <c r="AH61" s="281"/>
      <c r="AI61" s="281"/>
      <c r="AJ61" s="281"/>
      <c r="AK61" s="281"/>
      <c r="AL61" s="281"/>
      <c r="AM61" s="281"/>
      <c r="AQ61" s="305"/>
      <c r="AR61" s="306"/>
      <c r="AS61" s="301"/>
      <c r="AT61" s="301"/>
    </row>
    <row r="62" spans="2:147" x14ac:dyDescent="0.2">
      <c r="B62" s="340"/>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9"/>
      <c r="AI62" s="289"/>
      <c r="AJ62" s="289"/>
      <c r="AK62" s="289"/>
      <c r="AL62" s="289"/>
      <c r="AM62" s="289"/>
      <c r="AN62" s="302"/>
      <c r="AQ62" s="305"/>
      <c r="AR62" s="306"/>
      <c r="AS62" s="301"/>
      <c r="AT62" s="301"/>
    </row>
    <row r="63" spans="2:147" ht="9.75" customHeight="1" x14ac:dyDescent="0.2">
      <c r="B63" s="289"/>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9"/>
      <c r="AI63" s="289"/>
      <c r="AJ63" s="341"/>
      <c r="AK63" s="341"/>
      <c r="AL63" s="341"/>
      <c r="AM63" s="341"/>
      <c r="AN63" s="342"/>
      <c r="AQ63" s="305"/>
      <c r="AR63" s="306"/>
      <c r="AS63" s="301"/>
      <c r="AT63" s="301"/>
    </row>
    <row r="64" spans="2:147" ht="24.75" customHeight="1" x14ac:dyDescent="0.2">
      <c r="B64" s="307"/>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9"/>
      <c r="AI64" s="289"/>
      <c r="AJ64" s="289"/>
      <c r="AK64" s="289"/>
      <c r="AL64" s="289"/>
      <c r="AM64" s="289"/>
      <c r="AN64" s="289"/>
      <c r="AQ64" s="305"/>
      <c r="AR64" s="306"/>
      <c r="AS64" s="301"/>
      <c r="AT64" s="301"/>
    </row>
    <row r="65" spans="2:46" ht="9.75" customHeight="1" x14ac:dyDescent="0.2">
      <c r="B65" s="289"/>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9"/>
      <c r="AI65" s="289"/>
      <c r="AJ65" s="341"/>
      <c r="AK65" s="341"/>
      <c r="AL65" s="341"/>
      <c r="AM65" s="341"/>
      <c r="AN65" s="342"/>
      <c r="AQ65" s="305"/>
      <c r="AR65" s="306"/>
      <c r="AS65" s="301"/>
      <c r="AT65" s="301"/>
    </row>
    <row r="66" spans="2:46" ht="24.75" customHeight="1" x14ac:dyDescent="0.2">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9"/>
      <c r="AI66" s="289"/>
      <c r="AJ66" s="284"/>
      <c r="AK66" s="284"/>
      <c r="AL66" s="284"/>
      <c r="AM66" s="284"/>
      <c r="AN66" s="289"/>
      <c r="AQ66" s="305"/>
      <c r="AR66" s="306"/>
      <c r="AS66" s="301"/>
      <c r="AT66" s="301"/>
    </row>
    <row r="67" spans="2:46" ht="24.75" customHeight="1" x14ac:dyDescent="0.2">
      <c r="B67" s="343"/>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9"/>
      <c r="AI67" s="289"/>
      <c r="AJ67" s="344"/>
      <c r="AK67" s="289"/>
      <c r="AL67" s="289"/>
      <c r="AM67" s="344"/>
      <c r="AN67" s="289"/>
      <c r="AQ67" s="305"/>
      <c r="AR67" s="306"/>
      <c r="AS67" s="301"/>
      <c r="AT67" s="301"/>
    </row>
    <row r="68" spans="2:46" ht="24.75" customHeight="1" x14ac:dyDescent="0.2">
      <c r="B68" s="343"/>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9"/>
      <c r="AI68" s="289"/>
      <c r="AJ68" s="344"/>
      <c r="AK68" s="289"/>
      <c r="AL68" s="289"/>
      <c r="AM68" s="344"/>
      <c r="AN68" s="289"/>
      <c r="AQ68" s="305"/>
      <c r="AR68" s="306"/>
      <c r="AS68" s="301"/>
      <c r="AT68" s="301"/>
    </row>
    <row r="69" spans="2:46" ht="24.75" customHeight="1" x14ac:dyDescent="0.2">
      <c r="B69" s="343"/>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9"/>
      <c r="AI69" s="289"/>
      <c r="AJ69" s="344"/>
      <c r="AK69" s="289"/>
      <c r="AL69" s="289"/>
      <c r="AM69" s="344"/>
      <c r="AN69" s="345"/>
      <c r="AQ69" s="305"/>
      <c r="AR69" s="306"/>
      <c r="AS69" s="301"/>
      <c r="AT69" s="301"/>
    </row>
    <row r="70" spans="2:46" ht="24.75" customHeight="1" x14ac:dyDescent="0.2">
      <c r="B70" s="343"/>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9"/>
      <c r="AI70" s="289"/>
      <c r="AJ70" s="289"/>
      <c r="AK70" s="289"/>
      <c r="AL70" s="289"/>
      <c r="AM70" s="289"/>
      <c r="AN70" s="302"/>
      <c r="AQ70" s="305"/>
      <c r="AR70" s="306"/>
      <c r="AS70" s="301"/>
      <c r="AT70" s="301"/>
    </row>
    <row r="71" spans="2:46" ht="24.75" customHeight="1" x14ac:dyDescent="0.2">
      <c r="B71" s="343"/>
      <c r="E71" s="300"/>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9"/>
      <c r="AI71" s="289"/>
      <c r="AJ71" s="341"/>
      <c r="AK71" s="341"/>
      <c r="AL71" s="341"/>
      <c r="AM71" s="341"/>
      <c r="AN71" s="346"/>
      <c r="AQ71" s="305"/>
      <c r="AR71" s="306"/>
      <c r="AS71" s="301"/>
      <c r="AT71" s="301"/>
    </row>
    <row r="72" spans="2:46" ht="24.75" customHeight="1" x14ac:dyDescent="0.2">
      <c r="B72" s="343"/>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9"/>
      <c r="AI72" s="289"/>
      <c r="AJ72" s="289"/>
      <c r="AK72" s="289"/>
      <c r="AL72" s="289"/>
      <c r="AM72" s="289"/>
      <c r="AN72" s="289"/>
      <c r="AQ72" s="305"/>
      <c r="AR72" s="306"/>
      <c r="AS72" s="301"/>
      <c r="AT72" s="301"/>
    </row>
    <row r="73" spans="2:46" ht="21.75" customHeight="1" x14ac:dyDescent="0.2">
      <c r="B73" s="343"/>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9"/>
      <c r="AI73" s="289"/>
      <c r="AJ73" s="347"/>
      <c r="AK73" s="348"/>
      <c r="AL73" s="349"/>
      <c r="AM73" s="349"/>
      <c r="AN73" s="289"/>
      <c r="AQ73" s="305"/>
      <c r="AR73" s="306"/>
      <c r="AS73" s="301"/>
      <c r="AT73" s="301"/>
    </row>
    <row r="74" spans="2:46" x14ac:dyDescent="0.2">
      <c r="B74" s="343"/>
      <c r="C74" s="350"/>
      <c r="D74" s="350"/>
      <c r="E74" s="350"/>
      <c r="F74" s="350"/>
      <c r="G74" s="350"/>
      <c r="H74" s="350"/>
      <c r="I74" s="289"/>
      <c r="J74" s="289"/>
      <c r="K74" s="289"/>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9"/>
      <c r="AI74" s="289"/>
      <c r="AJ74" s="289"/>
      <c r="AK74" s="301"/>
      <c r="AL74" s="289"/>
      <c r="AM74" s="289"/>
      <c r="AN74" s="289"/>
      <c r="AQ74" s="305"/>
      <c r="AR74" s="306"/>
      <c r="AS74" s="301"/>
      <c r="AT74" s="301"/>
    </row>
    <row r="75" spans="2:46" x14ac:dyDescent="0.2">
      <c r="B75" s="343"/>
      <c r="C75" s="350"/>
      <c r="D75" s="350"/>
      <c r="E75" s="350"/>
      <c r="F75" s="350"/>
      <c r="G75" s="350"/>
      <c r="H75" s="350"/>
      <c r="I75" s="289"/>
      <c r="J75" s="289"/>
      <c r="K75" s="289"/>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9"/>
      <c r="AI75" s="289"/>
      <c r="AJ75" s="289"/>
      <c r="AK75" s="289"/>
      <c r="AL75" s="289"/>
      <c r="AM75" s="301"/>
      <c r="AN75" s="301"/>
      <c r="AQ75" s="305"/>
      <c r="AR75" s="306"/>
      <c r="AS75" s="301"/>
      <c r="AT75" s="301"/>
    </row>
    <row r="76" spans="2:46" x14ac:dyDescent="0.2">
      <c r="B76" s="343"/>
      <c r="C76" s="350"/>
      <c r="D76" s="350"/>
      <c r="E76" s="350"/>
      <c r="F76" s="350"/>
      <c r="G76" s="350"/>
      <c r="H76" s="350"/>
      <c r="I76" s="289"/>
      <c r="J76" s="289"/>
      <c r="K76" s="289"/>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9"/>
      <c r="AI76" s="289"/>
      <c r="AJ76" s="289"/>
      <c r="AK76" s="289"/>
      <c r="AL76" s="289"/>
      <c r="AM76" s="301"/>
      <c r="AN76" s="289"/>
      <c r="AQ76" s="305"/>
      <c r="AR76" s="306"/>
      <c r="AS76" s="301"/>
      <c r="AT76" s="301"/>
    </row>
    <row r="77" spans="2:46" x14ac:dyDescent="0.2">
      <c r="B77" s="343"/>
      <c r="C77" s="350"/>
      <c r="D77" s="350"/>
      <c r="E77" s="350"/>
      <c r="F77" s="350"/>
      <c r="G77" s="350"/>
      <c r="H77" s="350"/>
      <c r="I77" s="289"/>
      <c r="J77" s="289"/>
      <c r="K77" s="289"/>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9"/>
      <c r="AI77" s="289"/>
      <c r="AJ77" s="289"/>
      <c r="AK77" s="289"/>
      <c r="AL77" s="289"/>
      <c r="AM77" s="301"/>
      <c r="AN77" s="346"/>
      <c r="AQ77" s="305"/>
      <c r="AR77" s="306"/>
      <c r="AS77" s="301"/>
      <c r="AT77" s="301"/>
    </row>
    <row r="78" spans="2:46" x14ac:dyDescent="0.2">
      <c r="B78" s="343"/>
      <c r="C78" s="350"/>
      <c r="D78" s="350"/>
      <c r="E78" s="350"/>
      <c r="F78" s="350"/>
      <c r="G78" s="350"/>
      <c r="H78" s="350"/>
      <c r="I78" s="289"/>
      <c r="J78" s="289"/>
      <c r="K78" s="289"/>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9"/>
      <c r="AI78" s="289"/>
      <c r="AJ78" s="289"/>
      <c r="AK78" s="289"/>
      <c r="AL78" s="289"/>
      <c r="AM78" s="301"/>
      <c r="AN78" s="289"/>
      <c r="AQ78" s="305"/>
      <c r="AR78" s="306"/>
      <c r="AS78" s="301"/>
      <c r="AT78" s="301"/>
    </row>
    <row r="79" spans="2:46" x14ac:dyDescent="0.2">
      <c r="B79" s="343"/>
      <c r="C79" s="350"/>
      <c r="D79" s="350"/>
      <c r="E79" s="350"/>
      <c r="F79" s="350"/>
      <c r="G79" s="350"/>
      <c r="H79" s="350"/>
      <c r="I79" s="289"/>
      <c r="J79" s="289"/>
      <c r="K79" s="289"/>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9"/>
      <c r="AI79" s="289"/>
      <c r="AJ79" s="289"/>
      <c r="AK79" s="289"/>
      <c r="AL79" s="289"/>
      <c r="AM79" s="301"/>
      <c r="AN79" s="289"/>
      <c r="AQ79" s="305"/>
      <c r="AR79" s="306"/>
      <c r="AS79" s="301"/>
      <c r="AT79" s="301"/>
    </row>
    <row r="80" spans="2:46" x14ac:dyDescent="0.2">
      <c r="B80" s="343"/>
      <c r="C80" s="350"/>
      <c r="D80" s="350"/>
      <c r="E80" s="350"/>
      <c r="F80" s="350"/>
      <c r="G80" s="350"/>
      <c r="H80" s="350"/>
      <c r="I80" s="289"/>
      <c r="J80" s="289"/>
      <c r="K80" s="289"/>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9"/>
      <c r="AI80" s="289"/>
      <c r="AJ80" s="289"/>
      <c r="AK80" s="289"/>
      <c r="AL80" s="289"/>
      <c r="AM80" s="301"/>
      <c r="AN80" s="289"/>
      <c r="AQ80" s="305"/>
      <c r="AR80" s="306"/>
      <c r="AS80" s="301"/>
      <c r="AT80" s="301"/>
    </row>
    <row r="81" spans="2:46" x14ac:dyDescent="0.2">
      <c r="B81" s="343"/>
      <c r="C81" s="350"/>
      <c r="D81" s="350"/>
      <c r="E81" s="350"/>
      <c r="F81" s="350"/>
      <c r="G81" s="350"/>
      <c r="H81" s="350"/>
      <c r="I81" s="289"/>
      <c r="J81" s="289"/>
      <c r="K81" s="289"/>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9"/>
      <c r="AI81" s="289"/>
      <c r="AJ81" s="289"/>
      <c r="AK81" s="289"/>
      <c r="AL81" s="289"/>
      <c r="AM81" s="301"/>
      <c r="AN81" s="301"/>
      <c r="AQ81" s="305"/>
      <c r="AR81" s="306"/>
      <c r="AS81" s="301"/>
      <c r="AT81" s="301"/>
    </row>
    <row r="82" spans="2:46" x14ac:dyDescent="0.2">
      <c r="B82" s="343"/>
      <c r="C82" s="350"/>
      <c r="D82" s="350"/>
      <c r="E82" s="350"/>
      <c r="F82" s="350"/>
      <c r="G82" s="350"/>
      <c r="H82" s="350"/>
      <c r="I82" s="289"/>
      <c r="J82" s="289"/>
      <c r="K82" s="289"/>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9"/>
      <c r="AI82" s="289"/>
      <c r="AJ82" s="289"/>
      <c r="AK82" s="289"/>
      <c r="AL82" s="289"/>
      <c r="AM82" s="301"/>
      <c r="AN82" s="289"/>
      <c r="AQ82" s="305"/>
      <c r="AR82" s="306"/>
      <c r="AS82" s="301"/>
      <c r="AT82" s="301"/>
    </row>
    <row r="83" spans="2:46" x14ac:dyDescent="0.2">
      <c r="B83" s="343"/>
      <c r="C83" s="350"/>
      <c r="D83" s="350"/>
      <c r="E83" s="350"/>
      <c r="F83" s="350"/>
      <c r="G83" s="350"/>
      <c r="H83" s="350"/>
      <c r="I83" s="289"/>
      <c r="J83" s="289"/>
      <c r="K83" s="289"/>
      <c r="L83" s="281"/>
      <c r="M83" s="281"/>
      <c r="N83" s="281"/>
      <c r="O83" s="281"/>
      <c r="P83" s="281"/>
      <c r="Q83" s="281"/>
      <c r="R83" s="351"/>
      <c r="S83" s="281"/>
      <c r="T83" s="281"/>
      <c r="U83" s="281"/>
      <c r="V83" s="281"/>
      <c r="W83" s="281"/>
      <c r="X83" s="281"/>
      <c r="Y83" s="281"/>
      <c r="Z83" s="281"/>
      <c r="AA83" s="281"/>
      <c r="AB83" s="281"/>
      <c r="AC83" s="281"/>
      <c r="AD83" s="281"/>
      <c r="AE83" s="281"/>
      <c r="AF83" s="281"/>
      <c r="AG83" s="281"/>
      <c r="AH83" s="289"/>
      <c r="AI83" s="289"/>
      <c r="AJ83" s="289"/>
      <c r="AK83" s="289"/>
      <c r="AL83" s="289"/>
      <c r="AM83" s="301"/>
      <c r="AN83" s="289"/>
      <c r="AQ83" s="305"/>
      <c r="AR83" s="306"/>
      <c r="AS83" s="301"/>
      <c r="AT83" s="301"/>
    </row>
    <row r="84" spans="2:46" x14ac:dyDescent="0.2">
      <c r="B84" s="343"/>
      <c r="C84" s="350"/>
      <c r="D84" s="350"/>
      <c r="E84" s="350"/>
      <c r="F84" s="350"/>
      <c r="G84" s="350"/>
      <c r="H84" s="350"/>
      <c r="I84" s="289"/>
      <c r="J84" s="289"/>
      <c r="K84" s="289"/>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9"/>
      <c r="AI84" s="289"/>
      <c r="AJ84" s="289"/>
      <c r="AK84" s="289"/>
      <c r="AL84" s="289"/>
      <c r="AM84" s="301"/>
      <c r="AN84" s="289"/>
      <c r="AQ84" s="305"/>
      <c r="AR84" s="306"/>
      <c r="AS84" s="301"/>
      <c r="AT84" s="301"/>
    </row>
    <row r="85" spans="2:46" x14ac:dyDescent="0.2">
      <c r="B85" s="343"/>
      <c r="C85" s="350"/>
      <c r="D85" s="350"/>
      <c r="E85" s="350"/>
      <c r="F85" s="350"/>
      <c r="G85" s="350"/>
      <c r="H85" s="350"/>
      <c r="I85" s="289"/>
      <c r="J85" s="289"/>
      <c r="K85" s="289"/>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9"/>
      <c r="AI85" s="289"/>
      <c r="AJ85" s="289"/>
      <c r="AK85" s="289"/>
      <c r="AL85" s="289"/>
      <c r="AM85" s="301"/>
      <c r="AN85" s="289"/>
      <c r="AQ85" s="305"/>
      <c r="AR85" s="306"/>
      <c r="AS85" s="301"/>
      <c r="AT85" s="301"/>
    </row>
    <row r="86" spans="2:46" x14ac:dyDescent="0.2">
      <c r="B86" s="343"/>
      <c r="C86" s="350"/>
      <c r="D86" s="350"/>
      <c r="E86" s="350"/>
      <c r="F86" s="350"/>
      <c r="G86" s="350"/>
      <c r="H86" s="350"/>
      <c r="I86" s="289"/>
      <c r="J86" s="289"/>
      <c r="K86" s="289"/>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9"/>
      <c r="AI86" s="289"/>
      <c r="AJ86" s="289"/>
      <c r="AK86" s="289"/>
      <c r="AL86" s="289"/>
      <c r="AM86" s="301"/>
      <c r="AN86" s="289"/>
      <c r="AQ86" s="305"/>
      <c r="AR86" s="306"/>
      <c r="AS86" s="301"/>
      <c r="AT86" s="301"/>
    </row>
    <row r="87" spans="2:46" x14ac:dyDescent="0.2">
      <c r="B87" s="343"/>
      <c r="C87" s="350"/>
      <c r="D87" s="350"/>
      <c r="E87" s="350"/>
      <c r="F87" s="350"/>
      <c r="G87" s="350"/>
      <c r="H87" s="350"/>
      <c r="I87" s="289"/>
      <c r="J87" s="289"/>
      <c r="K87" s="289"/>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9"/>
      <c r="AI87" s="289"/>
      <c r="AJ87" s="289"/>
      <c r="AK87" s="289"/>
      <c r="AL87" s="289"/>
      <c r="AM87" s="301"/>
      <c r="AN87" s="289"/>
      <c r="AQ87" s="305"/>
      <c r="AR87" s="306"/>
      <c r="AS87" s="301"/>
      <c r="AT87" s="301"/>
    </row>
    <row r="88" spans="2:46" x14ac:dyDescent="0.2">
      <c r="B88" s="343"/>
      <c r="C88" s="350"/>
      <c r="D88" s="350"/>
      <c r="E88" s="350"/>
      <c r="F88" s="350"/>
      <c r="G88" s="350"/>
      <c r="H88" s="350"/>
      <c r="I88" s="289"/>
      <c r="J88" s="289"/>
      <c r="K88" s="289"/>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9"/>
      <c r="AI88" s="289"/>
      <c r="AJ88" s="289"/>
      <c r="AK88" s="289"/>
      <c r="AL88" s="289"/>
      <c r="AM88" s="301"/>
      <c r="AN88" s="289"/>
      <c r="AQ88" s="305"/>
      <c r="AR88" s="306"/>
      <c r="AS88" s="301"/>
      <c r="AT88" s="301"/>
    </row>
    <row r="89" spans="2:46" x14ac:dyDescent="0.2">
      <c r="B89" s="343"/>
      <c r="C89" s="350"/>
      <c r="D89" s="350"/>
      <c r="E89" s="350"/>
      <c r="F89" s="350"/>
      <c r="G89" s="350"/>
      <c r="H89" s="350"/>
      <c r="I89" s="289"/>
      <c r="J89" s="289"/>
      <c r="K89" s="289"/>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9"/>
      <c r="AI89" s="289"/>
      <c r="AJ89" s="289"/>
      <c r="AK89" s="289"/>
      <c r="AL89" s="289"/>
      <c r="AM89" s="301"/>
      <c r="AN89" s="289"/>
      <c r="AQ89" s="305"/>
      <c r="AR89" s="306"/>
      <c r="AS89" s="301"/>
      <c r="AT89" s="301"/>
    </row>
    <row r="90" spans="2:46" x14ac:dyDescent="0.2">
      <c r="B90" s="343"/>
      <c r="C90" s="350"/>
      <c r="D90" s="350"/>
      <c r="E90" s="350"/>
      <c r="F90" s="350"/>
      <c r="G90" s="350"/>
      <c r="H90" s="350"/>
      <c r="I90" s="289"/>
      <c r="J90" s="289"/>
      <c r="K90" s="289"/>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9"/>
      <c r="AI90" s="289"/>
      <c r="AJ90" s="289"/>
      <c r="AK90" s="289"/>
      <c r="AL90" s="289"/>
      <c r="AM90" s="301"/>
      <c r="AN90" s="289"/>
      <c r="AQ90" s="305"/>
      <c r="AR90" s="306"/>
      <c r="AS90" s="301"/>
      <c r="AT90" s="301"/>
    </row>
    <row r="91" spans="2:46" x14ac:dyDescent="0.2">
      <c r="B91" s="343"/>
      <c r="C91" s="350"/>
      <c r="D91" s="350"/>
      <c r="E91" s="350"/>
      <c r="F91" s="350"/>
      <c r="G91" s="350"/>
      <c r="H91" s="350"/>
      <c r="I91" s="289"/>
      <c r="J91" s="289"/>
      <c r="K91" s="289"/>
      <c r="L91" s="281"/>
      <c r="M91" s="281"/>
      <c r="N91" s="281"/>
      <c r="O91" s="281"/>
      <c r="P91" s="281"/>
      <c r="Q91" s="281"/>
      <c r="R91" s="281"/>
      <c r="S91" s="281" t="s">
        <v>377</v>
      </c>
      <c r="T91" s="281"/>
      <c r="U91" s="281"/>
      <c r="V91" s="281"/>
      <c r="W91" s="281"/>
      <c r="X91" s="281"/>
      <c r="Y91" s="281"/>
      <c r="Z91" s="281"/>
      <c r="AA91" s="281"/>
      <c r="AB91" s="281"/>
      <c r="AC91" s="281"/>
      <c r="AD91" s="281"/>
      <c r="AE91" s="281"/>
      <c r="AF91" s="281"/>
      <c r="AG91" s="281"/>
      <c r="AH91" s="289"/>
      <c r="AI91" s="289"/>
      <c r="AJ91" s="289"/>
      <c r="AK91" s="289"/>
      <c r="AL91" s="289"/>
      <c r="AM91" s="301"/>
      <c r="AN91" s="289"/>
      <c r="AQ91" s="305"/>
      <c r="AR91" s="306"/>
      <c r="AS91" s="301"/>
      <c r="AT91" s="301"/>
    </row>
    <row r="92" spans="2:46" x14ac:dyDescent="0.2">
      <c r="B92" s="343"/>
      <c r="C92" s="350"/>
      <c r="D92" s="350"/>
      <c r="E92" s="350"/>
      <c r="F92" s="350"/>
      <c r="G92" s="350"/>
      <c r="H92" s="350"/>
      <c r="I92" s="289"/>
      <c r="J92" s="289"/>
      <c r="K92" s="289"/>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9"/>
      <c r="AI92" s="289"/>
      <c r="AJ92" s="289"/>
      <c r="AK92" s="289"/>
      <c r="AL92" s="289"/>
      <c r="AM92" s="301"/>
      <c r="AN92" s="289"/>
      <c r="AQ92" s="305"/>
      <c r="AR92" s="306"/>
      <c r="AS92" s="301"/>
      <c r="AT92" s="301"/>
    </row>
    <row r="93" spans="2:46" x14ac:dyDescent="0.2">
      <c r="B93" s="343"/>
      <c r="C93" s="350"/>
      <c r="D93" s="350"/>
      <c r="E93" s="350"/>
      <c r="F93" s="350"/>
      <c r="G93" s="350"/>
      <c r="H93" s="350"/>
      <c r="I93" s="289"/>
      <c r="J93" s="289"/>
      <c r="K93" s="289"/>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9"/>
      <c r="AI93" s="289"/>
      <c r="AJ93" s="289"/>
      <c r="AK93" s="289"/>
      <c r="AL93" s="289"/>
      <c r="AM93" s="301"/>
      <c r="AN93" s="289"/>
      <c r="AQ93" s="305"/>
      <c r="AR93" s="306"/>
      <c r="AS93" s="301"/>
      <c r="AT93" s="301"/>
    </row>
    <row r="94" spans="2:46" x14ac:dyDescent="0.2">
      <c r="B94" s="343"/>
      <c r="C94" s="350"/>
      <c r="D94" s="350"/>
      <c r="E94" s="350"/>
      <c r="F94" s="350"/>
      <c r="G94" s="350"/>
      <c r="H94" s="350"/>
      <c r="I94" s="289"/>
      <c r="J94" s="289"/>
      <c r="K94" s="289"/>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9"/>
      <c r="AI94" s="289"/>
      <c r="AJ94" s="289"/>
      <c r="AK94" s="289"/>
      <c r="AL94" s="289"/>
      <c r="AM94" s="301"/>
      <c r="AN94" s="289"/>
      <c r="AQ94" s="305"/>
      <c r="AR94" s="306"/>
      <c r="AS94" s="301"/>
      <c r="AT94" s="301"/>
    </row>
    <row r="95" spans="2:46" x14ac:dyDescent="0.2">
      <c r="B95" s="343"/>
      <c r="C95" s="350"/>
      <c r="D95" s="350"/>
      <c r="E95" s="350"/>
      <c r="F95" s="350"/>
      <c r="G95" s="350"/>
      <c r="H95" s="350"/>
      <c r="I95" s="289"/>
      <c r="J95" s="289"/>
      <c r="K95" s="289"/>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9"/>
      <c r="AI95" s="289"/>
      <c r="AJ95" s="289"/>
      <c r="AK95" s="289"/>
      <c r="AL95" s="289"/>
      <c r="AM95" s="301"/>
      <c r="AN95" s="289"/>
      <c r="AQ95" s="305"/>
      <c r="AR95" s="306"/>
      <c r="AS95" s="301"/>
      <c r="AT95" s="301"/>
    </row>
    <row r="96" spans="2:46" x14ac:dyDescent="0.2">
      <c r="B96" s="343"/>
      <c r="C96" s="350"/>
      <c r="D96" s="350"/>
      <c r="E96" s="350"/>
      <c r="F96" s="350"/>
      <c r="G96" s="350"/>
      <c r="H96" s="350"/>
      <c r="I96" s="289"/>
      <c r="J96" s="289"/>
      <c r="K96" s="289"/>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9"/>
      <c r="AI96" s="289"/>
      <c r="AJ96" s="289"/>
      <c r="AK96" s="289"/>
      <c r="AL96" s="289"/>
      <c r="AM96" s="301"/>
      <c r="AN96" s="289"/>
      <c r="AQ96" s="305"/>
      <c r="AR96" s="306"/>
      <c r="AS96" s="301"/>
      <c r="AT96" s="301"/>
    </row>
    <row r="97" spans="2:65" x14ac:dyDescent="0.2">
      <c r="B97" s="343"/>
      <c r="C97" s="350"/>
      <c r="D97" s="350"/>
      <c r="E97" s="350"/>
      <c r="F97" s="350"/>
      <c r="G97" s="350"/>
      <c r="H97" s="350"/>
      <c r="I97" s="289"/>
      <c r="J97" s="289"/>
      <c r="K97" s="289"/>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9"/>
      <c r="AI97" s="289"/>
      <c r="AJ97" s="289"/>
      <c r="AK97" s="289"/>
      <c r="AL97" s="289"/>
      <c r="AM97" s="301"/>
      <c r="AN97" s="289"/>
      <c r="AQ97" s="305"/>
      <c r="AR97" s="306"/>
      <c r="AS97" s="301"/>
      <c r="AT97" s="301"/>
    </row>
    <row r="98" spans="2:65" x14ac:dyDescent="0.2">
      <c r="B98" s="343"/>
      <c r="C98" s="350"/>
      <c r="D98" s="350"/>
      <c r="E98" s="350"/>
      <c r="F98" s="350"/>
      <c r="G98" s="350"/>
      <c r="H98" s="350"/>
      <c r="I98" s="289"/>
      <c r="J98" s="289"/>
      <c r="K98" s="289"/>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9"/>
      <c r="AI98" s="289"/>
      <c r="AJ98" s="289"/>
      <c r="AK98" s="289"/>
      <c r="AL98" s="289"/>
      <c r="AM98" s="301"/>
      <c r="AN98" s="289"/>
      <c r="AQ98" s="305"/>
      <c r="AR98" s="306"/>
      <c r="AS98" s="301"/>
      <c r="AT98" s="301"/>
    </row>
    <row r="99" spans="2:65" x14ac:dyDescent="0.2">
      <c r="B99" s="343"/>
      <c r="C99" s="350"/>
      <c r="D99" s="350"/>
      <c r="E99" s="350"/>
      <c r="F99" s="350"/>
      <c r="G99" s="350"/>
      <c r="H99" s="350"/>
      <c r="I99" s="289"/>
      <c r="J99" s="289"/>
      <c r="K99" s="289"/>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9"/>
      <c r="AI99" s="289"/>
      <c r="AJ99" s="289"/>
      <c r="AK99" s="289"/>
      <c r="AL99" s="289"/>
      <c r="AM99" s="301"/>
      <c r="AN99" s="289"/>
      <c r="AQ99" s="305"/>
      <c r="AR99" s="306"/>
      <c r="AS99" s="301"/>
      <c r="AT99" s="301"/>
    </row>
    <row r="100" spans="2:65" x14ac:dyDescent="0.2">
      <c r="B100" s="343"/>
      <c r="C100" s="350"/>
      <c r="D100" s="350"/>
      <c r="E100" s="350"/>
      <c r="F100" s="350"/>
      <c r="G100" s="350"/>
      <c r="H100" s="350"/>
      <c r="I100" s="289"/>
      <c r="J100" s="289"/>
      <c r="K100" s="289"/>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9"/>
      <c r="AI100" s="289"/>
      <c r="AJ100" s="289"/>
      <c r="AK100" s="289"/>
      <c r="AL100" s="289"/>
      <c r="AM100" s="301"/>
      <c r="AN100" s="289"/>
      <c r="AQ100" s="305"/>
      <c r="AR100" s="306"/>
      <c r="AS100" s="301"/>
      <c r="AT100" s="301"/>
    </row>
    <row r="101" spans="2:65" x14ac:dyDescent="0.2">
      <c r="B101" s="343"/>
      <c r="C101" s="350"/>
      <c r="D101" s="350"/>
      <c r="E101" s="350"/>
      <c r="F101" s="350"/>
      <c r="G101" s="350"/>
      <c r="H101" s="350"/>
      <c r="I101" s="289"/>
      <c r="J101" s="289"/>
      <c r="K101" s="289"/>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9"/>
      <c r="AI101" s="289"/>
      <c r="AJ101" s="289"/>
      <c r="AK101" s="289"/>
      <c r="AL101" s="289"/>
      <c r="AM101" s="301"/>
      <c r="AN101" s="289"/>
      <c r="AQ101" s="305"/>
      <c r="AR101" s="306"/>
      <c r="AS101" s="301"/>
      <c r="AT101" s="301"/>
    </row>
    <row r="102" spans="2:65" x14ac:dyDescent="0.2">
      <c r="B102" s="343"/>
      <c r="C102" s="350"/>
      <c r="D102" s="350"/>
      <c r="E102" s="350"/>
      <c r="F102" s="350"/>
      <c r="G102" s="350"/>
      <c r="H102" s="350"/>
      <c r="I102" s="289"/>
      <c r="J102" s="289"/>
      <c r="K102" s="289"/>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9"/>
      <c r="AI102" s="289"/>
      <c r="AJ102" s="289"/>
      <c r="AK102" s="289"/>
      <c r="AL102" s="289"/>
      <c r="AM102" s="301"/>
      <c r="AN102" s="289"/>
      <c r="AQ102" s="305"/>
      <c r="AR102" s="306"/>
      <c r="AS102" s="301"/>
      <c r="AT102" s="301"/>
    </row>
    <row r="103" spans="2:65" x14ac:dyDescent="0.2">
      <c r="B103" s="343"/>
      <c r="C103" s="350"/>
      <c r="D103" s="350"/>
      <c r="E103" s="350"/>
      <c r="F103" s="350"/>
      <c r="G103" s="350"/>
      <c r="H103" s="350"/>
      <c r="I103" s="289"/>
      <c r="J103" s="289"/>
      <c r="K103" s="289"/>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9"/>
      <c r="AI103" s="289"/>
      <c r="AJ103" s="289"/>
      <c r="AK103" s="289"/>
      <c r="AL103" s="289"/>
      <c r="AM103" s="301"/>
      <c r="AN103" s="289"/>
      <c r="AQ103" s="305"/>
      <c r="AR103" s="306"/>
      <c r="AS103" s="301"/>
      <c r="AT103" s="301"/>
    </row>
    <row r="104" spans="2:65" x14ac:dyDescent="0.2">
      <c r="B104" s="343"/>
      <c r="C104" s="350"/>
      <c r="D104" s="350"/>
      <c r="E104" s="350"/>
      <c r="F104" s="350"/>
      <c r="G104" s="350"/>
      <c r="H104" s="350"/>
      <c r="I104" s="289"/>
      <c r="J104" s="289"/>
      <c r="K104" s="289"/>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9"/>
      <c r="AI104" s="289"/>
      <c r="AJ104" s="352"/>
      <c r="AK104" s="352"/>
      <c r="AL104" s="352"/>
      <c r="AM104" s="345"/>
      <c r="AN104" s="289"/>
      <c r="AQ104" s="305"/>
      <c r="AR104" s="306"/>
      <c r="AS104" s="301"/>
      <c r="AT104" s="301"/>
    </row>
    <row r="105" spans="2:65" x14ac:dyDescent="0.2">
      <c r="B105" s="343"/>
      <c r="C105" s="350"/>
      <c r="D105" s="350"/>
      <c r="E105" s="350"/>
      <c r="F105" s="350"/>
      <c r="G105" s="350"/>
      <c r="H105" s="350"/>
      <c r="I105" s="289"/>
      <c r="J105" s="289"/>
      <c r="K105" s="289"/>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9"/>
      <c r="AI105" s="289"/>
      <c r="AJ105" s="289"/>
      <c r="AK105" s="289"/>
      <c r="AL105" s="289"/>
      <c r="AM105" s="289"/>
      <c r="AN105" s="289"/>
      <c r="AQ105" s="305"/>
      <c r="AR105" s="306"/>
      <c r="AS105" s="301"/>
      <c r="AT105" s="301"/>
    </row>
    <row r="106" spans="2:65" x14ac:dyDescent="0.2">
      <c r="AQ106" s="305"/>
      <c r="AR106" s="306"/>
      <c r="AS106" s="301"/>
      <c r="AT106" s="301"/>
    </row>
    <row r="107" spans="2:65" x14ac:dyDescent="0.2">
      <c r="D107" s="302"/>
      <c r="E107" s="302">
        <v>2017</v>
      </c>
      <c r="F107" s="302">
        <f t="shared" ref="F107:AW107" si="18">+E107+1</f>
        <v>2018</v>
      </c>
      <c r="G107" s="302">
        <f t="shared" si="18"/>
        <v>2019</v>
      </c>
      <c r="H107" s="302">
        <f t="shared" si="18"/>
        <v>2020</v>
      </c>
      <c r="I107" s="302">
        <f t="shared" si="18"/>
        <v>2021</v>
      </c>
      <c r="J107" s="302">
        <f t="shared" si="18"/>
        <v>2022</v>
      </c>
      <c r="K107" s="302">
        <f t="shared" si="18"/>
        <v>2023</v>
      </c>
      <c r="L107" s="302">
        <f t="shared" si="18"/>
        <v>2024</v>
      </c>
      <c r="M107" s="302">
        <f t="shared" si="18"/>
        <v>2025</v>
      </c>
      <c r="N107" s="302">
        <f t="shared" si="18"/>
        <v>2026</v>
      </c>
      <c r="O107" s="302">
        <f t="shared" si="18"/>
        <v>2027</v>
      </c>
      <c r="P107" s="302">
        <f t="shared" si="18"/>
        <v>2028</v>
      </c>
      <c r="Q107" s="302">
        <f t="shared" si="18"/>
        <v>2029</v>
      </c>
      <c r="R107" s="302">
        <f t="shared" si="18"/>
        <v>2030</v>
      </c>
      <c r="S107" s="302">
        <f t="shared" si="18"/>
        <v>2031</v>
      </c>
      <c r="T107" s="302">
        <f t="shared" si="18"/>
        <v>2032</v>
      </c>
      <c r="U107" s="302">
        <f t="shared" si="18"/>
        <v>2033</v>
      </c>
      <c r="V107" s="302">
        <f t="shared" si="18"/>
        <v>2034</v>
      </c>
      <c r="W107" s="302">
        <f t="shared" si="18"/>
        <v>2035</v>
      </c>
      <c r="X107" s="302">
        <f t="shared" si="18"/>
        <v>2036</v>
      </c>
      <c r="Y107" s="302">
        <f t="shared" si="18"/>
        <v>2037</v>
      </c>
      <c r="Z107" s="302">
        <f t="shared" si="18"/>
        <v>2038</v>
      </c>
      <c r="AA107" s="302">
        <f t="shared" si="18"/>
        <v>2039</v>
      </c>
      <c r="AB107" s="302">
        <f t="shared" si="18"/>
        <v>2040</v>
      </c>
      <c r="AC107" s="302">
        <f t="shared" si="18"/>
        <v>2041</v>
      </c>
      <c r="AD107" s="302">
        <f t="shared" si="18"/>
        <v>2042</v>
      </c>
      <c r="AE107" s="302">
        <f t="shared" si="18"/>
        <v>2043</v>
      </c>
      <c r="AF107" s="302">
        <f t="shared" si="18"/>
        <v>2044</v>
      </c>
      <c r="AG107" s="302">
        <f t="shared" si="18"/>
        <v>2045</v>
      </c>
      <c r="AH107" s="302">
        <f t="shared" si="18"/>
        <v>2046</v>
      </c>
      <c r="AI107" s="302">
        <f t="shared" si="18"/>
        <v>2047</v>
      </c>
      <c r="AJ107" s="302">
        <f t="shared" si="18"/>
        <v>2048</v>
      </c>
      <c r="AK107" s="302">
        <f t="shared" si="18"/>
        <v>2049</v>
      </c>
      <c r="AL107" s="302">
        <f t="shared" si="18"/>
        <v>2050</v>
      </c>
      <c r="AM107" s="302">
        <f t="shared" si="18"/>
        <v>2051</v>
      </c>
      <c r="AN107" s="302">
        <f t="shared" si="18"/>
        <v>2052</v>
      </c>
      <c r="AO107" s="302">
        <f t="shared" si="18"/>
        <v>2053</v>
      </c>
      <c r="AP107" s="302">
        <f t="shared" si="18"/>
        <v>2054</v>
      </c>
      <c r="AQ107" s="302">
        <f t="shared" si="18"/>
        <v>2055</v>
      </c>
      <c r="AR107" s="302">
        <f t="shared" si="18"/>
        <v>2056</v>
      </c>
      <c r="AS107" s="302">
        <f t="shared" si="18"/>
        <v>2057</v>
      </c>
      <c r="AT107" s="302">
        <f t="shared" si="18"/>
        <v>2058</v>
      </c>
      <c r="AU107" s="302">
        <f t="shared" si="18"/>
        <v>2059</v>
      </c>
      <c r="AV107" s="302">
        <f t="shared" si="18"/>
        <v>2060</v>
      </c>
      <c r="AW107" s="302">
        <f t="shared" si="18"/>
        <v>2061</v>
      </c>
      <c r="BI107" s="283"/>
      <c r="BJ107" s="283"/>
      <c r="BK107" s="283"/>
      <c r="BL107" s="283"/>
      <c r="BM107" s="283"/>
    </row>
    <row r="108" spans="2:65" x14ac:dyDescent="0.2">
      <c r="B108" s="281" t="s">
        <v>270</v>
      </c>
      <c r="D108" s="353"/>
      <c r="E108" s="676">
        <f>+CF!R25+CF!R26+CF!R33+CF!R29</f>
        <v>0</v>
      </c>
      <c r="F108" s="676">
        <f>+CF!S25+CF!S26+CF!S33+CF!S29</f>
        <v>118885.88824258334</v>
      </c>
      <c r="G108" s="676">
        <f>+CF!T25+CF!T26+CF!T33+CF!T29</f>
        <v>135523.30071911303</v>
      </c>
      <c r="H108" s="676">
        <f>+CF!U25+CF!U26+CF!U33+CF!U29</f>
        <v>155007.90602940397</v>
      </c>
      <c r="I108" s="676">
        <f>+CF!V25+CF!V26+CF!V33+CF!V29</f>
        <v>177172.65595104065</v>
      </c>
      <c r="J108" s="676">
        <f>+CF!W25+CF!W26+CF!W33+CF!W29</f>
        <v>190618.33383550725</v>
      </c>
      <c r="K108" s="676">
        <f>+CF!X25+CF!X26+CF!X33+CF!X29</f>
        <v>205083.20401391943</v>
      </c>
      <c r="L108" s="676">
        <f>+CF!Y25+CF!Y26+CF!Y33+CF!Y29</f>
        <v>220644.46141165117</v>
      </c>
      <c r="M108" s="676">
        <f>+CF!Z25+CF!Z26+CF!Z33+CF!Z29</f>
        <v>237385.14474138763</v>
      </c>
      <c r="N108" s="676">
        <f>+CF!AA25+CF!AA26+CF!AA33+CF!AA29</f>
        <v>255394.57873366229</v>
      </c>
      <c r="O108" s="676">
        <f>+CF!AB25+CF!AB26+CF!AB33+CF!AB29</f>
        <v>276228.42658277228</v>
      </c>
      <c r="P108" s="676">
        <f>+CF!AC25+CF!AC26+CF!AC33+CF!AC29</f>
        <v>298758.97588646598</v>
      </c>
      <c r="Q108" s="676">
        <f>+CF!AD25+CF!AD26+CF!AD33+CF!AD29</f>
        <v>323124.27256532089</v>
      </c>
      <c r="R108" s="676">
        <f>+CF!AE25+CF!AE26+CF!AE33+CF!AE29</f>
        <v>349473.58787748212</v>
      </c>
      <c r="S108" s="676">
        <f>+CF!AF25+CF!AF26+CF!AF33+CF!AF29</f>
        <v>377968.33092216315</v>
      </c>
      <c r="T108" s="676">
        <f>+CF!AG25+CF!AG26+CF!AG33+CF!AG29</f>
        <v>404274.70615933061</v>
      </c>
      <c r="U108" s="676">
        <f>+CF!AH25+CF!AH26+CF!AH33+CF!AH29</f>
        <v>432135.8195189283</v>
      </c>
      <c r="V108" s="676">
        <f>+CF!AI25+CF!AI26+CF!AI33+CF!AI29</f>
        <v>461537.30685369787</v>
      </c>
      <c r="W108" s="676">
        <f>+CF!AJ25+CF!AJ26+CF!AJ33+CF!AJ29</f>
        <v>492416.79754232417</v>
      </c>
      <c r="X108" s="676">
        <f>+CF!AK25+CF!AK26+CF!AK33+CF!AK29</f>
        <v>524642.9923395334</v>
      </c>
      <c r="Y108" s="676">
        <f>+CF!AL25+CF!AL26+CF!AL33+CF!AL29</f>
        <v>562789.32042620645</v>
      </c>
      <c r="Z108" s="676">
        <f>+CF!AM25+CF!AM26+CF!AM33+CF!AM29</f>
        <v>603709.23429929616</v>
      </c>
      <c r="AA108" s="676">
        <f>+CF!AN25+CF!AN26+CF!AN33+CF!AN29</f>
        <v>647604.3989289446</v>
      </c>
      <c r="AB108" s="676">
        <f>+CF!AO25+CF!AO26+CF!AO33+CF!AO29</f>
        <v>694691.1421669611</v>
      </c>
      <c r="AC108" s="676">
        <f>+CF!AP25+CF!AP26+CF!AP33+CF!AP29</f>
        <v>745201.52087198477</v>
      </c>
      <c r="AD108" s="676">
        <f>+CF!AQ25+CF!AQ26+CF!AQ33+CF!AQ29</f>
        <v>792674.2453344469</v>
      </c>
      <c r="AE108" s="676">
        <f>+CF!AR25+CF!AR26+CF!AR33+CF!AR29</f>
        <v>843171.19814959902</v>
      </c>
      <c r="AF108" s="676">
        <f>+CF!AS25+CF!AS26+CF!AS33+CF!AS29</f>
        <v>896885.03641123092</v>
      </c>
      <c r="AG108" s="676">
        <f>+CF!AT25+CF!AT26+CF!AT33+CF!AT29</f>
        <v>954020.69034579908</v>
      </c>
      <c r="AH108" s="676">
        <f>+CF!AU25+CF!AU26+CF!AU33+CF!AU29</f>
        <v>1014796.1451667695</v>
      </c>
      <c r="AI108" s="676">
        <f>+CF!AV25+CF!AV26+CF!AV33+CF!AV29</f>
        <v>1077480.5551897804</v>
      </c>
      <c r="AJ108" s="676">
        <f>+CF!AW25+CF!AW26+CF!AW33+CF!AW29</f>
        <v>1144037.0091485586</v>
      </c>
      <c r="AK108" s="676">
        <f>+CF!AX25+CF!AX26+CF!AX33+CF!AX29</f>
        <v>1214704.6849221813</v>
      </c>
      <c r="AL108" s="676">
        <f>+CF!AY25+CF!AY26+CF!AY33+CF!AY29</f>
        <v>1289737.5345138805</v>
      </c>
      <c r="AM108" s="676">
        <f>+CF!AZ25+CF!AZ26+CF!AZ33+CF!AZ29</f>
        <v>1369405.1966552755</v>
      </c>
      <c r="AN108" s="676">
        <f>+CF!BA25+CF!BA26+CF!BA33+CF!BA29</f>
        <v>1455892.2500829627</v>
      </c>
      <c r="AO108" s="676">
        <f>+CF!BB25+CF!BB26+CF!BB33+CF!BB29</f>
        <v>1547841.5366238826</v>
      </c>
      <c r="AP108" s="676">
        <f>+CF!BC25+CF!BC26+CF!BC33+CF!BC29</f>
        <v>1645598.032657746</v>
      </c>
      <c r="AQ108" s="676">
        <f>+CF!BD25+CF!BD26+CF!BD33+CF!BD29</f>
        <v>1749528.5021189298</v>
      </c>
      <c r="AR108" s="676">
        <f>+CF!BE25+CF!BE26+CF!BE33+CF!BE29</f>
        <v>1860022.8725255821</v>
      </c>
      <c r="AS108" s="676">
        <f>+CF!BF25+CF!BF26+CF!BF33+CF!BF29</f>
        <v>2002219.3388551215</v>
      </c>
      <c r="AT108" s="676">
        <f>+CF!BG25+CF!BG26+CF!BG33+CF!BG29</f>
        <v>2155286.5505584273</v>
      </c>
      <c r="AU108" s="676">
        <f>+CF!BH25+CF!BH26+CF!BH33+CF!BH29</f>
        <v>2320055.5627807616</v>
      </c>
      <c r="AV108" s="676">
        <f>+CF!BI25+CF!BI26+CF!BI33+CF!BI29</f>
        <v>2497420.9638135266</v>
      </c>
      <c r="AW108" s="676">
        <f>+CF!BJ25+CF!BJ26+CF!BJ33+CF!BJ29</f>
        <v>1796688.1199474703</v>
      </c>
      <c r="AX108" s="283"/>
      <c r="AY108" s="283"/>
      <c r="AZ108" s="283"/>
      <c r="BA108" s="283"/>
      <c r="BB108" s="283"/>
      <c r="BC108" s="283"/>
      <c r="BD108" s="283"/>
      <c r="BE108" s="283"/>
      <c r="BF108" s="283"/>
      <c r="BG108" s="283"/>
      <c r="BH108" s="283"/>
      <c r="BI108" s="283"/>
      <c r="BJ108" s="283"/>
      <c r="BK108" s="283"/>
      <c r="BL108" s="283"/>
      <c r="BM108" s="283"/>
    </row>
    <row r="109" spans="2:65" x14ac:dyDescent="0.2">
      <c r="B109" s="281" t="s">
        <v>360</v>
      </c>
      <c r="D109" s="353"/>
      <c r="E109" s="676">
        <f>CF!R27</f>
        <v>0</v>
      </c>
      <c r="F109" s="676">
        <f>CF!S27</f>
        <v>-20866.926728617222</v>
      </c>
      <c r="G109" s="676">
        <f>CF!T27</f>
        <v>-22075.289012235549</v>
      </c>
      <c r="H109" s="676">
        <f>CF!U27</f>
        <v>-23353.625155802732</v>
      </c>
      <c r="I109" s="676">
        <f>CF!V27</f>
        <v>-24705.987206575235</v>
      </c>
      <c r="J109" s="676">
        <f>CF!W27</f>
        <v>-25771.393741783409</v>
      </c>
      <c r="K109" s="676">
        <f>CF!X27</f>
        <v>-26882.74424497689</v>
      </c>
      <c r="L109" s="676">
        <f>CF!Y27</f>
        <v>-28042.019976946256</v>
      </c>
      <c r="M109" s="676">
        <f>CF!Z27</f>
        <v>-29251.287637213056</v>
      </c>
      <c r="N109" s="676">
        <f>CF!AA27</f>
        <v>-30512.70304843966</v>
      </c>
      <c r="O109" s="676">
        <f>CF!AB27</f>
        <v>-32043.527968003862</v>
      </c>
      <c r="P109" s="676">
        <f>CF!AC27</f>
        <v>-33651.154504607315</v>
      </c>
      <c r="Q109" s="676">
        <f>CF!AD27</f>
        <v>-35339.435801940366</v>
      </c>
      <c r="R109" s="676">
        <f>CF!AE27</f>
        <v>-37112.418316241608</v>
      </c>
      <c r="S109" s="676">
        <f>CF!AF27</f>
        <v>-38974.351514804897</v>
      </c>
      <c r="T109" s="676">
        <f>CF!AG27</f>
        <v>-40740.934330237193</v>
      </c>
      <c r="U109" s="676">
        <f>CF!AH27</f>
        <v>-42587.590699750173</v>
      </c>
      <c r="V109" s="676">
        <f>CF!AI27</f>
        <v>-44517.950101683113</v>
      </c>
      <c r="W109" s="676">
        <f>CF!AJ27</f>
        <v>-46535.806527030727</v>
      </c>
      <c r="X109" s="676">
        <f>CF!AK27</f>
        <v>-48645.125936276221</v>
      </c>
      <c r="Y109" s="676">
        <f>CF!AL27</f>
        <v>-51064.989406204753</v>
      </c>
      <c r="Z109" s="676">
        <f>CF!AM27</f>
        <v>-53605.229565480651</v>
      </c>
      <c r="AA109" s="676">
        <f>CF!AN27</f>
        <v>-56271.834581419265</v>
      </c>
      <c r="AB109" s="676">
        <f>CF!AO27</f>
        <v>-59071.090504156869</v>
      </c>
      <c r="AC109" s="676">
        <f>CF!AP27</f>
        <v>-62009.596084903082</v>
      </c>
      <c r="AD109" s="676">
        <f>CF!AQ27</f>
        <v>-64710.374384743314</v>
      </c>
      <c r="AE109" s="676">
        <f>CF!AR27</f>
        <v>-67528.782920634447</v>
      </c>
      <c r="AF109" s="676">
        <f>CF!AS27</f>
        <v>-70469.944983308698</v>
      </c>
      <c r="AG109" s="676">
        <f>CF!AT27</f>
        <v>-73539.207004323398</v>
      </c>
      <c r="AH109" s="676">
        <f>CF!AU27</f>
        <v>-76742.148274780877</v>
      </c>
      <c r="AI109" s="676">
        <f>CF!AV27</f>
        <v>-80199.822342142434</v>
      </c>
      <c r="AJ109" s="676">
        <f>CF!AW27</f>
        <v>-83813.284463720251</v>
      </c>
      <c r="AK109" s="676">
        <f>CF!AX27</f>
        <v>-87589.553785149139</v>
      </c>
      <c r="AL109" s="676">
        <f>CF!AY27</f>
        <v>-91535.96570484525</v>
      </c>
      <c r="AM109" s="675">
        <f>CF!AZ27</f>
        <v>-95660.186123008156</v>
      </c>
      <c r="AN109" s="675">
        <f>CF!BA27</f>
        <v>-100061.91967675925</v>
      </c>
      <c r="AO109" s="675">
        <f>CF!BB27</f>
        <v>-104666.19578309647</v>
      </c>
      <c r="AP109" s="675">
        <f>CF!BC27</f>
        <v>-109482.33428955424</v>
      </c>
      <c r="AQ109" s="354">
        <f>CF!BD27</f>
        <v>-114520.08388964013</v>
      </c>
      <c r="AR109" s="355">
        <f>CF!BE27</f>
        <v>-119789.64185586889</v>
      </c>
      <c r="AS109" s="356">
        <f>CF!BF27</f>
        <v>-126656.21517427311</v>
      </c>
      <c r="AT109" s="356">
        <f>CF!BG27</f>
        <v>-133916.39371936084</v>
      </c>
      <c r="AU109" s="680">
        <f>CF!BH27</f>
        <v>-141592.73970190145</v>
      </c>
      <c r="AV109" s="680">
        <f>CF!BI27</f>
        <v>-149709.10864210289</v>
      </c>
      <c r="AW109" s="680">
        <f>CF!BJ27</f>
        <v>-107117.28412503307</v>
      </c>
      <c r="AX109" s="283"/>
      <c r="AY109" s="283"/>
      <c r="AZ109" s="283"/>
      <c r="BA109" s="283"/>
      <c r="BB109" s="283"/>
      <c r="BC109" s="283"/>
      <c r="BD109" s="283"/>
      <c r="BE109" s="283"/>
      <c r="BF109" s="283"/>
      <c r="BG109" s="283"/>
      <c r="BH109" s="283"/>
      <c r="BI109" s="283"/>
      <c r="BJ109" s="283"/>
      <c r="BK109" s="283"/>
      <c r="BL109" s="283"/>
      <c r="BM109" s="283"/>
    </row>
    <row r="110" spans="2:65" x14ac:dyDescent="0.2">
      <c r="B110" s="281" t="s">
        <v>119</v>
      </c>
      <c r="D110" s="353"/>
      <c r="E110" s="676">
        <f>+CF!R32</f>
        <v>0</v>
      </c>
      <c r="F110" s="676">
        <f>+CF!S32</f>
        <v>-446</v>
      </c>
      <c r="G110" s="676">
        <f>+CF!T32</f>
        <v>-737.58974504569574</v>
      </c>
      <c r="H110" s="676">
        <f>+CF!U32</f>
        <v>-845.09727037031769</v>
      </c>
      <c r="I110" s="676">
        <f>+CF!V32</f>
        <v>-947.27186232849067</v>
      </c>
      <c r="J110" s="676">
        <f>+CF!W32</f>
        <v>-1019.4985617497009</v>
      </c>
      <c r="K110" s="676">
        <f>+CF!X32</f>
        <v>-1097.2312440403507</v>
      </c>
      <c r="L110" s="676">
        <f>+CF!Y32</f>
        <v>-1180.8721342435792</v>
      </c>
      <c r="M110" s="676">
        <f>+CF!Z32</f>
        <v>-1270.0974482756708</v>
      </c>
      <c r="N110" s="676">
        <f>+CF!AA32</f>
        <v>-1366.5625319919407</v>
      </c>
      <c r="O110" s="676">
        <f>+CF!AB32</f>
        <v>-1477.6866800817588</v>
      </c>
      <c r="P110" s="676">
        <f>+CF!AC32</f>
        <v>-1597.9256776029658</v>
      </c>
      <c r="Q110" s="676">
        <f>+CF!AD32</f>
        <v>-1727.2994169124825</v>
      </c>
      <c r="R110" s="676">
        <f>+CF!AE32</f>
        <v>-1867.6403246759485</v>
      </c>
      <c r="S110" s="676">
        <f>+CF!AF32</f>
        <v>-2019.9423845308647</v>
      </c>
      <c r="T110" s="676">
        <f>+CF!AG32</f>
        <v>-2165.5608753220044</v>
      </c>
      <c r="U110" s="676">
        <f>+CF!AH32</f>
        <v>-2321.9700940118796</v>
      </c>
      <c r="V110" s="676">
        <f>+CF!AI32</f>
        <v>-2489.7667838205948</v>
      </c>
      <c r="W110" s="676">
        <f>+CF!AJ32</f>
        <v>-2669.0732419341457</v>
      </c>
      <c r="X110" s="676">
        <f>+CF!AK32</f>
        <v>-2860.4583224723983</v>
      </c>
      <c r="Y110" s="676">
        <f>+CF!AL32</f>
        <v>-3065.0901951231494</v>
      </c>
      <c r="Z110" s="676">
        <f>+CF!AM32</f>
        <v>-3285.9896090785355</v>
      </c>
      <c r="AA110" s="676">
        <f>+CF!AN32</f>
        <v>-3525.1806027610319</v>
      </c>
      <c r="AB110" s="676">
        <f>+CF!AO32</f>
        <v>-3779.4945750365664</v>
      </c>
      <c r="AC110" s="676">
        <f>+CF!AP32</f>
        <v>-4056.8510170263103</v>
      </c>
      <c r="AD110" s="676">
        <f>+CF!AQ32</f>
        <v>-4314.1450040972704</v>
      </c>
      <c r="AE110" s="676">
        <f>+CF!AR32</f>
        <v>-4588.1007215996615</v>
      </c>
      <c r="AF110" s="676">
        <f>+CF!AS32</f>
        <v>-4879.7400909298531</v>
      </c>
      <c r="AG110" s="676">
        <f>+CF!AT32</f>
        <v>-5190.4247287486833</v>
      </c>
      <c r="AH110" s="676">
        <f>+CF!AU32</f>
        <v>-5528.8514273091296</v>
      </c>
      <c r="AI110" s="676">
        <f>+CF!AV32</f>
        <v>-5875.2188723279269</v>
      </c>
      <c r="AJ110" s="676">
        <f>+CF!AW32</f>
        <v>-6235.334184088123</v>
      </c>
      <c r="AK110" s="676">
        <f>+CF!AX32</f>
        <v>-6618.4474026856469</v>
      </c>
      <c r="AL110" s="676">
        <f>+CF!AY32</f>
        <v>-7026.2168164658833</v>
      </c>
      <c r="AM110" s="675">
        <f>+CF!AZ32</f>
        <v>-7459.425386884267</v>
      </c>
      <c r="AN110" s="675">
        <f>+CF!BA32</f>
        <v>-7928.821010847113</v>
      </c>
      <c r="AO110" s="675">
        <f>+CF!BB32</f>
        <v>-8427.8598957397426</v>
      </c>
      <c r="AP110" s="675">
        <f>+CF!BC32</f>
        <v>-8958.4792187224703</v>
      </c>
      <c r="AQ110" s="354">
        <f>+CF!BD32</f>
        <v>-9522.6761102401288</v>
      </c>
      <c r="AR110" s="355">
        <f>+CF!BE32</f>
        <v>-10108.901955415566</v>
      </c>
      <c r="AS110" s="356">
        <f>+CF!BF32</f>
        <v>-10877.998262087507</v>
      </c>
      <c r="AT110" s="356">
        <f>+CF!BG32</f>
        <v>-11703.98707545153</v>
      </c>
      <c r="AU110" s="680">
        <f>+CF!BH32</f>
        <v>-12593.122376190302</v>
      </c>
      <c r="AV110" s="680">
        <f>+CF!BI32</f>
        <v>-13550.017342808085</v>
      </c>
      <c r="AW110" s="680">
        <f>+CF!BJ32</f>
        <v>-9865.7511136003723</v>
      </c>
      <c r="AX110" s="283"/>
      <c r="AY110" s="283"/>
      <c r="AZ110" s="283"/>
      <c r="BA110" s="283"/>
      <c r="BB110" s="283"/>
      <c r="BC110" s="283"/>
      <c r="BD110" s="283"/>
      <c r="BE110" s="283"/>
      <c r="BF110" s="283"/>
      <c r="BG110" s="283"/>
      <c r="BH110" s="283"/>
      <c r="BI110" s="283"/>
      <c r="BJ110" s="283"/>
      <c r="BK110" s="283"/>
      <c r="BL110" s="283"/>
      <c r="BM110" s="283"/>
    </row>
    <row r="111" spans="2:65" x14ac:dyDescent="0.2">
      <c r="B111" s="281" t="s">
        <v>361</v>
      </c>
      <c r="D111" s="353"/>
      <c r="E111" s="676">
        <f>+CF!R28+CF!R30+CF!R31</f>
        <v>0</v>
      </c>
      <c r="F111" s="676">
        <f>+CF!S28+CF!S30+CF!S31</f>
        <v>-7726.0040000000026</v>
      </c>
      <c r="G111" s="676">
        <f>+CF!T28+CF!T30+CF!T31</f>
        <v>-4923.1641749466244</v>
      </c>
      <c r="H111" s="676">
        <f>+CF!U28+CF!U30+CF!U31</f>
        <v>-3516.2529273851965</v>
      </c>
      <c r="I111" s="676">
        <f>+CF!V28+CF!V30+CF!V31</f>
        <v>-2511.4000285149973</v>
      </c>
      <c r="J111" s="676">
        <f>+CF!W28+CF!W30+CF!W31</f>
        <v>-3207.5042996959728</v>
      </c>
      <c r="K111" s="676">
        <f>+CF!X28+CF!X30+CF!X31</f>
        <v>-4096.5532036931381</v>
      </c>
      <c r="L111" s="676">
        <f>+CF!Y28+CF!Y30+CF!Y31</f>
        <v>-5232.0267044627799</v>
      </c>
      <c r="M111" s="676">
        <f>+CF!Z28+CF!Z30+CF!Z31</f>
        <v>-6682.2282233593996</v>
      </c>
      <c r="N111" s="676">
        <f>+CF!AA28+CF!AA30+CF!AA31</f>
        <v>-8534.3933720700988</v>
      </c>
      <c r="O111" s="676">
        <f>+CF!AB28+CF!AB30+CF!AB31</f>
        <v>-7834.4943124637866</v>
      </c>
      <c r="P111" s="676">
        <f>+CF!AC28+CF!AC30+CF!AC31</f>
        <v>-7191.9934383267437</v>
      </c>
      <c r="Q111" s="676">
        <f>+CF!AD28+CF!AD30+CF!AD31</f>
        <v>-6602.1835684591333</v>
      </c>
      <c r="R111" s="676">
        <f>+CF!AE28+CF!AE30+CF!AE31</f>
        <v>-6060.7435539836861</v>
      </c>
      <c r="S111" s="676">
        <f>+CF!AF28+CF!AF30+CF!AF31</f>
        <v>-5563.7066201307889</v>
      </c>
      <c r="T111" s="676">
        <f>+CF!AG28+CF!AG30+CF!AG31</f>
        <v>-7543.7883632894109</v>
      </c>
      <c r="U111" s="676">
        <f>+CF!AH28+CF!AH30+CF!AH31</f>
        <v>-10228.566449602433</v>
      </c>
      <c r="V111" s="676">
        <f>+CF!AI28+CF!AI30+CF!AI31</f>
        <v>-13868.837058455365</v>
      </c>
      <c r="W111" s="676">
        <f>+CF!AJ28+CF!AJ30+CF!AJ31</f>
        <v>-18804.652861346072</v>
      </c>
      <c r="X111" s="676">
        <f>+CF!AK28+CF!AK30+CF!AK31</f>
        <v>-25497.088742573676</v>
      </c>
      <c r="Y111" s="676">
        <f>+CF!AL28+CF!AL30+CF!AL31</f>
        <v>-17257.519856207484</v>
      </c>
      <c r="Z111" s="676">
        <f>+CF!AM28+CF!AM30+CF!AM31</f>
        <v>-11680.62732942951</v>
      </c>
      <c r="AA111" s="676">
        <f>+CF!AN28+CF!AN30+CF!AN31</f>
        <v>-7905.9480125667942</v>
      </c>
      <c r="AB111" s="676">
        <f>+CF!AO28+CF!AO30+CF!AO31</f>
        <v>-5351.0836545507345</v>
      </c>
      <c r="AC111" s="676">
        <f>+CF!AP28+CF!AP30+CF!AP31</f>
        <v>-3621.8422170858075</v>
      </c>
      <c r="AD111" s="676">
        <f>+CF!AQ28+CF!AQ30+CF!AQ31</f>
        <v>-5031.5595961266754</v>
      </c>
      <c r="AE111" s="676">
        <f>+CF!AR28+CF!AR30+CF!AR31</f>
        <v>-6989.9764959238264</v>
      </c>
      <c r="AF111" s="676">
        <f>+CF!AS28+CF!AS30+CF!AS31</f>
        <v>-9710.6613725056704</v>
      </c>
      <c r="AG111" s="676">
        <f>+CF!AT28+CF!AT30+CF!AT31</f>
        <v>-13490.309208687973</v>
      </c>
      <c r="AH111" s="676">
        <f>+CF!AU28+CF!AU30+CF!AU31</f>
        <v>-18741.096570547237</v>
      </c>
      <c r="AI111" s="676">
        <f>+CF!AV28+CF!AV30+CF!AV31</f>
        <v>-18421.350964280813</v>
      </c>
      <c r="AJ111" s="676">
        <f>+CF!AW28+CF!AW30+CF!AW31</f>
        <v>-18107.060601913374</v>
      </c>
      <c r="AK111" s="676">
        <f>+CF!AX28+CF!AX30+CF!AX31</f>
        <v>-17798.132410434951</v>
      </c>
      <c r="AL111" s="676">
        <f>+CF!AY28+CF!AY30+CF!AY31</f>
        <v>-17494.474904772869</v>
      </c>
      <c r="AM111" s="676">
        <f>+CF!AZ28+CF!AZ30+CF!AZ31</f>
        <v>-17195.998160699615</v>
      </c>
      <c r="AN111" s="676">
        <f>+CF!BA28+CF!BA30+CF!BA31</f>
        <v>-19251.269063199168</v>
      </c>
      <c r="AO111" s="676">
        <f>+CF!BB28+CF!BB30+CF!BB31</f>
        <v>-21552.186565749842</v>
      </c>
      <c r="AP111" s="676">
        <f>+CF!BC28+CF!BC30+CF!BC31</f>
        <v>-24128.110424305614</v>
      </c>
      <c r="AQ111" s="676">
        <f>+CF!BD28+CF!BD30+CF!BD31</f>
        <v>-27011.909481734325</v>
      </c>
      <c r="AR111" s="676">
        <f>+CF!BE28+CF!BE30+CF!BE31</f>
        <v>-255963.02957205672</v>
      </c>
      <c r="AS111" s="676">
        <f>+CF!BF28+CF!BF30+CF!BF31</f>
        <v>0</v>
      </c>
      <c r="AT111" s="676">
        <f>+CF!BG28+CF!BG30+CF!BG31</f>
        <v>0</v>
      </c>
      <c r="AU111" s="676">
        <f>+CF!BH28+CF!BH30+CF!BH31</f>
        <v>0</v>
      </c>
      <c r="AV111" s="676">
        <f>+CF!BI28+CF!BI30+CF!BI31</f>
        <v>0</v>
      </c>
      <c r="AW111" s="676">
        <f>+CF!BJ28+CF!BJ30+CF!BJ31</f>
        <v>0</v>
      </c>
      <c r="AX111" s="283"/>
      <c r="AY111" s="283"/>
      <c r="AZ111" s="283"/>
      <c r="BA111" s="283"/>
      <c r="BB111" s="283"/>
      <c r="BC111" s="283"/>
      <c r="BD111" s="283"/>
      <c r="BE111" s="283"/>
      <c r="BF111" s="283"/>
      <c r="BG111" s="283"/>
      <c r="BH111" s="283"/>
      <c r="BI111" s="283"/>
      <c r="BJ111" s="283"/>
      <c r="BK111" s="283"/>
      <c r="BL111" s="283"/>
      <c r="BM111" s="283"/>
    </row>
    <row r="112" spans="2:65" x14ac:dyDescent="0.2">
      <c r="B112" s="281" t="s">
        <v>370</v>
      </c>
      <c r="D112" s="353"/>
      <c r="E112" s="676">
        <f t="shared" ref="E112:AL112" si="19">SUM(E108:E111)</f>
        <v>0</v>
      </c>
      <c r="F112" s="676">
        <f t="shared" si="19"/>
        <v>89846.957513966117</v>
      </c>
      <c r="G112" s="676">
        <f t="shared" si="19"/>
        <v>107787.25778688517</v>
      </c>
      <c r="H112" s="676">
        <f t="shared" si="19"/>
        <v>127292.93067584572</v>
      </c>
      <c r="I112" s="676">
        <f t="shared" si="19"/>
        <v>149007.99685362194</v>
      </c>
      <c r="J112" s="676">
        <f t="shared" si="19"/>
        <v>160619.93723227814</v>
      </c>
      <c r="K112" s="676">
        <f t="shared" si="19"/>
        <v>173006.67532120904</v>
      </c>
      <c r="L112" s="676">
        <f t="shared" si="19"/>
        <v>186189.54259599856</v>
      </c>
      <c r="M112" s="676">
        <f t="shared" si="19"/>
        <v>200181.53143253952</v>
      </c>
      <c r="N112" s="676">
        <f t="shared" si="19"/>
        <v>214980.91978116057</v>
      </c>
      <c r="O112" s="676">
        <f t="shared" si="19"/>
        <v>234872.71762222287</v>
      </c>
      <c r="P112" s="676">
        <f t="shared" si="19"/>
        <v>256317.90226592892</v>
      </c>
      <c r="Q112" s="676">
        <f t="shared" si="19"/>
        <v>279455.3537780089</v>
      </c>
      <c r="R112" s="676">
        <f t="shared" si="19"/>
        <v>304432.7856825809</v>
      </c>
      <c r="S112" s="676">
        <f t="shared" si="19"/>
        <v>331410.33040269662</v>
      </c>
      <c r="T112" s="676">
        <f t="shared" si="19"/>
        <v>353824.42259048193</v>
      </c>
      <c r="U112" s="676">
        <f t="shared" si="19"/>
        <v>376997.69227556384</v>
      </c>
      <c r="V112" s="676">
        <f t="shared" si="19"/>
        <v>400660.7529097388</v>
      </c>
      <c r="W112" s="676">
        <f t="shared" si="19"/>
        <v>424407.26491201326</v>
      </c>
      <c r="X112" s="676">
        <f t="shared" si="19"/>
        <v>447640.31933821109</v>
      </c>
      <c r="Y112" s="676">
        <f t="shared" si="19"/>
        <v>491401.72096867103</v>
      </c>
      <c r="Z112" s="676">
        <f t="shared" si="19"/>
        <v>535137.38779530756</v>
      </c>
      <c r="AA112" s="676">
        <f t="shared" si="19"/>
        <v>579901.4357321976</v>
      </c>
      <c r="AB112" s="676">
        <f t="shared" si="19"/>
        <v>626489.47343321692</v>
      </c>
      <c r="AC112" s="676">
        <f t="shared" si="19"/>
        <v>675513.23155296955</v>
      </c>
      <c r="AD112" s="676">
        <f t="shared" si="19"/>
        <v>718618.1663494797</v>
      </c>
      <c r="AE112" s="676">
        <f t="shared" si="19"/>
        <v>764064.33801144105</v>
      </c>
      <c r="AF112" s="676">
        <f t="shared" si="19"/>
        <v>811824.68996448664</v>
      </c>
      <c r="AG112" s="676">
        <f t="shared" si="19"/>
        <v>861800.749404039</v>
      </c>
      <c r="AH112" s="676">
        <f t="shared" si="19"/>
        <v>913784.04889413237</v>
      </c>
      <c r="AI112" s="676">
        <f t="shared" si="19"/>
        <v>972984.16301102925</v>
      </c>
      <c r="AJ112" s="676">
        <f t="shared" si="19"/>
        <v>1035881.329898837</v>
      </c>
      <c r="AK112" s="676">
        <f t="shared" si="19"/>
        <v>1102698.5513239114</v>
      </c>
      <c r="AL112" s="676">
        <f t="shared" si="19"/>
        <v>1173680.8770877966</v>
      </c>
      <c r="AM112" s="676">
        <f t="shared" ref="AM112:AW112" si="20">SUM(AM108:AM111)</f>
        <v>1249089.5869846835</v>
      </c>
      <c r="AN112" s="676">
        <f t="shared" si="20"/>
        <v>1328650.2403321571</v>
      </c>
      <c r="AO112" s="676">
        <f t="shared" si="20"/>
        <v>1413195.2943792967</v>
      </c>
      <c r="AP112" s="676">
        <f t="shared" si="20"/>
        <v>1503029.1087251636</v>
      </c>
      <c r="AQ112" s="676">
        <f t="shared" si="20"/>
        <v>1598473.8326373152</v>
      </c>
      <c r="AR112" s="676">
        <f t="shared" si="20"/>
        <v>1474161.299142241</v>
      </c>
      <c r="AS112" s="676">
        <f t="shared" si="20"/>
        <v>1864685.1254187608</v>
      </c>
      <c r="AT112" s="676">
        <f t="shared" si="20"/>
        <v>2009666.1697636149</v>
      </c>
      <c r="AU112" s="676">
        <f t="shared" si="20"/>
        <v>2165869.7007026696</v>
      </c>
      <c r="AV112" s="676">
        <f t="shared" si="20"/>
        <v>2334161.8378286157</v>
      </c>
      <c r="AW112" s="676">
        <f t="shared" si="20"/>
        <v>1679705.0847088369</v>
      </c>
      <c r="AX112" s="283"/>
      <c r="AY112" s="283"/>
      <c r="AZ112" s="283"/>
      <c r="BA112" s="283"/>
      <c r="BB112" s="283"/>
      <c r="BC112" s="283"/>
      <c r="BD112" s="283"/>
      <c r="BE112" s="283"/>
      <c r="BF112" s="283"/>
      <c r="BG112" s="283"/>
      <c r="BH112" s="283"/>
      <c r="BI112" s="283"/>
      <c r="BJ112" s="283"/>
      <c r="BK112" s="283"/>
      <c r="BL112" s="283"/>
      <c r="BM112" s="283"/>
    </row>
    <row r="113" spans="2:65" x14ac:dyDescent="0.2">
      <c r="AN113" s="283"/>
      <c r="AO113" s="283"/>
      <c r="AP113" s="283"/>
      <c r="AQ113" s="305"/>
      <c r="AR113" s="306"/>
      <c r="AS113" s="301"/>
      <c r="AT113" s="301"/>
      <c r="AW113" s="283"/>
      <c r="AX113" s="283"/>
      <c r="AY113" s="283"/>
      <c r="AZ113" s="283"/>
      <c r="BA113" s="283"/>
      <c r="BB113" s="283"/>
      <c r="BC113" s="283"/>
      <c r="BD113" s="283"/>
      <c r="BE113" s="283"/>
      <c r="BF113" s="283"/>
      <c r="BG113" s="283"/>
      <c r="BH113" s="283"/>
      <c r="BI113" s="283"/>
      <c r="BJ113" s="283"/>
      <c r="BK113" s="283"/>
      <c r="BL113" s="283"/>
      <c r="BM113" s="283"/>
    </row>
    <row r="114" spans="2:65" x14ac:dyDescent="0.2">
      <c r="B114" s="357" t="s">
        <v>371</v>
      </c>
      <c r="AN114" s="283"/>
      <c r="AO114" s="283"/>
      <c r="AP114" s="283"/>
      <c r="AQ114" s="305"/>
      <c r="AR114" s="306"/>
      <c r="AS114" s="301"/>
      <c r="AT114" s="301"/>
      <c r="AW114" s="283"/>
      <c r="AX114" s="283"/>
      <c r="AY114" s="283"/>
      <c r="AZ114" s="283"/>
      <c r="BA114" s="283"/>
      <c r="BB114" s="283"/>
      <c r="BC114" s="283"/>
      <c r="BD114" s="283"/>
      <c r="BE114" s="283"/>
      <c r="BF114" s="283"/>
      <c r="BG114" s="283"/>
      <c r="BH114" s="283"/>
      <c r="BI114" s="283"/>
      <c r="BJ114" s="283"/>
      <c r="BK114" s="283"/>
      <c r="BL114" s="283"/>
      <c r="BM114" s="283"/>
    </row>
    <row r="115" spans="2:65" x14ac:dyDescent="0.2">
      <c r="B115" s="281" t="s">
        <v>363</v>
      </c>
      <c r="D115" s="353"/>
      <c r="E115" s="676">
        <f>+SUM(CF!R39:R40)</f>
        <v>0</v>
      </c>
      <c r="F115" s="676">
        <f>+SUM(CF!S39:S40)</f>
        <v>-43757.752098483172</v>
      </c>
      <c r="G115" s="676">
        <f>+SUM(CF!T39:T40)</f>
        <v>-43943.328094499469</v>
      </c>
      <c r="H115" s="676">
        <f>+SUM(CF!U39:U40)</f>
        <v>-82351.55247593153</v>
      </c>
      <c r="I115" s="676">
        <f>+SUM(CF!V39:V40)</f>
        <v>-81240.336425812871</v>
      </c>
      <c r="J115" s="676">
        <f>+SUM(CF!W39:W40)</f>
        <v>-81397.13054759652</v>
      </c>
      <c r="K115" s="676">
        <f>+SUM(CF!X39:X40)</f>
        <v>-81596.567968767064</v>
      </c>
      <c r="L115" s="676">
        <f>+SUM(CF!Y39:Y40)</f>
        <v>-81939.832196578151</v>
      </c>
      <c r="M115" s="676">
        <f>+SUM(CF!Z39:Z40)</f>
        <v>-82495.624613422275</v>
      </c>
      <c r="N115" s="676">
        <f>+SUM(CF!AA39:AA40)</f>
        <v>-83095.711374395789</v>
      </c>
      <c r="O115" s="676">
        <f>+SUM(CF!AB39:AB40)</f>
        <v>-83800.141507278648</v>
      </c>
      <c r="P115" s="676">
        <f>+SUM(CF!AC39:AC40)</f>
        <v>-84613.291333387679</v>
      </c>
      <c r="Q115" s="676">
        <f>+SUM(CF!AD39:AD40)</f>
        <v>-85238.4395154214</v>
      </c>
      <c r="R115" s="676">
        <f>+SUM(CF!AE39:AE40)</f>
        <v>-97157.372832587396</v>
      </c>
      <c r="S115" s="676">
        <f>+SUM(CF!AF39:AF40)</f>
        <v>-87302.320641335493</v>
      </c>
      <c r="T115" s="676">
        <f>+SUM(CF!AG39:AG40)</f>
        <v>-88205.626801574035</v>
      </c>
      <c r="U115" s="676">
        <f>+SUM(CF!AH39:AH40)</f>
        <v>-88979.298211534071</v>
      </c>
      <c r="V115" s="676">
        <f>+SUM(CF!AI39:AI40)</f>
        <v>-90050.930703775273</v>
      </c>
      <c r="W115" s="676">
        <f>+SUM(CF!AJ39:AJ40)</f>
        <v>-91543.016003803205</v>
      </c>
      <c r="X115" s="676">
        <f>+SUM(CF!AK39:AK40)</f>
        <v>-93593.624021086333</v>
      </c>
      <c r="Y115" s="676">
        <f>+SUM(CF!AL39:AL40)</f>
        <v>-95402.753009835666</v>
      </c>
      <c r="Z115" s="676">
        <f>+SUM(CF!AM39:AM40)</f>
        <v>-97040.401064495876</v>
      </c>
      <c r="AA115" s="676">
        <f>+SUM(CF!AN39:AN40)</f>
        <v>-99269.399235678968</v>
      </c>
      <c r="AB115" s="676">
        <f>+SUM(CF!AO39:AO40)</f>
        <v>-121035.19607419384</v>
      </c>
      <c r="AC115" s="676">
        <f>+SUM(CF!AP39:AP40)</f>
        <v>-103366.1790835</v>
      </c>
      <c r="AD115" s="676">
        <f>+SUM(CF!AQ39:AQ40)</f>
        <v>-104381.60095482368</v>
      </c>
      <c r="AE115" s="676">
        <f>+SUM(CF!AR39:AR40)</f>
        <v>-105017.22156630599</v>
      </c>
      <c r="AF115" s="676">
        <f>+SUM(CF!AS39:AS40)</f>
        <v>-104779.49441403223</v>
      </c>
      <c r="AG115" s="676">
        <f>+SUM(CF!AT39:AT40)</f>
        <v>-105020.75716909257</v>
      </c>
      <c r="AH115" s="676">
        <f>+SUM(CF!AU39:AU40)</f>
        <v>-104723.28169226708</v>
      </c>
      <c r="AI115" s="676">
        <f>+SUM(CF!AV39:AV40)</f>
        <v>-100490.6413974912</v>
      </c>
      <c r="AJ115" s="676">
        <f>+SUM(CF!AW39:AW40)</f>
        <v>-93233.930921578722</v>
      </c>
      <c r="AK115" s="676">
        <f>+SUM(CF!AX39:AX40)</f>
        <v>-85037.861721469308</v>
      </c>
      <c r="AL115" s="676">
        <f>+SUM(CF!AY39:AY40)</f>
        <v>-94186.094567548658</v>
      </c>
      <c r="AM115" s="675">
        <f>+SUM(CF!AZ39:AZ40)</f>
        <v>-66380.025603821297</v>
      </c>
      <c r="AN115" s="675">
        <f>+SUM(CF!BA39:BA40)</f>
        <v>-55234.375104795596</v>
      </c>
      <c r="AO115" s="675">
        <f>+SUM(CF!BB39:BB40)</f>
        <v>-43194.455234845176</v>
      </c>
      <c r="AP115" s="675">
        <f>+SUM(CF!BC39:BC40)</f>
        <v>-30680.825138206703</v>
      </c>
      <c r="AQ115" s="675">
        <f>+SUM(CF!BD39:BD40)</f>
        <v>-17510.141386437728</v>
      </c>
      <c r="AR115" s="675">
        <f>+SUM(CF!BE39:BE40)</f>
        <v>-5486.0768349342115</v>
      </c>
      <c r="AS115" s="678">
        <f>+SUM(CF!BF39:BF40)</f>
        <v>0</v>
      </c>
      <c r="AT115" s="678">
        <f>+SUM(CF!BG39:BG40)</f>
        <v>0</v>
      </c>
      <c r="AU115" s="678">
        <f>+SUM(CF!BH39:BH40)</f>
        <v>0</v>
      </c>
      <c r="AV115" s="678">
        <f>+SUM(CF!BI39:BI40)</f>
        <v>0</v>
      </c>
      <c r="AW115" s="678">
        <f>+SUM(CF!BJ39:BJ40)</f>
        <v>0</v>
      </c>
      <c r="AX115" s="283"/>
      <c r="AY115" s="283"/>
      <c r="AZ115" s="283"/>
      <c r="BA115" s="283"/>
      <c r="BB115" s="283"/>
      <c r="BC115" s="283"/>
      <c r="BD115" s="283"/>
      <c r="BE115" s="283"/>
      <c r="BF115" s="283"/>
      <c r="BG115" s="283"/>
      <c r="BH115" s="283"/>
      <c r="BI115" s="283"/>
      <c r="BJ115" s="283"/>
      <c r="BK115" s="283"/>
      <c r="BL115" s="283"/>
      <c r="BM115" s="283"/>
    </row>
    <row r="116" spans="2:65" x14ac:dyDescent="0.2">
      <c r="B116" s="281" t="s">
        <v>364</v>
      </c>
      <c r="D116" s="353"/>
      <c r="E116" s="676">
        <f>+SUM(CF!R37,CF!R38,CF!R41)</f>
        <v>0</v>
      </c>
      <c r="F116" s="674">
        <f>+SUM(CF!S37,CF!S38,CF!S41)</f>
        <v>0</v>
      </c>
      <c r="G116" s="674">
        <f>+SUM(CF!T37,CF!T38,CF!T41)</f>
        <v>0</v>
      </c>
      <c r="H116" s="674">
        <f>+SUM(CF!U37,CF!U38,CF!U41)</f>
        <v>1758.1264636926353</v>
      </c>
      <c r="I116" s="674">
        <f>+SUM(CF!V37,CF!V38,CF!V41)</f>
        <v>2511.4000285149973</v>
      </c>
      <c r="J116" s="358">
        <f>+SUM(CF!W37,CF!W38,CF!W41)</f>
        <v>3207.5042996959728</v>
      </c>
      <c r="K116" s="674">
        <f>+SUM(CF!X37,CF!X38,CF!X41)</f>
        <v>4096.5532036931381</v>
      </c>
      <c r="L116" s="674">
        <f>+SUM(CF!Y37,CF!Y38,CF!Y41)</f>
        <v>5232.0267044627799</v>
      </c>
      <c r="M116" s="674">
        <f>+SUM(CF!Z37,CF!Z38,CF!Z41)</f>
        <v>6682.2282233594015</v>
      </c>
      <c r="N116" s="674">
        <f>+SUM(CF!AA37,CF!AA38,CF!AA41)</f>
        <v>8534.3933720700988</v>
      </c>
      <c r="O116" s="674">
        <f>+SUM(CF!AB37,CF!AB38,CF!AB41)</f>
        <v>7834.4943124637866</v>
      </c>
      <c r="P116" s="674">
        <f>+SUM(CF!AC37,CF!AC38,CF!AC41)</f>
        <v>7191.9934383267464</v>
      </c>
      <c r="Q116" s="674">
        <f>+SUM(CF!AD37,CF!AD38,CF!AD41)</f>
        <v>6602.1835684591351</v>
      </c>
      <c r="R116" s="674">
        <f>+SUM(CF!AE37,CF!AE38,CF!AE41)</f>
        <v>6060.7435539836879</v>
      </c>
      <c r="S116" s="674">
        <f>+SUM(CF!AF37,CF!AF38,CF!AF41)</f>
        <v>5563.7066201307898</v>
      </c>
      <c r="T116" s="358">
        <f>+SUM(CF!AG37,CF!AG38,CF!AG41)</f>
        <v>7543.7883632894082</v>
      </c>
      <c r="U116" s="674">
        <f>+SUM(CF!AH37,CF!AH38,CF!AH41)</f>
        <v>10228.566449602433</v>
      </c>
      <c r="V116" s="674">
        <f>+SUM(CF!AI37,CF!AI38,CF!AI41)</f>
        <v>13868.837058455363</v>
      </c>
      <c r="W116" s="674">
        <f>+SUM(CF!AJ37,CF!AJ38,CF!AJ41)</f>
        <v>18804.652861346069</v>
      </c>
      <c r="X116" s="674">
        <f>+SUM(CF!AK37,CF!AK38,CF!AK41)</f>
        <v>25497.088742573673</v>
      </c>
      <c r="Y116" s="674">
        <f>+SUM(CF!AL37,CF!AL38,CF!AL41)</f>
        <v>17257.51985620748</v>
      </c>
      <c r="Z116" s="674">
        <f>+SUM(CF!AM37,CF!AM38,CF!AM41)</f>
        <v>11680.62732942951</v>
      </c>
      <c r="AA116" s="674">
        <f>+SUM(CF!AN37,CF!AN38,CF!AN41)</f>
        <v>7905.9480125667906</v>
      </c>
      <c r="AB116" s="674">
        <f>+SUM(CF!AO37,CF!AO38,CF!AO41)</f>
        <v>5351.0836545507191</v>
      </c>
      <c r="AC116" s="674">
        <f>+SUM(CF!AP37,CF!AP38,CF!AP41)</f>
        <v>3621.8422170858103</v>
      </c>
      <c r="AD116" s="674">
        <f>+SUM(CF!AQ37,CF!AQ38,CF!AQ41)</f>
        <v>5031.5595961266663</v>
      </c>
      <c r="AE116" s="674">
        <f>+SUM(CF!AR37,CF!AR38,CF!AR41)</f>
        <v>6989.9764959238237</v>
      </c>
      <c r="AF116" s="674">
        <f>+SUM(CF!AS37,CF!AS38,CF!AS41)</f>
        <v>9710.6613725056704</v>
      </c>
      <c r="AG116" s="674">
        <f>+SUM(CF!AT37,CF!AT38,CF!AT41)</f>
        <v>13490.309208687973</v>
      </c>
      <c r="AH116" s="674">
        <f>+SUM(CF!AU37,CF!AU38,CF!AU41)</f>
        <v>-58146.153566330759</v>
      </c>
      <c r="AI116" s="676">
        <f>+SUM(CF!AV37,CF!AV38,CF!AV41)</f>
        <v>-137166.27217820357</v>
      </c>
      <c r="AJ116" s="676">
        <f>+SUM(CF!AW37,CF!AW38,CF!AW41)</f>
        <v>-145648.91275555146</v>
      </c>
      <c r="AK116" s="676">
        <f>+SUM(CF!AX37,CF!AX38,CF!AX41)</f>
        <v>-154555.02954829673</v>
      </c>
      <c r="AL116" s="676">
        <f>+SUM(CF!AY37,CF!AY38,CF!AY41)</f>
        <v>-180859.47128433429</v>
      </c>
      <c r="AM116" s="675">
        <f>+SUM(CF!AZ37,CF!AZ38,CF!AZ41)</f>
        <v>-209522.18265871578</v>
      </c>
      <c r="AN116" s="675">
        <f>+SUM(CF!BA37,CF!BA38,CF!BA41)</f>
        <v>-220522.09724829838</v>
      </c>
      <c r="AO116" s="675">
        <f>+SUM(CF!BB37,CF!BB38,CF!BB41)</f>
        <v>-232099.50735383405</v>
      </c>
      <c r="AP116" s="675">
        <f>+SUM(CF!BC37,CF!BC38,CF!BC41)</f>
        <v>-244284.73148991028</v>
      </c>
      <c r="AQ116" s="675">
        <f>+SUM(CF!BD37,CF!BD38,CF!BD41)</f>
        <v>-257109.67989313052</v>
      </c>
      <c r="AR116" s="675">
        <f>+SUM(CF!BE37,CF!BE38,CF!BE41)</f>
        <v>-133573.24538059082</v>
      </c>
      <c r="AS116" s="678">
        <f>+SUM(CF!BF37,CF!BF38,CF!BF41)</f>
        <v>0</v>
      </c>
      <c r="AT116" s="678">
        <f>+SUM(CF!BG37,CF!BG38,CF!BG41)</f>
        <v>0</v>
      </c>
      <c r="AU116" s="678">
        <f>+SUM(CF!BH37,CF!BH38,CF!BH41)</f>
        <v>0</v>
      </c>
      <c r="AV116" s="678">
        <f>+SUM(CF!BI37,CF!BI38,CF!BI41)</f>
        <v>0</v>
      </c>
      <c r="AW116" s="678">
        <f>+SUM(CF!BJ37,CF!BJ38,CF!BJ41)</f>
        <v>0</v>
      </c>
      <c r="AX116" s="283"/>
      <c r="AY116" s="283"/>
      <c r="AZ116" s="283"/>
      <c r="BA116" s="283"/>
      <c r="BB116" s="283"/>
      <c r="BC116" s="283"/>
      <c r="BD116" s="283"/>
      <c r="BE116" s="283"/>
      <c r="BF116" s="283"/>
      <c r="BG116" s="283"/>
      <c r="BH116" s="283"/>
      <c r="BI116" s="283"/>
      <c r="BJ116" s="283"/>
      <c r="BK116" s="283"/>
      <c r="BL116" s="283"/>
      <c r="BM116" s="283"/>
    </row>
    <row r="117" spans="2:65" x14ac:dyDescent="0.2">
      <c r="B117" s="281" t="s">
        <v>365</v>
      </c>
      <c r="D117" s="359"/>
      <c r="E117" s="686">
        <f t="shared" ref="E117:AP117" si="21">SUM(E115:E116)</f>
        <v>0</v>
      </c>
      <c r="F117" s="686">
        <f t="shared" si="21"/>
        <v>-43757.752098483172</v>
      </c>
      <c r="G117" s="686">
        <f t="shared" si="21"/>
        <v>-43943.328094499469</v>
      </c>
      <c r="H117" s="686">
        <f t="shared" si="21"/>
        <v>-80593.426012238895</v>
      </c>
      <c r="I117" s="686">
        <f t="shared" si="21"/>
        <v>-78728.936397297875</v>
      </c>
      <c r="J117" s="686">
        <f t="shared" si="21"/>
        <v>-78189.626247900553</v>
      </c>
      <c r="K117" s="686">
        <f t="shared" si="21"/>
        <v>-77500.014765073924</v>
      </c>
      <c r="L117" s="686">
        <f t="shared" si="21"/>
        <v>-76707.805492115367</v>
      </c>
      <c r="M117" s="686">
        <f t="shared" si="21"/>
        <v>-75813.396390062873</v>
      </c>
      <c r="N117" s="686">
        <f t="shared" si="21"/>
        <v>-74561.318002325686</v>
      </c>
      <c r="O117" s="686">
        <f t="shared" si="21"/>
        <v>-75965.647194814868</v>
      </c>
      <c r="P117" s="686">
        <f t="shared" si="21"/>
        <v>-77421.297895060939</v>
      </c>
      <c r="Q117" s="686">
        <f t="shared" si="21"/>
        <v>-78636.255946962265</v>
      </c>
      <c r="R117" s="686">
        <f t="shared" si="21"/>
        <v>-91096.629278603708</v>
      </c>
      <c r="S117" s="686">
        <f t="shared" si="21"/>
        <v>-81738.614021204703</v>
      </c>
      <c r="T117" s="686">
        <f t="shared" si="21"/>
        <v>-80661.838438284627</v>
      </c>
      <c r="U117" s="686">
        <f t="shared" si="21"/>
        <v>-78750.731761931645</v>
      </c>
      <c r="V117" s="686">
        <f t="shared" si="21"/>
        <v>-76182.09364531991</v>
      </c>
      <c r="W117" s="686">
        <f t="shared" si="21"/>
        <v>-72738.363142457136</v>
      </c>
      <c r="X117" s="686">
        <f t="shared" si="21"/>
        <v>-68096.53527851266</v>
      </c>
      <c r="Y117" s="686">
        <f t="shared" si="21"/>
        <v>-78145.233153628185</v>
      </c>
      <c r="Z117" s="686">
        <f t="shared" si="21"/>
        <v>-85359.773735066366</v>
      </c>
      <c r="AA117" s="686">
        <f t="shared" si="21"/>
        <v>-91363.451223112177</v>
      </c>
      <c r="AB117" s="686">
        <f t="shared" si="21"/>
        <v>-115684.11241964312</v>
      </c>
      <c r="AC117" s="686">
        <f t="shared" si="21"/>
        <v>-99744.336866414189</v>
      </c>
      <c r="AD117" s="686">
        <f t="shared" si="21"/>
        <v>-99350.04135869701</v>
      </c>
      <c r="AE117" s="686">
        <f t="shared" si="21"/>
        <v>-98027.245070382167</v>
      </c>
      <c r="AF117" s="686">
        <f t="shared" si="21"/>
        <v>-95068.833041526566</v>
      </c>
      <c r="AG117" s="686">
        <f t="shared" si="21"/>
        <v>-91530.447960404592</v>
      </c>
      <c r="AH117" s="686">
        <f t="shared" si="21"/>
        <v>-162869.43525859783</v>
      </c>
      <c r="AI117" s="686">
        <f t="shared" si="21"/>
        <v>-237656.91357569478</v>
      </c>
      <c r="AJ117" s="686">
        <f t="shared" si="21"/>
        <v>-238882.84367713018</v>
      </c>
      <c r="AK117" s="686">
        <f t="shared" si="21"/>
        <v>-239592.89126976603</v>
      </c>
      <c r="AL117" s="686">
        <f t="shared" si="21"/>
        <v>-275045.56585188292</v>
      </c>
      <c r="AM117" s="686">
        <f t="shared" si="21"/>
        <v>-275902.20826253708</v>
      </c>
      <c r="AN117" s="686">
        <f t="shared" si="21"/>
        <v>-275756.47235309397</v>
      </c>
      <c r="AO117" s="686">
        <f t="shared" si="21"/>
        <v>-275293.96258867922</v>
      </c>
      <c r="AP117" s="686">
        <f t="shared" si="21"/>
        <v>-274965.55662811699</v>
      </c>
      <c r="AQ117" s="686">
        <f t="shared" ref="AQ117:AW117" si="22">SUM(AQ115:AQ116)</f>
        <v>-274619.82127956825</v>
      </c>
      <c r="AR117" s="686">
        <f t="shared" si="22"/>
        <v>-139059.32221552503</v>
      </c>
      <c r="AS117" s="687">
        <f t="shared" si="22"/>
        <v>0</v>
      </c>
      <c r="AT117" s="687">
        <f t="shared" si="22"/>
        <v>0</v>
      </c>
      <c r="AU117" s="687">
        <f t="shared" si="22"/>
        <v>0</v>
      </c>
      <c r="AV117" s="687">
        <f t="shared" si="22"/>
        <v>0</v>
      </c>
      <c r="AW117" s="687">
        <f t="shared" si="22"/>
        <v>0</v>
      </c>
      <c r="AX117" s="283"/>
      <c r="AY117" s="283"/>
      <c r="AZ117" s="283"/>
      <c r="BA117" s="283"/>
      <c r="BB117" s="283"/>
      <c r="BC117" s="283"/>
      <c r="BD117" s="283"/>
      <c r="BE117" s="283"/>
      <c r="BF117" s="283"/>
      <c r="BG117" s="283"/>
      <c r="BH117" s="283"/>
      <c r="BI117" s="283"/>
      <c r="BJ117" s="283"/>
      <c r="BK117" s="283"/>
      <c r="BL117" s="283"/>
      <c r="BM117" s="283"/>
    </row>
    <row r="118" spans="2:65" x14ac:dyDescent="0.2">
      <c r="B118" s="281" t="s">
        <v>382</v>
      </c>
      <c r="D118" s="359"/>
      <c r="E118" s="686">
        <f>+CF!R44</f>
        <v>0</v>
      </c>
      <c r="F118" s="686">
        <f>+CF!S44</f>
        <v>0</v>
      </c>
      <c r="G118" s="686">
        <f>+CF!T44</f>
        <v>2692.085174796453</v>
      </c>
      <c r="H118" s="686">
        <f>+CF!U44</f>
        <v>3887.4732955742647</v>
      </c>
      <c r="I118" s="686">
        <f>+CF!V44</f>
        <v>1368.9413706881614</v>
      </c>
      <c r="J118" s="686">
        <f>+CF!W44</f>
        <v>1585.1746377621182</v>
      </c>
      <c r="K118" s="686">
        <f>+CF!X44</f>
        <v>1826.1460309171671</v>
      </c>
      <c r="L118" s="686">
        <f>+CF!Y44</f>
        <v>2091.0309584081278</v>
      </c>
      <c r="M118" s="686">
        <f>+CF!Z44</f>
        <v>2234.8612616227101</v>
      </c>
      <c r="N118" s="686">
        <f>+CF!AA44</f>
        <v>2483.3469456730418</v>
      </c>
      <c r="O118" s="686">
        <f>+CF!AB44</f>
        <v>2701.6488251499013</v>
      </c>
      <c r="P118" s="686">
        <f>+CF!AC44</f>
        <v>2954.0066602775159</v>
      </c>
      <c r="Q118" s="686">
        <f>+CF!AD44</f>
        <v>3105.9081402819047</v>
      </c>
      <c r="R118" s="686">
        <f>+CF!AE44</f>
        <v>3356.848176385216</v>
      </c>
      <c r="S118" s="686">
        <f>+CF!AF44</f>
        <v>3734.4677636830684</v>
      </c>
      <c r="T118" s="686">
        <f>+CF!AG44</f>
        <v>4031.6091928702144</v>
      </c>
      <c r="U118" s="686">
        <f>+CF!AH44</f>
        <v>4407.9977848620492</v>
      </c>
      <c r="V118" s="686">
        <f>+CF!AI44</f>
        <v>4834.9837245341078</v>
      </c>
      <c r="W118" s="686">
        <f>+CF!AJ44</f>
        <v>5183.2973913445458</v>
      </c>
      <c r="X118" s="686">
        <f>+CF!AK44</f>
        <v>5397.7403829528903</v>
      </c>
      <c r="Y118" s="686">
        <f>+CF!AL44</f>
        <v>5152.2009753896455</v>
      </c>
      <c r="Z118" s="686">
        <f>+CF!AM44</f>
        <v>5153.3683819462549</v>
      </c>
      <c r="AA118" s="686">
        <f>+CF!AN44</f>
        <v>5579.4166041562667</v>
      </c>
      <c r="AB118" s="686">
        <f>+CF!AO44</f>
        <v>5604.3686889780784</v>
      </c>
      <c r="AC118" s="686">
        <f>+CF!AP44</f>
        <v>6498.0922850655752</v>
      </c>
      <c r="AD118" s="686">
        <f>+CF!AQ44</f>
        <v>6693.7903799019577</v>
      </c>
      <c r="AE118" s="686">
        <f>+CF!AR44</f>
        <v>6953.5617772199748</v>
      </c>
      <c r="AF118" s="686">
        <f>+CF!AS44</f>
        <v>7273.9631759357089</v>
      </c>
      <c r="AG118" s="686">
        <f>+CF!AT44</f>
        <v>7703.6355831298733</v>
      </c>
      <c r="AH118" s="686">
        <f>+CF!AU44</f>
        <v>9674.9728346018928</v>
      </c>
      <c r="AI118" s="686">
        <f>+CF!AV44</f>
        <v>11195.996218899842</v>
      </c>
      <c r="AJ118" s="686">
        <f>+CF!AW44</f>
        <v>11354.32538880326</v>
      </c>
      <c r="AK118" s="686">
        <f>+CF!AX44</f>
        <v>11665.94387593715</v>
      </c>
      <c r="AL118" s="686">
        <f>+CF!AY44</f>
        <v>12185.596123718682</v>
      </c>
      <c r="AM118" s="686">
        <f>+CF!AZ44</f>
        <v>12785.168145198666</v>
      </c>
      <c r="AN118" s="686">
        <f>+CF!BA44</f>
        <v>13265.638165528426</v>
      </c>
      <c r="AO118" s="686">
        <f>+CF!BB44</f>
        <v>13776.034553174752</v>
      </c>
      <c r="AP118" s="686">
        <f>+CF!BC44</f>
        <v>14330.629817677251</v>
      </c>
      <c r="AQ118" s="686">
        <f>+CF!BD44</f>
        <v>14932.713615848705</v>
      </c>
      <c r="AR118" s="686">
        <f>+CF!BE44</f>
        <v>12981.616243807486</v>
      </c>
      <c r="AS118" s="686">
        <f>+CF!BF44</f>
        <v>13266.074581726716</v>
      </c>
      <c r="AT118" s="686">
        <f>+CF!BG44</f>
        <v>13209.619932323629</v>
      </c>
      <c r="AU118" s="686">
        <f>+CF!BH44</f>
        <v>13148.974364401478</v>
      </c>
      <c r="AV118" s="686">
        <f>+CF!BI44</f>
        <v>13042.999778069923</v>
      </c>
      <c r="AW118" s="686">
        <f>+CF!BJ44</f>
        <v>8604.564377373923</v>
      </c>
      <c r="AX118" s="283"/>
      <c r="AY118" s="283"/>
      <c r="AZ118" s="283"/>
      <c r="BA118" s="283"/>
      <c r="BB118" s="283"/>
      <c r="BC118" s="283"/>
      <c r="BD118" s="283"/>
      <c r="BE118" s="283"/>
      <c r="BF118" s="283"/>
      <c r="BG118" s="283"/>
      <c r="BH118" s="283"/>
      <c r="BI118" s="283"/>
      <c r="BJ118" s="283"/>
      <c r="BK118" s="283"/>
      <c r="BL118" s="283"/>
      <c r="BM118" s="283"/>
    </row>
    <row r="119" spans="2:65" x14ac:dyDescent="0.2">
      <c r="B119" s="281" t="s">
        <v>374</v>
      </c>
      <c r="D119" s="359"/>
      <c r="E119" s="686">
        <f>+Fin!R22+Fin!R23+Fin!R30+Fin!R31+Fin!R38+Fin!R39+Fin!R54+Fin!R55</f>
        <v>42306.89374814328</v>
      </c>
      <c r="F119" s="686">
        <f>+Fin!S22+Fin!S23+Fin!S30+Fin!S31+Fin!S38+Fin!S39+Fin!S54+Fin!S55</f>
        <v>44111.109954011299</v>
      </c>
      <c r="G119" s="686">
        <f>+Fin!T22+Fin!T23+Fin!T30+Fin!T31+Fin!T38+Fin!T39+Fin!T54+Fin!T55</f>
        <v>45992.237501333198</v>
      </c>
      <c r="H119" s="686">
        <f>+Fin!U22+Fin!U23+Fin!U30+Fin!U31+Fin!U38+Fin!U39+Fin!U54+Fin!U55</f>
        <v>43835.091716203009</v>
      </c>
      <c r="I119" s="686">
        <f>+Fin!V22+Fin!V23+Fin!V30+Fin!V31+Fin!V38+Fin!V39+Fin!V54+Fin!V55</f>
        <v>41049.628640649462</v>
      </c>
      <c r="J119" s="686">
        <f>+Fin!W22+Fin!W23+Fin!W30+Fin!W31+Fin!W38+Fin!W39+Fin!W54+Fin!W55</f>
        <v>37233.015546619128</v>
      </c>
      <c r="K119" s="686">
        <f>+Fin!X22+Fin!X23+Fin!X30+Fin!X31+Fin!X38+Fin!X39+Fin!X54+Fin!X55</f>
        <v>35247.639624934141</v>
      </c>
      <c r="L119" s="686">
        <f>+Fin!Y22+Fin!Y23+Fin!Y30+Fin!Y31+Fin!Y38+Fin!Y39+Fin!Y54+Fin!Y55</f>
        <v>35191.503580349105</v>
      </c>
      <c r="M119" s="686">
        <f>+Fin!Z22+Fin!Z23+Fin!Z30+Fin!Z31+Fin!Z38+Fin!Z39+Fin!Z54+Fin!Z55</f>
        <v>34972.67174980972</v>
      </c>
      <c r="N119" s="686">
        <f>+Fin!AA22+Fin!AA23+Fin!AA30+Fin!AA31+Fin!AA38+Fin!AA39+Fin!AA54+Fin!AA55</f>
        <v>34137.495750128968</v>
      </c>
      <c r="O119" s="686">
        <f>+Fin!AB22+Fin!AB23+Fin!AB30+Fin!AB31+Fin!AB38+Fin!AB39+Fin!AB54+Fin!AB55</f>
        <v>33212.315713235752</v>
      </c>
      <c r="P119" s="686">
        <f>+Fin!AC22+Fin!AC23+Fin!AC30+Fin!AC31+Fin!AC38+Fin!AC39+Fin!AC54+Fin!AC55</f>
        <v>32207.400373325174</v>
      </c>
      <c r="Q119" s="686">
        <f>+Fin!AD22+Fin!AD23+Fin!AD30+Fin!AD31+Fin!AD38+Fin!AD39+Fin!AD54+Fin!AD55</f>
        <v>31004.852032772986</v>
      </c>
      <c r="R119" s="686">
        <f>+Fin!AE22+Fin!AE23+Fin!AE30+Fin!AE31+Fin!AE38+Fin!AE39+Fin!AE54+Fin!AE55</f>
        <v>29650.941742673072</v>
      </c>
      <c r="S119" s="686">
        <f>+Fin!AF22+Fin!AF23+Fin!AF30+Fin!AF31+Fin!AF38+Fin!AF39+Fin!AF54+Fin!AF55</f>
        <v>28062.176706786842</v>
      </c>
      <c r="T119" s="686">
        <f>+Fin!AG22+Fin!AG23+Fin!AG30+Fin!AG31+Fin!AG38+Fin!AG39+Fin!AG54+Fin!AG55</f>
        <v>26436.007990946462</v>
      </c>
      <c r="U119" s="686">
        <f>+Fin!AH22+Fin!AH23+Fin!AH30+Fin!AH31+Fin!AH38+Fin!AH39+Fin!AH54+Fin!AH55</f>
        <v>24671.199298894149</v>
      </c>
      <c r="V119" s="686">
        <f>+Fin!AI22+Fin!AI23+Fin!AI30+Fin!AI31+Fin!AI38+Fin!AI39+Fin!AI54+Fin!AI55</f>
        <v>22833.15370152417</v>
      </c>
      <c r="W119" s="686">
        <f>+Fin!AJ22+Fin!AJ23+Fin!AJ30+Fin!AJ31+Fin!AJ38+Fin!AJ39+Fin!AJ54+Fin!AJ55</f>
        <v>20830.619583049644</v>
      </c>
      <c r="X119" s="686">
        <f>+Fin!AK22+Fin!AK23+Fin!AK30+Fin!AK31+Fin!AK38+Fin!AK39+Fin!AK54+Fin!AK55</f>
        <v>18438.406434377139</v>
      </c>
      <c r="Y119" s="686">
        <f>+Fin!AL22+Fin!AL23+Fin!AL30+Fin!AL31+Fin!AL38+Fin!AL39+Fin!AL54+Fin!AL55</f>
        <v>15547.325030521206</v>
      </c>
      <c r="Z119" s="686">
        <f>+Fin!AM22+Fin!AM23+Fin!AM30+Fin!AM31+Fin!AM38+Fin!AM39+Fin!AM54+Fin!AM55</f>
        <v>12550.824875707913</v>
      </c>
      <c r="AA119" s="686">
        <f>+Fin!AN22+Fin!AN23+Fin!AN30+Fin!AN31+Fin!AN38+Fin!AN39+Fin!AN54+Fin!AN55</f>
        <v>9197.4605800511199</v>
      </c>
      <c r="AB119" s="686">
        <f>+Fin!AO22+Fin!AO23+Fin!AO30+Fin!AO31+Fin!AO38+Fin!AO39+Fin!AO54+Fin!AO55</f>
        <v>10407.814388164668</v>
      </c>
      <c r="AC119" s="686">
        <f>+Fin!AP22+Fin!AP23+Fin!AP30+Fin!AP31+Fin!AP38+Fin!AP39+Fin!AP54+Fin!AP55</f>
        <v>11865.984284099002</v>
      </c>
      <c r="AD119" s="686">
        <f>+Fin!AQ22+Fin!AQ23+Fin!AQ30+Fin!AQ31+Fin!AQ38+Fin!AQ39+Fin!AQ54+Fin!AQ55</f>
        <v>6798.0230819313438</v>
      </c>
      <c r="AE119" s="686">
        <f>+Fin!AR22+Fin!AR23+Fin!AR30+Fin!AR31+Fin!AR38+Fin!AR39+Fin!AR54+Fin!AR55</f>
        <v>2620.2078263631411</v>
      </c>
      <c r="AF119" s="686">
        <f>+Fin!AS22+Fin!AS23+Fin!AS30+Fin!AS31+Fin!AS38+Fin!AS39+Fin!AS54+Fin!AS55</f>
        <v>0</v>
      </c>
      <c r="AG119" s="686">
        <f>+Fin!AT22+Fin!AT23+Fin!AT30+Fin!AT31+Fin!AT38+Fin!AT39+Fin!AT54+Fin!AT55</f>
        <v>0</v>
      </c>
      <c r="AH119" s="686">
        <f>+Fin!AU22+Fin!AU23+Fin!AU30+Fin!AU31+Fin!AU38+Fin!AU39+Fin!AU54+Fin!AU55</f>
        <v>0</v>
      </c>
      <c r="AI119" s="686">
        <f>+Fin!AV22+Fin!AV23+Fin!AV30+Fin!AV31+Fin!AV38+Fin!AV39+Fin!AV54+Fin!AV55</f>
        <v>0</v>
      </c>
      <c r="AJ119" s="686">
        <f>+Fin!AW22+Fin!AW23+Fin!AW30+Fin!AW31+Fin!AW38+Fin!AW39+Fin!AW54+Fin!AW55</f>
        <v>0</v>
      </c>
      <c r="AK119" s="686">
        <f>+Fin!AX22+Fin!AX23+Fin!AX30+Fin!AX31+Fin!AX38+Fin!AX39+Fin!AX54+Fin!AX55</f>
        <v>0</v>
      </c>
      <c r="AL119" s="686">
        <f>+Fin!AY22+Fin!AY23+Fin!AY30+Fin!AY31+Fin!AY38+Fin!AY39+Fin!AY54+Fin!AY55</f>
        <v>0</v>
      </c>
      <c r="AM119" s="686">
        <f>+Fin!AZ22+Fin!AZ23+Fin!AZ30+Fin!AZ31+Fin!AZ38+Fin!AZ39+Fin!AZ54+Fin!AZ55</f>
        <v>0</v>
      </c>
      <c r="AN119" s="686">
        <f>+Fin!BA22+Fin!BA23+Fin!BA30+Fin!BA31+Fin!BA38+Fin!BA39+Fin!BA54+Fin!BA55</f>
        <v>0</v>
      </c>
      <c r="AO119" s="686">
        <f>+Fin!BB22+Fin!BB23+Fin!BB30+Fin!BB31+Fin!BB38+Fin!BB39+Fin!BB54+Fin!BB55</f>
        <v>0</v>
      </c>
      <c r="AP119" s="686">
        <f>+Fin!BC22+Fin!BC23+Fin!BC30+Fin!BC31+Fin!BC38+Fin!BC39+Fin!BC54+Fin!BC55</f>
        <v>0</v>
      </c>
      <c r="AQ119" s="686">
        <f>+Fin!BD22+Fin!BD23+Fin!BD30+Fin!BD31+Fin!BD38+Fin!BD39+Fin!BD54+Fin!BD55</f>
        <v>0</v>
      </c>
      <c r="AR119" s="686">
        <f>+Fin!BE22+Fin!BE23+Fin!BE30+Fin!BE31+Fin!BE38+Fin!BE39+Fin!BE54+Fin!BE55</f>
        <v>0</v>
      </c>
      <c r="AS119" s="686">
        <f>+Fin!BF22+Fin!BF23+Fin!BF30+Fin!BF31+Fin!BF38+Fin!BF39+Fin!BF54+Fin!BF55</f>
        <v>0</v>
      </c>
      <c r="AT119" s="686">
        <f>+Fin!BG22+Fin!BG23+Fin!BG30+Fin!BG31+Fin!BG38+Fin!BG39+Fin!BG54+Fin!BG55</f>
        <v>0</v>
      </c>
      <c r="AU119" s="686">
        <f>+Fin!BH22+Fin!BH23+Fin!BH30+Fin!BH31+Fin!BH38+Fin!BH39+Fin!BH54+Fin!BH55</f>
        <v>0</v>
      </c>
      <c r="AV119" s="686">
        <f>+Fin!BI22+Fin!BI23+Fin!BI30+Fin!BI31+Fin!BI38+Fin!BI39+Fin!BI54+Fin!BI55</f>
        <v>0</v>
      </c>
      <c r="AW119" s="686">
        <f>+Fin!BJ22+Fin!BJ23+Fin!BJ30+Fin!BJ31+Fin!BJ38+Fin!BJ39+Fin!BJ54+Fin!BJ55</f>
        <v>0</v>
      </c>
      <c r="AX119" s="283"/>
      <c r="AY119" s="283"/>
      <c r="AZ119" s="283"/>
      <c r="BA119" s="283"/>
      <c r="BB119" s="283"/>
      <c r="BC119" s="283"/>
      <c r="BD119" s="283"/>
      <c r="BE119" s="283"/>
      <c r="BF119" s="283"/>
      <c r="BG119" s="283"/>
      <c r="BH119" s="283"/>
      <c r="BI119" s="283"/>
      <c r="BJ119" s="283"/>
      <c r="BK119" s="283"/>
      <c r="BL119" s="283"/>
      <c r="BM119" s="283"/>
    </row>
    <row r="120" spans="2:65" x14ac:dyDescent="0.2">
      <c r="B120" s="281" t="s">
        <v>366</v>
      </c>
      <c r="D120" s="359"/>
      <c r="E120" s="686">
        <f>+Fin!R25+Fin!R33+Fin!R46+Fin!R57</f>
        <v>1649374.7965537459</v>
      </c>
      <c r="F120" s="686">
        <f>+Fin!S25+Fin!S33+Fin!S46+Fin!S57</f>
        <v>1693485.906507757</v>
      </c>
      <c r="G120" s="686">
        <f>+Fin!T25+Fin!T33+Fin!T46+Fin!T57</f>
        <v>1739478.1440090905</v>
      </c>
      <c r="H120" s="686">
        <f>+Fin!U25+Fin!U33+Fin!U46+Fin!U57</f>
        <v>1752987.6938136853</v>
      </c>
      <c r="I120" s="686">
        <f>+Fin!V25+Fin!V33+Fin!V46+Fin!V57</f>
        <v>1755499.0938422005</v>
      </c>
      <c r="J120" s="686">
        <f>+Fin!W25+Fin!W33+Fin!W46+Fin!W57</f>
        <v>1758706.5981418965</v>
      </c>
      <c r="K120" s="686">
        <f>+Fin!X25+Fin!X33+Fin!X46+Fin!X57</f>
        <v>1762803.1513455897</v>
      </c>
      <c r="L120" s="686">
        <f>+Fin!Y25+Fin!Y33+Fin!Y46+Fin!Y57</f>
        <v>1768035.1780500526</v>
      </c>
      <c r="M120" s="686">
        <f>+Fin!Z25+Fin!Z33+Fin!Z46+Fin!Z57</f>
        <v>1774717.4062734121</v>
      </c>
      <c r="N120" s="686">
        <f>+Fin!AA25+Fin!AA33+Fin!AA46+Fin!AA57</f>
        <v>1783251.7996454821</v>
      </c>
      <c r="O120" s="686">
        <f>+Fin!AB25+Fin!AB33+Fin!AB46+Fin!AB57</f>
        <v>1791086.2939579464</v>
      </c>
      <c r="P120" s="686">
        <f>+Fin!AC25+Fin!AC33+Fin!AC46+Fin!AC57</f>
        <v>1798278.2873962729</v>
      </c>
      <c r="Q120" s="686">
        <f>+Fin!AD25+Fin!AD33+Fin!AD46+Fin!AD57</f>
        <v>1804880.4709647321</v>
      </c>
      <c r="R120" s="686">
        <f>+Fin!AE25+Fin!AE33+Fin!AE46+Fin!AE57</f>
        <v>1810941.2145187156</v>
      </c>
      <c r="S120" s="686">
        <f>+Fin!AF25+Fin!AF33+Fin!AF46+Fin!AF57</f>
        <v>1816504.9211388463</v>
      </c>
      <c r="T120" s="686">
        <f>+Fin!AG25+Fin!AG33+Fin!AG46+Fin!AG57</f>
        <v>1824048.7095021359</v>
      </c>
      <c r="U120" s="686">
        <f>+Fin!AH25+Fin!AH33+Fin!AH46+Fin!AH57</f>
        <v>1834277.2759517382</v>
      </c>
      <c r="V120" s="686">
        <f>+Fin!AI25+Fin!AI33+Fin!AI46+Fin!AI57</f>
        <v>1848146.1130101937</v>
      </c>
      <c r="W120" s="686">
        <f>+Fin!AJ25+Fin!AJ33+Fin!AJ46+Fin!AJ57</f>
        <v>1866950.7658715397</v>
      </c>
      <c r="X120" s="686">
        <f>+Fin!AK25+Fin!AK33+Fin!AK46+Fin!AK57</f>
        <v>1892447.8546141132</v>
      </c>
      <c r="Y120" s="686">
        <f>+Fin!AL25+Fin!AL33+Fin!AL46+Fin!AL57</f>
        <v>1909705.3744703208</v>
      </c>
      <c r="Z120" s="686">
        <f>+Fin!AM25+Fin!AM33+Fin!AM46+Fin!AM57</f>
        <v>1921386.0017997501</v>
      </c>
      <c r="AA120" s="686">
        <f>+Fin!AN25+Fin!AN33+Fin!AN46+Fin!AN57</f>
        <v>1929291.9498123173</v>
      </c>
      <c r="AB120" s="686">
        <f>+Fin!AO25+Fin!AO33+Fin!AO46+Fin!AO57</f>
        <v>1934643.0334668679</v>
      </c>
      <c r="AC120" s="686">
        <f>+Fin!AP25+Fin!AP33+Fin!AP46+Fin!AP57</f>
        <v>1938264.8756839538</v>
      </c>
      <c r="AD120" s="686">
        <f>+Fin!AQ25+Fin!AQ33+Fin!AQ46+Fin!AQ57</f>
        <v>1943296.4352800804</v>
      </c>
      <c r="AE120" s="686">
        <f>+Fin!AR25+Fin!AR33+Fin!AR46+Fin!AR57</f>
        <v>1950286.4117760039</v>
      </c>
      <c r="AF120" s="686">
        <f>+Fin!AS25+Fin!AS33+Fin!AS46+Fin!AS57</f>
        <v>1959997.0731485097</v>
      </c>
      <c r="AG120" s="686">
        <f>+Fin!AT25+Fin!AT33+Fin!AT46+Fin!AT57</f>
        <v>1973487.3823571976</v>
      </c>
      <c r="AH120" s="686">
        <f>+Fin!AU25+Fin!AU33+Fin!AU46+Fin!AU57</f>
        <v>1915341.2287908667</v>
      </c>
      <c r="AI120" s="686">
        <f>+Fin!AV25+Fin!AV33+Fin!AV46+Fin!AV57</f>
        <v>1778174.9566126631</v>
      </c>
      <c r="AJ120" s="686">
        <f>+Fin!AW25+Fin!AW33+Fin!AW46+Fin!AW57</f>
        <v>1632526.0438571116</v>
      </c>
      <c r="AK120" s="686">
        <f>+Fin!AX25+Fin!AX33+Fin!AX46+Fin!AX57</f>
        <v>1477971.0143088149</v>
      </c>
      <c r="AL120" s="686">
        <f>+Fin!AY25+Fin!AY33+Fin!AY46+Fin!AY57</f>
        <v>1297111.5430244806</v>
      </c>
      <c r="AM120" s="686">
        <f>+Fin!AZ25+Fin!AZ33+Fin!AZ46+Fin!AZ57</f>
        <v>1087589.3603657647</v>
      </c>
      <c r="AN120" s="686">
        <f>+Fin!BA25+Fin!BA33+Fin!BA46+Fin!BA57</f>
        <v>867067.26311746635</v>
      </c>
      <c r="AO120" s="686">
        <f>+Fin!BB25+Fin!BB33+Fin!BB46+Fin!BB57</f>
        <v>634967.75576363225</v>
      </c>
      <c r="AP120" s="686">
        <f>+Fin!BC25+Fin!BC33+Fin!BC46+Fin!BC57</f>
        <v>390683.02427372203</v>
      </c>
      <c r="AQ120" s="686">
        <f>+Fin!BD25+Fin!BD33+Fin!BD46+Fin!BD57</f>
        <v>133573.3443805915</v>
      </c>
      <c r="AR120" s="686">
        <f>+Fin!BE25+Fin!BE33+Fin!BE46+Fin!BE57</f>
        <v>9.9000000685919076E-2</v>
      </c>
      <c r="AS120" s="686">
        <f>+Fin!BF25+Fin!BF33+Fin!BF46+Fin!BF57</f>
        <v>9.9000000685919076E-2</v>
      </c>
      <c r="AT120" s="686">
        <f>+Fin!BG25+Fin!BG33+Fin!BG46+Fin!BG57</f>
        <v>9.9000000685919076E-2</v>
      </c>
      <c r="AU120" s="686">
        <f>+Fin!BH25+Fin!BH33+Fin!BH46+Fin!BH57</f>
        <v>9.9000000685919076E-2</v>
      </c>
      <c r="AV120" s="686">
        <f>+Fin!BI25+Fin!BI33+Fin!BI46+Fin!BI57</f>
        <v>9.9000000685919076E-2</v>
      </c>
      <c r="AW120" s="686">
        <f>+Fin!BJ25+Fin!BJ33+Fin!BJ46+Fin!BJ57</f>
        <v>9.9000000685919076E-2</v>
      </c>
      <c r="AX120" s="283"/>
      <c r="AY120" s="283"/>
      <c r="AZ120" s="283"/>
      <c r="BA120" s="283"/>
      <c r="BB120" s="283"/>
      <c r="BC120" s="283"/>
      <c r="BD120" s="283"/>
      <c r="BE120" s="283"/>
      <c r="BF120" s="283"/>
      <c r="BG120" s="283"/>
      <c r="BH120" s="283"/>
      <c r="BI120" s="283"/>
      <c r="BJ120" s="283"/>
      <c r="BK120" s="283"/>
      <c r="BL120" s="283"/>
      <c r="BM120" s="283"/>
    </row>
    <row r="121" spans="2:65" x14ac:dyDescent="0.2">
      <c r="AN121" s="283"/>
      <c r="AO121" s="283"/>
      <c r="AP121" s="283"/>
      <c r="AQ121" s="305"/>
      <c r="AR121" s="306"/>
      <c r="AS121" s="301"/>
      <c r="AT121" s="301"/>
      <c r="AW121" s="283"/>
      <c r="AX121" s="283"/>
      <c r="AY121" s="283"/>
      <c r="AZ121" s="283"/>
      <c r="BA121" s="283"/>
      <c r="BB121" s="283"/>
      <c r="BC121" s="283"/>
      <c r="BD121" s="283"/>
      <c r="BE121" s="283"/>
      <c r="BF121" s="283"/>
      <c r="BG121" s="283"/>
      <c r="BH121" s="283"/>
      <c r="BI121" s="283"/>
      <c r="BJ121" s="283"/>
      <c r="BK121" s="283"/>
      <c r="BL121" s="283"/>
      <c r="BM121" s="283"/>
    </row>
    <row r="122" spans="2:65" x14ac:dyDescent="0.2">
      <c r="AN122" s="283"/>
      <c r="AO122" s="283"/>
      <c r="AP122" s="283"/>
      <c r="AQ122" s="305"/>
      <c r="AR122" s="306"/>
      <c r="AS122" s="301"/>
      <c r="AT122" s="301"/>
      <c r="AW122" s="283"/>
      <c r="AX122" s="283"/>
      <c r="AY122" s="283"/>
      <c r="AZ122" s="283"/>
      <c r="BA122" s="283"/>
      <c r="BB122" s="283"/>
      <c r="BC122" s="283"/>
      <c r="BD122" s="283"/>
      <c r="BE122" s="283"/>
      <c r="BF122" s="283"/>
      <c r="BG122" s="283"/>
      <c r="BH122" s="283"/>
      <c r="BI122" s="283"/>
      <c r="BJ122" s="283"/>
      <c r="BK122" s="283"/>
      <c r="BL122" s="283"/>
      <c r="BM122" s="283"/>
    </row>
    <row r="123" spans="2:65" x14ac:dyDescent="0.2">
      <c r="B123" s="281" t="s">
        <v>372</v>
      </c>
      <c r="D123" s="685"/>
      <c r="E123" s="685">
        <f>+CF!R48</f>
        <v>0</v>
      </c>
      <c r="F123" s="685">
        <f>+CF!S48</f>
        <v>0</v>
      </c>
      <c r="G123" s="685">
        <f>+CF!T48</f>
        <v>0</v>
      </c>
      <c r="H123" s="685">
        <f>+CF!U48</f>
        <v>10121.893906041663</v>
      </c>
      <c r="I123" s="685">
        <f>+CF!V48</f>
        <v>-2737.9914649635248</v>
      </c>
      <c r="J123" s="685">
        <f>+CF!W48</f>
        <v>-3037.0853628754758</v>
      </c>
      <c r="K123" s="685">
        <f>+CF!X48</f>
        <v>-2843.7019947117424</v>
      </c>
      <c r="L123" s="685">
        <f>+CF!Y48</f>
        <v>-2068.5240352732362</v>
      </c>
      <c r="M123" s="685">
        <f>+CF!Z48</f>
        <v>-593.60765917007666</v>
      </c>
      <c r="N123" s="685">
        <f>+CF!AA48</f>
        <v>1735.2347358003062</v>
      </c>
      <c r="O123" s="685">
        <f>+CF!AB48</f>
        <v>1227.4759061671175</v>
      </c>
      <c r="P123" s="685">
        <f>+CF!AC48</f>
        <v>144.02437779743559</v>
      </c>
      <c r="Q123" s="685">
        <f>+CF!AD48</f>
        <v>-1687.6121661333927</v>
      </c>
      <c r="R123" s="685">
        <f>+CF!AE48</f>
        <v>-4503.9712512130063</v>
      </c>
      <c r="S123" s="685">
        <f>+CF!AF48</f>
        <v>-8628.2109688004566</v>
      </c>
      <c r="T123" s="685">
        <f>+CF!AG48</f>
        <v>-9101.8580557016976</v>
      </c>
      <c r="U123" s="685">
        <f>+CF!AH48</f>
        <v>-7120.5756760086297</v>
      </c>
      <c r="V123" s="685">
        <f>+CF!AI48</f>
        <v>-2658.4747542637706</v>
      </c>
      <c r="W123" s="685">
        <f>+CF!AJ48</f>
        <v>4593.5208819406616</v>
      </c>
      <c r="X123" s="685">
        <f>+CF!AK48</f>
        <v>15239.922202331221</v>
      </c>
      <c r="Y123" s="685">
        <f>+CF!AL48</f>
        <v>9928.0096812515367</v>
      </c>
      <c r="Z123" s="685">
        <f>+CF!AM48</f>
        <v>5666.0127925034576</v>
      </c>
      <c r="AA123" s="685">
        <f>+CF!AN48</f>
        <v>1855.1590133251939</v>
      </c>
      <c r="AB123" s="685">
        <f>+CF!AO48</f>
        <v>-2010.8248458083926</v>
      </c>
      <c r="AC123" s="685">
        <f>+CF!AP48</f>
        <v>-6414.9157139993986</v>
      </c>
      <c r="AD123" s="685">
        <f>+CF!AQ48</f>
        <v>-7769.6297578547201</v>
      </c>
      <c r="AE123" s="685">
        <f>+CF!AR48</f>
        <v>-8148.265042363706</v>
      </c>
      <c r="AF123" s="685">
        <f>+CF!AS48</f>
        <v>-7196.555026770744</v>
      </c>
      <c r="AG123" s="685">
        <f>+CF!AT48</f>
        <v>-4421.9055968976172</v>
      </c>
      <c r="AH123" s="685">
        <f>+CF!AU48</f>
        <v>860.43824163452518</v>
      </c>
      <c r="AI123" s="685">
        <f>+CF!AV48</f>
        <v>493.45984102274087</v>
      </c>
      <c r="AJ123" s="685">
        <f>+CF!AW48</f>
        <v>-379.09532086609397</v>
      </c>
      <c r="AK123" s="685">
        <f>+CF!AX48</f>
        <v>-1809.776512616947</v>
      </c>
      <c r="AL123" s="685">
        <f>+CF!AY48</f>
        <v>-3857.5481055167693</v>
      </c>
      <c r="AM123" s="683">
        <f>+CF!AZ48</f>
        <v>-6588.554015575246</v>
      </c>
      <c r="AN123" s="683">
        <f>+CF!BA48</f>
        <v>-7453.8591490584149</v>
      </c>
      <c r="AO123" s="683">
        <f>+CF!BB48</f>
        <v>-8537.0104540626635</v>
      </c>
      <c r="AP123" s="683">
        <f>+CF!BC48</f>
        <v>-9879.6845760317956</v>
      </c>
      <c r="AQ123" s="305">
        <f>+CF!BD48</f>
        <v>-11530.676993100526</v>
      </c>
      <c r="AR123" s="306">
        <f>+CF!BE48</f>
        <v>99114.762919822184</v>
      </c>
      <c r="AS123" s="301">
        <f>+CF!BF48</f>
        <v>0</v>
      </c>
      <c r="AT123" s="301">
        <f>+CF!BG48</f>
        <v>0</v>
      </c>
      <c r="AU123" s="302">
        <f>+CF!BH48</f>
        <v>0</v>
      </c>
      <c r="AV123" s="302">
        <f>+CF!BI48</f>
        <v>0</v>
      </c>
      <c r="AW123" s="683">
        <f>+CF!BJ48</f>
        <v>0</v>
      </c>
      <c r="AX123" s="283"/>
      <c r="AY123" s="283"/>
      <c r="AZ123" s="283"/>
      <c r="BA123" s="283"/>
      <c r="BB123" s="283"/>
      <c r="BC123" s="283"/>
      <c r="BD123" s="283"/>
      <c r="BE123" s="283"/>
      <c r="BF123" s="283"/>
      <c r="BG123" s="283"/>
      <c r="BH123" s="283"/>
      <c r="BI123" s="283"/>
      <c r="BJ123" s="283"/>
      <c r="BK123" s="283"/>
      <c r="BL123" s="283"/>
      <c r="BM123" s="283"/>
    </row>
    <row r="124" spans="2:65" x14ac:dyDescent="0.2">
      <c r="B124" s="281" t="s">
        <v>373</v>
      </c>
      <c r="D124" s="684"/>
      <c r="E124" s="684">
        <f>+CF!R49</f>
        <v>0</v>
      </c>
      <c r="F124" s="684">
        <f>+CF!S49</f>
        <v>0</v>
      </c>
      <c r="G124" s="684">
        <f>+CF!T49</f>
        <v>0</v>
      </c>
      <c r="H124" s="684">
        <f>+CF!U49</f>
        <v>21730.869530352829</v>
      </c>
      <c r="I124" s="684">
        <f>+CF!V49</f>
        <v>-3973.3070391430374</v>
      </c>
      <c r="J124" s="684">
        <f>+CF!W49</f>
        <v>-2186.781713659766</v>
      </c>
      <c r="K124" s="684">
        <f>+CF!X49</f>
        <v>-404.15483066316665</v>
      </c>
      <c r="L124" s="684">
        <f>+CF!Y49</f>
        <v>-587.47197038256127</v>
      </c>
      <c r="M124" s="684">
        <f>+CF!Z49</f>
        <v>-1438.7543011091111</v>
      </c>
      <c r="N124" s="684">
        <f>+CF!AA49</f>
        <v>-1621.8091364062057</v>
      </c>
      <c r="O124" s="684">
        <f>+CF!AB49</f>
        <v>-1803.391462022475</v>
      </c>
      <c r="P124" s="684">
        <f>+CF!AC49</f>
        <v>-1805.9984307099658</v>
      </c>
      <c r="Q124" s="684">
        <f>+CF!AD49</f>
        <v>-2105.1144933757896</v>
      </c>
      <c r="R124" s="684">
        <f>+CF!AE49</f>
        <v>-2345.9547922531128</v>
      </c>
      <c r="S124" s="684">
        <f>+CF!AF49</f>
        <v>-2521.5989788574298</v>
      </c>
      <c r="T124" s="684">
        <f>+CF!AG49</f>
        <v>-2537.3170424353593</v>
      </c>
      <c r="U124" s="684">
        <f>+CF!AH49</f>
        <v>-2918.0170983109347</v>
      </c>
      <c r="V124" s="684">
        <f>+CF!AI49</f>
        <v>-3396.2547222850553</v>
      </c>
      <c r="W124" s="684">
        <f>+CF!AJ49</f>
        <v>-4362.9094294107927</v>
      </c>
      <c r="X124" s="684">
        <f>+CF!AK49</f>
        <v>-4761.2757917118724</v>
      </c>
      <c r="Y124" s="684">
        <f>+CF!AL49</f>
        <v>-4660.2743023161602</v>
      </c>
      <c r="Z124" s="684">
        <f>+CF!AM49</f>
        <v>-5104.1137839636067</v>
      </c>
      <c r="AA124" s="684">
        <f>+CF!AN49</f>
        <v>-697.80868542422832</v>
      </c>
      <c r="AB124" s="684">
        <f>+CF!AO49</f>
        <v>-27326.006116330274</v>
      </c>
      <c r="AC124" s="684">
        <f>+CF!AP49</f>
        <v>2568.80516300624</v>
      </c>
      <c r="AD124" s="684">
        <f>+CF!AQ49</f>
        <v>4270.0309883518785</v>
      </c>
      <c r="AE124" s="684">
        <f>+CF!AR49</f>
        <v>5280.6531192460097</v>
      </c>
      <c r="AF124" s="684">
        <f>+CF!AS49</f>
        <v>-277.67235514649656</v>
      </c>
      <c r="AG124" s="684">
        <f>+CF!AT49</f>
        <v>-76641.246891439107</v>
      </c>
      <c r="AH124" s="684">
        <f>+CF!AU49</f>
        <v>-74540.150844539225</v>
      </c>
      <c r="AI124" s="684">
        <f>+CF!AV49</f>
        <v>-982.72032654244686</v>
      </c>
      <c r="AJ124" s="684">
        <f>+CF!AW49</f>
        <v>-470.88291640568059</v>
      </c>
      <c r="AK124" s="684">
        <f>+CF!AX49</f>
        <v>-8710.3083716197871</v>
      </c>
      <c r="AL124" s="684">
        <f>+CF!AY49</f>
        <v>-9947.2340771526215</v>
      </c>
      <c r="AM124" s="683">
        <f>+CF!AZ49</f>
        <v>148.58876412024256</v>
      </c>
      <c r="AN124" s="683">
        <f>+CF!BA49</f>
        <v>465.42823474953184</v>
      </c>
      <c r="AO124" s="683">
        <f>+CF!BB49</f>
        <v>331.39155571471201</v>
      </c>
      <c r="AP124" s="683">
        <f>+CF!BC49</f>
        <v>348.7896123896935</v>
      </c>
      <c r="AQ124" s="305">
        <f>+CF!BD49</f>
        <v>135563.62357595254</v>
      </c>
      <c r="AR124" s="306">
        <f>+CF!BE49</f>
        <v>138920.34935973259</v>
      </c>
      <c r="AS124" s="301">
        <f>+CF!BF49</f>
        <v>0</v>
      </c>
      <c r="AT124" s="301">
        <f>+CF!BG49</f>
        <v>0</v>
      </c>
      <c r="AU124" s="302">
        <f>+CF!BH49</f>
        <v>0</v>
      </c>
      <c r="AV124" s="302">
        <f>+CF!BI49</f>
        <v>0</v>
      </c>
      <c r="AW124" s="683">
        <f>+CF!BJ49</f>
        <v>0</v>
      </c>
      <c r="AX124" s="283"/>
      <c r="AY124" s="283"/>
      <c r="AZ124" s="283"/>
      <c r="BA124" s="283"/>
      <c r="BB124" s="283"/>
      <c r="BC124" s="283"/>
      <c r="BD124" s="283"/>
      <c r="BE124" s="283"/>
      <c r="BF124" s="283"/>
      <c r="BG124" s="283"/>
      <c r="BH124" s="283"/>
      <c r="BI124" s="283"/>
      <c r="BJ124" s="283"/>
      <c r="BK124" s="283"/>
      <c r="BL124" s="283"/>
      <c r="BM124" s="283"/>
    </row>
    <row r="125" spans="2:65" x14ac:dyDescent="0.2">
      <c r="AN125" s="283"/>
      <c r="AO125" s="283"/>
      <c r="AP125" s="283"/>
      <c r="AQ125" s="305"/>
      <c r="AR125" s="306"/>
      <c r="AS125" s="301"/>
      <c r="AT125" s="301"/>
      <c r="AW125" s="283"/>
      <c r="AX125" s="283"/>
      <c r="AY125" s="283"/>
      <c r="AZ125" s="283"/>
      <c r="BA125" s="283"/>
      <c r="BB125" s="283"/>
      <c r="BC125" s="283"/>
      <c r="BD125" s="283"/>
      <c r="BE125" s="283"/>
      <c r="BF125" s="283"/>
      <c r="BG125" s="283"/>
      <c r="BH125" s="283"/>
      <c r="BI125" s="283"/>
      <c r="BJ125" s="283"/>
      <c r="BK125" s="283"/>
      <c r="BL125" s="283"/>
      <c r="BM125" s="283"/>
    </row>
    <row r="126" spans="2:65" x14ac:dyDescent="0.2">
      <c r="B126" s="281" t="s">
        <v>359</v>
      </c>
      <c r="D126" s="682"/>
      <c r="E126" s="686">
        <f>+CF!R50</f>
        <v>0</v>
      </c>
      <c r="F126" s="686">
        <f>+CF!S50</f>
        <v>-46089.205415482946</v>
      </c>
      <c r="G126" s="686">
        <f>+CF!T50</f>
        <v>-66536.014867182152</v>
      </c>
      <c r="H126" s="686">
        <f>+CF!U50</f>
        <v>165130.7029326651</v>
      </c>
      <c r="I126" s="686">
        <f>+CF!V50</f>
        <v>0</v>
      </c>
      <c r="J126" s="686">
        <f>+CF!W50</f>
        <v>0</v>
      </c>
      <c r="K126" s="686">
        <f>+CF!X50</f>
        <v>0</v>
      </c>
      <c r="L126" s="686">
        <f>+CF!Y50</f>
        <v>0</v>
      </c>
      <c r="M126" s="686">
        <f>+CF!Z50</f>
        <v>0</v>
      </c>
      <c r="N126" s="686">
        <f>+CF!AA50</f>
        <v>0</v>
      </c>
      <c r="O126" s="686">
        <f>+CF!AB50</f>
        <v>0</v>
      </c>
      <c r="P126" s="686">
        <f>+CF!AC50</f>
        <v>0</v>
      </c>
      <c r="Q126" s="686">
        <f>+CF!AD50</f>
        <v>0</v>
      </c>
      <c r="R126" s="686">
        <f>+CF!AE50</f>
        <v>0</v>
      </c>
      <c r="S126" s="686">
        <f>+CF!AF50</f>
        <v>0</v>
      </c>
      <c r="T126" s="686">
        <f>+CF!AG50</f>
        <v>0</v>
      </c>
      <c r="U126" s="686">
        <f>+CF!AH50</f>
        <v>0</v>
      </c>
      <c r="V126" s="686">
        <f>+CF!AI50</f>
        <v>0</v>
      </c>
      <c r="W126" s="686">
        <f>+CF!AJ50</f>
        <v>0</v>
      </c>
      <c r="X126" s="686">
        <f>+CF!AK50</f>
        <v>0</v>
      </c>
      <c r="Y126" s="686">
        <f>+CF!AL50</f>
        <v>0</v>
      </c>
      <c r="Z126" s="686">
        <f>+CF!AM50</f>
        <v>0</v>
      </c>
      <c r="AA126" s="686">
        <f>+CF!AN50</f>
        <v>0</v>
      </c>
      <c r="AB126" s="686">
        <f>+CF!AO50</f>
        <v>0</v>
      </c>
      <c r="AC126" s="686">
        <f>+CF!AP50</f>
        <v>0</v>
      </c>
      <c r="AD126" s="686">
        <f>+CF!AQ50</f>
        <v>0</v>
      </c>
      <c r="AE126" s="686">
        <f>+CF!AR50</f>
        <v>0</v>
      </c>
      <c r="AF126" s="686">
        <f>+CF!AS50</f>
        <v>0</v>
      </c>
      <c r="AG126" s="686">
        <f>+CF!AT50</f>
        <v>0</v>
      </c>
      <c r="AH126" s="686">
        <f>+CF!AU50</f>
        <v>0</v>
      </c>
      <c r="AI126" s="686">
        <f>+CF!AV50</f>
        <v>0</v>
      </c>
      <c r="AJ126" s="686">
        <f>+CF!AW50</f>
        <v>0</v>
      </c>
      <c r="AK126" s="686">
        <f>+CF!AX50</f>
        <v>0</v>
      </c>
      <c r="AL126" s="686">
        <f>+CF!AY50</f>
        <v>0</v>
      </c>
      <c r="AM126" s="686">
        <f>+CF!AZ50</f>
        <v>0</v>
      </c>
      <c r="AN126" s="686">
        <f>+CF!BA50</f>
        <v>0</v>
      </c>
      <c r="AO126" s="686">
        <f>+CF!BB50</f>
        <v>0</v>
      </c>
      <c r="AP126" s="686">
        <f>+CF!BC50</f>
        <v>0</v>
      </c>
      <c r="AQ126" s="686">
        <f>+CF!BD50</f>
        <v>0</v>
      </c>
      <c r="AR126" s="686">
        <f>+CF!BE50</f>
        <v>0</v>
      </c>
      <c r="AS126" s="686">
        <f>+CF!BF50</f>
        <v>0</v>
      </c>
      <c r="AT126" s="686">
        <f>+CF!BG50</f>
        <v>0</v>
      </c>
      <c r="AU126" s="686">
        <f>+CF!BH50</f>
        <v>0</v>
      </c>
      <c r="AV126" s="686">
        <f>+CF!BI50</f>
        <v>0</v>
      </c>
      <c r="AW126" s="686">
        <f>+CF!BJ50</f>
        <v>0</v>
      </c>
      <c r="AX126" s="283"/>
      <c r="AY126" s="283"/>
      <c r="AZ126" s="283"/>
      <c r="BA126" s="283"/>
      <c r="BB126" s="283"/>
      <c r="BC126" s="283"/>
      <c r="BD126" s="283"/>
      <c r="BE126" s="283"/>
      <c r="BF126" s="283"/>
      <c r="BG126" s="283"/>
      <c r="BH126" s="283"/>
      <c r="BI126" s="283"/>
      <c r="BJ126" s="283"/>
      <c r="BK126" s="283"/>
      <c r="BL126" s="283"/>
      <c r="BM126" s="283"/>
    </row>
    <row r="127" spans="2:65" x14ac:dyDescent="0.2">
      <c r="AN127" s="283"/>
      <c r="AO127" s="283"/>
      <c r="AP127" s="283"/>
      <c r="AQ127" s="305"/>
      <c r="AR127" s="306"/>
      <c r="AS127" s="301"/>
      <c r="AT127" s="301"/>
      <c r="AW127" s="283"/>
      <c r="AX127" s="283"/>
      <c r="AY127" s="283"/>
      <c r="AZ127" s="283"/>
      <c r="BA127" s="283"/>
      <c r="BB127" s="283"/>
      <c r="BC127" s="283"/>
      <c r="BD127" s="283"/>
      <c r="BE127" s="283"/>
      <c r="BF127" s="283"/>
      <c r="BG127" s="283"/>
      <c r="BH127" s="283"/>
      <c r="BI127" s="283"/>
      <c r="BJ127" s="283"/>
      <c r="BK127" s="283"/>
      <c r="BL127" s="283"/>
      <c r="BM127" s="283"/>
    </row>
    <row r="128" spans="2:65" x14ac:dyDescent="0.2">
      <c r="B128" s="281" t="s">
        <v>450</v>
      </c>
      <c r="D128" s="360"/>
      <c r="E128" s="679">
        <f>+'Valuation &amp; IRR'!Y23</f>
        <v>0</v>
      </c>
      <c r="F128" s="679">
        <f ca="1">+'Valuation &amp; IRR'!Z23</f>
        <v>0</v>
      </c>
      <c r="G128" s="679">
        <f ca="1">+'Valuation &amp; IRR'!AA23</f>
        <v>0</v>
      </c>
      <c r="H128" s="679">
        <f ca="1">+'Valuation &amp; IRR'!AB23</f>
        <v>0</v>
      </c>
      <c r="I128" s="679">
        <f ca="1">+'Valuation &amp; IRR'!AC23</f>
        <v>0</v>
      </c>
      <c r="J128" s="679">
        <f ca="1">+'Valuation &amp; IRR'!AD23</f>
        <v>-780.47775198182228</v>
      </c>
      <c r="K128" s="679">
        <f ca="1">+'Valuation &amp; IRR'!AE23</f>
        <v>-1164.4991811465022</v>
      </c>
      <c r="L128" s="679">
        <f ca="1">+'Valuation &amp; IRR'!AF23</f>
        <v>-1577.4291556687028</v>
      </c>
      <c r="M128" s="679">
        <f ca="1">+'Valuation &amp; IRR'!AG23</f>
        <v>-2021.174779777821</v>
      </c>
      <c r="N128" s="679">
        <f ca="1">+'Valuation &amp; IRR'!AH23</f>
        <v>-2497.6332852815908</v>
      </c>
      <c r="O128" s="679">
        <f ca="1">+'Valuation &amp; IRR'!AI23</f>
        <v>-3045.1476984471396</v>
      </c>
      <c r="P128" s="679">
        <f ca="1">+'Valuation &amp; IRR'!AJ23</f>
        <v>-3641.3909924200379</v>
      </c>
      <c r="Q128" s="679">
        <f ca="1">+'Valuation &amp; IRR'!AK23</f>
        <v>-4290.19534956196</v>
      </c>
      <c r="R128" s="679">
        <f ca="1">+'Valuation &amp; IRR'!AL23</f>
        <v>-4995.6732313366201</v>
      </c>
      <c r="S128" s="679">
        <f ca="1">+'Valuation &amp; IRR'!AM23</f>
        <v>-5762.32110288694</v>
      </c>
      <c r="T128" s="679">
        <f ca="1">+'Valuation &amp; IRR'!AN23</f>
        <v>-21907.555049245388</v>
      </c>
      <c r="U128" s="679">
        <f ca="1">+'Valuation &amp; IRR'!AO23</f>
        <v>-56072.340952049773</v>
      </c>
      <c r="V128" s="679">
        <f ca="1">+'Valuation &amp; IRR'!AP23</f>
        <v>-60056.505532768781</v>
      </c>
      <c r="W128" s="679">
        <f ca="1">+'Valuation &amp; IRR'!AQ23</f>
        <v>-64185.140125869671</v>
      </c>
      <c r="X128" s="679">
        <f ca="1">+'Valuation &amp; IRR'!AR23</f>
        <v>-68434.360881708388</v>
      </c>
      <c r="Y128" s="679">
        <f ca="1">+'Valuation &amp; IRR'!AS23</f>
        <v>-73430.810545692395</v>
      </c>
      <c r="Z128" s="679">
        <f ca="1">+'Valuation &amp; IRR'!AT23</f>
        <v>-78902.460215317784</v>
      </c>
      <c r="AA128" s="679">
        <f ca="1">+'Valuation &amp; IRR'!AU23</f>
        <v>-84853.573476029589</v>
      </c>
      <c r="AB128" s="679">
        <f ca="1">+'Valuation &amp; IRR'!AV23</f>
        <v>-91300.245528631654</v>
      </c>
      <c r="AC128" s="679">
        <f ca="1">+'Valuation &amp; IRR'!AW23</f>
        <v>-98265.584697702259</v>
      </c>
      <c r="AD128" s="679">
        <f ca="1">+'Valuation &amp; IRR'!AX23</f>
        <v>-104857.38156882711</v>
      </c>
      <c r="AE128" s="679">
        <f ca="1">+'Valuation &amp; IRR'!AY23</f>
        <v>-129480.65791657509</v>
      </c>
      <c r="AF128" s="679">
        <f ca="1">+'Valuation &amp; IRR'!AZ23</f>
        <v>-149918.14847945186</v>
      </c>
      <c r="AG128" s="679">
        <f ca="1">+'Valuation &amp; IRR'!BA23</f>
        <v>-161202.89434504759</v>
      </c>
      <c r="AH128" s="679">
        <f ca="1">+'Valuation &amp; IRR'!BB23</f>
        <v>-173594.48933773427</v>
      </c>
      <c r="AI128" s="679">
        <f ca="1">+'Valuation &amp; IRR'!BC23</f>
        <v>-186983.15263826633</v>
      </c>
      <c r="AJ128" s="679">
        <f ca="1">+'Valuation &amp; IRR'!BD23</f>
        <v>-201530.42915781628</v>
      </c>
      <c r="AK128" s="679">
        <f ca="1">+'Valuation &amp; IRR'!BE23</f>
        <v>-217173.48623306019</v>
      </c>
      <c r="AL128" s="679">
        <f ca="1">+'Valuation &amp; IRR'!BF23</f>
        <v>-230148.99450671673</v>
      </c>
      <c r="AM128" s="678">
        <f ca="1">+'Valuation &amp; IRR'!BG23</f>
        <v>-251905.67056709318</v>
      </c>
      <c r="AN128" s="678">
        <f ca="1">+'Valuation &amp; IRR'!BH23</f>
        <v>-271602.71523679845</v>
      </c>
      <c r="AO128" s="678">
        <f ca="1">+'Valuation &amp; IRR'!BI23</f>
        <v>-292448.02318743081</v>
      </c>
      <c r="AP128" s="678">
        <f ca="1">+'Valuation &amp; IRR'!BJ23</f>
        <v>-314460.19370689074</v>
      </c>
      <c r="AQ128" s="361">
        <f ca="1">+'Valuation &amp; IRR'!BK23</f>
        <v>-337774.35444222571</v>
      </c>
      <c r="AR128" s="362">
        <f ca="1">+'Valuation &amp; IRR'!BL23</f>
        <v>-361560.5291733343</v>
      </c>
      <c r="AS128" s="363">
        <f ca="1">+'Valuation &amp; IRR'!BM23</f>
        <v>-390657.44932356075</v>
      </c>
      <c r="AT128" s="363">
        <f ca="1">+'Valuation &amp; IRR'!BN23</f>
        <v>-420680.82391730789</v>
      </c>
      <c r="AU128" s="681">
        <f ca="1">+'Valuation &amp; IRR'!BO23</f>
        <v>-453021.68358548247</v>
      </c>
      <c r="AV128" s="681">
        <f ca="1">+'Valuation &amp; IRR'!BP23</f>
        <v>-487854.95606015594</v>
      </c>
      <c r="AW128" s="678">
        <f ca="1">+'Valuation &amp; IRR'!BQ23</f>
        <v>-269792.75283256453</v>
      </c>
      <c r="AX128" s="283"/>
      <c r="AY128" s="283"/>
      <c r="AZ128" s="283"/>
      <c r="BA128" s="283"/>
      <c r="BB128" s="283"/>
      <c r="BC128" s="283"/>
      <c r="BD128" s="283"/>
      <c r="BE128" s="283"/>
      <c r="BF128" s="283"/>
      <c r="BG128" s="283"/>
      <c r="BH128" s="283"/>
      <c r="BI128" s="283"/>
      <c r="BJ128" s="283"/>
      <c r="BK128" s="283"/>
      <c r="BL128" s="283"/>
      <c r="BM128" s="283"/>
    </row>
    <row r="129" spans="2:94" x14ac:dyDescent="0.2">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N129" s="283"/>
      <c r="AO129" s="283"/>
      <c r="AP129" s="283"/>
      <c r="AQ129" s="305"/>
      <c r="AR129" s="306"/>
      <c r="AS129" s="301"/>
      <c r="AT129" s="301"/>
      <c r="AW129" s="283"/>
      <c r="AX129" s="283"/>
      <c r="AY129" s="283"/>
      <c r="AZ129" s="283"/>
      <c r="BA129" s="283"/>
      <c r="BB129" s="283"/>
      <c r="BC129" s="283"/>
      <c r="BD129" s="283"/>
      <c r="BE129" s="283"/>
      <c r="BF129" s="283"/>
      <c r="BG129" s="283"/>
      <c r="BH129" s="283"/>
      <c r="BI129" s="283"/>
      <c r="BJ129" s="283"/>
      <c r="BK129" s="283"/>
      <c r="BL129" s="283"/>
      <c r="BM129" s="283"/>
    </row>
    <row r="130" spans="2:94" x14ac:dyDescent="0.2">
      <c r="B130" s="281" t="s">
        <v>376</v>
      </c>
      <c r="D130" s="680"/>
      <c r="E130" s="675">
        <f t="shared" ref="E130:AW130" si="23">+E112+E117+E124+E123+E126+E118</f>
        <v>0</v>
      </c>
      <c r="F130" s="675">
        <f t="shared" si="23"/>
        <v>0</v>
      </c>
      <c r="G130" s="675">
        <f t="shared" si="23"/>
        <v>0</v>
      </c>
      <c r="H130" s="675">
        <f t="shared" si="23"/>
        <v>247570.44432824067</v>
      </c>
      <c r="I130" s="364">
        <f t="shared" si="23"/>
        <v>64936.703322905661</v>
      </c>
      <c r="J130" s="675">
        <f t="shared" si="23"/>
        <v>78791.618545604462</v>
      </c>
      <c r="K130" s="675">
        <f t="shared" si="23"/>
        <v>94084.949761677373</v>
      </c>
      <c r="L130" s="675">
        <f t="shared" si="23"/>
        <v>108916.77205663551</v>
      </c>
      <c r="M130" s="675">
        <f t="shared" si="23"/>
        <v>124570.63434382014</v>
      </c>
      <c r="N130" s="675">
        <f t="shared" si="23"/>
        <v>143016.37432390204</v>
      </c>
      <c r="O130" s="675">
        <f t="shared" si="23"/>
        <v>161032.80369670255</v>
      </c>
      <c r="P130" s="675">
        <f t="shared" si="23"/>
        <v>180188.63697823297</v>
      </c>
      <c r="Q130" s="675">
        <f t="shared" si="23"/>
        <v>200132.27931181935</v>
      </c>
      <c r="R130" s="675">
        <f t="shared" si="23"/>
        <v>209843.07853689627</v>
      </c>
      <c r="S130" s="364">
        <f t="shared" si="23"/>
        <v>242256.37419751711</v>
      </c>
      <c r="T130" s="675">
        <f t="shared" si="23"/>
        <v>265555.01824693044</v>
      </c>
      <c r="U130" s="675">
        <f t="shared" si="23"/>
        <v>292616.36552417465</v>
      </c>
      <c r="V130" s="675">
        <f t="shared" si="23"/>
        <v>323258.91351240413</v>
      </c>
      <c r="W130" s="675">
        <f t="shared" si="23"/>
        <v>357082.81061343051</v>
      </c>
      <c r="X130" s="675">
        <f t="shared" si="23"/>
        <v>395420.17085327074</v>
      </c>
      <c r="Y130" s="675">
        <f t="shared" si="23"/>
        <v>423676.42416936788</v>
      </c>
      <c r="Z130" s="675">
        <f t="shared" si="23"/>
        <v>455492.88145072729</v>
      </c>
      <c r="AA130" s="675">
        <f t="shared" si="23"/>
        <v>495274.75144114264</v>
      </c>
      <c r="AB130" s="675">
        <f t="shared" si="23"/>
        <v>487072.89874041325</v>
      </c>
      <c r="AC130" s="675">
        <f t="shared" si="23"/>
        <v>578420.8764206277</v>
      </c>
      <c r="AD130" s="675">
        <f t="shared" si="23"/>
        <v>622462.31660118187</v>
      </c>
      <c r="AE130" s="675">
        <f t="shared" si="23"/>
        <v>670123.04279516125</v>
      </c>
      <c r="AF130" s="675">
        <f t="shared" si="23"/>
        <v>716555.5927169784</v>
      </c>
      <c r="AG130" s="675">
        <f t="shared" si="23"/>
        <v>696910.7845384276</v>
      </c>
      <c r="AH130" s="675">
        <f t="shared" si="23"/>
        <v>686909.87386723177</v>
      </c>
      <c r="AI130" s="675">
        <f t="shared" si="23"/>
        <v>746033.98516871466</v>
      </c>
      <c r="AJ130" s="675">
        <f t="shared" si="23"/>
        <v>807502.83337323833</v>
      </c>
      <c r="AK130" s="675">
        <f t="shared" si="23"/>
        <v>864251.51904584584</v>
      </c>
      <c r="AL130" s="675">
        <f t="shared" si="23"/>
        <v>897016.12517696281</v>
      </c>
      <c r="AM130" s="675">
        <f t="shared" si="23"/>
        <v>979532.58161589014</v>
      </c>
      <c r="AN130" s="675">
        <f t="shared" si="23"/>
        <v>1059170.9752302826</v>
      </c>
      <c r="AO130" s="675">
        <f t="shared" si="23"/>
        <v>1143471.7474454443</v>
      </c>
      <c r="AP130" s="675">
        <f t="shared" si="23"/>
        <v>1232863.2869510818</v>
      </c>
      <c r="AQ130" s="675">
        <f t="shared" si="23"/>
        <v>1462819.6715564479</v>
      </c>
      <c r="AR130" s="675">
        <f t="shared" si="23"/>
        <v>1586118.7054500785</v>
      </c>
      <c r="AS130" s="675">
        <f t="shared" si="23"/>
        <v>1877951.2000004875</v>
      </c>
      <c r="AT130" s="675">
        <f t="shared" si="23"/>
        <v>2022875.7896959386</v>
      </c>
      <c r="AU130" s="675">
        <f t="shared" si="23"/>
        <v>2179018.6750670709</v>
      </c>
      <c r="AV130" s="675">
        <f t="shared" si="23"/>
        <v>2347204.8376066857</v>
      </c>
      <c r="AW130" s="675">
        <f t="shared" si="23"/>
        <v>1688309.6490862109</v>
      </c>
      <c r="AX130" s="283"/>
      <c r="AY130" s="283"/>
      <c r="AZ130" s="283"/>
      <c r="BA130" s="283"/>
      <c r="BB130" s="283"/>
      <c r="BC130" s="283"/>
      <c r="BD130" s="283"/>
      <c r="BE130" s="283"/>
      <c r="BF130" s="283"/>
      <c r="BG130" s="283"/>
      <c r="BH130" s="283"/>
      <c r="BI130" s="283"/>
      <c r="BJ130" s="283"/>
      <c r="BK130" s="283"/>
      <c r="BL130" s="283"/>
      <c r="BM130" s="283"/>
    </row>
    <row r="131" spans="2:94" x14ac:dyDescent="0.2">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c r="AL131" s="281"/>
      <c r="AN131" s="283"/>
      <c r="AO131" s="283"/>
      <c r="AP131" s="283"/>
      <c r="AQ131" s="283"/>
      <c r="AR131" s="283"/>
      <c r="AS131" s="283"/>
      <c r="AT131" s="283"/>
      <c r="AU131" s="283"/>
      <c r="AV131" s="283"/>
      <c r="AW131" s="283"/>
      <c r="AX131" s="283"/>
      <c r="AY131" s="283"/>
      <c r="AZ131" s="283"/>
      <c r="BA131" s="283"/>
      <c r="BB131" s="283"/>
      <c r="BC131" s="283"/>
      <c r="BD131" s="283"/>
      <c r="BE131" s="283"/>
      <c r="BF131" s="283"/>
      <c r="BG131" s="283"/>
      <c r="BH131" s="283"/>
      <c r="BI131" s="283"/>
      <c r="BJ131" s="283"/>
      <c r="BK131" s="283"/>
      <c r="BL131" s="283"/>
      <c r="BM131" s="283"/>
    </row>
    <row r="132" spans="2:94" x14ac:dyDescent="0.2">
      <c r="B132" s="281" t="s">
        <v>450</v>
      </c>
      <c r="D132" s="679"/>
      <c r="E132" s="677">
        <f t="shared" ref="E132:AW132" si="24">-E128</f>
        <v>0</v>
      </c>
      <c r="F132" s="677">
        <f t="shared" ca="1" si="24"/>
        <v>0</v>
      </c>
      <c r="G132" s="677">
        <f t="shared" ca="1" si="24"/>
        <v>0</v>
      </c>
      <c r="H132" s="677">
        <f t="shared" ca="1" si="24"/>
        <v>0</v>
      </c>
      <c r="I132" s="677">
        <f t="shared" ca="1" si="24"/>
        <v>0</v>
      </c>
      <c r="J132" s="677">
        <f t="shared" ca="1" si="24"/>
        <v>780.47775198182228</v>
      </c>
      <c r="K132" s="677">
        <f t="shared" ca="1" si="24"/>
        <v>1164.4991811465022</v>
      </c>
      <c r="L132" s="677">
        <f t="shared" ca="1" si="24"/>
        <v>1577.4291556687028</v>
      </c>
      <c r="M132" s="677">
        <f t="shared" ca="1" si="24"/>
        <v>2021.174779777821</v>
      </c>
      <c r="N132" s="677">
        <f t="shared" ca="1" si="24"/>
        <v>2497.6332852815908</v>
      </c>
      <c r="O132" s="677">
        <f t="shared" ca="1" si="24"/>
        <v>3045.1476984471396</v>
      </c>
      <c r="P132" s="677">
        <f t="shared" ca="1" si="24"/>
        <v>3641.3909924200379</v>
      </c>
      <c r="Q132" s="677">
        <f t="shared" ca="1" si="24"/>
        <v>4290.19534956196</v>
      </c>
      <c r="R132" s="677">
        <f t="shared" ca="1" si="24"/>
        <v>4995.6732313366201</v>
      </c>
      <c r="S132" s="677">
        <f t="shared" ca="1" si="24"/>
        <v>5762.32110288694</v>
      </c>
      <c r="T132" s="677">
        <f t="shared" ca="1" si="24"/>
        <v>21907.555049245388</v>
      </c>
      <c r="U132" s="677">
        <f t="shared" ca="1" si="24"/>
        <v>56072.340952049773</v>
      </c>
      <c r="V132" s="677">
        <f t="shared" ca="1" si="24"/>
        <v>60056.505532768781</v>
      </c>
      <c r="W132" s="677">
        <f t="shared" ca="1" si="24"/>
        <v>64185.140125869671</v>
      </c>
      <c r="X132" s="677">
        <f t="shared" ca="1" si="24"/>
        <v>68434.360881708388</v>
      </c>
      <c r="Y132" s="677">
        <f t="shared" ca="1" si="24"/>
        <v>73430.810545692395</v>
      </c>
      <c r="Z132" s="677">
        <f t="shared" ca="1" si="24"/>
        <v>78902.460215317784</v>
      </c>
      <c r="AA132" s="677">
        <f t="shared" ca="1" si="24"/>
        <v>84853.573476029589</v>
      </c>
      <c r="AB132" s="677">
        <f t="shared" ca="1" si="24"/>
        <v>91300.245528631654</v>
      </c>
      <c r="AC132" s="677">
        <f t="shared" ca="1" si="24"/>
        <v>98265.584697702259</v>
      </c>
      <c r="AD132" s="677">
        <f t="shared" ca="1" si="24"/>
        <v>104857.38156882711</v>
      </c>
      <c r="AE132" s="677">
        <f t="shared" ca="1" si="24"/>
        <v>129480.65791657509</v>
      </c>
      <c r="AF132" s="677">
        <f t="shared" ca="1" si="24"/>
        <v>149918.14847945186</v>
      </c>
      <c r="AG132" s="677">
        <f t="shared" ca="1" si="24"/>
        <v>161202.89434504759</v>
      </c>
      <c r="AH132" s="677">
        <f t="shared" ca="1" si="24"/>
        <v>173594.48933773427</v>
      </c>
      <c r="AI132" s="677">
        <f t="shared" ca="1" si="24"/>
        <v>186983.15263826633</v>
      </c>
      <c r="AJ132" s="677">
        <f t="shared" ca="1" si="24"/>
        <v>201530.42915781628</v>
      </c>
      <c r="AK132" s="677">
        <f t="shared" ca="1" si="24"/>
        <v>217173.48623306019</v>
      </c>
      <c r="AL132" s="677">
        <f t="shared" ca="1" si="24"/>
        <v>230148.99450671673</v>
      </c>
      <c r="AM132" s="678">
        <f t="shared" ca="1" si="24"/>
        <v>251905.67056709318</v>
      </c>
      <c r="AN132" s="678">
        <f t="shared" ca="1" si="24"/>
        <v>271602.71523679845</v>
      </c>
      <c r="AO132" s="678">
        <f t="shared" ca="1" si="24"/>
        <v>292448.02318743081</v>
      </c>
      <c r="AP132" s="678">
        <f t="shared" ca="1" si="24"/>
        <v>314460.19370689074</v>
      </c>
      <c r="AQ132" s="678">
        <f t="shared" ca="1" si="24"/>
        <v>337774.35444222571</v>
      </c>
      <c r="AR132" s="678">
        <f t="shared" ca="1" si="24"/>
        <v>361560.5291733343</v>
      </c>
      <c r="AS132" s="678">
        <f t="shared" ca="1" si="24"/>
        <v>390657.44932356075</v>
      </c>
      <c r="AT132" s="678">
        <f t="shared" ca="1" si="24"/>
        <v>420680.82391730789</v>
      </c>
      <c r="AU132" s="678">
        <f t="shared" ca="1" si="24"/>
        <v>453021.68358548247</v>
      </c>
      <c r="AV132" s="678">
        <f t="shared" ca="1" si="24"/>
        <v>487854.95606015594</v>
      </c>
      <c r="AW132" s="678">
        <f t="shared" ca="1" si="24"/>
        <v>269792.75283256453</v>
      </c>
      <c r="AX132" s="283"/>
      <c r="AY132" s="283"/>
      <c r="AZ132" s="283"/>
      <c r="BA132" s="283"/>
      <c r="BB132" s="283"/>
      <c r="BC132" s="283"/>
      <c r="BD132" s="283"/>
      <c r="BE132" s="283"/>
      <c r="BF132" s="283"/>
      <c r="BG132" s="283"/>
      <c r="BH132" s="283"/>
      <c r="BI132" s="283"/>
      <c r="BJ132" s="283"/>
      <c r="BK132" s="283"/>
      <c r="BL132" s="283"/>
      <c r="BM132" s="283"/>
    </row>
    <row r="133" spans="2:94" x14ac:dyDescent="0.2">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283"/>
      <c r="BM133" s="283"/>
    </row>
    <row r="134" spans="2:94" x14ac:dyDescent="0.2">
      <c r="B134" s="281" t="s">
        <v>451</v>
      </c>
      <c r="D134" s="676"/>
      <c r="E134" s="674">
        <f t="shared" ref="E134:AW134" si="25">+E130-E132</f>
        <v>0</v>
      </c>
      <c r="F134" s="674">
        <f t="shared" ca="1" si="25"/>
        <v>0</v>
      </c>
      <c r="G134" s="674">
        <f t="shared" ca="1" si="25"/>
        <v>0</v>
      </c>
      <c r="H134" s="674">
        <f t="shared" ca="1" si="25"/>
        <v>247570.44432824067</v>
      </c>
      <c r="I134" s="358">
        <f t="shared" ca="1" si="25"/>
        <v>64936.703322905661</v>
      </c>
      <c r="J134" s="674">
        <f t="shared" ca="1" si="25"/>
        <v>78011.140793622646</v>
      </c>
      <c r="K134" s="674">
        <f t="shared" ca="1" si="25"/>
        <v>92920.450580530873</v>
      </c>
      <c r="L134" s="674">
        <f t="shared" ca="1" si="25"/>
        <v>107339.3429009668</v>
      </c>
      <c r="M134" s="674">
        <f t="shared" ca="1" si="25"/>
        <v>122549.45956404232</v>
      </c>
      <c r="N134" s="674">
        <f t="shared" ca="1" si="25"/>
        <v>140518.74103862044</v>
      </c>
      <c r="O134" s="674">
        <f t="shared" ca="1" si="25"/>
        <v>157987.65599825542</v>
      </c>
      <c r="P134" s="674">
        <f t="shared" ca="1" si="25"/>
        <v>176547.24598581294</v>
      </c>
      <c r="Q134" s="674">
        <f t="shared" ca="1" si="25"/>
        <v>195842.0839622574</v>
      </c>
      <c r="R134" s="674">
        <f t="shared" ca="1" si="25"/>
        <v>204847.40530555966</v>
      </c>
      <c r="S134" s="358">
        <f t="shared" ca="1" si="25"/>
        <v>236494.05309463019</v>
      </c>
      <c r="T134" s="674">
        <f t="shared" ca="1" si="25"/>
        <v>243647.46319768505</v>
      </c>
      <c r="U134" s="674">
        <f t="shared" ca="1" si="25"/>
        <v>236544.02457212488</v>
      </c>
      <c r="V134" s="674">
        <f t="shared" ca="1" si="25"/>
        <v>263202.40797963535</v>
      </c>
      <c r="W134" s="674">
        <f t="shared" ca="1" si="25"/>
        <v>292897.67048756086</v>
      </c>
      <c r="X134" s="674">
        <f t="shared" ca="1" si="25"/>
        <v>326985.80997156235</v>
      </c>
      <c r="Y134" s="674">
        <f t="shared" ca="1" si="25"/>
        <v>350245.61362367548</v>
      </c>
      <c r="Z134" s="674">
        <f t="shared" ca="1" si="25"/>
        <v>376590.42123540951</v>
      </c>
      <c r="AA134" s="674">
        <f t="shared" ca="1" si="25"/>
        <v>410421.17796511308</v>
      </c>
      <c r="AB134" s="674">
        <f t="shared" ca="1" si="25"/>
        <v>395772.65321178158</v>
      </c>
      <c r="AC134" s="674">
        <f t="shared" ca="1" si="25"/>
        <v>480155.29172292544</v>
      </c>
      <c r="AD134" s="674">
        <f t="shared" ca="1" si="25"/>
        <v>517604.93503235478</v>
      </c>
      <c r="AE134" s="674">
        <f t="shared" ca="1" si="25"/>
        <v>540642.38487858616</v>
      </c>
      <c r="AF134" s="674">
        <f t="shared" ca="1" si="25"/>
        <v>566637.44423752651</v>
      </c>
      <c r="AG134" s="674">
        <f t="shared" ca="1" si="25"/>
        <v>535707.89019337995</v>
      </c>
      <c r="AH134" s="674">
        <f t="shared" ca="1" si="25"/>
        <v>513315.38452949747</v>
      </c>
      <c r="AI134" s="674">
        <f t="shared" ca="1" si="25"/>
        <v>559050.83253044833</v>
      </c>
      <c r="AJ134" s="674">
        <f t="shared" ca="1" si="25"/>
        <v>605972.40421542199</v>
      </c>
      <c r="AK134" s="674">
        <f t="shared" ca="1" si="25"/>
        <v>647078.03281278559</v>
      </c>
      <c r="AL134" s="674">
        <f t="shared" ca="1" si="25"/>
        <v>666867.13067024609</v>
      </c>
      <c r="AM134" s="675">
        <f t="shared" ca="1" si="25"/>
        <v>727626.91104879696</v>
      </c>
      <c r="AN134" s="675">
        <f t="shared" ca="1" si="25"/>
        <v>787568.25999348424</v>
      </c>
      <c r="AO134" s="675">
        <f t="shared" ca="1" si="25"/>
        <v>851023.72425801354</v>
      </c>
      <c r="AP134" s="675">
        <f t="shared" ca="1" si="25"/>
        <v>918403.09324419103</v>
      </c>
      <c r="AQ134" s="675">
        <f t="shared" ca="1" si="25"/>
        <v>1125045.3171142221</v>
      </c>
      <c r="AR134" s="675">
        <f t="shared" ca="1" si="25"/>
        <v>1224558.1762767441</v>
      </c>
      <c r="AS134" s="675">
        <f t="shared" ca="1" si="25"/>
        <v>1487293.7506769267</v>
      </c>
      <c r="AT134" s="675">
        <f t="shared" ca="1" si="25"/>
        <v>1602194.9657786307</v>
      </c>
      <c r="AU134" s="675">
        <f t="shared" ca="1" si="25"/>
        <v>1725996.9914815885</v>
      </c>
      <c r="AV134" s="675">
        <f t="shared" ca="1" si="25"/>
        <v>1859349.8815465297</v>
      </c>
      <c r="AW134" s="675">
        <f t="shared" ca="1" si="25"/>
        <v>1418516.8962536464</v>
      </c>
      <c r="AX134" s="283"/>
      <c r="AY134" s="283"/>
      <c r="AZ134" s="283"/>
      <c r="BA134" s="283"/>
      <c r="BB134" s="283"/>
      <c r="BC134" s="283"/>
      <c r="BD134" s="283"/>
      <c r="BE134" s="283"/>
      <c r="BF134" s="283"/>
      <c r="BG134" s="283"/>
      <c r="BH134" s="283"/>
      <c r="BI134" s="283"/>
      <c r="BJ134" s="283"/>
      <c r="BK134" s="283"/>
      <c r="BL134" s="283"/>
      <c r="BM134" s="283"/>
    </row>
    <row r="135" spans="2:94" x14ac:dyDescent="0.2">
      <c r="D135" s="360"/>
      <c r="E135" s="365"/>
      <c r="F135" s="365"/>
      <c r="G135" s="365"/>
      <c r="H135" s="365"/>
      <c r="I135" s="366"/>
      <c r="J135" s="365"/>
      <c r="K135" s="365"/>
      <c r="L135" s="365"/>
      <c r="M135" s="365"/>
      <c r="N135" s="365"/>
      <c r="O135" s="365"/>
      <c r="P135" s="365"/>
      <c r="Q135" s="365"/>
      <c r="R135" s="365"/>
      <c r="S135" s="366"/>
      <c r="T135" s="365"/>
      <c r="U135" s="365"/>
      <c r="V135" s="365"/>
      <c r="W135" s="365"/>
      <c r="X135" s="365"/>
      <c r="Y135" s="365"/>
      <c r="Z135" s="365"/>
      <c r="AA135" s="365"/>
      <c r="AB135" s="365"/>
      <c r="AC135" s="365"/>
      <c r="AD135" s="365"/>
      <c r="AE135" s="365"/>
      <c r="AF135" s="365"/>
      <c r="AG135" s="365"/>
      <c r="AH135" s="365"/>
      <c r="AI135" s="365"/>
      <c r="AJ135" s="365"/>
      <c r="AK135" s="365"/>
      <c r="AL135" s="365"/>
      <c r="AN135" s="283"/>
      <c r="AO135" s="283"/>
      <c r="AP135" s="283"/>
      <c r="AQ135" s="283"/>
      <c r="AR135" s="283"/>
      <c r="AS135" s="283"/>
      <c r="AT135" s="283"/>
      <c r="AU135" s="283"/>
      <c r="AV135" s="283"/>
      <c r="AW135" s="283"/>
      <c r="AX135" s="283"/>
      <c r="AY135" s="283"/>
      <c r="AZ135" s="283"/>
      <c r="BA135" s="283"/>
      <c r="BB135" s="283"/>
      <c r="BC135" s="283"/>
      <c r="BD135" s="283"/>
      <c r="BE135" s="283"/>
      <c r="BF135" s="283"/>
      <c r="BG135" s="283"/>
      <c r="BH135" s="283"/>
      <c r="BI135" s="283"/>
      <c r="BJ135" s="283"/>
      <c r="BK135" s="283"/>
      <c r="BL135" s="283"/>
      <c r="BM135" s="283"/>
    </row>
    <row r="136" spans="2:94" x14ac:dyDescent="0.2">
      <c r="AN136" s="283"/>
      <c r="AO136" s="283"/>
      <c r="AP136" s="283"/>
      <c r="AQ136" s="283"/>
      <c r="AR136" s="283"/>
      <c r="AS136" s="283"/>
      <c r="AT136" s="283"/>
      <c r="AU136" s="283"/>
      <c r="AV136" s="283"/>
      <c r="AW136" s="283"/>
      <c r="AX136" s="283"/>
      <c r="AY136" s="283"/>
      <c r="AZ136" s="283"/>
      <c r="BA136" s="283"/>
      <c r="BB136" s="283"/>
      <c r="BC136" s="283"/>
      <c r="BD136" s="283"/>
      <c r="BE136" s="283"/>
      <c r="BF136" s="283"/>
      <c r="BG136" s="283"/>
      <c r="BH136" s="283"/>
      <c r="BI136" s="283"/>
      <c r="BJ136" s="283"/>
      <c r="BK136" s="283"/>
      <c r="BL136" s="283"/>
      <c r="BM136" s="283"/>
    </row>
    <row r="137" spans="2:94" s="490" customFormat="1" x14ac:dyDescent="0.2">
      <c r="AY137" s="283"/>
      <c r="AZ137" s="283"/>
      <c r="BA137" s="283"/>
      <c r="BB137" s="283"/>
      <c r="BC137" s="283"/>
      <c r="BD137" s="283"/>
      <c r="BE137" s="283"/>
      <c r="BF137" s="283"/>
      <c r="BG137" s="283"/>
      <c r="BH137" s="283"/>
      <c r="BI137" s="283"/>
      <c r="BJ137" s="283"/>
      <c r="BK137" s="283"/>
      <c r="BL137" s="283"/>
      <c r="BM137" s="283"/>
      <c r="BN137" s="281"/>
      <c r="BO137" s="281"/>
      <c r="BP137" s="281"/>
      <c r="BQ137" s="281"/>
      <c r="BR137" s="281"/>
      <c r="BS137" s="281"/>
      <c r="BT137" s="281"/>
      <c r="BU137" s="281"/>
      <c r="BV137" s="281"/>
      <c r="BW137" s="281"/>
      <c r="BX137" s="281"/>
      <c r="BY137" s="281"/>
      <c r="BZ137" s="281"/>
      <c r="CA137" s="281"/>
      <c r="CB137" s="281"/>
      <c r="CC137" s="281"/>
      <c r="CD137" s="281"/>
      <c r="CE137" s="281"/>
      <c r="CF137" s="281"/>
      <c r="CG137" s="281"/>
      <c r="CH137" s="281"/>
      <c r="CI137" s="281"/>
      <c r="CJ137" s="281"/>
      <c r="CK137" s="281"/>
      <c r="CL137" s="281"/>
      <c r="CM137" s="281"/>
      <c r="CN137" s="281"/>
      <c r="CO137" s="281"/>
      <c r="CP137" s="281"/>
    </row>
    <row r="138" spans="2:94" s="490" customFormat="1" ht="13.5" thickBot="1" x14ac:dyDescent="0.25">
      <c r="B138" s="510" t="s">
        <v>442</v>
      </c>
      <c r="C138" s="510"/>
      <c r="D138" s="510"/>
      <c r="E138" s="510"/>
      <c r="F138" s="673">
        <v>2017</v>
      </c>
      <c r="G138" s="673">
        <f t="shared" ref="G138:AX138" si="26">+F138+1</f>
        <v>2018</v>
      </c>
      <c r="H138" s="673">
        <f t="shared" si="26"/>
        <v>2019</v>
      </c>
      <c r="I138" s="673">
        <f t="shared" si="26"/>
        <v>2020</v>
      </c>
      <c r="J138" s="673">
        <f t="shared" si="26"/>
        <v>2021</v>
      </c>
      <c r="K138" s="673">
        <f t="shared" si="26"/>
        <v>2022</v>
      </c>
      <c r="L138" s="673">
        <f t="shared" si="26"/>
        <v>2023</v>
      </c>
      <c r="M138" s="673">
        <f t="shared" si="26"/>
        <v>2024</v>
      </c>
      <c r="N138" s="673">
        <f t="shared" si="26"/>
        <v>2025</v>
      </c>
      <c r="O138" s="673">
        <f t="shared" si="26"/>
        <v>2026</v>
      </c>
      <c r="P138" s="673">
        <f t="shared" si="26"/>
        <v>2027</v>
      </c>
      <c r="Q138" s="673">
        <f t="shared" si="26"/>
        <v>2028</v>
      </c>
      <c r="R138" s="673">
        <f t="shared" si="26"/>
        <v>2029</v>
      </c>
      <c r="S138" s="673">
        <f t="shared" si="26"/>
        <v>2030</v>
      </c>
      <c r="T138" s="673">
        <f t="shared" si="26"/>
        <v>2031</v>
      </c>
      <c r="U138" s="673">
        <f t="shared" si="26"/>
        <v>2032</v>
      </c>
      <c r="V138" s="673">
        <f t="shared" si="26"/>
        <v>2033</v>
      </c>
      <c r="W138" s="673">
        <f t="shared" si="26"/>
        <v>2034</v>
      </c>
      <c r="X138" s="673">
        <f t="shared" si="26"/>
        <v>2035</v>
      </c>
      <c r="Y138" s="673">
        <f t="shared" si="26"/>
        <v>2036</v>
      </c>
      <c r="Z138" s="673">
        <f t="shared" si="26"/>
        <v>2037</v>
      </c>
      <c r="AA138" s="673">
        <f t="shared" si="26"/>
        <v>2038</v>
      </c>
      <c r="AB138" s="673">
        <f t="shared" si="26"/>
        <v>2039</v>
      </c>
      <c r="AC138" s="673">
        <f t="shared" si="26"/>
        <v>2040</v>
      </c>
      <c r="AD138" s="673">
        <f t="shared" si="26"/>
        <v>2041</v>
      </c>
      <c r="AE138" s="673">
        <f t="shared" si="26"/>
        <v>2042</v>
      </c>
      <c r="AF138" s="673">
        <f t="shared" si="26"/>
        <v>2043</v>
      </c>
      <c r="AG138" s="673">
        <f t="shared" si="26"/>
        <v>2044</v>
      </c>
      <c r="AH138" s="673">
        <f t="shared" si="26"/>
        <v>2045</v>
      </c>
      <c r="AI138" s="673">
        <f t="shared" si="26"/>
        <v>2046</v>
      </c>
      <c r="AJ138" s="673">
        <f t="shared" si="26"/>
        <v>2047</v>
      </c>
      <c r="AK138" s="673">
        <f t="shared" si="26"/>
        <v>2048</v>
      </c>
      <c r="AL138" s="673">
        <f t="shared" si="26"/>
        <v>2049</v>
      </c>
      <c r="AM138" s="673">
        <f t="shared" si="26"/>
        <v>2050</v>
      </c>
      <c r="AN138" s="673">
        <f t="shared" si="26"/>
        <v>2051</v>
      </c>
      <c r="AO138" s="673">
        <f t="shared" si="26"/>
        <v>2052</v>
      </c>
      <c r="AP138" s="673">
        <f t="shared" si="26"/>
        <v>2053</v>
      </c>
      <c r="AQ138" s="673">
        <f t="shared" si="26"/>
        <v>2054</v>
      </c>
      <c r="AR138" s="673">
        <f t="shared" si="26"/>
        <v>2055</v>
      </c>
      <c r="AS138" s="673">
        <f t="shared" si="26"/>
        <v>2056</v>
      </c>
      <c r="AT138" s="673">
        <f t="shared" si="26"/>
        <v>2057</v>
      </c>
      <c r="AU138" s="673">
        <f t="shared" si="26"/>
        <v>2058</v>
      </c>
      <c r="AV138" s="673">
        <f t="shared" si="26"/>
        <v>2059</v>
      </c>
      <c r="AW138" s="673">
        <f t="shared" si="26"/>
        <v>2060</v>
      </c>
      <c r="AX138" s="673">
        <f t="shared" si="26"/>
        <v>2061</v>
      </c>
      <c r="AY138" s="283"/>
      <c r="AZ138" s="283"/>
      <c r="BA138" s="283"/>
      <c r="BB138" s="283"/>
      <c r="BC138" s="283"/>
      <c r="BD138" s="283"/>
      <c r="BE138" s="283"/>
      <c r="BF138" s="283"/>
      <c r="BG138" s="283"/>
      <c r="BH138" s="283"/>
      <c r="BI138" s="283"/>
      <c r="BJ138" s="283"/>
      <c r="BK138" s="283"/>
      <c r="BL138" s="283"/>
      <c r="BM138" s="283"/>
      <c r="BN138" s="281"/>
      <c r="BO138" s="281"/>
      <c r="BP138" s="281"/>
      <c r="BQ138" s="281"/>
      <c r="BR138" s="281"/>
      <c r="BS138" s="281"/>
      <c r="BT138" s="281"/>
      <c r="BU138" s="281"/>
      <c r="BV138" s="281"/>
      <c r="BW138" s="281"/>
      <c r="BX138" s="281"/>
      <c r="BY138" s="281"/>
      <c r="BZ138" s="281"/>
      <c r="CA138" s="281"/>
      <c r="CB138" s="281"/>
      <c r="CC138" s="281"/>
      <c r="CD138" s="281"/>
      <c r="CE138" s="281"/>
      <c r="CF138" s="281"/>
      <c r="CG138" s="281"/>
      <c r="CH138" s="281"/>
      <c r="CI138" s="281"/>
      <c r="CJ138" s="281"/>
      <c r="CK138" s="281"/>
      <c r="CL138" s="281"/>
      <c r="CM138" s="281"/>
      <c r="CN138" s="281"/>
      <c r="CO138" s="281"/>
      <c r="CP138" s="281"/>
    </row>
    <row r="139" spans="2:94" s="490" customFormat="1" x14ac:dyDescent="0.2">
      <c r="AY139" s="283"/>
      <c r="AZ139" s="283"/>
      <c r="BA139" s="283"/>
      <c r="BB139" s="283"/>
      <c r="BC139" s="283"/>
      <c r="BD139" s="283"/>
      <c r="BE139" s="283"/>
      <c r="BF139" s="283"/>
      <c r="BG139" s="283"/>
      <c r="BH139" s="283"/>
      <c r="BI139" s="283"/>
      <c r="BJ139" s="283"/>
      <c r="BK139" s="283"/>
      <c r="BL139" s="283"/>
      <c r="BM139" s="283"/>
      <c r="BN139" s="281"/>
      <c r="BO139" s="281"/>
      <c r="BP139" s="281"/>
      <c r="BQ139" s="281"/>
      <c r="BR139" s="281"/>
      <c r="BS139" s="281"/>
      <c r="BT139" s="281"/>
      <c r="BU139" s="281"/>
      <c r="BV139" s="281"/>
      <c r="BW139" s="281"/>
      <c r="BX139" s="281"/>
      <c r="BY139" s="281"/>
      <c r="BZ139" s="281"/>
      <c r="CA139" s="281"/>
      <c r="CB139" s="281"/>
      <c r="CC139" s="281"/>
      <c r="CD139" s="281"/>
      <c r="CE139" s="281"/>
      <c r="CF139" s="281"/>
      <c r="CG139" s="281"/>
      <c r="CH139" s="281"/>
      <c r="CI139" s="281"/>
      <c r="CJ139" s="281"/>
      <c r="CK139" s="281"/>
      <c r="CL139" s="281"/>
      <c r="CM139" s="281"/>
      <c r="CN139" s="281"/>
      <c r="CO139" s="281"/>
      <c r="CP139" s="281"/>
    </row>
    <row r="140" spans="2:94" s="490" customFormat="1" x14ac:dyDescent="0.2">
      <c r="B140" s="508" t="s">
        <v>64</v>
      </c>
      <c r="C140" s="505"/>
      <c r="D140" s="505"/>
      <c r="E140" s="505"/>
      <c r="F140" s="672">
        <f>+CF!R25</f>
        <v>0</v>
      </c>
      <c r="G140" s="672">
        <f>+CF!S25</f>
        <v>120885.88824258334</v>
      </c>
      <c r="H140" s="672">
        <f>+CF!T25</f>
        <v>137801.19959581227</v>
      </c>
      <c r="I140" s="672">
        <f>+CF!U25</f>
        <v>157083.43534639102</v>
      </c>
      <c r="J140" s="672">
        <f>+CF!V25</f>
        <v>179063.79431092911</v>
      </c>
      <c r="K140" s="672">
        <f>+CF!W25</f>
        <v>192605.02760027614</v>
      </c>
      <c r="L140" s="672">
        <f>+CF!X25</f>
        <v>207170.28140534012</v>
      </c>
      <c r="M140" s="672">
        <f>+CF!Y25</f>
        <v>222836.99461179745</v>
      </c>
      <c r="N140" s="672">
        <f>+CF!Z25</f>
        <v>239688.46221945746</v>
      </c>
      <c r="O140" s="672">
        <f>+CF!AA25</f>
        <v>257814.27819564901</v>
      </c>
      <c r="P140" s="672">
        <f>+CF!AB25</f>
        <v>278762.48071423272</v>
      </c>
      <c r="Q140" s="672">
        <f>+CF!AC25</f>
        <v>301412.78907362081</v>
      </c>
      <c r="R140" s="672">
        <f>+CF!AD25</f>
        <v>325903.50460495288</v>
      </c>
      <c r="S140" s="672">
        <f>+CF!AE25</f>
        <v>352384.16604760505</v>
      </c>
      <c r="T140" s="672">
        <f>+CF!AF25</f>
        <v>381016.46262314834</v>
      </c>
      <c r="U140" s="672">
        <f>+CF!AG25</f>
        <v>408456.17658274976</v>
      </c>
      <c r="V140" s="672">
        <f>+CF!AH25</f>
        <v>437872.02012216265</v>
      </c>
      <c r="W140" s="672">
        <f>+CF!AI25</f>
        <v>469406.30843176972</v>
      </c>
      <c r="X140" s="672">
        <f>+CF!AJ25</f>
        <v>503211.60583420709</v>
      </c>
      <c r="Y140" s="672">
        <f>+CF!AK25</f>
        <v>539451.46389750403</v>
      </c>
      <c r="Z140" s="672">
        <f>+CF!AL25</f>
        <v>578674.50285759126</v>
      </c>
      <c r="AA140" s="672">
        <f>+CF!AM25</f>
        <v>620749.41429967957</v>
      </c>
      <c r="AB140" s="672">
        <f>+CF!AN25</f>
        <v>665883.55535032612</v>
      </c>
      <c r="AC140" s="672">
        <f>+CF!AO25</f>
        <v>714299.35988941567</v>
      </c>
      <c r="AD140" s="672">
        <f>+CF!AP25</f>
        <v>766235.43476756511</v>
      </c>
      <c r="AE140" s="672">
        <f>+CF!AQ25</f>
        <v>815048.11516243534</v>
      </c>
      <c r="AF140" s="672">
        <f>+CF!AR25</f>
        <v>866970.38519414421</v>
      </c>
      <c r="AG140" s="672">
        <f>+CF!AS25</f>
        <v>922200.33985832217</v>
      </c>
      <c r="AH140" s="672">
        <f>+CF!AT25</f>
        <v>980948.69370233372</v>
      </c>
      <c r="AI140" s="672">
        <f>+CF!AU25</f>
        <v>1043439.5847480897</v>
      </c>
      <c r="AJ140" s="672">
        <f>+CF!AV25</f>
        <v>1107893.3127959436</v>
      </c>
      <c r="AK140" s="672">
        <f>+CF!AW25</f>
        <v>1176328.376342268</v>
      </c>
      <c r="AL140" s="672">
        <f>+CF!AX25</f>
        <v>1248990.7042546622</v>
      </c>
      <c r="AM140" s="672">
        <f>+CF!AY25</f>
        <v>1326141.4165364497</v>
      </c>
      <c r="AN140" s="672">
        <f>+CF!AZ25</f>
        <v>1408057.7626899001</v>
      </c>
      <c r="AO140" s="672">
        <f>+CF!BA25</f>
        <v>1496985.9829482075</v>
      </c>
      <c r="AP140" s="672">
        <f>+CF!BB25</f>
        <v>1591530.6122543954</v>
      </c>
      <c r="AQ140" s="672">
        <f>+CF!BC25</f>
        <v>1692046.3642246984</v>
      </c>
      <c r="AR140" s="672">
        <f>+CF!BD25</f>
        <v>1798910.355001319</v>
      </c>
      <c r="AS140" s="672">
        <f>+CF!BE25</f>
        <v>1912523.5181210623</v>
      </c>
      <c r="AT140" s="672">
        <f>+CF!BF25</f>
        <v>2058733.5943873224</v>
      </c>
      <c r="AU140" s="672">
        <f>+CF!BG25</f>
        <v>2216121.2515822537</v>
      </c>
      <c r="AV140" s="672">
        <f>+CF!BH25</f>
        <v>2385541.0020527993</v>
      </c>
      <c r="AW140" s="672">
        <f>+CF!BI25</f>
        <v>2567912.6845663274</v>
      </c>
      <c r="AX140" s="672">
        <f>+CF!BJ25</f>
        <v>1870586.1239274591</v>
      </c>
      <c r="AY140" s="283"/>
      <c r="AZ140" s="283"/>
      <c r="BA140" s="283"/>
      <c r="BB140" s="283"/>
      <c r="BC140" s="283"/>
      <c r="BD140" s="283"/>
      <c r="BE140" s="283"/>
      <c r="BF140" s="283"/>
      <c r="BG140" s="283"/>
      <c r="BH140" s="283"/>
      <c r="BI140" s="283"/>
      <c r="BJ140" s="283"/>
      <c r="BK140" s="283"/>
      <c r="BL140" s="283"/>
      <c r="BM140" s="283"/>
      <c r="BN140" s="281"/>
      <c r="BO140" s="281"/>
      <c r="BP140" s="281"/>
      <c r="BQ140" s="281"/>
      <c r="BR140" s="281"/>
      <c r="BS140" s="281"/>
      <c r="BT140" s="281"/>
      <c r="BU140" s="281"/>
      <c r="BV140" s="281"/>
      <c r="BW140" s="281"/>
      <c r="BX140" s="281"/>
      <c r="BY140" s="281"/>
      <c r="BZ140" s="281"/>
      <c r="CA140" s="281"/>
      <c r="CB140" s="281"/>
      <c r="CC140" s="281"/>
      <c r="CD140" s="281"/>
      <c r="CE140" s="281"/>
      <c r="CF140" s="281"/>
      <c r="CG140" s="281"/>
      <c r="CH140" s="281"/>
      <c r="CI140" s="281"/>
      <c r="CJ140" s="281"/>
      <c r="CK140" s="281"/>
      <c r="CL140" s="281"/>
      <c r="CM140" s="281"/>
      <c r="CN140" s="281"/>
      <c r="CO140" s="281"/>
      <c r="CP140" s="281"/>
    </row>
    <row r="141" spans="2:94" s="490" customFormat="1" x14ac:dyDescent="0.2">
      <c r="B141" s="508" t="s">
        <v>18</v>
      </c>
      <c r="C141" s="505"/>
      <c r="D141" s="505"/>
      <c r="E141" s="505"/>
      <c r="F141" s="672">
        <f>+CF!R26</f>
        <v>0</v>
      </c>
      <c r="G141" s="672">
        <f>+CF!S26</f>
        <v>-2499.9999999999964</v>
      </c>
      <c r="H141" s="672">
        <f>+CF!T26</f>
        <v>-2277.8988766992275</v>
      </c>
      <c r="I141" s="672">
        <f>+CF!U26</f>
        <v>-2075.5293169870438</v>
      </c>
      <c r="J141" s="672">
        <f>+CF!V26</f>
        <v>-1891.1383598884436</v>
      </c>
      <c r="K141" s="672">
        <f>+CF!W26</f>
        <v>-1986.6937647688851</v>
      </c>
      <c r="L141" s="672">
        <f>+CF!X26</f>
        <v>-2087.0773914206857</v>
      </c>
      <c r="M141" s="672">
        <f>+CF!Y26</f>
        <v>-2192.5332001462748</v>
      </c>
      <c r="N141" s="672">
        <f>+CF!Z26</f>
        <v>-2303.3174780698355</v>
      </c>
      <c r="O141" s="672">
        <f>+CF!AA26</f>
        <v>-2419.6994619867296</v>
      </c>
      <c r="P141" s="672">
        <f>+CF!AB26</f>
        <v>-2534.0541314604457</v>
      </c>
      <c r="Q141" s="672">
        <f>+CF!AC26</f>
        <v>-2653.8131871547976</v>
      </c>
      <c r="R141" s="672">
        <f>+CF!AD26</f>
        <v>-2779.2320396319978</v>
      </c>
      <c r="S141" s="672">
        <f>+CF!AE26</f>
        <v>-2910.5781701229016</v>
      </c>
      <c r="T141" s="672">
        <f>+CF!AF26</f>
        <v>-3048.1317009851755</v>
      </c>
      <c r="U141" s="672">
        <f>+CF!AG26</f>
        <v>-4181.4704234191167</v>
      </c>
      <c r="V141" s="672">
        <f>+CF!AH26</f>
        <v>-5736.2006032343297</v>
      </c>
      <c r="W141" s="672">
        <f>+CF!AI26</f>
        <v>-7869.0015780718713</v>
      </c>
      <c r="X141" s="672">
        <f>+CF!AJ26</f>
        <v>-10794.808291882895</v>
      </c>
      <c r="Y141" s="672">
        <f>+CF!AK26</f>
        <v>-14808.471557970681</v>
      </c>
      <c r="Z141" s="672">
        <f>+CF!AL26</f>
        <v>-15885.182431384857</v>
      </c>
      <c r="AA141" s="672">
        <f>+CF!AM26</f>
        <v>-17040.180000383381</v>
      </c>
      <c r="AB141" s="672">
        <f>+CF!AN26</f>
        <v>-18279.15642138154</v>
      </c>
      <c r="AC141" s="672">
        <f>+CF!AO26</f>
        <v>-19608.21772245461</v>
      </c>
      <c r="AD141" s="672">
        <f>+CF!AP26</f>
        <v>-21033.913895580296</v>
      </c>
      <c r="AE141" s="672">
        <f>+CF!AQ26</f>
        <v>-22373.869827988488</v>
      </c>
      <c r="AF141" s="672">
        <f>+CF!AR26</f>
        <v>-23799.187044545186</v>
      </c>
      <c r="AG141" s="672">
        <f>+CF!AS26</f>
        <v>-25315.303447091228</v>
      </c>
      <c r="AH141" s="672">
        <f>+CF!AT26</f>
        <v>-26928.00335653466</v>
      </c>
      <c r="AI141" s="672">
        <f>+CF!AU26</f>
        <v>-28643.439581320119</v>
      </c>
      <c r="AJ141" s="672">
        <f>+CF!AV26</f>
        <v>-30412.757606163163</v>
      </c>
      <c r="AK141" s="672">
        <f>+CF!AW26</f>
        <v>-32291.36719370932</v>
      </c>
      <c r="AL141" s="672">
        <f>+CF!AX26</f>
        <v>-34286.019332480915</v>
      </c>
      <c r="AM141" s="672">
        <f>+CF!AY26</f>
        <v>-36403.882022569196</v>
      </c>
      <c r="AN141" s="672">
        <f>+CF!AZ26</f>
        <v>-38652.566034624673</v>
      </c>
      <c r="AO141" s="672">
        <f>+CF!BA26</f>
        <v>-41093.732865244885</v>
      </c>
      <c r="AP141" s="672">
        <f>+CF!BB26</f>
        <v>-43689.075630512794</v>
      </c>
      <c r="AQ141" s="672">
        <f>+CF!BC26</f>
        <v>-46448.331566952489</v>
      </c>
      <c r="AR141" s="672">
        <f>+CF!BD26</f>
        <v>-49381.852882389132</v>
      </c>
      <c r="AS141" s="672">
        <f>+CF!BE26</f>
        <v>-52500.645595480142</v>
      </c>
      <c r="AT141" s="672">
        <f>+CF!BF26</f>
        <v>-56514.255532200972</v>
      </c>
      <c r="AU141" s="672">
        <f>+CF!BG26</f>
        <v>-60834.701023826499</v>
      </c>
      <c r="AV141" s="672">
        <f>+CF!BH26</f>
        <v>-65485.439272037511</v>
      </c>
      <c r="AW141" s="672">
        <f>+CF!BI26</f>
        <v>-70491.720752800975</v>
      </c>
      <c r="AX141" s="672">
        <f>+CF!BJ26</f>
        <v>-75880.726309988822</v>
      </c>
      <c r="AY141" s="283"/>
      <c r="AZ141" s="283"/>
      <c r="BA141" s="283"/>
      <c r="BB141" s="283"/>
      <c r="BC141" s="283"/>
      <c r="BD141" s="283"/>
      <c r="BE141" s="283"/>
      <c r="BF141" s="283"/>
      <c r="BG141" s="283"/>
      <c r="BH141" s="283"/>
      <c r="BI141" s="283"/>
      <c r="BJ141" s="283"/>
      <c r="BK141" s="283"/>
      <c r="BL141" s="283"/>
      <c r="BM141" s="283"/>
      <c r="BN141" s="281"/>
      <c r="BO141" s="281"/>
      <c r="BP141" s="281"/>
      <c r="BQ141" s="281"/>
      <c r="BR141" s="281"/>
      <c r="BS141" s="281"/>
      <c r="BT141" s="281"/>
      <c r="BU141" s="281"/>
      <c r="BV141" s="281"/>
      <c r="BW141" s="281"/>
      <c r="BX141" s="281"/>
      <c r="BY141" s="281"/>
      <c r="BZ141" s="281"/>
      <c r="CA141" s="281"/>
      <c r="CB141" s="281"/>
      <c r="CC141" s="281"/>
      <c r="CD141" s="281"/>
      <c r="CE141" s="281"/>
      <c r="CF141" s="281"/>
      <c r="CG141" s="281"/>
      <c r="CH141" s="281"/>
      <c r="CI141" s="281"/>
      <c r="CJ141" s="281"/>
      <c r="CK141" s="281"/>
      <c r="CL141" s="281"/>
      <c r="CM141" s="281"/>
      <c r="CN141" s="281"/>
      <c r="CO141" s="281"/>
      <c r="CP141" s="281"/>
    </row>
    <row r="142" spans="2:94" s="490" customFormat="1" x14ac:dyDescent="0.2">
      <c r="B142" s="508" t="s">
        <v>65</v>
      </c>
      <c r="C142" s="505"/>
      <c r="D142" s="505"/>
      <c r="E142" s="505"/>
      <c r="F142" s="672">
        <f>+CF!R27</f>
        <v>0</v>
      </c>
      <c r="G142" s="672">
        <f>+CF!S27</f>
        <v>-20866.926728617222</v>
      </c>
      <c r="H142" s="672">
        <f>+CF!T27</f>
        <v>-22075.289012235549</v>
      </c>
      <c r="I142" s="672">
        <f>+CF!U27</f>
        <v>-23353.625155802732</v>
      </c>
      <c r="J142" s="672">
        <f>+CF!V27</f>
        <v>-24705.987206575235</v>
      </c>
      <c r="K142" s="672">
        <f>+CF!W27</f>
        <v>-25771.393741783409</v>
      </c>
      <c r="L142" s="672">
        <f>+CF!X27</f>
        <v>-26882.74424497689</v>
      </c>
      <c r="M142" s="672">
        <f>+CF!Y27</f>
        <v>-28042.019976946256</v>
      </c>
      <c r="N142" s="672">
        <f>+CF!Z27</f>
        <v>-29251.287637213056</v>
      </c>
      <c r="O142" s="672">
        <f>+CF!AA27</f>
        <v>-30512.70304843966</v>
      </c>
      <c r="P142" s="672">
        <f>+CF!AB27</f>
        <v>-32043.527968003862</v>
      </c>
      <c r="Q142" s="672">
        <f>+CF!AC27</f>
        <v>-33651.154504607315</v>
      </c>
      <c r="R142" s="672">
        <f>+CF!AD27</f>
        <v>-35339.435801940366</v>
      </c>
      <c r="S142" s="672">
        <f>+CF!AE27</f>
        <v>-37112.418316241608</v>
      </c>
      <c r="T142" s="672">
        <f>+CF!AF27</f>
        <v>-38974.351514804897</v>
      </c>
      <c r="U142" s="672">
        <f>+CF!AG27</f>
        <v>-40740.934330237193</v>
      </c>
      <c r="V142" s="672">
        <f>+CF!AH27</f>
        <v>-42587.590699750173</v>
      </c>
      <c r="W142" s="672">
        <f>+CF!AI27</f>
        <v>-44517.950101683113</v>
      </c>
      <c r="X142" s="672">
        <f>+CF!AJ27</f>
        <v>-46535.806527030727</v>
      </c>
      <c r="Y142" s="672">
        <f>+CF!AK27</f>
        <v>-48645.125936276221</v>
      </c>
      <c r="Z142" s="672">
        <f>+CF!AL27</f>
        <v>-51064.989406204753</v>
      </c>
      <c r="AA142" s="672">
        <f>+CF!AM27</f>
        <v>-53605.229565480651</v>
      </c>
      <c r="AB142" s="672">
        <f>+CF!AN27</f>
        <v>-56271.834581419265</v>
      </c>
      <c r="AC142" s="672">
        <f>+CF!AO27</f>
        <v>-59071.090504156869</v>
      </c>
      <c r="AD142" s="672">
        <f>+CF!AP27</f>
        <v>-62009.596084903082</v>
      </c>
      <c r="AE142" s="672">
        <f>+CF!AQ27</f>
        <v>-64710.374384743314</v>
      </c>
      <c r="AF142" s="672">
        <f>+CF!AR27</f>
        <v>-67528.782920634447</v>
      </c>
      <c r="AG142" s="672">
        <f>+CF!AS27</f>
        <v>-70469.944983308698</v>
      </c>
      <c r="AH142" s="672">
        <f>+CF!AT27</f>
        <v>-73539.207004323398</v>
      </c>
      <c r="AI142" s="672">
        <f>+CF!AU27</f>
        <v>-76742.148274780877</v>
      </c>
      <c r="AJ142" s="672">
        <f>+CF!AV27</f>
        <v>-80199.822342142434</v>
      </c>
      <c r="AK142" s="672">
        <f>+CF!AW27</f>
        <v>-83813.284463720251</v>
      </c>
      <c r="AL142" s="672">
        <f>+CF!AX27</f>
        <v>-87589.553785149139</v>
      </c>
      <c r="AM142" s="672">
        <f>+CF!AY27</f>
        <v>-91535.96570484525</v>
      </c>
      <c r="AN142" s="672">
        <f>+CF!AZ27</f>
        <v>-95660.186123008156</v>
      </c>
      <c r="AO142" s="672">
        <f>+CF!BA27</f>
        <v>-100061.91967675925</v>
      </c>
      <c r="AP142" s="672">
        <f>+CF!BB27</f>
        <v>-104666.19578309647</v>
      </c>
      <c r="AQ142" s="672">
        <f>+CF!BC27</f>
        <v>-109482.33428955424</v>
      </c>
      <c r="AR142" s="672">
        <f>+CF!BD27</f>
        <v>-114520.08388964013</v>
      </c>
      <c r="AS142" s="672">
        <f>+CF!BE27</f>
        <v>-119789.64185586889</v>
      </c>
      <c r="AT142" s="672">
        <f>+CF!BF27</f>
        <v>-126656.21517427311</v>
      </c>
      <c r="AU142" s="672">
        <f>+CF!BG27</f>
        <v>-133916.39371936084</v>
      </c>
      <c r="AV142" s="672">
        <f>+CF!BH27</f>
        <v>-141592.73970190145</v>
      </c>
      <c r="AW142" s="672">
        <f>+CF!BI27</f>
        <v>-149709.10864210289</v>
      </c>
      <c r="AX142" s="672">
        <f>+CF!BJ27</f>
        <v>-107117.28412503307</v>
      </c>
      <c r="AY142" s="283"/>
      <c r="AZ142" s="283"/>
      <c r="BA142" s="283"/>
      <c r="BB142" s="283"/>
      <c r="BC142" s="283"/>
      <c r="BD142" s="283"/>
      <c r="BE142" s="283"/>
      <c r="BF142" s="283"/>
      <c r="BG142" s="283"/>
      <c r="BH142" s="283"/>
      <c r="BI142" s="283"/>
      <c r="BJ142" s="283"/>
      <c r="BK142" s="283"/>
      <c r="BL142" s="283"/>
      <c r="BM142" s="283"/>
      <c r="BN142" s="281"/>
      <c r="BO142" s="281"/>
      <c r="BP142" s="281"/>
      <c r="BQ142" s="281"/>
      <c r="BR142" s="281"/>
      <c r="BS142" s="281"/>
      <c r="BT142" s="281"/>
      <c r="BU142" s="281"/>
      <c r="BV142" s="281"/>
      <c r="BW142" s="281"/>
      <c r="BX142" s="281"/>
      <c r="BY142" s="281"/>
      <c r="BZ142" s="281"/>
      <c r="CA142" s="281"/>
      <c r="CB142" s="281"/>
      <c r="CC142" s="281"/>
      <c r="CD142" s="281"/>
      <c r="CE142" s="281"/>
      <c r="CF142" s="281"/>
      <c r="CG142" s="281"/>
      <c r="CH142" s="281"/>
      <c r="CI142" s="281"/>
      <c r="CJ142" s="281"/>
      <c r="CK142" s="281"/>
      <c r="CL142" s="281"/>
      <c r="CM142" s="281"/>
      <c r="CN142" s="281"/>
      <c r="CO142" s="281"/>
      <c r="CP142" s="281"/>
    </row>
    <row r="143" spans="2:94" s="490" customFormat="1" x14ac:dyDescent="0.2">
      <c r="B143" s="509" t="s">
        <v>66</v>
      </c>
      <c r="C143" s="505"/>
      <c r="D143" s="505"/>
      <c r="E143" s="505"/>
      <c r="F143" s="672">
        <f>+CF!R28</f>
        <v>0</v>
      </c>
      <c r="G143" s="672">
        <f>+CF!S28</f>
        <v>-7726.0040000000026</v>
      </c>
      <c r="H143" s="672">
        <f>+CF!T28</f>
        <v>-4923.1641749466244</v>
      </c>
      <c r="I143" s="672">
        <f>+CF!U28</f>
        <v>-3516.2529273851965</v>
      </c>
      <c r="J143" s="672">
        <f>+CF!V28</f>
        <v>-2511.4000285149973</v>
      </c>
      <c r="K143" s="672">
        <f>+CF!W28</f>
        <v>-3207.5042996959728</v>
      </c>
      <c r="L143" s="672">
        <f>+CF!X28</f>
        <v>-4096.5532036931381</v>
      </c>
      <c r="M143" s="672">
        <f>+CF!Y28</f>
        <v>-5232.0267044627799</v>
      </c>
      <c r="N143" s="672">
        <f>+CF!Z28</f>
        <v>-6682.2282233593996</v>
      </c>
      <c r="O143" s="672">
        <f>+CF!AA28</f>
        <v>-8534.3933720700988</v>
      </c>
      <c r="P143" s="672">
        <f>+CF!AB28</f>
        <v>-7834.4943124637866</v>
      </c>
      <c r="Q143" s="672">
        <f>+CF!AC28</f>
        <v>-7191.9934383267437</v>
      </c>
      <c r="R143" s="672">
        <f>+CF!AD28</f>
        <v>-6602.1835684591333</v>
      </c>
      <c r="S143" s="672">
        <f>+CF!AE28</f>
        <v>-6060.7435539836861</v>
      </c>
      <c r="T143" s="672">
        <f>+CF!AF28</f>
        <v>-5563.7066201307889</v>
      </c>
      <c r="U143" s="672">
        <f>+CF!AG28</f>
        <v>-7543.7883632894109</v>
      </c>
      <c r="V143" s="672">
        <f>+CF!AH28</f>
        <v>-10228.566449602433</v>
      </c>
      <c r="W143" s="672">
        <f>+CF!AI28</f>
        <v>-13868.837058455365</v>
      </c>
      <c r="X143" s="672">
        <f>+CF!AJ28</f>
        <v>-18804.652861346072</v>
      </c>
      <c r="Y143" s="672">
        <f>+CF!AK28</f>
        <v>-25497.088742573676</v>
      </c>
      <c r="Z143" s="672">
        <f>+CF!AL28</f>
        <v>-17257.519856207484</v>
      </c>
      <c r="AA143" s="672">
        <f>+CF!AM28</f>
        <v>-11680.62732942951</v>
      </c>
      <c r="AB143" s="672">
        <f>+CF!AN28</f>
        <v>-7905.9480125667942</v>
      </c>
      <c r="AC143" s="672">
        <f>+CF!AO28</f>
        <v>-5351.0836545507345</v>
      </c>
      <c r="AD143" s="672">
        <f>+CF!AP28</f>
        <v>-3621.8422170858075</v>
      </c>
      <c r="AE143" s="672">
        <f>+CF!AQ28</f>
        <v>-5031.5595961266754</v>
      </c>
      <c r="AF143" s="672">
        <f>+CF!AR28</f>
        <v>-6989.9764959238264</v>
      </c>
      <c r="AG143" s="672">
        <f>+CF!AS28</f>
        <v>-9710.6613725056704</v>
      </c>
      <c r="AH143" s="672">
        <f>+CF!AT28</f>
        <v>-13490.309208687973</v>
      </c>
      <c r="AI143" s="672">
        <f>+CF!AU28</f>
        <v>-18741.096570547237</v>
      </c>
      <c r="AJ143" s="672">
        <f>+CF!AV28</f>
        <v>-18421.350964280813</v>
      </c>
      <c r="AK143" s="672">
        <f>+CF!AW28</f>
        <v>-18107.060601913374</v>
      </c>
      <c r="AL143" s="672">
        <f>+CF!AX28</f>
        <v>-17798.132410434951</v>
      </c>
      <c r="AM143" s="672">
        <f>+CF!AY28</f>
        <v>-17494.474904772869</v>
      </c>
      <c r="AN143" s="672">
        <f>+CF!AZ28</f>
        <v>-17195.998160699615</v>
      </c>
      <c r="AO143" s="672">
        <f>+CF!BA28</f>
        <v>-19251.269063199168</v>
      </c>
      <c r="AP143" s="672">
        <f>+CF!BB28</f>
        <v>-21552.186565749842</v>
      </c>
      <c r="AQ143" s="672">
        <f>+CF!BC28</f>
        <v>-24128.110424305614</v>
      </c>
      <c r="AR143" s="672">
        <f>+CF!BD28</f>
        <v>-27011.909481734325</v>
      </c>
      <c r="AS143" s="672">
        <f>+CF!BE28</f>
        <v>-30240.38107494725</v>
      </c>
      <c r="AT143" s="672">
        <f>+CF!BF28</f>
        <v>-34373.648331668155</v>
      </c>
      <c r="AU143" s="672">
        <f>+CF!BG28</f>
        <v>-39071.852193292965</v>
      </c>
      <c r="AV143" s="672">
        <f>+CF!BH28</f>
        <v>-44412.208418623974</v>
      </c>
      <c r="AW143" s="672">
        <f>+CF!BI28</f>
        <v>-50482.486646944315</v>
      </c>
      <c r="AX143" s="672">
        <f>+CF!BJ28+CF!BJ31</f>
        <v>-190951.2064329987</v>
      </c>
      <c r="AY143" s="283"/>
      <c r="AZ143" s="283"/>
      <c r="BA143" s="283"/>
      <c r="BB143" s="283"/>
      <c r="BC143" s="283"/>
      <c r="BD143" s="283"/>
      <c r="BE143" s="283"/>
      <c r="BF143" s="283"/>
      <c r="BG143" s="283"/>
      <c r="BH143" s="283"/>
      <c r="BI143" s="283"/>
      <c r="BJ143" s="283"/>
      <c r="BK143" s="283"/>
      <c r="BL143" s="283"/>
      <c r="BM143" s="283"/>
      <c r="BN143" s="281"/>
      <c r="BO143" s="281"/>
      <c r="BP143" s="281"/>
      <c r="BQ143" s="281"/>
      <c r="BR143" s="281"/>
      <c r="BS143" s="281"/>
      <c r="BT143" s="281"/>
      <c r="BU143" s="281"/>
      <c r="BV143" s="281"/>
      <c r="BW143" s="281"/>
      <c r="BX143" s="281"/>
      <c r="BY143" s="281"/>
      <c r="BZ143" s="281"/>
      <c r="CA143" s="281"/>
      <c r="CB143" s="281"/>
      <c r="CC143" s="281"/>
      <c r="CD143" s="281"/>
      <c r="CE143" s="281"/>
      <c r="CF143" s="281"/>
      <c r="CG143" s="281"/>
      <c r="CH143" s="281"/>
      <c r="CI143" s="281"/>
      <c r="CJ143" s="281"/>
      <c r="CK143" s="281"/>
      <c r="CL143" s="281"/>
      <c r="CM143" s="281"/>
      <c r="CN143" s="281"/>
      <c r="CO143" s="281"/>
      <c r="CP143" s="281"/>
    </row>
    <row r="144" spans="2:94" s="490" customFormat="1" x14ac:dyDescent="0.2">
      <c r="B144" s="509" t="s">
        <v>505</v>
      </c>
      <c r="C144" s="505"/>
      <c r="D144" s="505"/>
      <c r="E144" s="505"/>
      <c r="F144" s="672">
        <f>+CF!R29</f>
        <v>0</v>
      </c>
      <c r="G144" s="672">
        <f>+CF!S29</f>
        <v>500</v>
      </c>
      <c r="H144" s="672">
        <f>+CF!T29</f>
        <v>0</v>
      </c>
      <c r="I144" s="672">
        <f>+CF!U29</f>
        <v>0</v>
      </c>
      <c r="J144" s="672">
        <f>+CF!V29</f>
        <v>0</v>
      </c>
      <c r="K144" s="672">
        <f>+CF!W29</f>
        <v>0</v>
      </c>
      <c r="L144" s="672">
        <f>+CF!X29</f>
        <v>0</v>
      </c>
      <c r="M144" s="672">
        <f>+CF!Y29</f>
        <v>0</v>
      </c>
      <c r="N144" s="672">
        <f>+CF!Z29</f>
        <v>0</v>
      </c>
      <c r="O144" s="672">
        <f>+CF!AA29</f>
        <v>0</v>
      </c>
      <c r="P144" s="672">
        <f>+CF!AB29</f>
        <v>0</v>
      </c>
      <c r="Q144" s="672">
        <f>+CF!AC29</f>
        <v>0</v>
      </c>
      <c r="R144" s="672">
        <f>+CF!AD29</f>
        <v>0</v>
      </c>
      <c r="S144" s="672">
        <f>+CF!AE29</f>
        <v>0</v>
      </c>
      <c r="T144" s="672">
        <f>+CF!AF29</f>
        <v>0</v>
      </c>
      <c r="U144" s="672">
        <f>+CF!AG29</f>
        <v>0</v>
      </c>
      <c r="V144" s="672">
        <f>+CF!AH29</f>
        <v>0</v>
      </c>
      <c r="W144" s="672">
        <f>+CF!AI29</f>
        <v>0</v>
      </c>
      <c r="X144" s="672">
        <f>+CF!AJ29</f>
        <v>0</v>
      </c>
      <c r="Y144" s="672">
        <f>+CF!AK29</f>
        <v>0</v>
      </c>
      <c r="Z144" s="672">
        <f>+CF!AL29</f>
        <v>0</v>
      </c>
      <c r="AA144" s="672">
        <f>+CF!AM29</f>
        <v>0</v>
      </c>
      <c r="AB144" s="672">
        <f>+CF!AN29</f>
        <v>0</v>
      </c>
      <c r="AC144" s="672">
        <f>+CF!AO29</f>
        <v>0</v>
      </c>
      <c r="AD144" s="672">
        <f>+CF!AP29</f>
        <v>0</v>
      </c>
      <c r="AE144" s="672">
        <f>+CF!AQ29</f>
        <v>0</v>
      </c>
      <c r="AF144" s="672">
        <f>+CF!AR29</f>
        <v>0</v>
      </c>
      <c r="AG144" s="672">
        <f>+CF!AS29</f>
        <v>0</v>
      </c>
      <c r="AH144" s="672">
        <f>+CF!AT29</f>
        <v>0</v>
      </c>
      <c r="AI144" s="672">
        <f>+CF!AU29</f>
        <v>0</v>
      </c>
      <c r="AJ144" s="672">
        <f>+CF!AV29</f>
        <v>0</v>
      </c>
      <c r="AK144" s="672">
        <f>+CF!AW29</f>
        <v>0</v>
      </c>
      <c r="AL144" s="672">
        <f>+CF!AX29</f>
        <v>0</v>
      </c>
      <c r="AM144" s="672">
        <f>+CF!AY29</f>
        <v>0</v>
      </c>
      <c r="AN144" s="672">
        <f>+CF!AZ29</f>
        <v>0</v>
      </c>
      <c r="AO144" s="672">
        <f>+CF!BA29</f>
        <v>0</v>
      </c>
      <c r="AP144" s="672">
        <f>+CF!BB29</f>
        <v>0</v>
      </c>
      <c r="AQ144" s="672">
        <f>+CF!BC29</f>
        <v>0</v>
      </c>
      <c r="AR144" s="672">
        <f>+CF!BD29</f>
        <v>0</v>
      </c>
      <c r="AS144" s="672">
        <f>+CF!BE29</f>
        <v>0</v>
      </c>
      <c r="AT144" s="672">
        <f>+CF!BF29</f>
        <v>0</v>
      </c>
      <c r="AU144" s="672">
        <f>+CF!BG29</f>
        <v>0</v>
      </c>
      <c r="AV144" s="672">
        <f>+CF!BH29</f>
        <v>0</v>
      </c>
      <c r="AW144" s="672">
        <f>+CF!BI29</f>
        <v>0</v>
      </c>
      <c r="AX144" s="672">
        <f>+CF!BJ29</f>
        <v>0</v>
      </c>
      <c r="AY144" s="283"/>
      <c r="AZ144" s="283"/>
      <c r="BA144" s="283"/>
      <c r="BB144" s="283"/>
      <c r="BC144" s="283"/>
      <c r="BD144" s="283"/>
      <c r="BE144" s="283"/>
      <c r="BF144" s="283"/>
      <c r="BG144" s="283"/>
      <c r="BH144" s="283"/>
      <c r="BI144" s="283"/>
      <c r="BJ144" s="283"/>
      <c r="BK144" s="283"/>
      <c r="BL144" s="283"/>
      <c r="BM144" s="283"/>
      <c r="BN144" s="281"/>
      <c r="BO144" s="281"/>
      <c r="BP144" s="281"/>
      <c r="BQ144" s="281"/>
      <c r="BR144" s="281"/>
      <c r="BS144" s="281"/>
      <c r="BT144" s="281"/>
      <c r="BU144" s="281"/>
      <c r="BV144" s="281"/>
      <c r="BW144" s="281"/>
      <c r="BX144" s="281"/>
      <c r="BY144" s="281"/>
      <c r="BZ144" s="281"/>
      <c r="CA144" s="281"/>
      <c r="CB144" s="281"/>
      <c r="CC144" s="281"/>
      <c r="CD144" s="281"/>
      <c r="CE144" s="281"/>
      <c r="CF144" s="281"/>
      <c r="CG144" s="281"/>
      <c r="CH144" s="281"/>
      <c r="CI144" s="281"/>
      <c r="CJ144" s="281"/>
      <c r="CK144" s="281"/>
      <c r="CL144" s="281"/>
      <c r="CM144" s="281"/>
      <c r="CN144" s="281"/>
      <c r="CO144" s="281"/>
      <c r="CP144" s="281"/>
    </row>
    <row r="145" spans="2:94" s="490" customFormat="1" x14ac:dyDescent="0.2">
      <c r="B145" s="507" t="s">
        <v>318</v>
      </c>
      <c r="C145" s="505"/>
      <c r="D145" s="505"/>
      <c r="E145" s="505"/>
      <c r="F145" s="672">
        <f>+CF!R30</f>
        <v>0</v>
      </c>
      <c r="G145" s="672">
        <f>+CF!S30</f>
        <v>0</v>
      </c>
      <c r="H145" s="672">
        <f>+CF!T30</f>
        <v>0</v>
      </c>
      <c r="I145" s="672">
        <f>+CF!U30</f>
        <v>0</v>
      </c>
      <c r="J145" s="672">
        <f>+CF!V30</f>
        <v>0</v>
      </c>
      <c r="K145" s="672">
        <f>+CF!W30</f>
        <v>0</v>
      </c>
      <c r="L145" s="672">
        <f>+CF!X30</f>
        <v>0</v>
      </c>
      <c r="M145" s="672">
        <f>+CF!Y30</f>
        <v>0</v>
      </c>
      <c r="N145" s="672">
        <f>+CF!Z30</f>
        <v>0</v>
      </c>
      <c r="O145" s="672">
        <f>+CF!AA30</f>
        <v>0</v>
      </c>
      <c r="P145" s="672">
        <f>+CF!AB30</f>
        <v>0</v>
      </c>
      <c r="Q145" s="672">
        <f>+CF!AC30</f>
        <v>0</v>
      </c>
      <c r="R145" s="672">
        <f>+CF!AD30</f>
        <v>0</v>
      </c>
      <c r="S145" s="672">
        <f>+CF!AE30</f>
        <v>0</v>
      </c>
      <c r="T145" s="672">
        <f>+CF!AF30</f>
        <v>0</v>
      </c>
      <c r="U145" s="672">
        <f>+CF!AG30</f>
        <v>0</v>
      </c>
      <c r="V145" s="672">
        <f>+CF!AH30</f>
        <v>0</v>
      </c>
      <c r="W145" s="672">
        <f>+CF!AI30</f>
        <v>0</v>
      </c>
      <c r="X145" s="672">
        <f>+CF!AJ30</f>
        <v>0</v>
      </c>
      <c r="Y145" s="672">
        <f>+CF!AK30</f>
        <v>0</v>
      </c>
      <c r="Z145" s="672">
        <f>+CF!AL30</f>
        <v>0</v>
      </c>
      <c r="AA145" s="672">
        <f>+CF!AM30</f>
        <v>0</v>
      </c>
      <c r="AB145" s="672">
        <f>+CF!AN30</f>
        <v>0</v>
      </c>
      <c r="AC145" s="672">
        <f>+CF!AO30</f>
        <v>0</v>
      </c>
      <c r="AD145" s="672">
        <f>+CF!AP30</f>
        <v>0</v>
      </c>
      <c r="AE145" s="672">
        <f>+CF!AQ30</f>
        <v>0</v>
      </c>
      <c r="AF145" s="672">
        <f>+CF!AR30</f>
        <v>0</v>
      </c>
      <c r="AG145" s="672">
        <f>+CF!AS30</f>
        <v>0</v>
      </c>
      <c r="AH145" s="672">
        <f>+CF!AT30</f>
        <v>0</v>
      </c>
      <c r="AI145" s="672">
        <f>+CF!AU30</f>
        <v>0</v>
      </c>
      <c r="AJ145" s="672">
        <f>+CF!AV30</f>
        <v>0</v>
      </c>
      <c r="AK145" s="672">
        <f>+CF!AW30</f>
        <v>0</v>
      </c>
      <c r="AL145" s="672">
        <f>+CF!AX30</f>
        <v>0</v>
      </c>
      <c r="AM145" s="672">
        <f>+CF!AY30</f>
        <v>0</v>
      </c>
      <c r="AN145" s="672">
        <f>+CF!AZ30</f>
        <v>0</v>
      </c>
      <c r="AO145" s="672">
        <f>+CF!BA30</f>
        <v>0</v>
      </c>
      <c r="AP145" s="672">
        <f>+CF!BB30</f>
        <v>0</v>
      </c>
      <c r="AQ145" s="672">
        <f>+CF!BC30</f>
        <v>0</v>
      </c>
      <c r="AR145" s="672">
        <f>+CF!BD30</f>
        <v>0</v>
      </c>
      <c r="AS145" s="672">
        <f>+CF!BE30</f>
        <v>-225722.64849710948</v>
      </c>
      <c r="AT145" s="672">
        <f>+CF!BF30</f>
        <v>34373.648331668155</v>
      </c>
      <c r="AU145" s="672">
        <f>+CF!BG30</f>
        <v>39071.852193292965</v>
      </c>
      <c r="AV145" s="672">
        <f>+CF!BH30</f>
        <v>44412.208418623974</v>
      </c>
      <c r="AW145" s="672">
        <f>+CF!BI30</f>
        <v>50482.486646944315</v>
      </c>
      <c r="AX145" s="672">
        <f>+CF!BJ30</f>
        <v>190951.20643299868</v>
      </c>
      <c r="AY145" s="283"/>
      <c r="AZ145" s="283"/>
      <c r="BA145" s="283"/>
      <c r="BB145" s="283"/>
      <c r="BC145" s="283"/>
      <c r="BD145" s="283"/>
      <c r="BE145" s="283"/>
      <c r="BF145" s="283"/>
      <c r="BG145" s="283"/>
      <c r="BH145" s="283"/>
      <c r="BI145" s="283"/>
      <c r="BJ145" s="283"/>
      <c r="BK145" s="283"/>
      <c r="BL145" s="283"/>
      <c r="BM145" s="283"/>
      <c r="BN145" s="281"/>
      <c r="BO145" s="281"/>
      <c r="BP145" s="281"/>
      <c r="BQ145" s="281"/>
      <c r="BR145" s="281"/>
      <c r="BS145" s="281"/>
      <c r="BT145" s="281"/>
      <c r="BU145" s="281"/>
      <c r="BV145" s="281"/>
      <c r="BW145" s="281"/>
      <c r="BX145" s="281"/>
      <c r="BY145" s="281"/>
      <c r="BZ145" s="281"/>
      <c r="CA145" s="281"/>
      <c r="CB145" s="281"/>
      <c r="CC145" s="281"/>
      <c r="CD145" s="281"/>
      <c r="CE145" s="281"/>
      <c r="CF145" s="281"/>
      <c r="CG145" s="281"/>
      <c r="CH145" s="281"/>
      <c r="CI145" s="281"/>
      <c r="CJ145" s="281"/>
      <c r="CK145" s="281"/>
      <c r="CL145" s="281"/>
      <c r="CM145" s="281"/>
      <c r="CN145" s="281"/>
      <c r="CO145" s="281"/>
      <c r="CP145" s="281"/>
    </row>
    <row r="146" spans="2:94" s="490" customFormat="1" x14ac:dyDescent="0.2">
      <c r="B146" s="507" t="s">
        <v>274</v>
      </c>
      <c r="C146" s="505"/>
      <c r="D146" s="505"/>
      <c r="E146" s="505"/>
      <c r="F146" s="672">
        <f>+CF!R32</f>
        <v>0</v>
      </c>
      <c r="G146" s="672">
        <f>+CF!S32</f>
        <v>-446</v>
      </c>
      <c r="H146" s="672">
        <f>+CF!T32</f>
        <v>-737.58974504569574</v>
      </c>
      <c r="I146" s="672">
        <f>+CF!U32</f>
        <v>-845.09727037031769</v>
      </c>
      <c r="J146" s="672">
        <f>+CF!V32</f>
        <v>-947.27186232849067</v>
      </c>
      <c r="K146" s="672">
        <f>+CF!W32</f>
        <v>-1019.4985617497009</v>
      </c>
      <c r="L146" s="672">
        <f>+CF!X32</f>
        <v>-1097.2312440403507</v>
      </c>
      <c r="M146" s="672">
        <f>+CF!Y32</f>
        <v>-1180.8721342435792</v>
      </c>
      <c r="N146" s="672">
        <f>+CF!Z32</f>
        <v>-1270.0974482756708</v>
      </c>
      <c r="O146" s="672">
        <f>+CF!AA32</f>
        <v>-1366.5625319919407</v>
      </c>
      <c r="P146" s="672">
        <f>+CF!AB32</f>
        <v>-1477.6866800817588</v>
      </c>
      <c r="Q146" s="672">
        <f>+CF!AC32</f>
        <v>-1597.9256776029658</v>
      </c>
      <c r="R146" s="672">
        <f>+CF!AD32</f>
        <v>-1727.2994169124825</v>
      </c>
      <c r="S146" s="672">
        <f>+CF!AE32</f>
        <v>-1867.6403246759485</v>
      </c>
      <c r="T146" s="672">
        <f>+CF!AF32</f>
        <v>-2019.9423845308647</v>
      </c>
      <c r="U146" s="672">
        <f>+CF!AG32</f>
        <v>-2165.5608753220044</v>
      </c>
      <c r="V146" s="672">
        <f>+CF!AH32</f>
        <v>-2321.9700940118796</v>
      </c>
      <c r="W146" s="672">
        <f>+CF!AI32</f>
        <v>-2489.7667838205948</v>
      </c>
      <c r="X146" s="672">
        <f>+CF!AJ32</f>
        <v>-2669.0732419341457</v>
      </c>
      <c r="Y146" s="672">
        <f>+CF!AK32</f>
        <v>-2860.4583224723983</v>
      </c>
      <c r="Z146" s="672">
        <f>+CF!AL32</f>
        <v>-3065.0901951231494</v>
      </c>
      <c r="AA146" s="672">
        <f>+CF!AM32</f>
        <v>-3285.9896090785355</v>
      </c>
      <c r="AB146" s="672">
        <f>+CF!AN32</f>
        <v>-3525.1806027610319</v>
      </c>
      <c r="AC146" s="672">
        <f>+CF!AO32</f>
        <v>-3779.4945750365664</v>
      </c>
      <c r="AD146" s="672">
        <f>+CF!AP32</f>
        <v>-4056.8510170263103</v>
      </c>
      <c r="AE146" s="672">
        <f>+CF!AQ32</f>
        <v>-4314.1450040972704</v>
      </c>
      <c r="AF146" s="672">
        <f>+CF!AR32</f>
        <v>-4588.1007215996615</v>
      </c>
      <c r="AG146" s="672">
        <f>+CF!AS32</f>
        <v>-4879.7400909298531</v>
      </c>
      <c r="AH146" s="672">
        <f>+CF!AT32</f>
        <v>-5190.4247287486833</v>
      </c>
      <c r="AI146" s="672">
        <f>+CF!AU32</f>
        <v>-5528.8514273091296</v>
      </c>
      <c r="AJ146" s="672">
        <f>+CF!AV32</f>
        <v>-5875.2188723279269</v>
      </c>
      <c r="AK146" s="672">
        <f>+CF!AW32</f>
        <v>-6235.334184088123</v>
      </c>
      <c r="AL146" s="672">
        <f>+CF!AX32</f>
        <v>-6618.4474026856469</v>
      </c>
      <c r="AM146" s="672">
        <f>+CF!AY32</f>
        <v>-7026.2168164658833</v>
      </c>
      <c r="AN146" s="672">
        <f>+CF!AZ32</f>
        <v>-7459.425386884267</v>
      </c>
      <c r="AO146" s="672">
        <f>+CF!BA32</f>
        <v>-7928.821010847113</v>
      </c>
      <c r="AP146" s="672">
        <f>+CF!BB32</f>
        <v>-8427.8598957397426</v>
      </c>
      <c r="AQ146" s="672">
        <f>+CF!BC32</f>
        <v>-8958.4792187224703</v>
      </c>
      <c r="AR146" s="672">
        <f>+CF!BD32</f>
        <v>-9522.6761102401288</v>
      </c>
      <c r="AS146" s="672">
        <f>+CF!BE32</f>
        <v>-10108.901955415566</v>
      </c>
      <c r="AT146" s="672">
        <f>+CF!BF32</f>
        <v>-10877.998262087507</v>
      </c>
      <c r="AU146" s="672">
        <f>+CF!BG32</f>
        <v>-11703.98707545153</v>
      </c>
      <c r="AV146" s="672">
        <f>+CF!BH32</f>
        <v>-12593.122376190302</v>
      </c>
      <c r="AW146" s="672">
        <f>+CF!BI32</f>
        <v>-13550.017342808085</v>
      </c>
      <c r="AX146" s="672">
        <f>+CF!BJ32</f>
        <v>-9865.7511136003723</v>
      </c>
      <c r="AY146" s="283"/>
      <c r="AZ146" s="283"/>
      <c r="BA146" s="283"/>
      <c r="BB146" s="283"/>
      <c r="BC146" s="283"/>
      <c r="BD146" s="283"/>
      <c r="BE146" s="283"/>
      <c r="BF146" s="283"/>
      <c r="BG146" s="283"/>
      <c r="BH146" s="283"/>
      <c r="BI146" s="283"/>
      <c r="BJ146" s="283"/>
      <c r="BK146" s="283"/>
      <c r="BL146" s="283"/>
      <c r="BM146" s="283"/>
      <c r="BN146" s="281"/>
      <c r="BO146" s="281"/>
      <c r="BP146" s="281"/>
      <c r="BQ146" s="281"/>
      <c r="BR146" s="281"/>
      <c r="BS146" s="281"/>
      <c r="BT146" s="281"/>
      <c r="BU146" s="281"/>
      <c r="BV146" s="281"/>
      <c r="BW146" s="281"/>
      <c r="BX146" s="281"/>
      <c r="BY146" s="281"/>
      <c r="BZ146" s="281"/>
      <c r="CA146" s="281"/>
      <c r="CB146" s="281"/>
      <c r="CC146" s="281"/>
      <c r="CD146" s="281"/>
      <c r="CE146" s="281"/>
      <c r="CF146" s="281"/>
      <c r="CG146" s="281"/>
      <c r="CH146" s="281"/>
      <c r="CI146" s="281"/>
      <c r="CJ146" s="281"/>
      <c r="CK146" s="281"/>
      <c r="CL146" s="281"/>
      <c r="CM146" s="281"/>
      <c r="CN146" s="281"/>
      <c r="CO146" s="281"/>
      <c r="CP146" s="281"/>
    </row>
    <row r="147" spans="2:94" s="490" customFormat="1" x14ac:dyDescent="0.2">
      <c r="B147" s="507" t="s">
        <v>350</v>
      </c>
      <c r="C147" s="505"/>
      <c r="D147" s="505"/>
      <c r="E147" s="505"/>
      <c r="F147" s="672">
        <f>+CF!R33</f>
        <v>0</v>
      </c>
      <c r="G147" s="672">
        <f>+CF!S33</f>
        <v>0</v>
      </c>
      <c r="H147" s="672">
        <f>+CF!T33</f>
        <v>0</v>
      </c>
      <c r="I147" s="672">
        <f>+CF!U33</f>
        <v>0</v>
      </c>
      <c r="J147" s="672">
        <f>+CF!V33</f>
        <v>0</v>
      </c>
      <c r="K147" s="672">
        <f>+CF!W33</f>
        <v>0</v>
      </c>
      <c r="L147" s="672">
        <f>+CF!X33</f>
        <v>0</v>
      </c>
      <c r="M147" s="672">
        <f>+CF!Y33</f>
        <v>0</v>
      </c>
      <c r="N147" s="672">
        <f>+CF!Z33</f>
        <v>0</v>
      </c>
      <c r="O147" s="672">
        <f>+CF!AA33</f>
        <v>0</v>
      </c>
      <c r="P147" s="672">
        <f>+CF!AB33</f>
        <v>0</v>
      </c>
      <c r="Q147" s="672">
        <f>+CF!AC33</f>
        <v>0</v>
      </c>
      <c r="R147" s="672">
        <f>+CF!AD33</f>
        <v>0</v>
      </c>
      <c r="S147" s="672">
        <f>+CF!AE33</f>
        <v>0</v>
      </c>
      <c r="T147" s="672">
        <f>+CF!AF33</f>
        <v>0</v>
      </c>
      <c r="U147" s="672">
        <f>+CF!AG33</f>
        <v>0</v>
      </c>
      <c r="V147" s="672">
        <f>+CF!AH33</f>
        <v>0</v>
      </c>
      <c r="W147" s="672">
        <f>+CF!AI33</f>
        <v>0</v>
      </c>
      <c r="X147" s="672">
        <f>+CF!AJ33</f>
        <v>0</v>
      </c>
      <c r="Y147" s="672">
        <f>+CF!AK33</f>
        <v>0</v>
      </c>
      <c r="Z147" s="672">
        <f>+CF!AL33</f>
        <v>0</v>
      </c>
      <c r="AA147" s="672">
        <f>+CF!AM33</f>
        <v>0</v>
      </c>
      <c r="AB147" s="672">
        <f>+CF!AN33</f>
        <v>0</v>
      </c>
      <c r="AC147" s="672">
        <f>+CF!AO33</f>
        <v>0</v>
      </c>
      <c r="AD147" s="672">
        <f>+CF!AP33</f>
        <v>0</v>
      </c>
      <c r="AE147" s="672">
        <f>+CF!AQ33</f>
        <v>0</v>
      </c>
      <c r="AF147" s="672">
        <f>+CF!AR33</f>
        <v>0</v>
      </c>
      <c r="AG147" s="672">
        <f>+CF!AS33</f>
        <v>0</v>
      </c>
      <c r="AH147" s="672">
        <f>+CF!AT33</f>
        <v>0</v>
      </c>
      <c r="AI147" s="672">
        <f>+CF!AU33</f>
        <v>0</v>
      </c>
      <c r="AJ147" s="672">
        <f>+CF!AV33</f>
        <v>0</v>
      </c>
      <c r="AK147" s="672">
        <f>+CF!AW33</f>
        <v>0</v>
      </c>
      <c r="AL147" s="672">
        <f>+CF!AX33</f>
        <v>0</v>
      </c>
      <c r="AM147" s="672">
        <f>+CF!AY33</f>
        <v>0</v>
      </c>
      <c r="AN147" s="672">
        <f>+CF!AZ33</f>
        <v>0</v>
      </c>
      <c r="AO147" s="672">
        <f>+CF!BA33</f>
        <v>0</v>
      </c>
      <c r="AP147" s="672">
        <f>+CF!BB33</f>
        <v>0</v>
      </c>
      <c r="AQ147" s="672">
        <f>+CF!BC33</f>
        <v>0</v>
      </c>
      <c r="AR147" s="672">
        <f>+CF!BD33</f>
        <v>0</v>
      </c>
      <c r="AS147" s="672">
        <f>+CF!BE33</f>
        <v>0</v>
      </c>
      <c r="AT147" s="672">
        <f>+CF!BF33</f>
        <v>0</v>
      </c>
      <c r="AU147" s="672">
        <f>+CF!BG33</f>
        <v>0</v>
      </c>
      <c r="AV147" s="672">
        <f>+CF!BH33</f>
        <v>0</v>
      </c>
      <c r="AW147" s="672">
        <f>+CF!BI33</f>
        <v>0</v>
      </c>
      <c r="AX147" s="672">
        <f>+CF!BJ33</f>
        <v>1982.7223300000005</v>
      </c>
      <c r="AY147" s="283"/>
      <c r="AZ147" s="283"/>
      <c r="BA147" s="283"/>
      <c r="BB147" s="283"/>
      <c r="BC147" s="283"/>
      <c r="BD147" s="283"/>
      <c r="BE147" s="283"/>
      <c r="BF147" s="283"/>
      <c r="BG147" s="283"/>
      <c r="BH147" s="283"/>
      <c r="BI147" s="283"/>
      <c r="BJ147" s="283"/>
      <c r="BK147" s="283"/>
      <c r="BL147" s="283"/>
      <c r="BM147" s="283"/>
      <c r="BN147" s="281"/>
      <c r="BO147" s="281"/>
      <c r="BP147" s="281"/>
      <c r="BQ147" s="281"/>
      <c r="BR147" s="281"/>
      <c r="BS147" s="281"/>
      <c r="BT147" s="281"/>
      <c r="BU147" s="281"/>
      <c r="BV147" s="281"/>
      <c r="BW147" s="281"/>
      <c r="BX147" s="281"/>
      <c r="BY147" s="281"/>
      <c r="BZ147" s="281"/>
      <c r="CA147" s="281"/>
      <c r="CB147" s="281"/>
      <c r="CC147" s="281"/>
      <c r="CD147" s="281"/>
      <c r="CE147" s="281"/>
      <c r="CF147" s="281"/>
      <c r="CG147" s="281"/>
      <c r="CH147" s="281"/>
      <c r="CI147" s="281"/>
      <c r="CJ147" s="281"/>
      <c r="CK147" s="281"/>
      <c r="CL147" s="281"/>
      <c r="CM147" s="281"/>
      <c r="CN147" s="281"/>
      <c r="CO147" s="281"/>
      <c r="CP147" s="281"/>
    </row>
    <row r="148" spans="2:94" s="490" customFormat="1" x14ac:dyDescent="0.2">
      <c r="B148" s="508" t="s">
        <v>68</v>
      </c>
      <c r="C148" s="505"/>
      <c r="D148" s="505"/>
      <c r="E148" s="505"/>
      <c r="F148" s="672">
        <f>+CF!R37</f>
        <v>0</v>
      </c>
      <c r="G148" s="672">
        <f>+CF!S37</f>
        <v>0</v>
      </c>
      <c r="H148" s="672">
        <f>+CF!T37</f>
        <v>0</v>
      </c>
      <c r="I148" s="672">
        <f>+CF!U37</f>
        <v>616758.50732369267</v>
      </c>
      <c r="J148" s="672">
        <f>+CF!V37</f>
        <v>3590.8031428707486</v>
      </c>
      <c r="K148" s="672">
        <f>+CF!W37</f>
        <v>4760.5154907399174</v>
      </c>
      <c r="L148" s="672">
        <f>+CF!X37</f>
        <v>6174.275185812714</v>
      </c>
      <c r="M148" s="672">
        <f>+CF!Y37</f>
        <v>7889.8770163611152</v>
      </c>
      <c r="N148" s="672">
        <f>+CF!Z37</f>
        <v>26281.983251327314</v>
      </c>
      <c r="O148" s="672">
        <f>+CF!AA37</f>
        <v>29663.311907241117</v>
      </c>
      <c r="P148" s="672">
        <f>+CF!AB37</f>
        <v>32041.645019957905</v>
      </c>
      <c r="Q148" s="672">
        <f>+CF!AC37</f>
        <v>34807.216194034139</v>
      </c>
      <c r="R148" s="672">
        <f>+CF!AD37</f>
        <v>37986.873672286703</v>
      </c>
      <c r="S148" s="672">
        <f>+CF!AE37</f>
        <v>99714.646057769161</v>
      </c>
      <c r="T148" s="672">
        <f>+CF!AF37</f>
        <v>44663.001363939591</v>
      </c>
      <c r="U148" s="672">
        <f>+CF!AG37</f>
        <v>48687.154699828388</v>
      </c>
      <c r="V148" s="672">
        <f>+CF!AH37</f>
        <v>53505.891582419346</v>
      </c>
      <c r="W148" s="672">
        <f>+CF!AI37</f>
        <v>59372.224137263518</v>
      </c>
      <c r="X148" s="672">
        <f>+CF!AJ37</f>
        <v>76628.264347512202</v>
      </c>
      <c r="Y148" s="672">
        <f>+CF!AK37</f>
        <v>95736.955007188357</v>
      </c>
      <c r="Z148" s="672">
        <f>+CF!AL37</f>
        <v>90384.598914979899</v>
      </c>
      <c r="AA148" s="672">
        <f>+CF!AM37</f>
        <v>87847.975304427455</v>
      </c>
      <c r="AB148" s="672">
        <f>+CF!AN37</f>
        <v>127273.52558223369</v>
      </c>
      <c r="AC148" s="672">
        <f>+CF!AO37</f>
        <v>242142.59323991038</v>
      </c>
      <c r="AD148" s="672">
        <f>+CF!AP37</f>
        <v>124112.74071768418</v>
      </c>
      <c r="AE148" s="672">
        <f>+CF!AQ37</f>
        <v>104522.93341488246</v>
      </c>
      <c r="AF148" s="672">
        <f>+CF!AR37</f>
        <v>76476.724491239351</v>
      </c>
      <c r="AG148" s="672">
        <f>+CF!AS37</f>
        <v>9710.6613725056704</v>
      </c>
      <c r="AH148" s="672">
        <f>+CF!AT37</f>
        <v>13490.309208687973</v>
      </c>
      <c r="AI148" s="672">
        <f>+CF!AU37</f>
        <v>18741.096570547237</v>
      </c>
      <c r="AJ148" s="672">
        <f>+CF!AV37</f>
        <v>18421.350964280813</v>
      </c>
      <c r="AK148" s="672">
        <f>+CF!AW37</f>
        <v>18107.060601913374</v>
      </c>
      <c r="AL148" s="672">
        <f>+CF!AX37</f>
        <v>17798.132410434951</v>
      </c>
      <c r="AM148" s="672">
        <f>+CF!AY37</f>
        <v>132082.00616955457</v>
      </c>
      <c r="AN148" s="672">
        <f>+CF!AZ37</f>
        <v>0</v>
      </c>
      <c r="AO148" s="672">
        <f>+CF!BA37</f>
        <v>0</v>
      </c>
      <c r="AP148" s="672">
        <f>+CF!BB37</f>
        <v>0</v>
      </c>
      <c r="AQ148" s="672">
        <f>+CF!BC37</f>
        <v>0</v>
      </c>
      <c r="AR148" s="672">
        <f>+CF!BD37</f>
        <v>0</v>
      </c>
      <c r="AS148" s="672">
        <f>+CF!BE37</f>
        <v>0</v>
      </c>
      <c r="AT148" s="672">
        <f>+CF!BF37</f>
        <v>0</v>
      </c>
      <c r="AU148" s="672">
        <f>+CF!BG37</f>
        <v>0</v>
      </c>
      <c r="AV148" s="672">
        <f>+CF!BH37</f>
        <v>0</v>
      </c>
      <c r="AW148" s="672">
        <f>+CF!BI37</f>
        <v>0</v>
      </c>
      <c r="AX148" s="672">
        <f>+CF!BJ37</f>
        <v>0</v>
      </c>
      <c r="AY148" s="283"/>
      <c r="AZ148" s="283"/>
      <c r="BA148" s="283"/>
      <c r="BB148" s="283"/>
      <c r="BC148" s="283"/>
      <c r="BD148" s="283"/>
      <c r="BE148" s="283"/>
      <c r="BF148" s="283"/>
      <c r="BG148" s="283"/>
      <c r="BH148" s="283"/>
      <c r="BI148" s="283"/>
      <c r="BJ148" s="283"/>
      <c r="BK148" s="283"/>
      <c r="BL148" s="283"/>
      <c r="BM148" s="283"/>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281"/>
      <c r="CM148" s="281"/>
      <c r="CN148" s="281"/>
      <c r="CO148" s="281"/>
      <c r="CP148" s="281"/>
    </row>
    <row r="149" spans="2:94" s="490" customFormat="1" x14ac:dyDescent="0.2">
      <c r="B149" s="508" t="s">
        <v>69</v>
      </c>
      <c r="C149" s="505"/>
      <c r="D149" s="505"/>
      <c r="E149" s="505"/>
      <c r="F149" s="672">
        <f>+CF!R39</f>
        <v>0</v>
      </c>
      <c r="G149" s="672">
        <f>+CF!S39</f>
        <v>0</v>
      </c>
      <c r="H149" s="672">
        <f>+CF!T39</f>
        <v>-185.57599601629585</v>
      </c>
      <c r="I149" s="672">
        <f>+CF!U39</f>
        <v>-8234.6643871878387</v>
      </c>
      <c r="J149" s="672">
        <f>+CF!V39</f>
        <v>-421.57731551623601</v>
      </c>
      <c r="K149" s="672">
        <f>+CF!W39</f>
        <v>-421.67749218718967</v>
      </c>
      <c r="L149" s="672">
        <f>+CF!X39</f>
        <v>-419.70912138295796</v>
      </c>
      <c r="M149" s="672">
        <f>+CF!Y39</f>
        <v>-414.95456311591295</v>
      </c>
      <c r="N149" s="672">
        <f>+CF!Z39</f>
        <v>-602.10684011685805</v>
      </c>
      <c r="O149" s="672">
        <f>+CF!AA39</f>
        <v>-598.61529966201601</v>
      </c>
      <c r="P149" s="672">
        <f>+CF!AB39</f>
        <v>-606.41633303187086</v>
      </c>
      <c r="Q149" s="672">
        <f>+CF!AC39</f>
        <v>-621.09003702900895</v>
      </c>
      <c r="R149" s="672">
        <f>+CF!AD39</f>
        <v>-642.78812890495203</v>
      </c>
      <c r="S149" s="672">
        <f>+CF!AE39</f>
        <v>-11810.517242795093</v>
      </c>
      <c r="T149" s="672">
        <f>+CF!AF39</f>
        <v>-1198.2752951762759</v>
      </c>
      <c r="U149" s="672">
        <f>+CF!AG39</f>
        <v>-1206.1511923977835</v>
      </c>
      <c r="V149" s="672">
        <f>+CF!AH39</f>
        <v>-1207.3142519747826</v>
      </c>
      <c r="W149" s="672">
        <f>+CF!AI39</f>
        <v>-1198.9752432750104</v>
      </c>
      <c r="X149" s="672">
        <f>+CF!AJ39</f>
        <v>-1297.3399394924027</v>
      </c>
      <c r="Y149" s="672">
        <f>+CF!AK39</f>
        <v>-1377.2516760372655</v>
      </c>
      <c r="Z149" s="672">
        <f>+CF!AL39</f>
        <v>-1316.1862769306522</v>
      </c>
      <c r="AA149" s="672">
        <f>+CF!AM39</f>
        <v>-1290.0601840879945</v>
      </c>
      <c r="AB149" s="672">
        <f>+CF!AN39</f>
        <v>-1768.3088669642812</v>
      </c>
      <c r="AC149" s="672">
        <f>+CF!AO39</f>
        <v>-21625.94321194138</v>
      </c>
      <c r="AD149" s="672">
        <f>+CF!AP39</f>
        <v>-2279.9650346316016</v>
      </c>
      <c r="AE149" s="672">
        <f>+CF!AQ39</f>
        <v>-2020.5155328239105</v>
      </c>
      <c r="AF149" s="672">
        <f>+CF!AR39</f>
        <v>-1647.5276875554664</v>
      </c>
      <c r="AG149" s="672">
        <f>+CF!AS39</f>
        <v>-571.53909421827882</v>
      </c>
      <c r="AH149" s="672">
        <f>+CF!AT39</f>
        <v>-535.129494132118</v>
      </c>
      <c r="AI149" s="672">
        <f>+CF!AU39</f>
        <v>-483.6572627455169</v>
      </c>
      <c r="AJ149" s="672">
        <f>+CF!AV39</f>
        <v>-411.23912903678615</v>
      </c>
      <c r="AK149" s="672">
        <f>+CF!AW39</f>
        <v>-340.15854156231063</v>
      </c>
      <c r="AL149" s="672">
        <f>+CF!AX39</f>
        <v>-270.39502631410579</v>
      </c>
      <c r="AM149" s="672">
        <f>+CF!AY39</f>
        <v>-17961.866278762696</v>
      </c>
      <c r="AN149" s="672">
        <f>+CF!AZ39</f>
        <v>-124.03715987773975</v>
      </c>
      <c r="AO149" s="672">
        <f>+CF!BA39</f>
        <v>-126.89001455492776</v>
      </c>
      <c r="AP149" s="672">
        <f>+CF!BB39</f>
        <v>-129.8084848896911</v>
      </c>
      <c r="AQ149" s="672">
        <f>+CF!BC39</f>
        <v>-132.79408004215398</v>
      </c>
      <c r="AR149" s="672">
        <f>+CF!BD39</f>
        <v>-135.84834388312353</v>
      </c>
      <c r="AS149" s="672">
        <f>+CF!BE39</f>
        <v>-138.97285579243535</v>
      </c>
      <c r="AT149" s="672">
        <f>+CF!BF39</f>
        <v>0</v>
      </c>
      <c r="AU149" s="672">
        <f>+CF!BG39</f>
        <v>0</v>
      </c>
      <c r="AV149" s="672">
        <f>+CF!BH39</f>
        <v>0</v>
      </c>
      <c r="AW149" s="672">
        <f>+CF!BI39</f>
        <v>0</v>
      </c>
      <c r="AX149" s="672">
        <f>+CF!BJ39</f>
        <v>0</v>
      </c>
      <c r="AY149" s="283"/>
      <c r="AZ149" s="283"/>
      <c r="BA149" s="283"/>
      <c r="BB149" s="283"/>
      <c r="BC149" s="283"/>
      <c r="BD149" s="283"/>
      <c r="BE149" s="283"/>
      <c r="BF149" s="283"/>
      <c r="BG149" s="283"/>
      <c r="BH149" s="283"/>
      <c r="BI149" s="283"/>
      <c r="BJ149" s="283"/>
      <c r="BK149" s="283"/>
      <c r="BL149" s="283"/>
      <c r="BM149" s="283"/>
      <c r="BN149" s="281"/>
      <c r="BO149" s="281"/>
      <c r="BP149" s="281"/>
      <c r="BQ149" s="281"/>
      <c r="BR149" s="281"/>
      <c r="BS149" s="281"/>
      <c r="BT149" s="281"/>
      <c r="BU149" s="281"/>
      <c r="BV149" s="281"/>
      <c r="BW149" s="281"/>
      <c r="BX149" s="281"/>
      <c r="BY149" s="281"/>
      <c r="BZ149" s="281"/>
      <c r="CA149" s="281"/>
      <c r="CB149" s="281"/>
      <c r="CC149" s="281"/>
      <c r="CD149" s="281"/>
      <c r="CE149" s="281"/>
      <c r="CF149" s="281"/>
      <c r="CG149" s="281"/>
      <c r="CH149" s="281"/>
      <c r="CI149" s="281"/>
      <c r="CJ149" s="281"/>
      <c r="CK149" s="281"/>
      <c r="CL149" s="281"/>
      <c r="CM149" s="281"/>
      <c r="CN149" s="281"/>
      <c r="CO149" s="281"/>
      <c r="CP149" s="281"/>
    </row>
    <row r="150" spans="2:94" s="490" customFormat="1" x14ac:dyDescent="0.2">
      <c r="B150" s="508" t="s">
        <v>70</v>
      </c>
      <c r="C150" s="505"/>
      <c r="D150" s="505"/>
      <c r="E150" s="505"/>
      <c r="F150" s="672">
        <f>+CF!R40</f>
        <v>0</v>
      </c>
      <c r="G150" s="672">
        <f>+CF!S40</f>
        <v>-43757.752098483172</v>
      </c>
      <c r="H150" s="672">
        <f>+CF!T40</f>
        <v>-43757.752098483172</v>
      </c>
      <c r="I150" s="672">
        <f>+CF!U40</f>
        <v>-74116.888088743697</v>
      </c>
      <c r="J150" s="672">
        <f>+CF!V40</f>
        <v>-80818.75911029664</v>
      </c>
      <c r="K150" s="672">
        <f>+CF!W40</f>
        <v>-80975.453055409336</v>
      </c>
      <c r="L150" s="672">
        <f>+CF!X40</f>
        <v>-81176.858847384108</v>
      </c>
      <c r="M150" s="672">
        <f>+CF!Y40</f>
        <v>-81524.877633462238</v>
      </c>
      <c r="N150" s="672">
        <f>+CF!Z40</f>
        <v>-81893.517773305415</v>
      </c>
      <c r="O150" s="672">
        <f>+CF!AA40</f>
        <v>-82497.096074733767</v>
      </c>
      <c r="P150" s="672">
        <f>+CF!AB40</f>
        <v>-83193.725174246778</v>
      </c>
      <c r="Q150" s="672">
        <f>+CF!AC40</f>
        <v>-83992.201296358675</v>
      </c>
      <c r="R150" s="672">
        <f>+CF!AD40</f>
        <v>-84595.651386516445</v>
      </c>
      <c r="S150" s="672">
        <f>+CF!AE40</f>
        <v>-85346.855589792307</v>
      </c>
      <c r="T150" s="672">
        <f>+CF!AF40</f>
        <v>-86104.045346159211</v>
      </c>
      <c r="U150" s="672">
        <f>+CF!AG40</f>
        <v>-86999.475609176254</v>
      </c>
      <c r="V150" s="672">
        <f>+CF!AH40</f>
        <v>-87771.983959559293</v>
      </c>
      <c r="W150" s="672">
        <f>+CF!AI40</f>
        <v>-88851.955460500263</v>
      </c>
      <c r="X150" s="672">
        <f>+CF!AJ40</f>
        <v>-90245.676064310799</v>
      </c>
      <c r="Y150" s="672">
        <f>+CF!AK40</f>
        <v>-92216.372345049065</v>
      </c>
      <c r="Z150" s="672">
        <f>+CF!AL40</f>
        <v>-94086.566732905019</v>
      </c>
      <c r="AA150" s="672">
        <f>+CF!AM40</f>
        <v>-95750.340880407879</v>
      </c>
      <c r="AB150" s="672">
        <f>+CF!AN40</f>
        <v>-97501.090368714693</v>
      </c>
      <c r="AC150" s="672">
        <f>+CF!AO40</f>
        <v>-99409.252862252455</v>
      </c>
      <c r="AD150" s="672">
        <f>+CF!AP40</f>
        <v>-101086.21404886839</v>
      </c>
      <c r="AE150" s="672">
        <f>+CF!AQ40</f>
        <v>-102361.08542199977</v>
      </c>
      <c r="AF150" s="672">
        <f>+CF!AR40</f>
        <v>-103369.69387875052</v>
      </c>
      <c r="AG150" s="672">
        <f>+CF!AS40</f>
        <v>-104207.95531981395</v>
      </c>
      <c r="AH150" s="672">
        <f>+CF!AT40</f>
        <v>-104485.62767496044</v>
      </c>
      <c r="AI150" s="672">
        <f>+CF!AU40</f>
        <v>-104239.62442952156</v>
      </c>
      <c r="AJ150" s="672">
        <f>+CF!AV40</f>
        <v>-100079.40226845442</v>
      </c>
      <c r="AK150" s="672">
        <f>+CF!AW40</f>
        <v>-92893.772380016409</v>
      </c>
      <c r="AL150" s="672">
        <f>+CF!AX40</f>
        <v>-84767.466695155206</v>
      </c>
      <c r="AM150" s="672">
        <f>+CF!AY40</f>
        <v>-76224.228288785962</v>
      </c>
      <c r="AN150" s="672">
        <f>+CF!AZ40</f>
        <v>-66255.988443943555</v>
      </c>
      <c r="AO150" s="672">
        <f>+CF!BA40</f>
        <v>-55107.485090240669</v>
      </c>
      <c r="AP150" s="672">
        <f>+CF!BB40</f>
        <v>-43064.646749955486</v>
      </c>
      <c r="AQ150" s="672">
        <f>+CF!BC40</f>
        <v>-30548.03105816455</v>
      </c>
      <c r="AR150" s="672">
        <f>+CF!BD40</f>
        <v>-17374.293042554604</v>
      </c>
      <c r="AS150" s="672">
        <f>+CF!BE40</f>
        <v>-5347.1039791417761</v>
      </c>
      <c r="AT150" s="672">
        <f>+CF!BF40</f>
        <v>0</v>
      </c>
      <c r="AU150" s="672">
        <f>+CF!BG40</f>
        <v>0</v>
      </c>
      <c r="AV150" s="672">
        <f>+CF!BH40</f>
        <v>0</v>
      </c>
      <c r="AW150" s="672">
        <f>+CF!BI40</f>
        <v>0</v>
      </c>
      <c r="AX150" s="672">
        <f>+CF!BJ40</f>
        <v>0</v>
      </c>
      <c r="AY150" s="283"/>
      <c r="AZ150" s="283"/>
      <c r="BA150" s="283"/>
      <c r="BB150" s="283"/>
      <c r="BC150" s="283"/>
      <c r="BD150" s="283"/>
      <c r="BE150" s="283"/>
      <c r="BF150" s="283"/>
      <c r="BG150" s="283"/>
      <c r="BH150" s="283"/>
      <c r="BI150" s="283"/>
      <c r="BJ150" s="283"/>
      <c r="BK150" s="283"/>
      <c r="BL150" s="283"/>
      <c r="BM150" s="283"/>
      <c r="BN150" s="281"/>
      <c r="BO150" s="281"/>
      <c r="BP150" s="281"/>
      <c r="BQ150" s="281"/>
      <c r="BR150" s="281"/>
      <c r="BS150" s="281"/>
      <c r="BT150" s="281"/>
      <c r="BU150" s="281"/>
      <c r="BV150" s="281"/>
      <c r="BW150" s="281"/>
      <c r="BX150" s="281"/>
      <c r="BY150" s="281"/>
      <c r="BZ150" s="281"/>
      <c r="CA150" s="281"/>
      <c r="CB150" s="281"/>
      <c r="CC150" s="281"/>
      <c r="CD150" s="281"/>
      <c r="CE150" s="281"/>
      <c r="CF150" s="281"/>
      <c r="CG150" s="281"/>
      <c r="CH150" s="281"/>
      <c r="CI150" s="281"/>
      <c r="CJ150" s="281"/>
      <c r="CK150" s="281"/>
      <c r="CL150" s="281"/>
      <c r="CM150" s="281"/>
      <c r="CN150" s="281"/>
      <c r="CO150" s="281"/>
      <c r="CP150" s="281"/>
    </row>
    <row r="151" spans="2:94" s="490" customFormat="1" x14ac:dyDescent="0.2">
      <c r="B151" s="506" t="s">
        <v>71</v>
      </c>
      <c r="C151" s="505"/>
      <c r="D151" s="505"/>
      <c r="E151" s="505"/>
      <c r="F151" s="672">
        <f>+CF!R41</f>
        <v>0</v>
      </c>
      <c r="G151" s="672">
        <f>+CF!S41</f>
        <v>0</v>
      </c>
      <c r="H151" s="672">
        <f>+CF!T41</f>
        <v>0</v>
      </c>
      <c r="I151" s="672">
        <f>+CF!U41</f>
        <v>-615000.38086000003</v>
      </c>
      <c r="J151" s="672">
        <f>+CF!V41</f>
        <v>-1079.4031143557513</v>
      </c>
      <c r="K151" s="672">
        <f>+CF!W41</f>
        <v>-1553.0111910439446</v>
      </c>
      <c r="L151" s="672">
        <f>+CF!X41</f>
        <v>-2077.7219821195758</v>
      </c>
      <c r="M151" s="672">
        <f>+CF!Y41</f>
        <v>-2657.8503118983353</v>
      </c>
      <c r="N151" s="672">
        <f>+CF!Z41</f>
        <v>-19599.755027967913</v>
      </c>
      <c r="O151" s="672">
        <f>+CF!AA41</f>
        <v>-21128.918535171018</v>
      </c>
      <c r="P151" s="672">
        <f>+CF!AB41</f>
        <v>-24207.150707494118</v>
      </c>
      <c r="Q151" s="672">
        <f>+CF!AC41</f>
        <v>-27615.222755707393</v>
      </c>
      <c r="R151" s="672">
        <f>+CF!AD41</f>
        <v>-31384.690103827568</v>
      </c>
      <c r="S151" s="672">
        <f>+CF!AE41</f>
        <v>-93653.902503785474</v>
      </c>
      <c r="T151" s="672">
        <f>+CF!AF41</f>
        <v>-39099.294743808801</v>
      </c>
      <c r="U151" s="672">
        <f>+CF!AG41</f>
        <v>-41143.36633653898</v>
      </c>
      <c r="V151" s="672">
        <f>+CF!AH41</f>
        <v>-43277.325132816914</v>
      </c>
      <c r="W151" s="672">
        <f>+CF!AI41</f>
        <v>-45503.387078808155</v>
      </c>
      <c r="X151" s="672">
        <f>+CF!AJ41</f>
        <v>-57823.611486166134</v>
      </c>
      <c r="Y151" s="672">
        <f>+CF!AK41</f>
        <v>-70239.866264614684</v>
      </c>
      <c r="Z151" s="672">
        <f>+CF!AL41</f>
        <v>-73127.079058772419</v>
      </c>
      <c r="AA151" s="672">
        <f>+CF!AM41</f>
        <v>-76167.347974997945</v>
      </c>
      <c r="AB151" s="672">
        <f>+CF!AN41</f>
        <v>-119367.5775696669</v>
      </c>
      <c r="AC151" s="672">
        <f>+CF!AO41</f>
        <v>-236791.50958535966</v>
      </c>
      <c r="AD151" s="672">
        <f>+CF!AP41</f>
        <v>-120490.89850059837</v>
      </c>
      <c r="AE151" s="672">
        <f>+CF!AQ41</f>
        <v>-99491.37381875579</v>
      </c>
      <c r="AF151" s="672">
        <f>+CF!AR41</f>
        <v>-69486.747995315527</v>
      </c>
      <c r="AG151" s="672">
        <f>+CF!AS41</f>
        <v>0</v>
      </c>
      <c r="AH151" s="672">
        <f>+CF!AT41</f>
        <v>0</v>
      </c>
      <c r="AI151" s="672">
        <f>+CF!AU41</f>
        <v>-76887.250136877992</v>
      </c>
      <c r="AJ151" s="672">
        <f>+CF!AV41</f>
        <v>-155587.62314248437</v>
      </c>
      <c r="AK151" s="672">
        <f>+CF!AW41</f>
        <v>-163755.97335746483</v>
      </c>
      <c r="AL151" s="672">
        <f>+CF!AX41</f>
        <v>-172353.16195873168</v>
      </c>
      <c r="AM151" s="672">
        <f>+CF!AY41</f>
        <v>-312941.47745388886</v>
      </c>
      <c r="AN151" s="672">
        <f>+CF!AZ41</f>
        <v>-209522.18265871578</v>
      </c>
      <c r="AO151" s="672">
        <f>+CF!BA41</f>
        <v>-220522.09724829838</v>
      </c>
      <c r="AP151" s="672">
        <f>+CF!BB41</f>
        <v>-232099.50735383405</v>
      </c>
      <c r="AQ151" s="672">
        <f>+CF!BC41</f>
        <v>-244284.73148991028</v>
      </c>
      <c r="AR151" s="672">
        <f>+CF!BD41</f>
        <v>-257109.67989313052</v>
      </c>
      <c r="AS151" s="672">
        <f>+CF!BE41</f>
        <v>-133573.24538059082</v>
      </c>
      <c r="AT151" s="672">
        <f>+CF!BF41</f>
        <v>0</v>
      </c>
      <c r="AU151" s="672">
        <f>+CF!BG41</f>
        <v>0</v>
      </c>
      <c r="AV151" s="672">
        <f>+CF!BH41</f>
        <v>0</v>
      </c>
      <c r="AW151" s="672">
        <f>+CF!BI41</f>
        <v>0</v>
      </c>
      <c r="AX151" s="672">
        <f>+CF!BJ41</f>
        <v>0</v>
      </c>
      <c r="AY151" s="283"/>
      <c r="AZ151" s="283"/>
      <c r="BA151" s="283"/>
      <c r="BB151" s="283"/>
      <c r="BC151" s="283"/>
      <c r="BD151" s="283"/>
      <c r="BE151" s="283"/>
      <c r="BF151" s="283"/>
      <c r="BG151" s="283"/>
      <c r="BH151" s="283"/>
      <c r="BI151" s="283"/>
      <c r="BJ151" s="283"/>
      <c r="BK151" s="283"/>
      <c r="BL151" s="283"/>
      <c r="BM151" s="283"/>
      <c r="BN151" s="281"/>
      <c r="BO151" s="281"/>
      <c r="BP151" s="281"/>
      <c r="BQ151" s="281"/>
      <c r="BR151" s="281"/>
      <c r="BS151" s="281"/>
      <c r="BT151" s="281"/>
      <c r="BU151" s="281"/>
      <c r="BV151" s="281"/>
      <c r="BW151" s="281"/>
      <c r="BX151" s="281"/>
      <c r="BY151" s="281"/>
      <c r="BZ151" s="281"/>
      <c r="CA151" s="281"/>
      <c r="CB151" s="281"/>
      <c r="CC151" s="281"/>
      <c r="CD151" s="281"/>
      <c r="CE151" s="281"/>
      <c r="CF151" s="281"/>
      <c r="CG151" s="281"/>
      <c r="CH151" s="281"/>
      <c r="CI151" s="281"/>
      <c r="CJ151" s="281"/>
      <c r="CK151" s="281"/>
      <c r="CL151" s="281"/>
      <c r="CM151" s="281"/>
      <c r="CN151" s="281"/>
      <c r="CO151" s="281"/>
      <c r="CP151" s="281"/>
    </row>
    <row r="152" spans="2:94" s="490" customFormat="1" x14ac:dyDescent="0.2">
      <c r="B152" s="508" t="s">
        <v>73</v>
      </c>
      <c r="C152" s="505"/>
      <c r="D152" s="505"/>
      <c r="E152" s="505"/>
      <c r="F152" s="672">
        <f>+CF!R44</f>
        <v>0</v>
      </c>
      <c r="G152" s="672">
        <f>+CF!S44</f>
        <v>0</v>
      </c>
      <c r="H152" s="672">
        <f>+CF!T44</f>
        <v>2692.085174796453</v>
      </c>
      <c r="I152" s="672">
        <f>+CF!U44</f>
        <v>3887.4732955742647</v>
      </c>
      <c r="J152" s="672">
        <f>+CF!V44</f>
        <v>1368.9413706881614</v>
      </c>
      <c r="K152" s="672">
        <f>+CF!W44</f>
        <v>1585.1746377621182</v>
      </c>
      <c r="L152" s="672">
        <f>+CF!X44</f>
        <v>1826.1460309171671</v>
      </c>
      <c r="M152" s="672">
        <f>+CF!Y44</f>
        <v>2091.0309584081278</v>
      </c>
      <c r="N152" s="672">
        <f>+CF!Z44</f>
        <v>2234.8612616227101</v>
      </c>
      <c r="O152" s="672">
        <f>+CF!AA44</f>
        <v>2483.3469456730418</v>
      </c>
      <c r="P152" s="672">
        <f>+CF!AB44</f>
        <v>2701.6488251499013</v>
      </c>
      <c r="Q152" s="672">
        <f>+CF!AC44</f>
        <v>2954.0066602775159</v>
      </c>
      <c r="R152" s="672">
        <f>+CF!AD44</f>
        <v>3105.9081402819047</v>
      </c>
      <c r="S152" s="672">
        <f>+CF!AE44</f>
        <v>3356.848176385216</v>
      </c>
      <c r="T152" s="672">
        <f>+CF!AF44</f>
        <v>3734.4677636830684</v>
      </c>
      <c r="U152" s="672">
        <f>+CF!AG44</f>
        <v>4031.6091928702144</v>
      </c>
      <c r="V152" s="672">
        <f>+CF!AH44</f>
        <v>4407.9977848620492</v>
      </c>
      <c r="W152" s="672">
        <f>+CF!AI44</f>
        <v>4834.9837245341078</v>
      </c>
      <c r="X152" s="672">
        <f>+CF!AJ44</f>
        <v>5183.2973913445458</v>
      </c>
      <c r="Y152" s="672">
        <f>+CF!AK44</f>
        <v>5397.7403829528903</v>
      </c>
      <c r="Z152" s="672">
        <f>+CF!AL44</f>
        <v>5152.2009753896455</v>
      </c>
      <c r="AA152" s="672">
        <f>+CF!AM44</f>
        <v>5153.3683819462549</v>
      </c>
      <c r="AB152" s="672">
        <f>+CF!AN44</f>
        <v>5579.4166041562667</v>
      </c>
      <c r="AC152" s="672">
        <f>+CF!AO44</f>
        <v>5604.3686889780784</v>
      </c>
      <c r="AD152" s="672">
        <f>+CF!AP44</f>
        <v>6498.0922850655752</v>
      </c>
      <c r="AE152" s="672">
        <f>+CF!AQ44</f>
        <v>6693.7903799019577</v>
      </c>
      <c r="AF152" s="672">
        <f>+CF!AR44</f>
        <v>6953.5617772199748</v>
      </c>
      <c r="AG152" s="672">
        <f>+CF!AS44</f>
        <v>7273.9631759357089</v>
      </c>
      <c r="AH152" s="672">
        <f>+CF!AT44</f>
        <v>7703.6355831298733</v>
      </c>
      <c r="AI152" s="672">
        <f>+CF!AU44</f>
        <v>9674.9728346018928</v>
      </c>
      <c r="AJ152" s="672">
        <f>+CF!AV44</f>
        <v>11195.996218899842</v>
      </c>
      <c r="AK152" s="672">
        <f>+CF!AW44</f>
        <v>11354.32538880326</v>
      </c>
      <c r="AL152" s="672">
        <f>+CF!AX44</f>
        <v>11665.94387593715</v>
      </c>
      <c r="AM152" s="672">
        <f>+CF!AY44</f>
        <v>12185.596123718682</v>
      </c>
      <c r="AN152" s="672">
        <f>+CF!AZ44</f>
        <v>12785.168145198666</v>
      </c>
      <c r="AO152" s="672">
        <f>+CF!BA44</f>
        <v>13265.638165528426</v>
      </c>
      <c r="AP152" s="672">
        <f>+CF!BB44</f>
        <v>13776.034553174752</v>
      </c>
      <c r="AQ152" s="672">
        <f>+CF!BC44</f>
        <v>14330.629817677251</v>
      </c>
      <c r="AR152" s="672">
        <f>+CF!BD44</f>
        <v>14932.713615848705</v>
      </c>
      <c r="AS152" s="672">
        <f>+CF!BE44</f>
        <v>12981.616243807486</v>
      </c>
      <c r="AT152" s="672">
        <f>+CF!BF44</f>
        <v>13266.074581726716</v>
      </c>
      <c r="AU152" s="672">
        <f>+CF!BG44</f>
        <v>13209.619932323629</v>
      </c>
      <c r="AV152" s="672">
        <f>+CF!BH44</f>
        <v>13148.974364401478</v>
      </c>
      <c r="AW152" s="672">
        <f>+CF!BI44</f>
        <v>13042.999778069923</v>
      </c>
      <c r="AX152" s="672">
        <f>+CF!BJ44</f>
        <v>8604.564377373923</v>
      </c>
      <c r="AY152" s="283"/>
      <c r="AZ152" s="283"/>
      <c r="BA152" s="283"/>
      <c r="BB152" s="283"/>
      <c r="BC152" s="283"/>
      <c r="BD152" s="283"/>
      <c r="BE152" s="283"/>
      <c r="BF152" s="283"/>
      <c r="BG152" s="283"/>
      <c r="BH152" s="283"/>
      <c r="BI152" s="283"/>
      <c r="BJ152" s="283"/>
      <c r="BK152" s="283"/>
      <c r="BL152" s="283"/>
      <c r="BM152" s="283"/>
      <c r="BN152" s="281"/>
      <c r="BO152" s="281"/>
      <c r="BP152" s="281"/>
      <c r="BQ152" s="281"/>
      <c r="BR152" s="281"/>
      <c r="BS152" s="281"/>
      <c r="BT152" s="281"/>
      <c r="BU152" s="281"/>
      <c r="BV152" s="281"/>
      <c r="BW152" s="281"/>
      <c r="BX152" s="281"/>
      <c r="BY152" s="281"/>
      <c r="BZ152" s="281"/>
      <c r="CA152" s="281"/>
      <c r="CB152" s="281"/>
      <c r="CC152" s="281"/>
      <c r="CD152" s="281"/>
      <c r="CE152" s="281"/>
      <c r="CF152" s="281"/>
      <c r="CG152" s="281"/>
      <c r="CH152" s="281"/>
      <c r="CI152" s="281"/>
      <c r="CJ152" s="281"/>
      <c r="CK152" s="281"/>
      <c r="CL152" s="281"/>
      <c r="CM152" s="281"/>
      <c r="CN152" s="281"/>
      <c r="CO152" s="281"/>
      <c r="CP152" s="281"/>
    </row>
    <row r="153" spans="2:94" s="490" customFormat="1" x14ac:dyDescent="0.2">
      <c r="B153" s="507" t="s">
        <v>33</v>
      </c>
      <c r="C153" s="505"/>
      <c r="D153" s="505"/>
      <c r="E153" s="505"/>
      <c r="F153" s="672">
        <f>+CF!R48</f>
        <v>0</v>
      </c>
      <c r="G153" s="672">
        <f>+CF!S48</f>
        <v>0</v>
      </c>
      <c r="H153" s="672">
        <f>+CF!T48</f>
        <v>0</v>
      </c>
      <c r="I153" s="672">
        <f>+CF!U48</f>
        <v>10121.893906041663</v>
      </c>
      <c r="J153" s="672">
        <f>+CF!V48</f>
        <v>-2737.9914649635248</v>
      </c>
      <c r="K153" s="672">
        <f>+CF!W48</f>
        <v>-3037.0853628754758</v>
      </c>
      <c r="L153" s="672">
        <f>+CF!X48</f>
        <v>-2843.7019947117424</v>
      </c>
      <c r="M153" s="672">
        <f>+CF!Y48</f>
        <v>-2068.5240352732362</v>
      </c>
      <c r="N153" s="672">
        <f>+CF!Z48</f>
        <v>-593.60765917007666</v>
      </c>
      <c r="O153" s="672">
        <f>+CF!AA48</f>
        <v>1735.2347358003062</v>
      </c>
      <c r="P153" s="672">
        <f>+CF!AB48</f>
        <v>1227.4759061671175</v>
      </c>
      <c r="Q153" s="672">
        <f>+CF!AC48</f>
        <v>144.02437779743559</v>
      </c>
      <c r="R153" s="672">
        <f>+CF!AD48</f>
        <v>-1687.6121661333927</v>
      </c>
      <c r="S153" s="672">
        <f>+CF!AE48</f>
        <v>-4503.9712512130063</v>
      </c>
      <c r="T153" s="672">
        <f>+CF!AF48</f>
        <v>-8628.2109688004566</v>
      </c>
      <c r="U153" s="672">
        <f>+CF!AG48</f>
        <v>-9101.8580557016976</v>
      </c>
      <c r="V153" s="672">
        <f>+CF!AH48</f>
        <v>-7120.5756760086297</v>
      </c>
      <c r="W153" s="672">
        <f>+CF!AI48</f>
        <v>-2658.4747542637706</v>
      </c>
      <c r="X153" s="672">
        <f>+CF!AJ48</f>
        <v>4593.5208819406616</v>
      </c>
      <c r="Y153" s="672">
        <f>+CF!AK48</f>
        <v>15239.922202331221</v>
      </c>
      <c r="Z153" s="672">
        <f>+CF!AL48</f>
        <v>9928.0096812515367</v>
      </c>
      <c r="AA153" s="672">
        <f>+CF!AM48</f>
        <v>5666.0127925034576</v>
      </c>
      <c r="AB153" s="672">
        <f>+CF!AN48</f>
        <v>1855.1590133251939</v>
      </c>
      <c r="AC153" s="672">
        <f>+CF!AO48</f>
        <v>-2010.8248458083926</v>
      </c>
      <c r="AD153" s="672">
        <f>+CF!AP48</f>
        <v>-6414.9157139993986</v>
      </c>
      <c r="AE153" s="672">
        <f>+CF!AQ48</f>
        <v>-7769.6297578547201</v>
      </c>
      <c r="AF153" s="672">
        <f>+CF!AR48</f>
        <v>-8148.265042363706</v>
      </c>
      <c r="AG153" s="672">
        <f>+CF!AS48</f>
        <v>-7196.555026770744</v>
      </c>
      <c r="AH153" s="672">
        <f>+CF!AT48</f>
        <v>-4421.9055968976172</v>
      </c>
      <c r="AI153" s="672">
        <f>+CF!AU48</f>
        <v>860.43824163452518</v>
      </c>
      <c r="AJ153" s="672">
        <f>+CF!AV48</f>
        <v>493.45984102274087</v>
      </c>
      <c r="AK153" s="672">
        <f>+CF!AW48</f>
        <v>-379.09532086609397</v>
      </c>
      <c r="AL153" s="672">
        <f>+CF!AX48</f>
        <v>-1809.776512616947</v>
      </c>
      <c r="AM153" s="672">
        <f>+CF!AY48</f>
        <v>-3857.5481055167693</v>
      </c>
      <c r="AN153" s="672">
        <f>+CF!AZ48</f>
        <v>-6588.554015575246</v>
      </c>
      <c r="AO153" s="672">
        <f>+CF!BA48</f>
        <v>-7453.8591490584149</v>
      </c>
      <c r="AP153" s="672">
        <f>+CF!BB48</f>
        <v>-8537.0104540626635</v>
      </c>
      <c r="AQ153" s="672">
        <f>+CF!BC48</f>
        <v>-9879.6845760317956</v>
      </c>
      <c r="AR153" s="672">
        <f>+CF!BD48</f>
        <v>-11530.676993100526</v>
      </c>
      <c r="AS153" s="672">
        <f>+CF!BE48</f>
        <v>99114.762919822184</v>
      </c>
      <c r="AT153" s="672">
        <f>+CF!BF48</f>
        <v>0</v>
      </c>
      <c r="AU153" s="672">
        <f>+CF!BG48</f>
        <v>0</v>
      </c>
      <c r="AV153" s="672">
        <f>+CF!BH48</f>
        <v>0</v>
      </c>
      <c r="AW153" s="672">
        <f>+CF!BI48</f>
        <v>0</v>
      </c>
      <c r="AX153" s="672">
        <f>+CF!BJ48</f>
        <v>0</v>
      </c>
      <c r="AY153" s="283"/>
      <c r="AZ153" s="283"/>
      <c r="BA153" s="283"/>
      <c r="BB153" s="283"/>
      <c r="BC153" s="283"/>
      <c r="BD153" s="283"/>
      <c r="BE153" s="283"/>
      <c r="BF153" s="283"/>
      <c r="BG153" s="283"/>
      <c r="BH153" s="283"/>
      <c r="BI153" s="283"/>
      <c r="BJ153" s="283"/>
      <c r="BK153" s="283"/>
      <c r="BL153" s="283"/>
      <c r="BM153" s="283"/>
      <c r="BN153" s="281"/>
      <c r="BO153" s="281"/>
      <c r="BP153" s="281"/>
      <c r="BQ153" s="281"/>
      <c r="BR153" s="281"/>
      <c r="BS153" s="281"/>
      <c r="BT153" s="281"/>
      <c r="BU153" s="281"/>
      <c r="BV153" s="281"/>
      <c r="BW153" s="281"/>
      <c r="BX153" s="281"/>
      <c r="BY153" s="281"/>
      <c r="BZ153" s="281"/>
      <c r="CA153" s="281"/>
      <c r="CB153" s="281"/>
      <c r="CC153" s="281"/>
      <c r="CD153" s="281"/>
      <c r="CE153" s="281"/>
      <c r="CF153" s="281"/>
      <c r="CG153" s="281"/>
      <c r="CH153" s="281"/>
      <c r="CI153" s="281"/>
      <c r="CJ153" s="281"/>
      <c r="CK153" s="281"/>
      <c r="CL153" s="281"/>
      <c r="CM153" s="281"/>
      <c r="CN153" s="281"/>
      <c r="CO153" s="281"/>
      <c r="CP153" s="281"/>
    </row>
    <row r="154" spans="2:94" s="490" customFormat="1" x14ac:dyDescent="0.2">
      <c r="B154" s="506" t="s">
        <v>43</v>
      </c>
      <c r="C154" s="505"/>
      <c r="D154" s="505"/>
      <c r="E154" s="505"/>
      <c r="F154" s="672">
        <f>+CF!R49</f>
        <v>0</v>
      </c>
      <c r="G154" s="672">
        <f>+CF!S49</f>
        <v>0</v>
      </c>
      <c r="H154" s="672">
        <f>+CF!T49</f>
        <v>0</v>
      </c>
      <c r="I154" s="672">
        <f>+CF!U49</f>
        <v>21730.869530352829</v>
      </c>
      <c r="J154" s="672">
        <f>+CF!V49</f>
        <v>-3973.3070391430374</v>
      </c>
      <c r="K154" s="672">
        <f>+CF!W49</f>
        <v>-2186.781713659766</v>
      </c>
      <c r="L154" s="672">
        <f>+CF!X49</f>
        <v>-404.15483066316665</v>
      </c>
      <c r="M154" s="672">
        <f>+CF!Y49</f>
        <v>-587.47197038256127</v>
      </c>
      <c r="N154" s="672">
        <f>+CF!Z49</f>
        <v>-1438.7543011091111</v>
      </c>
      <c r="O154" s="672">
        <f>+CF!AA49</f>
        <v>-1621.8091364062057</v>
      </c>
      <c r="P154" s="672">
        <f>+CF!AB49</f>
        <v>-1803.391462022475</v>
      </c>
      <c r="Q154" s="672">
        <f>+CF!AC49</f>
        <v>-1805.9984307099658</v>
      </c>
      <c r="R154" s="672">
        <f>+CF!AD49</f>
        <v>-2105.1144933757896</v>
      </c>
      <c r="S154" s="672">
        <f>+CF!AE49</f>
        <v>-2345.9547922531128</v>
      </c>
      <c r="T154" s="672">
        <f>+CF!AF49</f>
        <v>-2521.5989788574298</v>
      </c>
      <c r="U154" s="672">
        <f>+CF!AG49</f>
        <v>-2537.3170424353593</v>
      </c>
      <c r="V154" s="672">
        <f>+CF!AH49</f>
        <v>-2918.0170983109347</v>
      </c>
      <c r="W154" s="672">
        <f>+CF!AI49</f>
        <v>-3396.2547222850553</v>
      </c>
      <c r="X154" s="672">
        <f>+CF!AJ49</f>
        <v>-4362.9094294107927</v>
      </c>
      <c r="Y154" s="672">
        <f>+CF!AK49</f>
        <v>-4761.2757917118724</v>
      </c>
      <c r="Z154" s="672">
        <f>+CF!AL49</f>
        <v>-4660.2743023161602</v>
      </c>
      <c r="AA154" s="672">
        <f>+CF!AM49</f>
        <v>-5104.1137839636067</v>
      </c>
      <c r="AB154" s="672">
        <f>+CF!AN49</f>
        <v>-697.80868542422832</v>
      </c>
      <c r="AC154" s="672">
        <f>+CF!AO49</f>
        <v>-27326.006116330274</v>
      </c>
      <c r="AD154" s="672">
        <f>+CF!AP49</f>
        <v>2568.80516300624</v>
      </c>
      <c r="AE154" s="672">
        <f>+CF!AQ49</f>
        <v>4270.0309883518785</v>
      </c>
      <c r="AF154" s="672">
        <f>+CF!AR49</f>
        <v>5280.6531192460097</v>
      </c>
      <c r="AG154" s="672">
        <f>+CF!AS49</f>
        <v>-277.67235514649656</v>
      </c>
      <c r="AH154" s="672">
        <f>+CF!AT49</f>
        <v>-76641.246891439107</v>
      </c>
      <c r="AI154" s="672">
        <f>+CF!AU49</f>
        <v>-74540.150844539225</v>
      </c>
      <c r="AJ154" s="672">
        <f>+CF!AV49</f>
        <v>-982.72032654244686</v>
      </c>
      <c r="AK154" s="672">
        <f>+CF!AW49</f>
        <v>-470.88291640568059</v>
      </c>
      <c r="AL154" s="672">
        <f>+CF!AX49</f>
        <v>-8710.3083716197871</v>
      </c>
      <c r="AM154" s="672">
        <f>+CF!AY49</f>
        <v>-9947.2340771526215</v>
      </c>
      <c r="AN154" s="672">
        <f>+CF!AZ49</f>
        <v>148.58876412024256</v>
      </c>
      <c r="AO154" s="672">
        <f>+CF!BA49</f>
        <v>465.42823474953184</v>
      </c>
      <c r="AP154" s="672">
        <f>+CF!BB49</f>
        <v>331.39155571471201</v>
      </c>
      <c r="AQ154" s="672">
        <f>+CF!BC49</f>
        <v>348.7896123896935</v>
      </c>
      <c r="AR154" s="672">
        <f>+CF!BD49</f>
        <v>135563.62357595254</v>
      </c>
      <c r="AS154" s="672">
        <f>+CF!BE49</f>
        <v>138920.34935973259</v>
      </c>
      <c r="AT154" s="672">
        <f>+CF!BF49</f>
        <v>0</v>
      </c>
      <c r="AU154" s="672">
        <f>+CF!BG49</f>
        <v>0</v>
      </c>
      <c r="AV154" s="672">
        <f>+CF!BH49</f>
        <v>0</v>
      </c>
      <c r="AW154" s="672">
        <f>+CF!BI49</f>
        <v>0</v>
      </c>
      <c r="AX154" s="672">
        <f>+CF!BJ49</f>
        <v>0</v>
      </c>
      <c r="AY154" s="283"/>
      <c r="AZ154" s="283"/>
      <c r="BA154" s="283"/>
      <c r="BB154" s="283"/>
      <c r="BC154" s="283"/>
      <c r="BD154" s="283"/>
      <c r="BE154" s="283"/>
      <c r="BF154" s="283"/>
      <c r="BG154" s="283"/>
      <c r="BH154" s="283"/>
      <c r="BI154" s="283"/>
      <c r="BJ154" s="283"/>
      <c r="BK154" s="283"/>
      <c r="BL154" s="283"/>
      <c r="BM154" s="283"/>
      <c r="BN154" s="281"/>
      <c r="BO154" s="281"/>
      <c r="BP154" s="281"/>
      <c r="BQ154" s="281"/>
      <c r="BR154" s="281"/>
      <c r="BS154" s="281"/>
      <c r="BT154" s="281"/>
      <c r="BU154" s="281"/>
      <c r="BV154" s="281"/>
      <c r="BW154" s="281"/>
      <c r="BX154" s="281"/>
      <c r="BY154" s="281"/>
      <c r="BZ154" s="281"/>
      <c r="CA154" s="281"/>
      <c r="CB154" s="281"/>
      <c r="CC154" s="281"/>
      <c r="CD154" s="281"/>
      <c r="CE154" s="281"/>
      <c r="CF154" s="281"/>
      <c r="CG154" s="281"/>
      <c r="CH154" s="281"/>
      <c r="CI154" s="281"/>
      <c r="CJ154" s="281"/>
      <c r="CK154" s="281"/>
      <c r="CL154" s="281"/>
      <c r="CM154" s="281"/>
      <c r="CN154" s="281"/>
      <c r="CO154" s="281"/>
      <c r="CP154" s="281"/>
    </row>
    <row r="155" spans="2:94" s="490" customFormat="1" x14ac:dyDescent="0.2">
      <c r="B155" s="506" t="s">
        <v>75</v>
      </c>
      <c r="C155" s="505"/>
      <c r="D155" s="505"/>
      <c r="E155" s="505"/>
      <c r="F155" s="672">
        <f>+CF!R50</f>
        <v>0</v>
      </c>
      <c r="G155" s="672">
        <f>+CF!S50</f>
        <v>-46089.205415482946</v>
      </c>
      <c r="H155" s="672">
        <f>+CF!T50</f>
        <v>-66536.014867182152</v>
      </c>
      <c r="I155" s="672">
        <f>+CF!U50</f>
        <v>165130.7029326651</v>
      </c>
      <c r="J155" s="672">
        <f>+CF!V50</f>
        <v>0</v>
      </c>
      <c r="K155" s="672">
        <f>+CF!W50</f>
        <v>0</v>
      </c>
      <c r="L155" s="672">
        <f>+CF!X50</f>
        <v>0</v>
      </c>
      <c r="M155" s="672">
        <f>+CF!Y50</f>
        <v>0</v>
      </c>
      <c r="N155" s="672">
        <f>+CF!Z50</f>
        <v>0</v>
      </c>
      <c r="O155" s="672">
        <f>+CF!AA50</f>
        <v>0</v>
      </c>
      <c r="P155" s="672">
        <f>+CF!AB50</f>
        <v>0</v>
      </c>
      <c r="Q155" s="672">
        <f>+CF!AC50</f>
        <v>0</v>
      </c>
      <c r="R155" s="672">
        <f>+CF!AD50</f>
        <v>0</v>
      </c>
      <c r="S155" s="672">
        <f>+CF!AE50</f>
        <v>0</v>
      </c>
      <c r="T155" s="672">
        <f>+CF!AF50</f>
        <v>0</v>
      </c>
      <c r="U155" s="672">
        <f>+CF!AG50</f>
        <v>0</v>
      </c>
      <c r="V155" s="672">
        <f>+CF!AH50</f>
        <v>0</v>
      </c>
      <c r="W155" s="672">
        <f>+CF!AI50</f>
        <v>0</v>
      </c>
      <c r="X155" s="672">
        <f>+CF!AJ50</f>
        <v>0</v>
      </c>
      <c r="Y155" s="672">
        <f>+CF!AK50</f>
        <v>0</v>
      </c>
      <c r="Z155" s="672">
        <f>+CF!AL50</f>
        <v>0</v>
      </c>
      <c r="AA155" s="672">
        <f>+CF!AM50</f>
        <v>0</v>
      </c>
      <c r="AB155" s="672">
        <f>+CF!AN50</f>
        <v>0</v>
      </c>
      <c r="AC155" s="672">
        <f>+CF!AO50</f>
        <v>0</v>
      </c>
      <c r="AD155" s="672">
        <f>+CF!AP50</f>
        <v>0</v>
      </c>
      <c r="AE155" s="672">
        <f>+CF!AQ50</f>
        <v>0</v>
      </c>
      <c r="AF155" s="672">
        <f>+CF!AR50</f>
        <v>0</v>
      </c>
      <c r="AG155" s="672">
        <f>+CF!AS50</f>
        <v>0</v>
      </c>
      <c r="AH155" s="672">
        <f>+CF!AT50</f>
        <v>0</v>
      </c>
      <c r="AI155" s="672">
        <f>+CF!AU50</f>
        <v>0</v>
      </c>
      <c r="AJ155" s="672">
        <f>+CF!AV50</f>
        <v>0</v>
      </c>
      <c r="AK155" s="672">
        <f>+CF!AW50</f>
        <v>0</v>
      </c>
      <c r="AL155" s="672">
        <f>+CF!AX50</f>
        <v>0</v>
      </c>
      <c r="AM155" s="672">
        <f>+CF!AY50</f>
        <v>0</v>
      </c>
      <c r="AN155" s="672">
        <f>+CF!AZ50</f>
        <v>0</v>
      </c>
      <c r="AO155" s="672">
        <f>+CF!BA50</f>
        <v>0</v>
      </c>
      <c r="AP155" s="672">
        <f>+CF!BB50</f>
        <v>0</v>
      </c>
      <c r="AQ155" s="672">
        <f>+CF!BC50</f>
        <v>0</v>
      </c>
      <c r="AR155" s="672">
        <f>+CF!BD50</f>
        <v>0</v>
      </c>
      <c r="AS155" s="672">
        <f>+CF!BE50</f>
        <v>0</v>
      </c>
      <c r="AT155" s="672">
        <f>+CF!BF50</f>
        <v>0</v>
      </c>
      <c r="AU155" s="672">
        <f>+CF!BG50</f>
        <v>0</v>
      </c>
      <c r="AV155" s="672">
        <f>+CF!BH50</f>
        <v>0</v>
      </c>
      <c r="AW155" s="672">
        <f>+CF!BI50</f>
        <v>0</v>
      </c>
      <c r="AX155" s="672">
        <f>+CF!BJ50</f>
        <v>0</v>
      </c>
      <c r="AY155" s="283"/>
      <c r="AZ155" s="283"/>
      <c r="BA155" s="283"/>
      <c r="BB155" s="283"/>
      <c r="BC155" s="283"/>
      <c r="BD155" s="283"/>
      <c r="BE155" s="283"/>
      <c r="BF155" s="283"/>
      <c r="BG155" s="283"/>
      <c r="BH155" s="283"/>
      <c r="BI155" s="283"/>
      <c r="BJ155" s="283"/>
      <c r="BK155" s="283"/>
      <c r="BL155" s="283"/>
      <c r="BM155" s="283"/>
      <c r="BN155" s="281"/>
      <c r="BO155" s="281"/>
      <c r="BP155" s="281"/>
      <c r="BQ155" s="281"/>
      <c r="BR155" s="281"/>
      <c r="BS155" s="281"/>
      <c r="BT155" s="281"/>
      <c r="BU155" s="281"/>
      <c r="BV155" s="281"/>
      <c r="BW155" s="281"/>
      <c r="BX155" s="281"/>
      <c r="BY155" s="281"/>
      <c r="BZ155" s="281"/>
      <c r="CA155" s="281"/>
      <c r="CB155" s="281"/>
      <c r="CC155" s="281"/>
      <c r="CD155" s="281"/>
      <c r="CE155" s="281"/>
      <c r="CF155" s="281"/>
      <c r="CG155" s="281"/>
      <c r="CH155" s="281"/>
      <c r="CI155" s="281"/>
      <c r="CJ155" s="281"/>
      <c r="CK155" s="281"/>
      <c r="CL155" s="281"/>
      <c r="CM155" s="281"/>
      <c r="CN155" s="281"/>
      <c r="CO155" s="281"/>
      <c r="CP155" s="281"/>
    </row>
    <row r="156" spans="2:94" s="490" customFormat="1" x14ac:dyDescent="0.2">
      <c r="B156" s="506" t="s">
        <v>76</v>
      </c>
      <c r="C156" s="505"/>
      <c r="D156" s="505"/>
      <c r="E156" s="505"/>
      <c r="F156" s="672">
        <f>+CF!R52</f>
        <v>0</v>
      </c>
      <c r="G156" s="672">
        <f>+CF!S52</f>
        <v>0</v>
      </c>
      <c r="H156" s="672">
        <f>+CF!T52</f>
        <v>0</v>
      </c>
      <c r="I156" s="672">
        <f>+CF!U52</f>
        <v>247570.44432824073</v>
      </c>
      <c r="J156" s="672">
        <f>+CF!V52</f>
        <v>64936.703322905654</v>
      </c>
      <c r="K156" s="672">
        <f>+CF!W52</f>
        <v>78791.618545604462</v>
      </c>
      <c r="L156" s="672">
        <f>+CF!X52</f>
        <v>94084.949761677388</v>
      </c>
      <c r="M156" s="672">
        <f>+CF!Y52</f>
        <v>108916.77205663553</v>
      </c>
      <c r="N156" s="672">
        <f>+CF!Z52</f>
        <v>124570.63434382016</v>
      </c>
      <c r="O156" s="672">
        <f>+CF!AA52</f>
        <v>143016.37432390204</v>
      </c>
      <c r="P156" s="672">
        <f>+CF!AB52</f>
        <v>161032.80369670255</v>
      </c>
      <c r="Q156" s="672">
        <f>+CF!AC52</f>
        <v>180188.636978233</v>
      </c>
      <c r="R156" s="672">
        <f>+CF!AD52</f>
        <v>200132.27931181935</v>
      </c>
      <c r="S156" s="672">
        <f>+CF!AE52</f>
        <v>209843.0785368963</v>
      </c>
      <c r="T156" s="672">
        <f>+CF!AF52</f>
        <v>242256.37419751709</v>
      </c>
      <c r="U156" s="672">
        <f>+CF!AG52</f>
        <v>265555.01824693044</v>
      </c>
      <c r="V156" s="672">
        <f>+CF!AH52</f>
        <v>292616.36552417465</v>
      </c>
      <c r="W156" s="672">
        <f>+CF!AI52</f>
        <v>323258.91351240419</v>
      </c>
      <c r="X156" s="672">
        <f>+CF!AJ52</f>
        <v>357082.81061343057</v>
      </c>
      <c r="Y156" s="672">
        <f>+CF!AK52</f>
        <v>395420.17085327074</v>
      </c>
      <c r="Z156" s="672">
        <f>+CF!AL52</f>
        <v>423676.42416936788</v>
      </c>
      <c r="AA156" s="672">
        <f>+CF!AM52</f>
        <v>455492.88145072729</v>
      </c>
      <c r="AB156" s="672">
        <f>+CF!AN52</f>
        <v>495274.75144114264</v>
      </c>
      <c r="AC156" s="672">
        <f>+CF!AO52</f>
        <v>487072.89874041325</v>
      </c>
      <c r="AD156" s="672">
        <f>+CF!AP52</f>
        <v>578420.87642062781</v>
      </c>
      <c r="AE156" s="672">
        <f>+CF!AQ52</f>
        <v>622462.31660118187</v>
      </c>
      <c r="AF156" s="672">
        <f>+CF!AR52</f>
        <v>670123.04279516125</v>
      </c>
      <c r="AG156" s="672">
        <f>+CF!AS52</f>
        <v>716555.59271697851</v>
      </c>
      <c r="AH156" s="672">
        <f>+CF!AT52</f>
        <v>696910.7845384276</v>
      </c>
      <c r="AI156" s="672">
        <f>+CF!AU52</f>
        <v>686909.87386723165</v>
      </c>
      <c r="AJ156" s="672">
        <f>+CF!AV52</f>
        <v>746033.98516871454</v>
      </c>
      <c r="AK156" s="672">
        <f>+CF!AW52</f>
        <v>807502.83337323822</v>
      </c>
      <c r="AL156" s="672">
        <f>+CF!AX52</f>
        <v>864251.51904584584</v>
      </c>
      <c r="AM156" s="672">
        <f>+CF!AY52</f>
        <v>897016.12517696293</v>
      </c>
      <c r="AN156" s="672">
        <f>+CF!AZ52</f>
        <v>979532.58161589003</v>
      </c>
      <c r="AO156" s="672">
        <f>+CF!BA52</f>
        <v>1059170.9752302826</v>
      </c>
      <c r="AP156" s="672">
        <f>+CF!BB52</f>
        <v>1143471.7474454443</v>
      </c>
      <c r="AQ156" s="672">
        <f>+CF!BC52</f>
        <v>1232863.2869510818</v>
      </c>
      <c r="AR156" s="672">
        <f>+CF!BD52</f>
        <v>1462819.6715564479</v>
      </c>
      <c r="AS156" s="672">
        <f>+CF!BE52</f>
        <v>1586118.7054500782</v>
      </c>
      <c r="AT156" s="672">
        <f>+CF!BF52</f>
        <v>1877951.2000004875</v>
      </c>
      <c r="AU156" s="672">
        <f>+CF!BG52</f>
        <v>2022875.7896959386</v>
      </c>
      <c r="AV156" s="672">
        <f>+CF!BH52</f>
        <v>2179018.6750670709</v>
      </c>
      <c r="AW156" s="672">
        <f>+CF!BI52</f>
        <v>2347204.8376066857</v>
      </c>
      <c r="AX156" s="672">
        <f>+CF!BJ52</f>
        <v>1688309.6490862106</v>
      </c>
      <c r="AY156" s="283"/>
      <c r="AZ156" s="283"/>
      <c r="BA156" s="283"/>
      <c r="BB156" s="283"/>
      <c r="BC156" s="283"/>
      <c r="BD156" s="283"/>
      <c r="BE156" s="283"/>
      <c r="BF156" s="283"/>
      <c r="BG156" s="283"/>
      <c r="BH156" s="283"/>
      <c r="BI156" s="283"/>
      <c r="BJ156" s="283"/>
      <c r="BK156" s="283"/>
      <c r="BL156" s="283"/>
      <c r="BM156" s="283"/>
      <c r="BN156" s="281"/>
      <c r="BO156" s="281"/>
      <c r="BP156" s="281"/>
      <c r="BQ156" s="281"/>
      <c r="BR156" s="281"/>
      <c r="BS156" s="281"/>
      <c r="BT156" s="281"/>
      <c r="BU156" s="281"/>
      <c r="BV156" s="281"/>
      <c r="BW156" s="281"/>
      <c r="BX156" s="281"/>
      <c r="BY156" s="281"/>
      <c r="BZ156" s="281"/>
      <c r="CA156" s="281"/>
      <c r="CB156" s="281"/>
      <c r="CC156" s="281"/>
      <c r="CD156" s="281"/>
      <c r="CE156" s="281"/>
      <c r="CF156" s="281"/>
      <c r="CG156" s="281"/>
      <c r="CH156" s="281"/>
      <c r="CI156" s="281"/>
      <c r="CJ156" s="281"/>
      <c r="CK156" s="281"/>
      <c r="CL156" s="281"/>
      <c r="CM156" s="281"/>
      <c r="CN156" s="281"/>
      <c r="CO156" s="281"/>
      <c r="CP156" s="281"/>
    </row>
    <row r="157" spans="2:94" s="490" customFormat="1" x14ac:dyDescent="0.2">
      <c r="B157" s="495" t="s">
        <v>477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505"/>
      <c r="AF157" s="505"/>
      <c r="AG157" s="505"/>
      <c r="AH157" s="505"/>
      <c r="AI157" s="505"/>
      <c r="AJ157" s="505"/>
      <c r="AK157" s="505"/>
      <c r="AL157" s="505"/>
      <c r="AM157" s="505"/>
      <c r="AN157" s="505"/>
      <c r="AO157" s="505"/>
      <c r="AP157" s="505"/>
      <c r="AQ157" s="505"/>
      <c r="AR157" s="505"/>
      <c r="AS157" s="505"/>
      <c r="AT157" s="505"/>
      <c r="AU157" s="505"/>
      <c r="AV157" s="505"/>
      <c r="AW157" s="505"/>
      <c r="AX157" s="505"/>
      <c r="AY157" s="283"/>
      <c r="AZ157" s="283"/>
      <c r="BA157" s="283"/>
      <c r="BB157" s="283"/>
      <c r="BC157" s="283"/>
      <c r="BD157" s="283"/>
      <c r="BE157" s="283"/>
      <c r="BF157" s="283"/>
      <c r="BG157" s="283"/>
      <c r="BH157" s="283"/>
      <c r="BI157" s="283"/>
      <c r="BJ157" s="283"/>
      <c r="BK157" s="283"/>
      <c r="BL157" s="283"/>
      <c r="BM157" s="283"/>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281"/>
      <c r="CJ157" s="281"/>
      <c r="CK157" s="281"/>
      <c r="CL157" s="281"/>
      <c r="CM157" s="281"/>
      <c r="CN157" s="281"/>
      <c r="CO157" s="281"/>
      <c r="CP157" s="281"/>
    </row>
    <row r="158" spans="2:94" s="490" customFormat="1" ht="13.5" thickBot="1" x14ac:dyDescent="0.25">
      <c r="B158" s="506"/>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283"/>
      <c r="AZ158" s="283"/>
      <c r="BA158" s="283"/>
      <c r="BB158" s="283"/>
      <c r="BC158" s="283"/>
      <c r="BD158" s="283"/>
      <c r="BE158" s="283"/>
      <c r="BF158" s="283"/>
      <c r="BG158" s="283"/>
      <c r="BH158" s="283"/>
      <c r="BI158" s="283"/>
      <c r="BJ158" s="283"/>
      <c r="BK158" s="283"/>
      <c r="BL158" s="283"/>
      <c r="BM158" s="283"/>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281"/>
      <c r="CJ158" s="281"/>
      <c r="CK158" s="281"/>
      <c r="CL158" s="281"/>
      <c r="CM158" s="281"/>
      <c r="CN158" s="281"/>
      <c r="CO158" s="281"/>
      <c r="CP158" s="281"/>
    </row>
    <row r="159" spans="2:94" s="490" customFormat="1" x14ac:dyDescent="0.2">
      <c r="B159" s="504" t="s">
        <v>270</v>
      </c>
      <c r="C159" s="503"/>
      <c r="D159" s="502"/>
      <c r="E159" s="502"/>
      <c r="F159" s="671">
        <f>+(F140+F141+F144+(MAX(F153,0)+MAX(F154,0)+MAX(F155,0)+MAX(F145,0)+MAX(F147,0))+F152)/10^3</f>
        <v>0</v>
      </c>
      <c r="G159" s="671">
        <f t="shared" ref="G159:AX159" si="27">+(G140+G141+G144+(MAX(G153,0)+MAX(G154,0)+MAX(G155,0)+MAX(G145,0)+MAX(G147,0))+G152)/10^3</f>
        <v>118.88588824258335</v>
      </c>
      <c r="H159" s="671">
        <f t="shared" si="27"/>
        <v>138.21538589390948</v>
      </c>
      <c r="I159" s="671">
        <f t="shared" si="27"/>
        <v>355.87884569403781</v>
      </c>
      <c r="J159" s="671">
        <f t="shared" si="27"/>
        <v>178.54159732172883</v>
      </c>
      <c r="K159" s="671">
        <f t="shared" si="27"/>
        <v>192.20350847326938</v>
      </c>
      <c r="L159" s="671">
        <f t="shared" si="27"/>
        <v>206.90935004483657</v>
      </c>
      <c r="M159" s="671">
        <f t="shared" si="27"/>
        <v>222.73549237005932</v>
      </c>
      <c r="N159" s="671">
        <f t="shared" si="27"/>
        <v>239.62000600301036</v>
      </c>
      <c r="O159" s="671">
        <f t="shared" si="27"/>
        <v>259.61316041513567</v>
      </c>
      <c r="P159" s="671">
        <f t="shared" si="27"/>
        <v>280.15755131408935</v>
      </c>
      <c r="Q159" s="671">
        <f t="shared" si="27"/>
        <v>301.85700692454088</v>
      </c>
      <c r="R159" s="671">
        <f t="shared" si="27"/>
        <v>326.23018070560278</v>
      </c>
      <c r="S159" s="671">
        <f t="shared" si="27"/>
        <v>352.83043605386734</v>
      </c>
      <c r="T159" s="671">
        <f t="shared" si="27"/>
        <v>381.70279868584623</v>
      </c>
      <c r="U159" s="671">
        <f t="shared" si="27"/>
        <v>408.30631535220084</v>
      </c>
      <c r="V159" s="671">
        <f t="shared" si="27"/>
        <v>436.54381730379038</v>
      </c>
      <c r="W159" s="671">
        <f t="shared" si="27"/>
        <v>466.37229057823197</v>
      </c>
      <c r="X159" s="671">
        <f t="shared" si="27"/>
        <v>502.19361581560941</v>
      </c>
      <c r="Y159" s="671">
        <f t="shared" si="27"/>
        <v>545.28065492481755</v>
      </c>
      <c r="Z159" s="671">
        <f t="shared" si="27"/>
        <v>577.86953108284763</v>
      </c>
      <c r="AA159" s="671">
        <f t="shared" si="27"/>
        <v>614.52861547374584</v>
      </c>
      <c r="AB159" s="671">
        <f t="shared" si="27"/>
        <v>655.03897454642606</v>
      </c>
      <c r="AC159" s="671">
        <f t="shared" si="27"/>
        <v>700.29551085593914</v>
      </c>
      <c r="AD159" s="671">
        <f t="shared" si="27"/>
        <v>754.26841832005664</v>
      </c>
      <c r="AE159" s="671">
        <f t="shared" si="27"/>
        <v>803.63806670270083</v>
      </c>
      <c r="AF159" s="671">
        <f t="shared" si="27"/>
        <v>855.40541304606506</v>
      </c>
      <c r="AG159" s="671">
        <f t="shared" si="27"/>
        <v>904.15899958716659</v>
      </c>
      <c r="AH159" s="671">
        <f t="shared" si="27"/>
        <v>961.72432592892892</v>
      </c>
      <c r="AI159" s="671">
        <f t="shared" si="27"/>
        <v>1025.3315562430059</v>
      </c>
      <c r="AJ159" s="671">
        <f t="shared" si="27"/>
        <v>1089.1700112497028</v>
      </c>
      <c r="AK159" s="671">
        <f t="shared" si="27"/>
        <v>1155.3913345373617</v>
      </c>
      <c r="AL159" s="671">
        <f t="shared" si="27"/>
        <v>1226.3706287981186</v>
      </c>
      <c r="AM159" s="671">
        <f t="shared" si="27"/>
        <v>1301.9231306375991</v>
      </c>
      <c r="AN159" s="671">
        <f t="shared" si="27"/>
        <v>1382.3389535645942</v>
      </c>
      <c r="AO159" s="671">
        <f t="shared" si="27"/>
        <v>1469.6233164832406</v>
      </c>
      <c r="AP159" s="671">
        <f t="shared" si="27"/>
        <v>1561.9489627327721</v>
      </c>
      <c r="AQ159" s="671">
        <f t="shared" si="27"/>
        <v>1660.2774520878129</v>
      </c>
      <c r="AR159" s="671">
        <f t="shared" si="27"/>
        <v>1900.0248393107311</v>
      </c>
      <c r="AS159" s="671">
        <f t="shared" si="27"/>
        <v>2111.0396010489444</v>
      </c>
      <c r="AT159" s="671">
        <f t="shared" si="27"/>
        <v>2049.8590617685163</v>
      </c>
      <c r="AU159" s="671">
        <f t="shared" si="27"/>
        <v>2207.5680226840441</v>
      </c>
      <c r="AV159" s="671">
        <f t="shared" si="27"/>
        <v>2377.6167455637869</v>
      </c>
      <c r="AW159" s="671">
        <f t="shared" si="27"/>
        <v>2560.9464502385408</v>
      </c>
      <c r="AX159" s="671">
        <f t="shared" si="27"/>
        <v>1996.243890757843</v>
      </c>
      <c r="AY159" s="283"/>
      <c r="AZ159" s="283"/>
      <c r="BA159" s="283"/>
      <c r="BB159" s="283"/>
      <c r="BC159" s="283"/>
      <c r="BD159" s="283"/>
      <c r="BE159" s="283"/>
      <c r="BF159" s="283"/>
      <c r="BG159" s="283"/>
      <c r="BH159" s="283"/>
      <c r="BI159" s="283"/>
      <c r="BJ159" s="283"/>
      <c r="BK159" s="283"/>
      <c r="BL159" s="283"/>
      <c r="BM159" s="283"/>
      <c r="BN159" s="281"/>
      <c r="BO159" s="281"/>
      <c r="BP159" s="281"/>
      <c r="BQ159" s="281"/>
      <c r="BR159" s="281"/>
      <c r="BS159" s="281"/>
      <c r="BT159" s="281"/>
      <c r="BU159" s="281"/>
      <c r="BV159" s="281"/>
      <c r="BW159" s="281"/>
      <c r="BX159" s="281"/>
      <c r="BY159" s="281"/>
      <c r="BZ159" s="281"/>
      <c r="CA159" s="281"/>
      <c r="CB159" s="281"/>
      <c r="CC159" s="281"/>
      <c r="CD159" s="281"/>
      <c r="CE159" s="281"/>
      <c r="CF159" s="281"/>
      <c r="CG159" s="281"/>
      <c r="CH159" s="281"/>
      <c r="CI159" s="281"/>
      <c r="CJ159" s="281"/>
      <c r="CK159" s="281"/>
      <c r="CL159" s="281"/>
      <c r="CM159" s="281"/>
      <c r="CN159" s="281"/>
      <c r="CO159" s="281"/>
      <c r="CP159" s="281"/>
    </row>
    <row r="160" spans="2:94" s="490" customFormat="1" x14ac:dyDescent="0.2">
      <c r="B160" s="497" t="s">
        <v>476</v>
      </c>
      <c r="C160" s="496"/>
      <c r="D160" s="495"/>
      <c r="E160" s="495"/>
      <c r="F160" s="499">
        <f t="shared" ref="F160:AX160" si="28">-F142/10^3</f>
        <v>0</v>
      </c>
      <c r="G160" s="499">
        <f t="shared" si="28"/>
        <v>20.866926728617223</v>
      </c>
      <c r="H160" s="499">
        <f t="shared" si="28"/>
        <v>22.075289012235551</v>
      </c>
      <c r="I160" s="499">
        <f t="shared" si="28"/>
        <v>23.353625155802732</v>
      </c>
      <c r="J160" s="499">
        <f t="shared" si="28"/>
        <v>24.705987206575234</v>
      </c>
      <c r="K160" s="499">
        <f t="shared" si="28"/>
        <v>25.77139374178341</v>
      </c>
      <c r="L160" s="499">
        <f t="shared" si="28"/>
        <v>26.882744244976891</v>
      </c>
      <c r="M160" s="499">
        <f t="shared" si="28"/>
        <v>28.042019976946257</v>
      </c>
      <c r="N160" s="499">
        <f t="shared" si="28"/>
        <v>29.251287637213057</v>
      </c>
      <c r="O160" s="499">
        <f t="shared" si="28"/>
        <v>30.512703048439661</v>
      </c>
      <c r="P160" s="499">
        <f t="shared" si="28"/>
        <v>32.043527968003865</v>
      </c>
      <c r="Q160" s="499">
        <f t="shared" si="28"/>
        <v>33.651154504607312</v>
      </c>
      <c r="R160" s="499">
        <f t="shared" si="28"/>
        <v>35.339435801940368</v>
      </c>
      <c r="S160" s="499">
        <f t="shared" si="28"/>
        <v>37.112418316241609</v>
      </c>
      <c r="T160" s="499">
        <f t="shared" si="28"/>
        <v>38.974351514804894</v>
      </c>
      <c r="U160" s="499">
        <f t="shared" si="28"/>
        <v>40.740934330237195</v>
      </c>
      <c r="V160" s="499">
        <f t="shared" si="28"/>
        <v>42.587590699750173</v>
      </c>
      <c r="W160" s="499">
        <f t="shared" si="28"/>
        <v>44.517950101683113</v>
      </c>
      <c r="X160" s="499">
        <f t="shared" si="28"/>
        <v>46.535806527030729</v>
      </c>
      <c r="Y160" s="499">
        <f t="shared" si="28"/>
        <v>48.645125936276223</v>
      </c>
      <c r="Z160" s="499">
        <f t="shared" si="28"/>
        <v>51.064989406204752</v>
      </c>
      <c r="AA160" s="499">
        <f t="shared" si="28"/>
        <v>53.605229565480649</v>
      </c>
      <c r="AB160" s="499">
        <f t="shared" si="28"/>
        <v>56.271834581419263</v>
      </c>
      <c r="AC160" s="499">
        <f t="shared" si="28"/>
        <v>59.071090504156871</v>
      </c>
      <c r="AD160" s="499">
        <f t="shared" si="28"/>
        <v>62.00959608490308</v>
      </c>
      <c r="AE160" s="499">
        <f t="shared" si="28"/>
        <v>64.710374384743318</v>
      </c>
      <c r="AF160" s="499">
        <f t="shared" si="28"/>
        <v>67.528782920634441</v>
      </c>
      <c r="AG160" s="499">
        <f t="shared" si="28"/>
        <v>70.469944983308693</v>
      </c>
      <c r="AH160" s="499">
        <f t="shared" si="28"/>
        <v>73.539207004323401</v>
      </c>
      <c r="AI160" s="499">
        <f t="shared" si="28"/>
        <v>76.742148274780874</v>
      </c>
      <c r="AJ160" s="499">
        <f t="shared" si="28"/>
        <v>80.19982234214244</v>
      </c>
      <c r="AK160" s="499">
        <f t="shared" si="28"/>
        <v>83.813284463720251</v>
      </c>
      <c r="AL160" s="499">
        <f t="shared" si="28"/>
        <v>87.589553785149135</v>
      </c>
      <c r="AM160" s="499">
        <f t="shared" si="28"/>
        <v>91.535965704845253</v>
      </c>
      <c r="AN160" s="499">
        <f t="shared" si="28"/>
        <v>95.66018612300816</v>
      </c>
      <c r="AO160" s="499">
        <f t="shared" si="28"/>
        <v>100.06191967675925</v>
      </c>
      <c r="AP160" s="499">
        <f t="shared" si="28"/>
        <v>104.66619578309647</v>
      </c>
      <c r="AQ160" s="499">
        <f t="shared" si="28"/>
        <v>109.48233428955425</v>
      </c>
      <c r="AR160" s="499">
        <f t="shared" si="28"/>
        <v>114.52008388964012</v>
      </c>
      <c r="AS160" s="499">
        <f t="shared" si="28"/>
        <v>119.78964185586889</v>
      </c>
      <c r="AT160" s="499">
        <f t="shared" si="28"/>
        <v>126.65621517427311</v>
      </c>
      <c r="AU160" s="499">
        <f t="shared" si="28"/>
        <v>133.91639371936085</v>
      </c>
      <c r="AV160" s="499">
        <f t="shared" si="28"/>
        <v>141.59273970190145</v>
      </c>
      <c r="AW160" s="499">
        <f t="shared" si="28"/>
        <v>149.70910864210288</v>
      </c>
      <c r="AX160" s="499">
        <f t="shared" si="28"/>
        <v>107.11728412503307</v>
      </c>
      <c r="AY160" s="283"/>
      <c r="AZ160" s="283"/>
      <c r="BA160" s="283"/>
      <c r="BB160" s="283"/>
      <c r="BC160" s="283"/>
      <c r="BD160" s="283"/>
      <c r="BE160" s="283"/>
      <c r="BF160" s="283"/>
      <c r="BG160" s="283"/>
      <c r="BH160" s="283"/>
      <c r="BI160" s="283"/>
      <c r="BJ160" s="283"/>
      <c r="BK160" s="283"/>
      <c r="BL160" s="283"/>
      <c r="BM160" s="283"/>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c r="CK160" s="281"/>
      <c r="CL160" s="281"/>
      <c r="CM160" s="281"/>
      <c r="CN160" s="281"/>
      <c r="CO160" s="281"/>
      <c r="CP160" s="281"/>
    </row>
    <row r="161" spans="2:94" s="490" customFormat="1" x14ac:dyDescent="0.2">
      <c r="B161" s="497" t="s">
        <v>119</v>
      </c>
      <c r="C161" s="496"/>
      <c r="D161" s="495"/>
      <c r="E161" s="495"/>
      <c r="F161" s="499">
        <f t="shared" ref="F161:AX161" si="29">-F146/10^3</f>
        <v>0</v>
      </c>
      <c r="G161" s="499">
        <f t="shared" si="29"/>
        <v>0.44600000000000001</v>
      </c>
      <c r="H161" s="499">
        <f t="shared" si="29"/>
        <v>0.73758974504569574</v>
      </c>
      <c r="I161" s="499">
        <f t="shared" si="29"/>
        <v>0.84509727037031768</v>
      </c>
      <c r="J161" s="499">
        <f t="shared" si="29"/>
        <v>0.9472718623284907</v>
      </c>
      <c r="K161" s="499">
        <f t="shared" si="29"/>
        <v>1.019498561749701</v>
      </c>
      <c r="L161" s="499">
        <f t="shared" si="29"/>
        <v>1.0972312440403507</v>
      </c>
      <c r="M161" s="499">
        <f t="shared" si="29"/>
        <v>1.1808721342435793</v>
      </c>
      <c r="N161" s="499">
        <f t="shared" si="29"/>
        <v>1.2700974482756708</v>
      </c>
      <c r="O161" s="499">
        <f t="shared" si="29"/>
        <v>1.3665625319919406</v>
      </c>
      <c r="P161" s="499">
        <f t="shared" si="29"/>
        <v>1.4776866800817587</v>
      </c>
      <c r="Q161" s="499">
        <f t="shared" si="29"/>
        <v>1.5979256776029658</v>
      </c>
      <c r="R161" s="499">
        <f t="shared" si="29"/>
        <v>1.7272994169124825</v>
      </c>
      <c r="S161" s="499">
        <f t="shared" si="29"/>
        <v>1.8676403246759485</v>
      </c>
      <c r="T161" s="499">
        <f t="shared" si="29"/>
        <v>2.0199423845308648</v>
      </c>
      <c r="U161" s="499">
        <f t="shared" si="29"/>
        <v>2.1655608753220044</v>
      </c>
      <c r="V161" s="499">
        <f t="shared" si="29"/>
        <v>2.3219700940118795</v>
      </c>
      <c r="W161" s="499">
        <f t="shared" si="29"/>
        <v>2.489766783820595</v>
      </c>
      <c r="X161" s="499">
        <f t="shared" si="29"/>
        <v>2.6690732419341456</v>
      </c>
      <c r="Y161" s="499">
        <f t="shared" si="29"/>
        <v>2.8604583224723985</v>
      </c>
      <c r="Z161" s="499">
        <f t="shared" si="29"/>
        <v>3.0650901951231493</v>
      </c>
      <c r="AA161" s="499">
        <f t="shared" si="29"/>
        <v>3.2859896090785354</v>
      </c>
      <c r="AB161" s="499">
        <f t="shared" si="29"/>
        <v>3.525180602761032</v>
      </c>
      <c r="AC161" s="499">
        <f t="shared" si="29"/>
        <v>3.7794945750365665</v>
      </c>
      <c r="AD161" s="499">
        <f t="shared" si="29"/>
        <v>4.0568510170263101</v>
      </c>
      <c r="AE161" s="499">
        <f t="shared" si="29"/>
        <v>4.3141450040972709</v>
      </c>
      <c r="AF161" s="499">
        <f t="shared" si="29"/>
        <v>4.5881007215996616</v>
      </c>
      <c r="AG161" s="499">
        <f t="shared" si="29"/>
        <v>4.8797400909298529</v>
      </c>
      <c r="AH161" s="499">
        <f t="shared" si="29"/>
        <v>5.1904247287486829</v>
      </c>
      <c r="AI161" s="499">
        <f t="shared" si="29"/>
        <v>5.5288514273091298</v>
      </c>
      <c r="AJ161" s="499">
        <f t="shared" si="29"/>
        <v>5.8752188723279266</v>
      </c>
      <c r="AK161" s="499">
        <f t="shared" si="29"/>
        <v>6.2353341840881233</v>
      </c>
      <c r="AL161" s="499">
        <f t="shared" si="29"/>
        <v>6.6184474026856472</v>
      </c>
      <c r="AM161" s="499">
        <f t="shared" si="29"/>
        <v>7.0262168164658831</v>
      </c>
      <c r="AN161" s="499">
        <f t="shared" si="29"/>
        <v>7.4594253868842673</v>
      </c>
      <c r="AO161" s="499">
        <f t="shared" si="29"/>
        <v>7.9288210108471127</v>
      </c>
      <c r="AP161" s="499">
        <f t="shared" si="29"/>
        <v>8.4278598957397417</v>
      </c>
      <c r="AQ161" s="499">
        <f t="shared" si="29"/>
        <v>8.95847921872247</v>
      </c>
      <c r="AR161" s="499">
        <f t="shared" si="29"/>
        <v>9.5226761102401287</v>
      </c>
      <c r="AS161" s="499">
        <f t="shared" si="29"/>
        <v>10.108901955415565</v>
      </c>
      <c r="AT161" s="499">
        <f t="shared" si="29"/>
        <v>10.877998262087507</v>
      </c>
      <c r="AU161" s="499">
        <f t="shared" si="29"/>
        <v>11.703987075451531</v>
      </c>
      <c r="AV161" s="499">
        <f t="shared" si="29"/>
        <v>12.593122376190301</v>
      </c>
      <c r="AW161" s="499">
        <f t="shared" si="29"/>
        <v>13.550017342808085</v>
      </c>
      <c r="AX161" s="499">
        <f t="shared" si="29"/>
        <v>9.865751113600373</v>
      </c>
      <c r="AY161" s="283"/>
      <c r="AZ161" s="283"/>
      <c r="BA161" s="283"/>
      <c r="BB161" s="283"/>
      <c r="BC161" s="283"/>
      <c r="BD161" s="283"/>
      <c r="BE161" s="283"/>
      <c r="BF161" s="283"/>
      <c r="BG161" s="283"/>
      <c r="BH161" s="283"/>
      <c r="BI161" s="283"/>
      <c r="BJ161" s="283"/>
      <c r="BK161" s="283"/>
      <c r="BL161" s="283"/>
      <c r="BM161" s="283"/>
      <c r="BN161" s="281"/>
      <c r="BO161" s="281"/>
      <c r="BP161" s="281"/>
      <c r="BQ161" s="281"/>
      <c r="BR161" s="281"/>
      <c r="BS161" s="281"/>
      <c r="BT161" s="281"/>
      <c r="BU161" s="281"/>
      <c r="BV161" s="281"/>
      <c r="BW161" s="281"/>
      <c r="BX161" s="281"/>
      <c r="BY161" s="281"/>
      <c r="BZ161" s="281"/>
      <c r="CA161" s="281"/>
      <c r="CB161" s="281"/>
      <c r="CC161" s="281"/>
      <c r="CD161" s="281"/>
      <c r="CE161" s="281"/>
      <c r="CF161" s="281"/>
      <c r="CG161" s="281"/>
      <c r="CH161" s="281"/>
      <c r="CI161" s="281"/>
      <c r="CJ161" s="281"/>
      <c r="CK161" s="281"/>
      <c r="CL161" s="281"/>
      <c r="CM161" s="281"/>
      <c r="CN161" s="281"/>
      <c r="CO161" s="281"/>
      <c r="CP161" s="281"/>
    </row>
    <row r="162" spans="2:94" s="490" customFormat="1" x14ac:dyDescent="0.2">
      <c r="B162" s="497" t="s">
        <v>475</v>
      </c>
      <c r="C162" s="496"/>
      <c r="D162" s="495"/>
      <c r="E162" s="495"/>
      <c r="F162" s="499">
        <f t="shared" ref="F162:AX162" si="30">-F143/10^3</f>
        <v>0</v>
      </c>
      <c r="G162" s="499">
        <f t="shared" si="30"/>
        <v>7.7260040000000023</v>
      </c>
      <c r="H162" s="499">
        <f t="shared" si="30"/>
        <v>4.9231641749466242</v>
      </c>
      <c r="I162" s="499">
        <f t="shared" si="30"/>
        <v>3.5162529273851963</v>
      </c>
      <c r="J162" s="499">
        <f t="shared" si="30"/>
        <v>2.5114000285149971</v>
      </c>
      <c r="K162" s="499">
        <f t="shared" si="30"/>
        <v>3.2075042996959726</v>
      </c>
      <c r="L162" s="499">
        <f t="shared" si="30"/>
        <v>4.096553203693138</v>
      </c>
      <c r="M162" s="499">
        <f t="shared" si="30"/>
        <v>5.23202670446278</v>
      </c>
      <c r="N162" s="499">
        <f t="shared" si="30"/>
        <v>6.6822282233593997</v>
      </c>
      <c r="O162" s="499">
        <f t="shared" si="30"/>
        <v>8.5343933720700988</v>
      </c>
      <c r="P162" s="499">
        <f t="shared" si="30"/>
        <v>7.8344943124637867</v>
      </c>
      <c r="Q162" s="499">
        <f t="shared" si="30"/>
        <v>7.1919934383267439</v>
      </c>
      <c r="R162" s="499">
        <f t="shared" si="30"/>
        <v>6.6021835684591332</v>
      </c>
      <c r="S162" s="499">
        <f t="shared" si="30"/>
        <v>6.060743553983686</v>
      </c>
      <c r="T162" s="499">
        <f t="shared" si="30"/>
        <v>5.5637066201307892</v>
      </c>
      <c r="U162" s="499">
        <f t="shared" si="30"/>
        <v>7.5437883632894112</v>
      </c>
      <c r="V162" s="499">
        <f t="shared" si="30"/>
        <v>10.228566449602432</v>
      </c>
      <c r="W162" s="499">
        <f t="shared" si="30"/>
        <v>13.868837058455364</v>
      </c>
      <c r="X162" s="499">
        <f t="shared" si="30"/>
        <v>18.804652861346071</v>
      </c>
      <c r="Y162" s="499">
        <f t="shared" si="30"/>
        <v>25.497088742573677</v>
      </c>
      <c r="Z162" s="499">
        <f t="shared" si="30"/>
        <v>17.257519856207484</v>
      </c>
      <c r="AA162" s="499">
        <f t="shared" si="30"/>
        <v>11.680627329429509</v>
      </c>
      <c r="AB162" s="499">
        <f t="shared" si="30"/>
        <v>7.9059480125667942</v>
      </c>
      <c r="AC162" s="499">
        <f t="shared" si="30"/>
        <v>5.3510836545507345</v>
      </c>
      <c r="AD162" s="499">
        <f t="shared" si="30"/>
        <v>3.6218422170858076</v>
      </c>
      <c r="AE162" s="499">
        <f t="shared" si="30"/>
        <v>5.0315595961266757</v>
      </c>
      <c r="AF162" s="499">
        <f t="shared" si="30"/>
        <v>6.989976495923826</v>
      </c>
      <c r="AG162" s="499">
        <f t="shared" si="30"/>
        <v>9.7106613725056707</v>
      </c>
      <c r="AH162" s="499">
        <f t="shared" si="30"/>
        <v>13.490309208687973</v>
      </c>
      <c r="AI162" s="499">
        <f t="shared" si="30"/>
        <v>18.741096570547239</v>
      </c>
      <c r="AJ162" s="499">
        <f t="shared" si="30"/>
        <v>18.421350964280812</v>
      </c>
      <c r="AK162" s="499">
        <f t="shared" si="30"/>
        <v>18.107060601913375</v>
      </c>
      <c r="AL162" s="499">
        <f t="shared" si="30"/>
        <v>17.798132410434953</v>
      </c>
      <c r="AM162" s="499">
        <f t="shared" si="30"/>
        <v>17.494474904772868</v>
      </c>
      <c r="AN162" s="499">
        <f t="shared" si="30"/>
        <v>17.195998160699617</v>
      </c>
      <c r="AO162" s="499">
        <f t="shared" si="30"/>
        <v>19.251269063199167</v>
      </c>
      <c r="AP162" s="499">
        <f t="shared" si="30"/>
        <v>21.552186565749842</v>
      </c>
      <c r="AQ162" s="499">
        <f t="shared" si="30"/>
        <v>24.128110424305614</v>
      </c>
      <c r="AR162" s="499">
        <f t="shared" si="30"/>
        <v>27.011909481734325</v>
      </c>
      <c r="AS162" s="499">
        <f t="shared" si="30"/>
        <v>30.240381074947251</v>
      </c>
      <c r="AT162" s="499">
        <f t="shared" si="30"/>
        <v>34.373648331668157</v>
      </c>
      <c r="AU162" s="499">
        <f t="shared" si="30"/>
        <v>39.071852193292962</v>
      </c>
      <c r="AV162" s="499">
        <f t="shared" si="30"/>
        <v>44.412208418623976</v>
      </c>
      <c r="AW162" s="499">
        <f t="shared" si="30"/>
        <v>50.482486646944317</v>
      </c>
      <c r="AX162" s="499">
        <f t="shared" si="30"/>
        <v>190.9512064329987</v>
      </c>
      <c r="AY162" s="283"/>
      <c r="AZ162" s="283"/>
      <c r="BA162" s="283"/>
      <c r="BB162" s="283"/>
      <c r="BC162" s="283"/>
      <c r="BD162" s="283"/>
      <c r="BE162" s="283"/>
      <c r="BF162" s="283"/>
      <c r="BG162" s="283"/>
      <c r="BH162" s="283"/>
      <c r="BI162" s="283"/>
      <c r="BJ162" s="283"/>
      <c r="BK162" s="283"/>
      <c r="BL162" s="283"/>
      <c r="BM162" s="283"/>
      <c r="BN162" s="281"/>
      <c r="BO162" s="281"/>
      <c r="BP162" s="281"/>
      <c r="BQ162" s="281"/>
      <c r="BR162" s="281"/>
      <c r="BS162" s="281"/>
      <c r="BT162" s="281"/>
      <c r="BU162" s="281"/>
      <c r="BV162" s="281"/>
      <c r="BW162" s="281"/>
      <c r="BX162" s="281"/>
      <c r="BY162" s="281"/>
      <c r="BZ162" s="281"/>
      <c r="CA162" s="281"/>
      <c r="CB162" s="281"/>
      <c r="CC162" s="281"/>
      <c r="CD162" s="281"/>
      <c r="CE162" s="281"/>
      <c r="CF162" s="281"/>
      <c r="CG162" s="281"/>
      <c r="CH162" s="281"/>
      <c r="CI162" s="281"/>
      <c r="CJ162" s="281"/>
      <c r="CK162" s="281"/>
      <c r="CL162" s="281"/>
      <c r="CM162" s="281"/>
      <c r="CN162" s="281"/>
      <c r="CO162" s="281"/>
      <c r="CP162" s="281"/>
    </row>
    <row r="163" spans="2:94" s="490" customFormat="1" x14ac:dyDescent="0.2">
      <c r="B163" s="497" t="s">
        <v>474</v>
      </c>
      <c r="C163" s="496"/>
      <c r="D163" s="495"/>
      <c r="E163" s="495"/>
      <c r="F163" s="499">
        <f t="shared" ref="F163:AX163" si="31">(-F150-F149)/10^3</f>
        <v>0</v>
      </c>
      <c r="G163" s="499">
        <f t="shared" si="31"/>
        <v>43.757752098483174</v>
      </c>
      <c r="H163" s="499">
        <f t="shared" si="31"/>
        <v>43.943328094499471</v>
      </c>
      <c r="I163" s="499">
        <f t="shared" si="31"/>
        <v>82.351552475931527</v>
      </c>
      <c r="J163" s="499">
        <f t="shared" si="31"/>
        <v>81.24033642581287</v>
      </c>
      <c r="K163" s="499">
        <f t="shared" si="31"/>
        <v>81.397130547596518</v>
      </c>
      <c r="L163" s="499">
        <f t="shared" si="31"/>
        <v>81.596567968767062</v>
      </c>
      <c r="M163" s="499">
        <f t="shared" si="31"/>
        <v>81.939832196578152</v>
      </c>
      <c r="N163" s="499">
        <f t="shared" si="31"/>
        <v>82.495624613422279</v>
      </c>
      <c r="O163" s="499">
        <f t="shared" si="31"/>
        <v>83.09571137439579</v>
      </c>
      <c r="P163" s="499">
        <f t="shared" si="31"/>
        <v>83.800141507278653</v>
      </c>
      <c r="Q163" s="499">
        <f t="shared" si="31"/>
        <v>84.613291333387679</v>
      </c>
      <c r="R163" s="499">
        <f t="shared" si="31"/>
        <v>85.238439515421405</v>
      </c>
      <c r="S163" s="499">
        <f t="shared" si="31"/>
        <v>97.157372832587399</v>
      </c>
      <c r="T163" s="499">
        <f t="shared" si="31"/>
        <v>87.302320641335498</v>
      </c>
      <c r="U163" s="499">
        <f t="shared" si="31"/>
        <v>88.205626801574041</v>
      </c>
      <c r="V163" s="499">
        <f t="shared" si="31"/>
        <v>88.979298211534072</v>
      </c>
      <c r="W163" s="499">
        <f t="shared" si="31"/>
        <v>90.050930703775279</v>
      </c>
      <c r="X163" s="499">
        <f t="shared" si="31"/>
        <v>91.543016003803203</v>
      </c>
      <c r="Y163" s="499">
        <f t="shared" si="31"/>
        <v>93.593624021086328</v>
      </c>
      <c r="Z163" s="499">
        <f t="shared" si="31"/>
        <v>95.402753009835664</v>
      </c>
      <c r="AA163" s="499">
        <f t="shared" si="31"/>
        <v>97.040401064495882</v>
      </c>
      <c r="AB163" s="499">
        <f t="shared" si="31"/>
        <v>99.269399235678961</v>
      </c>
      <c r="AC163" s="499">
        <f t="shared" si="31"/>
        <v>121.03519607419383</v>
      </c>
      <c r="AD163" s="499">
        <f t="shared" si="31"/>
        <v>103.3661790835</v>
      </c>
      <c r="AE163" s="499">
        <f t="shared" si="31"/>
        <v>104.38160095482368</v>
      </c>
      <c r="AF163" s="499">
        <f t="shared" si="31"/>
        <v>105.01722156630599</v>
      </c>
      <c r="AG163" s="499">
        <f t="shared" si="31"/>
        <v>104.77949441403223</v>
      </c>
      <c r="AH163" s="499">
        <f t="shared" si="31"/>
        <v>105.02075716909256</v>
      </c>
      <c r="AI163" s="499">
        <f t="shared" si="31"/>
        <v>104.72328169226708</v>
      </c>
      <c r="AJ163" s="499">
        <f t="shared" si="31"/>
        <v>100.4906413974912</v>
      </c>
      <c r="AK163" s="499">
        <f t="shared" si="31"/>
        <v>93.233930921578718</v>
      </c>
      <c r="AL163" s="499">
        <f t="shared" si="31"/>
        <v>85.037861721469312</v>
      </c>
      <c r="AM163" s="499">
        <f t="shared" si="31"/>
        <v>94.186094567548665</v>
      </c>
      <c r="AN163" s="499">
        <f t="shared" si="31"/>
        <v>66.380025603821295</v>
      </c>
      <c r="AO163" s="499">
        <f t="shared" si="31"/>
        <v>55.234375104795596</v>
      </c>
      <c r="AP163" s="499">
        <f t="shared" si="31"/>
        <v>43.194455234845179</v>
      </c>
      <c r="AQ163" s="499">
        <f t="shared" si="31"/>
        <v>30.680825138206703</v>
      </c>
      <c r="AR163" s="499">
        <f t="shared" si="31"/>
        <v>17.510141386437727</v>
      </c>
      <c r="AS163" s="499">
        <f t="shared" si="31"/>
        <v>5.4860768349342113</v>
      </c>
      <c r="AT163" s="499">
        <f t="shared" si="31"/>
        <v>0</v>
      </c>
      <c r="AU163" s="499">
        <f t="shared" si="31"/>
        <v>0</v>
      </c>
      <c r="AV163" s="499">
        <f t="shared" si="31"/>
        <v>0</v>
      </c>
      <c r="AW163" s="499">
        <f t="shared" si="31"/>
        <v>0</v>
      </c>
      <c r="AX163" s="499">
        <f t="shared" si="31"/>
        <v>0</v>
      </c>
      <c r="AY163" s="283"/>
      <c r="AZ163" s="283"/>
      <c r="BA163" s="283"/>
      <c r="BB163" s="283"/>
      <c r="BC163" s="283"/>
      <c r="BD163" s="283"/>
      <c r="BE163" s="283"/>
      <c r="BF163" s="283"/>
      <c r="BG163" s="283"/>
      <c r="BH163" s="283"/>
      <c r="BI163" s="283"/>
      <c r="BJ163" s="283"/>
      <c r="BK163" s="283"/>
      <c r="BL163" s="283"/>
      <c r="BM163" s="283"/>
      <c r="BN163" s="281"/>
      <c r="BO163" s="281"/>
      <c r="BP163" s="281"/>
      <c r="BQ163" s="281"/>
      <c r="BR163" s="281"/>
      <c r="BS163" s="281"/>
      <c r="BT163" s="281"/>
      <c r="BU163" s="281"/>
      <c r="BV163" s="281"/>
      <c r="BW163" s="281"/>
      <c r="BX163" s="281"/>
      <c r="BY163" s="281"/>
      <c r="BZ163" s="281"/>
      <c r="CA163" s="281"/>
      <c r="CB163" s="281"/>
      <c r="CC163" s="281"/>
      <c r="CD163" s="281"/>
      <c r="CE163" s="281"/>
      <c r="CF163" s="281"/>
      <c r="CG163" s="281"/>
      <c r="CH163" s="281"/>
      <c r="CI163" s="281"/>
      <c r="CJ163" s="281"/>
      <c r="CK163" s="281"/>
      <c r="CL163" s="281"/>
      <c r="CM163" s="281"/>
      <c r="CN163" s="281"/>
      <c r="CO163" s="281"/>
      <c r="CP163" s="281"/>
    </row>
    <row r="164" spans="2:94" s="490" customFormat="1" x14ac:dyDescent="0.2">
      <c r="B164" s="501" t="s">
        <v>473</v>
      </c>
      <c r="C164" s="500"/>
      <c r="D164" s="499"/>
      <c r="E164" s="499"/>
      <c r="F164" s="499">
        <f t="shared" ref="F164:AX164" si="32">(-F148-F151)/10^3</f>
        <v>0</v>
      </c>
      <c r="G164" s="499">
        <f t="shared" si="32"/>
        <v>0</v>
      </c>
      <c r="H164" s="499">
        <f t="shared" si="32"/>
        <v>0</v>
      </c>
      <c r="I164" s="499">
        <f t="shared" si="32"/>
        <v>-1.7581264636926353</v>
      </c>
      <c r="J164" s="499">
        <f t="shared" si="32"/>
        <v>-2.5114000285149971</v>
      </c>
      <c r="K164" s="499">
        <f t="shared" si="32"/>
        <v>-3.2075042996959726</v>
      </c>
      <c r="L164" s="499">
        <f t="shared" si="32"/>
        <v>-4.096553203693138</v>
      </c>
      <c r="M164" s="499">
        <f t="shared" si="32"/>
        <v>-5.23202670446278</v>
      </c>
      <c r="N164" s="499">
        <f t="shared" si="32"/>
        <v>-6.6822282233594015</v>
      </c>
      <c r="O164" s="499">
        <f t="shared" si="32"/>
        <v>-8.5343933720700988</v>
      </c>
      <c r="P164" s="499">
        <f t="shared" si="32"/>
        <v>-7.8344943124637867</v>
      </c>
      <c r="Q164" s="499">
        <f t="shared" si="32"/>
        <v>-7.1919934383267465</v>
      </c>
      <c r="R164" s="499">
        <f t="shared" si="32"/>
        <v>-6.602183568459135</v>
      </c>
      <c r="S164" s="499">
        <f t="shared" si="32"/>
        <v>-6.0607435539836878</v>
      </c>
      <c r="T164" s="499">
        <f t="shared" si="32"/>
        <v>-5.5637066201307901</v>
      </c>
      <c r="U164" s="499">
        <f t="shared" si="32"/>
        <v>-7.5437883632894085</v>
      </c>
      <c r="V164" s="499">
        <f t="shared" si="32"/>
        <v>-10.228566449602432</v>
      </c>
      <c r="W164" s="499">
        <f t="shared" si="32"/>
        <v>-13.868837058455362</v>
      </c>
      <c r="X164" s="499">
        <f t="shared" si="32"/>
        <v>-18.804652861346067</v>
      </c>
      <c r="Y164" s="499">
        <f t="shared" si="32"/>
        <v>-25.497088742573673</v>
      </c>
      <c r="Z164" s="499">
        <f t="shared" si="32"/>
        <v>-17.25751985620748</v>
      </c>
      <c r="AA164" s="499">
        <f t="shared" si="32"/>
        <v>-11.680627329429509</v>
      </c>
      <c r="AB164" s="499">
        <f t="shared" si="32"/>
        <v>-7.9059480125667907</v>
      </c>
      <c r="AC164" s="499">
        <f t="shared" si="32"/>
        <v>-5.3510836545507194</v>
      </c>
      <c r="AD164" s="499">
        <f t="shared" si="32"/>
        <v>-3.6218422170858102</v>
      </c>
      <c r="AE164" s="499">
        <f t="shared" si="32"/>
        <v>-5.0315595961266659</v>
      </c>
      <c r="AF164" s="499">
        <f t="shared" si="32"/>
        <v>-6.9899764959238233</v>
      </c>
      <c r="AG164" s="499">
        <f t="shared" si="32"/>
        <v>-9.7106613725056707</v>
      </c>
      <c r="AH164" s="499">
        <f t="shared" si="32"/>
        <v>-13.490309208687973</v>
      </c>
      <c r="AI164" s="499">
        <f t="shared" si="32"/>
        <v>58.14615356633076</v>
      </c>
      <c r="AJ164" s="499">
        <f t="shared" si="32"/>
        <v>137.16627217820357</v>
      </c>
      <c r="AK164" s="499">
        <f t="shared" si="32"/>
        <v>145.64891275555146</v>
      </c>
      <c r="AL164" s="499">
        <f t="shared" si="32"/>
        <v>154.55502954829674</v>
      </c>
      <c r="AM164" s="499">
        <f t="shared" si="32"/>
        <v>180.85947128433429</v>
      </c>
      <c r="AN164" s="499">
        <f t="shared" si="32"/>
        <v>209.52218265871579</v>
      </c>
      <c r="AO164" s="499">
        <f t="shared" si="32"/>
        <v>220.52209724829837</v>
      </c>
      <c r="AP164" s="499">
        <f t="shared" si="32"/>
        <v>232.09950735383404</v>
      </c>
      <c r="AQ164" s="499">
        <f t="shared" si="32"/>
        <v>244.28473148991029</v>
      </c>
      <c r="AR164" s="499">
        <f t="shared" si="32"/>
        <v>257.10967989313053</v>
      </c>
      <c r="AS164" s="499">
        <f t="shared" si="32"/>
        <v>133.57324538059081</v>
      </c>
      <c r="AT164" s="499">
        <f t="shared" si="32"/>
        <v>0</v>
      </c>
      <c r="AU164" s="499">
        <f t="shared" si="32"/>
        <v>0</v>
      </c>
      <c r="AV164" s="499">
        <f t="shared" si="32"/>
        <v>0</v>
      </c>
      <c r="AW164" s="499">
        <f t="shared" si="32"/>
        <v>0</v>
      </c>
      <c r="AX164" s="499">
        <f t="shared" si="32"/>
        <v>0</v>
      </c>
      <c r="AY164" s="283"/>
      <c r="AZ164" s="283"/>
      <c r="BA164" s="283"/>
      <c r="BB164" s="283"/>
      <c r="BC164" s="283"/>
      <c r="BD164" s="283"/>
      <c r="BE164" s="283"/>
      <c r="BF164" s="283"/>
      <c r="BG164" s="283"/>
      <c r="BH164" s="283"/>
      <c r="BI164" s="283"/>
      <c r="BJ164" s="283"/>
      <c r="BK164" s="283"/>
      <c r="BL164" s="283"/>
      <c r="BM164" s="283"/>
      <c r="BN164" s="281"/>
      <c r="BO164" s="281"/>
      <c r="BP164" s="281"/>
      <c r="BQ164" s="281"/>
      <c r="BR164" s="281"/>
      <c r="BS164" s="281"/>
      <c r="BT164" s="281"/>
      <c r="BU164" s="281"/>
      <c r="BV164" s="281"/>
      <c r="BW164" s="281"/>
      <c r="BX164" s="281"/>
      <c r="BY164" s="281"/>
      <c r="BZ164" s="281"/>
      <c r="CA164" s="281"/>
      <c r="CB164" s="281"/>
      <c r="CC164" s="281"/>
      <c r="CD164" s="281"/>
      <c r="CE164" s="281"/>
      <c r="CF164" s="281"/>
      <c r="CG164" s="281"/>
      <c r="CH164" s="281"/>
      <c r="CI164" s="281"/>
      <c r="CJ164" s="281"/>
      <c r="CK164" s="281"/>
      <c r="CL164" s="281"/>
      <c r="CM164" s="281"/>
      <c r="CN164" s="281"/>
      <c r="CO164" s="281"/>
      <c r="CP164" s="281"/>
    </row>
    <row r="165" spans="2:94" s="490" customFormat="1" x14ac:dyDescent="0.2">
      <c r="B165" s="497" t="s">
        <v>472</v>
      </c>
      <c r="C165" s="496"/>
      <c r="D165" s="495"/>
      <c r="E165" s="495"/>
      <c r="F165" s="499">
        <f t="shared" ref="F165:AX165" si="33">-(MIN(F153,0)+MIN(F154,0)+MIN(F145,0)+MIN(F155,0)+MIN(F147,0))/10^3</f>
        <v>0</v>
      </c>
      <c r="G165" s="499">
        <f t="shared" si="33"/>
        <v>46.089205415482944</v>
      </c>
      <c r="H165" s="499">
        <f t="shared" si="33"/>
        <v>66.536014867182146</v>
      </c>
      <c r="I165" s="499">
        <f t="shared" si="33"/>
        <v>0</v>
      </c>
      <c r="J165" s="499">
        <f t="shared" si="33"/>
        <v>6.711298504106562</v>
      </c>
      <c r="K165" s="499">
        <f t="shared" si="33"/>
        <v>5.2238670765352415</v>
      </c>
      <c r="L165" s="499">
        <f t="shared" si="33"/>
        <v>3.2478568253749089</v>
      </c>
      <c r="M165" s="499">
        <f t="shared" si="33"/>
        <v>2.6559960056557976</v>
      </c>
      <c r="N165" s="499">
        <f t="shared" si="33"/>
        <v>2.0323619602791876</v>
      </c>
      <c r="O165" s="499">
        <f t="shared" si="33"/>
        <v>1.6218091364062057</v>
      </c>
      <c r="P165" s="499">
        <f t="shared" si="33"/>
        <v>1.8033914620224751</v>
      </c>
      <c r="Q165" s="499">
        <f t="shared" si="33"/>
        <v>1.8059984307099657</v>
      </c>
      <c r="R165" s="499">
        <f t="shared" si="33"/>
        <v>3.7927266595091824</v>
      </c>
      <c r="S165" s="499">
        <f t="shared" si="33"/>
        <v>6.8499260434661196</v>
      </c>
      <c r="T165" s="499">
        <f t="shared" si="33"/>
        <v>11.149809947657886</v>
      </c>
      <c r="U165" s="499">
        <f t="shared" si="33"/>
        <v>11.639175098137057</v>
      </c>
      <c r="V165" s="499">
        <f t="shared" si="33"/>
        <v>10.038592774319564</v>
      </c>
      <c r="W165" s="499">
        <f t="shared" si="33"/>
        <v>6.0547294765488262</v>
      </c>
      <c r="X165" s="499">
        <f t="shared" si="33"/>
        <v>4.3629094294107924</v>
      </c>
      <c r="Y165" s="499">
        <f t="shared" si="33"/>
        <v>4.7612757917118724</v>
      </c>
      <c r="Z165" s="499">
        <f t="shared" si="33"/>
        <v>4.6602743023161599</v>
      </c>
      <c r="AA165" s="499">
        <f t="shared" si="33"/>
        <v>5.1041137839636068</v>
      </c>
      <c r="AB165" s="499">
        <f t="shared" si="33"/>
        <v>0.69780868542422836</v>
      </c>
      <c r="AC165" s="499">
        <f t="shared" si="33"/>
        <v>29.336830962138666</v>
      </c>
      <c r="AD165" s="499">
        <f t="shared" si="33"/>
        <v>6.4149157139993989</v>
      </c>
      <c r="AE165" s="499">
        <f t="shared" si="33"/>
        <v>7.7696297578547204</v>
      </c>
      <c r="AF165" s="499">
        <f t="shared" si="33"/>
        <v>8.1482650423637057</v>
      </c>
      <c r="AG165" s="499">
        <f t="shared" si="33"/>
        <v>7.4742273819172409</v>
      </c>
      <c r="AH165" s="499">
        <f t="shared" si="33"/>
        <v>81.063152488336726</v>
      </c>
      <c r="AI165" s="499">
        <f t="shared" si="33"/>
        <v>74.540150844539227</v>
      </c>
      <c r="AJ165" s="499">
        <f t="shared" si="33"/>
        <v>0.9827203265424469</v>
      </c>
      <c r="AK165" s="499">
        <f t="shared" si="33"/>
        <v>0.84997823727177457</v>
      </c>
      <c r="AL165" s="499">
        <f t="shared" si="33"/>
        <v>10.520084884236734</v>
      </c>
      <c r="AM165" s="499">
        <f t="shared" si="33"/>
        <v>13.80478218266939</v>
      </c>
      <c r="AN165" s="499">
        <f t="shared" si="33"/>
        <v>6.5885540155752462</v>
      </c>
      <c r="AO165" s="499">
        <f t="shared" si="33"/>
        <v>7.453859149058415</v>
      </c>
      <c r="AP165" s="499">
        <f t="shared" si="33"/>
        <v>8.5370104540626635</v>
      </c>
      <c r="AQ165" s="499">
        <f t="shared" si="33"/>
        <v>9.8796845760317957</v>
      </c>
      <c r="AR165" s="499">
        <f t="shared" si="33"/>
        <v>11.530676993100526</v>
      </c>
      <c r="AS165" s="499">
        <f t="shared" si="33"/>
        <v>225.72264849710947</v>
      </c>
      <c r="AT165" s="499">
        <f t="shared" si="33"/>
        <v>0</v>
      </c>
      <c r="AU165" s="499">
        <f t="shared" si="33"/>
        <v>0</v>
      </c>
      <c r="AV165" s="499">
        <f t="shared" si="33"/>
        <v>0</v>
      </c>
      <c r="AW165" s="499">
        <f t="shared" si="33"/>
        <v>0</v>
      </c>
      <c r="AX165" s="499">
        <f t="shared" si="33"/>
        <v>0</v>
      </c>
      <c r="AY165" s="283"/>
      <c r="AZ165" s="283"/>
      <c r="BA165" s="283"/>
      <c r="BB165" s="283"/>
      <c r="BC165" s="283"/>
      <c r="BD165" s="283"/>
      <c r="BE165" s="283"/>
      <c r="BF165" s="283"/>
      <c r="BG165" s="283"/>
      <c r="BH165" s="283"/>
      <c r="BI165" s="283"/>
      <c r="BJ165" s="283"/>
      <c r="BK165" s="283"/>
      <c r="BL165" s="283"/>
      <c r="BM165" s="283"/>
      <c r="BN165" s="281"/>
      <c r="BO165" s="281"/>
      <c r="BP165" s="281"/>
      <c r="BQ165" s="281"/>
      <c r="BR165" s="281"/>
      <c r="BS165" s="281"/>
      <c r="BT165" s="281"/>
      <c r="BU165" s="281"/>
      <c r="BV165" s="281"/>
      <c r="BW165" s="281"/>
      <c r="BX165" s="281"/>
      <c r="BY165" s="281"/>
      <c r="BZ165" s="281"/>
      <c r="CA165" s="281"/>
      <c r="CB165" s="281"/>
      <c r="CC165" s="281"/>
      <c r="CD165" s="281"/>
      <c r="CE165" s="281"/>
      <c r="CF165" s="281"/>
      <c r="CG165" s="281"/>
      <c r="CH165" s="281"/>
      <c r="CI165" s="281"/>
      <c r="CJ165" s="281"/>
      <c r="CK165" s="281"/>
      <c r="CL165" s="281"/>
      <c r="CM165" s="281"/>
      <c r="CN165" s="281"/>
      <c r="CO165" s="281"/>
      <c r="CP165" s="281"/>
    </row>
    <row r="166" spans="2:94" s="490" customFormat="1" x14ac:dyDescent="0.2">
      <c r="B166" s="497" t="s">
        <v>471</v>
      </c>
      <c r="C166" s="496"/>
      <c r="D166" s="496"/>
      <c r="E166" s="495"/>
      <c r="F166" s="499">
        <f t="shared" ref="F166:AX166" si="34">F156/10^3</f>
        <v>0</v>
      </c>
      <c r="G166" s="499">
        <f t="shared" si="34"/>
        <v>0</v>
      </c>
      <c r="H166" s="499">
        <f t="shared" si="34"/>
        <v>0</v>
      </c>
      <c r="I166" s="499">
        <f t="shared" si="34"/>
        <v>247.57044432824074</v>
      </c>
      <c r="J166" s="499">
        <f t="shared" si="34"/>
        <v>64.936703322905657</v>
      </c>
      <c r="K166" s="499">
        <f t="shared" si="34"/>
        <v>78.791618545604464</v>
      </c>
      <c r="L166" s="499">
        <f t="shared" si="34"/>
        <v>94.084949761677393</v>
      </c>
      <c r="M166" s="499">
        <f t="shared" si="34"/>
        <v>108.91677205663552</v>
      </c>
      <c r="N166" s="499">
        <f t="shared" si="34"/>
        <v>124.57063434382016</v>
      </c>
      <c r="O166" s="499">
        <f t="shared" si="34"/>
        <v>143.01637432390203</v>
      </c>
      <c r="P166" s="499">
        <f t="shared" si="34"/>
        <v>161.03280369670256</v>
      </c>
      <c r="Q166" s="499">
        <f t="shared" si="34"/>
        <v>180.18863697823301</v>
      </c>
      <c r="R166" s="499">
        <f t="shared" si="34"/>
        <v>200.13227931181936</v>
      </c>
      <c r="S166" s="499">
        <f t="shared" si="34"/>
        <v>209.84307853689629</v>
      </c>
      <c r="T166" s="499">
        <f t="shared" si="34"/>
        <v>242.25637419751709</v>
      </c>
      <c r="U166" s="499">
        <f t="shared" si="34"/>
        <v>265.55501824693044</v>
      </c>
      <c r="V166" s="499">
        <f t="shared" si="34"/>
        <v>292.61636552417463</v>
      </c>
      <c r="W166" s="499">
        <f t="shared" si="34"/>
        <v>323.25891351240421</v>
      </c>
      <c r="X166" s="499">
        <f t="shared" si="34"/>
        <v>357.08281061343058</v>
      </c>
      <c r="Y166" s="499">
        <f t="shared" si="34"/>
        <v>395.42017085327075</v>
      </c>
      <c r="Z166" s="499">
        <f t="shared" si="34"/>
        <v>423.67642416936786</v>
      </c>
      <c r="AA166" s="499">
        <f t="shared" si="34"/>
        <v>455.49288145072728</v>
      </c>
      <c r="AB166" s="499">
        <f t="shared" si="34"/>
        <v>495.27475144114266</v>
      </c>
      <c r="AC166" s="499">
        <f t="shared" si="34"/>
        <v>487.07289874041322</v>
      </c>
      <c r="AD166" s="499">
        <f t="shared" si="34"/>
        <v>578.42087642062779</v>
      </c>
      <c r="AE166" s="499">
        <f t="shared" si="34"/>
        <v>622.4623166011819</v>
      </c>
      <c r="AF166" s="499">
        <f t="shared" si="34"/>
        <v>670.12304279516127</v>
      </c>
      <c r="AG166" s="499">
        <f t="shared" si="34"/>
        <v>716.55559271697848</v>
      </c>
      <c r="AH166" s="499">
        <f t="shared" si="34"/>
        <v>696.91078453842761</v>
      </c>
      <c r="AI166" s="499">
        <f t="shared" si="34"/>
        <v>686.90987386723168</v>
      </c>
      <c r="AJ166" s="499">
        <f t="shared" si="34"/>
        <v>746.03398516871459</v>
      </c>
      <c r="AK166" s="499">
        <f t="shared" si="34"/>
        <v>807.50283337323822</v>
      </c>
      <c r="AL166" s="499">
        <f t="shared" si="34"/>
        <v>864.25151904584584</v>
      </c>
      <c r="AM166" s="499">
        <f t="shared" si="34"/>
        <v>897.01612517696299</v>
      </c>
      <c r="AN166" s="499">
        <f t="shared" si="34"/>
        <v>979.53258161589008</v>
      </c>
      <c r="AO166" s="499">
        <f t="shared" si="34"/>
        <v>1059.1709752302827</v>
      </c>
      <c r="AP166" s="499">
        <f t="shared" si="34"/>
        <v>1143.4717474454444</v>
      </c>
      <c r="AQ166" s="499">
        <f t="shared" si="34"/>
        <v>1232.8632869510818</v>
      </c>
      <c r="AR166" s="499">
        <f t="shared" si="34"/>
        <v>1462.8196715564479</v>
      </c>
      <c r="AS166" s="498">
        <f t="shared" si="34"/>
        <v>1586.1187054500783</v>
      </c>
      <c r="AT166" s="499">
        <f t="shared" si="34"/>
        <v>1877.9512000004875</v>
      </c>
      <c r="AU166" s="499">
        <f t="shared" si="34"/>
        <v>2022.8757896959387</v>
      </c>
      <c r="AV166" s="499">
        <f t="shared" si="34"/>
        <v>2179.0186750670709</v>
      </c>
      <c r="AW166" s="499">
        <f t="shared" si="34"/>
        <v>2347.2048376066855</v>
      </c>
      <c r="AX166" s="499">
        <f t="shared" si="34"/>
        <v>1688.3096490862106</v>
      </c>
      <c r="AY166" s="283"/>
      <c r="AZ166" s="283"/>
      <c r="BA166" s="283"/>
      <c r="BB166" s="283"/>
      <c r="BC166" s="283"/>
      <c r="BD166" s="283"/>
      <c r="BE166" s="283"/>
      <c r="BF166" s="283"/>
      <c r="BG166" s="283"/>
      <c r="BH166" s="283"/>
      <c r="BI166" s="283"/>
      <c r="BJ166" s="283"/>
      <c r="BK166" s="283"/>
      <c r="BL166" s="283"/>
      <c r="BM166" s="283"/>
      <c r="BN166" s="281"/>
      <c r="BO166" s="281"/>
      <c r="BP166" s="281"/>
      <c r="BQ166" s="281"/>
      <c r="BR166" s="281"/>
      <c r="BS166" s="281"/>
      <c r="BT166" s="281"/>
      <c r="BU166" s="281"/>
      <c r="BV166" s="281"/>
      <c r="BW166" s="281"/>
      <c r="BX166" s="281"/>
      <c r="BY166" s="281"/>
      <c r="BZ166" s="281"/>
      <c r="CA166" s="281"/>
      <c r="CB166" s="281"/>
      <c r="CC166" s="281"/>
      <c r="CD166" s="281"/>
      <c r="CE166" s="281"/>
      <c r="CF166" s="281"/>
      <c r="CG166" s="281"/>
      <c r="CH166" s="281"/>
      <c r="CI166" s="281"/>
      <c r="CJ166" s="281"/>
      <c r="CK166" s="281"/>
      <c r="CL166" s="281"/>
      <c r="CM166" s="281"/>
      <c r="CN166" s="281"/>
      <c r="CO166" s="281"/>
      <c r="CP166" s="281"/>
    </row>
    <row r="167" spans="2:94" s="490" customFormat="1" x14ac:dyDescent="0.2">
      <c r="B167" s="497"/>
      <c r="C167" s="496"/>
      <c r="D167" s="496"/>
      <c r="E167" s="496"/>
      <c r="F167" s="495"/>
      <c r="G167" s="495"/>
      <c r="H167" s="495"/>
      <c r="I167" s="495"/>
      <c r="J167" s="495"/>
      <c r="K167" s="495"/>
      <c r="L167" s="495"/>
      <c r="M167" s="495"/>
      <c r="N167" s="495"/>
      <c r="O167" s="495"/>
      <c r="P167" s="495"/>
      <c r="Q167" s="495"/>
      <c r="R167" s="495"/>
      <c r="S167" s="495"/>
      <c r="T167" s="495"/>
      <c r="U167" s="495"/>
      <c r="V167" s="495"/>
      <c r="W167" s="495"/>
      <c r="X167" s="495"/>
      <c r="Y167" s="495"/>
      <c r="Z167" s="495"/>
      <c r="AA167" s="495"/>
      <c r="AB167" s="495"/>
      <c r="AC167" s="495"/>
      <c r="AD167" s="495"/>
      <c r="AE167" s="495"/>
      <c r="AF167" s="495"/>
      <c r="AG167" s="495"/>
      <c r="AH167" s="495"/>
      <c r="AI167" s="495"/>
      <c r="AJ167" s="495"/>
      <c r="AK167" s="495"/>
      <c r="AL167" s="495"/>
      <c r="AM167" s="495"/>
      <c r="AN167" s="495"/>
      <c r="AO167" s="495"/>
      <c r="AP167" s="495"/>
      <c r="AQ167" s="495"/>
      <c r="AR167" s="495"/>
      <c r="AS167" s="495"/>
      <c r="AT167" s="495"/>
      <c r="AU167" s="495"/>
      <c r="AV167" s="495"/>
      <c r="AW167" s="495"/>
      <c r="AX167" s="495"/>
      <c r="AY167" s="283"/>
      <c r="AZ167" s="283"/>
      <c r="BA167" s="283"/>
      <c r="BB167" s="283"/>
      <c r="BC167" s="283"/>
      <c r="BD167" s="283"/>
      <c r="BE167" s="283"/>
      <c r="BF167" s="283"/>
      <c r="BG167" s="283"/>
      <c r="BH167" s="283"/>
      <c r="BI167" s="283"/>
      <c r="BJ167" s="283"/>
      <c r="BK167" s="283"/>
      <c r="BL167" s="283"/>
      <c r="BM167" s="283"/>
      <c r="BN167" s="281"/>
      <c r="BO167" s="281"/>
      <c r="BP167" s="281"/>
      <c r="BQ167" s="281"/>
      <c r="BR167" s="281"/>
      <c r="BS167" s="281"/>
      <c r="BT167" s="281"/>
      <c r="BU167" s="281"/>
      <c r="BV167" s="281"/>
      <c r="BW167" s="281"/>
      <c r="BX167" s="281"/>
      <c r="BY167" s="281"/>
      <c r="BZ167" s="281"/>
      <c r="CA167" s="281"/>
      <c r="CB167" s="281"/>
      <c r="CC167" s="281"/>
      <c r="CD167" s="281"/>
      <c r="CE167" s="281"/>
      <c r="CF167" s="281"/>
      <c r="CG167" s="281"/>
      <c r="CH167" s="281"/>
      <c r="CI167" s="281"/>
      <c r="CJ167" s="281"/>
      <c r="CK167" s="281"/>
      <c r="CL167" s="281"/>
      <c r="CM167" s="281"/>
      <c r="CN167" s="281"/>
      <c r="CO167" s="281"/>
      <c r="CP167" s="281"/>
    </row>
    <row r="168" spans="2:94" s="490" customFormat="1" ht="13.5" thickBot="1" x14ac:dyDescent="0.25">
      <c r="B168" s="494" t="s">
        <v>470</v>
      </c>
      <c r="C168" s="493"/>
      <c r="D168" s="670" t="str">
        <f>+IF(ROUND(SUM(F168:CI168),0)=0,"Ok","Error")</f>
        <v>Ok</v>
      </c>
      <c r="E168" s="491"/>
      <c r="F168" s="669">
        <f t="shared" ref="F168:AX168" si="35">+F159-SUM(F160:F166)</f>
        <v>0</v>
      </c>
      <c r="G168" s="669">
        <f t="shared" si="35"/>
        <v>0</v>
      </c>
      <c r="H168" s="669">
        <f t="shared" si="35"/>
        <v>0</v>
      </c>
      <c r="I168" s="669">
        <f t="shared" si="35"/>
        <v>0</v>
      </c>
      <c r="J168" s="669">
        <f t="shared" si="35"/>
        <v>0</v>
      </c>
      <c r="K168" s="669">
        <f t="shared" si="35"/>
        <v>0</v>
      </c>
      <c r="L168" s="669">
        <f t="shared" si="35"/>
        <v>0</v>
      </c>
      <c r="M168" s="669">
        <f t="shared" si="35"/>
        <v>0</v>
      </c>
      <c r="N168" s="669">
        <f t="shared" si="35"/>
        <v>0</v>
      </c>
      <c r="O168" s="669">
        <f t="shared" si="35"/>
        <v>0</v>
      </c>
      <c r="P168" s="669">
        <f t="shared" si="35"/>
        <v>0</v>
      </c>
      <c r="Q168" s="669">
        <f t="shared" si="35"/>
        <v>0</v>
      </c>
      <c r="R168" s="669">
        <f t="shared" si="35"/>
        <v>0</v>
      </c>
      <c r="S168" s="669">
        <f t="shared" si="35"/>
        <v>0</v>
      </c>
      <c r="T168" s="669">
        <f t="shared" si="35"/>
        <v>0</v>
      </c>
      <c r="U168" s="669">
        <f t="shared" si="35"/>
        <v>0</v>
      </c>
      <c r="V168" s="669">
        <f t="shared" si="35"/>
        <v>0</v>
      </c>
      <c r="W168" s="492">
        <f t="shared" si="35"/>
        <v>0</v>
      </c>
      <c r="X168" s="669">
        <f t="shared" si="35"/>
        <v>0</v>
      </c>
      <c r="Y168" s="669">
        <f t="shared" si="35"/>
        <v>0</v>
      </c>
      <c r="Z168" s="669">
        <f t="shared" si="35"/>
        <v>0</v>
      </c>
      <c r="AA168" s="669">
        <f t="shared" si="35"/>
        <v>0</v>
      </c>
      <c r="AB168" s="669">
        <f t="shared" si="35"/>
        <v>0</v>
      </c>
      <c r="AC168" s="669">
        <f t="shared" si="35"/>
        <v>0</v>
      </c>
      <c r="AD168" s="669">
        <f t="shared" si="35"/>
        <v>0</v>
      </c>
      <c r="AE168" s="669">
        <f t="shared" si="35"/>
        <v>0</v>
      </c>
      <c r="AF168" s="669">
        <f t="shared" si="35"/>
        <v>0</v>
      </c>
      <c r="AG168" s="669">
        <f t="shared" si="35"/>
        <v>0</v>
      </c>
      <c r="AH168" s="669">
        <f t="shared" si="35"/>
        <v>0</v>
      </c>
      <c r="AI168" s="669">
        <f t="shared" si="35"/>
        <v>0</v>
      </c>
      <c r="AJ168" s="669">
        <f t="shared" si="35"/>
        <v>0</v>
      </c>
      <c r="AK168" s="669">
        <f t="shared" si="35"/>
        <v>0</v>
      </c>
      <c r="AL168" s="669">
        <f t="shared" si="35"/>
        <v>0</v>
      </c>
      <c r="AM168" s="669">
        <f t="shared" si="35"/>
        <v>0</v>
      </c>
      <c r="AN168" s="669">
        <f t="shared" si="35"/>
        <v>0</v>
      </c>
      <c r="AO168" s="669">
        <f t="shared" si="35"/>
        <v>0</v>
      </c>
      <c r="AP168" s="669">
        <f t="shared" si="35"/>
        <v>0</v>
      </c>
      <c r="AQ168" s="669">
        <f t="shared" si="35"/>
        <v>0</v>
      </c>
      <c r="AR168" s="669">
        <f t="shared" si="35"/>
        <v>0</v>
      </c>
      <c r="AS168" s="669">
        <f t="shared" si="35"/>
        <v>0</v>
      </c>
      <c r="AT168" s="669">
        <f t="shared" si="35"/>
        <v>0</v>
      </c>
      <c r="AU168" s="669">
        <f t="shared" si="35"/>
        <v>0</v>
      </c>
      <c r="AV168" s="669">
        <f t="shared" si="35"/>
        <v>0</v>
      </c>
      <c r="AW168" s="669">
        <f t="shared" si="35"/>
        <v>0</v>
      </c>
      <c r="AX168" s="669">
        <f t="shared" si="35"/>
        <v>0</v>
      </c>
      <c r="AY168" s="283"/>
      <c r="AZ168" s="283"/>
      <c r="BA168" s="283"/>
      <c r="BB168" s="283"/>
      <c r="BC168" s="283"/>
      <c r="BD168" s="283"/>
      <c r="BE168" s="283"/>
      <c r="BF168" s="283"/>
      <c r="BG168" s="283"/>
      <c r="BH168" s="283"/>
      <c r="BI168" s="283"/>
      <c r="BJ168" s="283"/>
      <c r="BK168" s="283"/>
      <c r="BL168" s="283"/>
      <c r="BM168" s="283"/>
      <c r="BN168" s="281"/>
      <c r="BO168" s="281"/>
      <c r="BP168" s="281"/>
      <c r="BQ168" s="281"/>
      <c r="BR168" s="281"/>
      <c r="BS168" s="281"/>
      <c r="BT168" s="281"/>
      <c r="BU168" s="281"/>
      <c r="BV168" s="281"/>
      <c r="BW168" s="281"/>
      <c r="BX168" s="281"/>
      <c r="BY168" s="281"/>
      <c r="BZ168" s="281"/>
      <c r="CA168" s="281"/>
      <c r="CB168" s="281"/>
      <c r="CC168" s="281"/>
      <c r="CD168" s="281"/>
      <c r="CE168" s="281"/>
      <c r="CF168" s="281"/>
      <c r="CG168" s="281"/>
      <c r="CH168" s="281"/>
      <c r="CI168" s="281"/>
      <c r="CJ168" s="281"/>
      <c r="CK168" s="281"/>
      <c r="CL168" s="281"/>
      <c r="CM168" s="281"/>
      <c r="CN168" s="281"/>
      <c r="CO168" s="281"/>
      <c r="CP168" s="281"/>
    </row>
    <row r="169" spans="2:94" s="490" customFormat="1" x14ac:dyDescent="0.2">
      <c r="AY169" s="283"/>
      <c r="AZ169" s="283"/>
      <c r="BA169" s="283"/>
      <c r="BB169" s="283"/>
      <c r="BC169" s="283"/>
      <c r="BD169" s="283"/>
      <c r="BE169" s="283"/>
      <c r="BF169" s="283"/>
      <c r="BG169" s="283"/>
      <c r="BH169" s="283"/>
      <c r="BI169" s="283"/>
      <c r="BJ169" s="283"/>
      <c r="BK169" s="283"/>
      <c r="BL169" s="283"/>
      <c r="BM169" s="283"/>
      <c r="BN169" s="281"/>
      <c r="BO169" s="281"/>
      <c r="BP169" s="281"/>
      <c r="BQ169" s="281"/>
      <c r="BR169" s="281"/>
      <c r="BS169" s="281"/>
      <c r="BT169" s="281"/>
      <c r="BU169" s="281"/>
      <c r="BV169" s="281"/>
      <c r="BW169" s="281"/>
      <c r="BX169" s="281"/>
      <c r="BY169" s="281"/>
      <c r="BZ169" s="281"/>
      <c r="CA169" s="281"/>
      <c r="CB169" s="281"/>
      <c r="CC169" s="281"/>
      <c r="CD169" s="281"/>
      <c r="CE169" s="281"/>
      <c r="CF169" s="281"/>
      <c r="CG169" s="281"/>
      <c r="CH169" s="281"/>
      <c r="CI169" s="281"/>
      <c r="CJ169" s="281"/>
      <c r="CK169" s="281"/>
      <c r="CL169" s="281"/>
      <c r="CM169" s="281"/>
      <c r="CN169" s="281"/>
      <c r="CO169" s="281"/>
      <c r="CP169" s="281"/>
    </row>
    <row r="170" spans="2:94" s="490" customFormat="1" x14ac:dyDescent="0.2">
      <c r="AY170" s="283"/>
      <c r="AZ170" s="283"/>
      <c r="BA170" s="283"/>
      <c r="BB170" s="283"/>
      <c r="BC170" s="283"/>
      <c r="BD170" s="283"/>
      <c r="BE170" s="283"/>
      <c r="BF170" s="283"/>
      <c r="BG170" s="283"/>
      <c r="BH170" s="283"/>
      <c r="BI170" s="283"/>
      <c r="BJ170" s="283"/>
      <c r="BK170" s="283"/>
      <c r="BL170" s="283"/>
      <c r="BM170" s="283"/>
      <c r="BN170" s="281"/>
      <c r="BO170" s="281"/>
      <c r="BP170" s="281"/>
      <c r="BQ170" s="281"/>
      <c r="BR170" s="281"/>
      <c r="BS170" s="281"/>
      <c r="BT170" s="281"/>
      <c r="BU170" s="281"/>
      <c r="BV170" s="281"/>
      <c r="BW170" s="281"/>
      <c r="BX170" s="281"/>
      <c r="BY170" s="281"/>
      <c r="BZ170" s="281"/>
      <c r="CA170" s="281"/>
      <c r="CB170" s="281"/>
      <c r="CC170" s="281"/>
      <c r="CD170" s="281"/>
      <c r="CE170" s="281"/>
      <c r="CF170" s="281"/>
      <c r="CG170" s="281"/>
      <c r="CH170" s="281"/>
      <c r="CI170" s="281"/>
      <c r="CJ170" s="281"/>
      <c r="CK170" s="281"/>
      <c r="CL170" s="281"/>
      <c r="CM170" s="281"/>
      <c r="CN170" s="281"/>
      <c r="CO170" s="281"/>
      <c r="CP170" s="281"/>
    </row>
    <row r="171" spans="2:94" s="490" customFormat="1" x14ac:dyDescent="0.2">
      <c r="AY171" s="283"/>
      <c r="AZ171" s="283"/>
      <c r="BA171" s="283"/>
      <c r="BB171" s="283"/>
      <c r="BC171" s="283"/>
      <c r="BD171" s="283"/>
      <c r="BE171" s="283"/>
      <c r="BF171" s="283"/>
      <c r="BG171" s="283"/>
      <c r="BH171" s="283"/>
      <c r="BI171" s="283"/>
      <c r="BJ171" s="283"/>
      <c r="BK171" s="283"/>
      <c r="BL171" s="283"/>
      <c r="BM171" s="283"/>
      <c r="BN171" s="281"/>
      <c r="BO171" s="281"/>
      <c r="BP171" s="281"/>
      <c r="BQ171" s="281"/>
      <c r="BR171" s="281"/>
      <c r="BS171" s="281"/>
      <c r="BT171" s="281"/>
      <c r="BU171" s="281"/>
      <c r="BV171" s="281"/>
      <c r="BW171" s="281"/>
      <c r="BX171" s="281"/>
      <c r="BY171" s="281"/>
      <c r="BZ171" s="281"/>
      <c r="CA171" s="281"/>
      <c r="CB171" s="281"/>
      <c r="CC171" s="281"/>
      <c r="CD171" s="281"/>
      <c r="CE171" s="281"/>
      <c r="CF171" s="281"/>
      <c r="CG171" s="281"/>
      <c r="CH171" s="281"/>
      <c r="CI171" s="281"/>
      <c r="CJ171" s="281"/>
      <c r="CK171" s="281"/>
      <c r="CL171" s="281"/>
      <c r="CM171" s="281"/>
      <c r="CN171" s="281"/>
      <c r="CO171" s="281"/>
      <c r="CP171" s="281"/>
    </row>
    <row r="172" spans="2:94" s="490" customFormat="1" x14ac:dyDescent="0.2">
      <c r="AY172" s="283"/>
      <c r="AZ172" s="283"/>
      <c r="BA172" s="283"/>
      <c r="BB172" s="283"/>
      <c r="BC172" s="283"/>
      <c r="BD172" s="283"/>
      <c r="BE172" s="283"/>
      <c r="BF172" s="283"/>
      <c r="BG172" s="283"/>
      <c r="BH172" s="283"/>
      <c r="BI172" s="283"/>
      <c r="BJ172" s="283"/>
      <c r="BK172" s="283"/>
      <c r="BL172" s="283"/>
      <c r="BM172" s="283"/>
      <c r="BN172" s="281"/>
      <c r="BO172" s="281"/>
      <c r="BP172" s="281"/>
      <c r="BQ172" s="281"/>
      <c r="BR172" s="281"/>
      <c r="BS172" s="281"/>
      <c r="BT172" s="281"/>
      <c r="BU172" s="281"/>
      <c r="BV172" s="281"/>
      <c r="BW172" s="281"/>
      <c r="BX172" s="281"/>
      <c r="BY172" s="281"/>
      <c r="BZ172" s="281"/>
      <c r="CA172" s="281"/>
      <c r="CB172" s="281"/>
      <c r="CC172" s="281"/>
      <c r="CD172" s="281"/>
      <c r="CE172" s="281"/>
      <c r="CF172" s="281"/>
      <c r="CG172" s="281"/>
      <c r="CH172" s="281"/>
      <c r="CI172" s="281"/>
      <c r="CJ172" s="281"/>
      <c r="CK172" s="281"/>
      <c r="CL172" s="281"/>
      <c r="CM172" s="281"/>
      <c r="CN172" s="281"/>
      <c r="CO172" s="281"/>
      <c r="CP172" s="281"/>
    </row>
    <row r="173" spans="2:94" s="490" customFormat="1" x14ac:dyDescent="0.2"/>
  </sheetData>
  <sheetProtection algorithmName="SHA-512" hashValue="Anc1Q++vnNDWxRSHQm3c90UgHiT9FcH9DjXdkmjwGN1JCaTUCzb+8APc1yZqR7aF8Wp2rAfjeTTMpU6h6dqlyQ==" saltValue="r9UKmt5AvfwIKT2VlTVDXQ==" spinCount="100000" sheet="1" objects="1" scenarios="1"/>
  <customSheetViews>
    <customSheetView guid="{A171ABFC-BD20-4BE9-8F97-F532286F0C2D}" scale="70" showPageBreaks="1" showGridLines="0" fitToPage="1" printArea="1" view="pageBreakPreview">
      <selection activeCell="M9" sqref="M9"/>
      <pageMargins left="0" right="0" top="0" bottom="0" header="0" footer="0"/>
      <pageSetup paperSize="9" scale="37" orientation="landscape" r:id="rId1"/>
    </customSheetView>
    <customSheetView guid="{5F88CBE0-3291-4A41-996B-A8A1DC273A84}" scale="70" showPageBreaks="1" showGridLines="0" fitToPage="1" printArea="1" view="pageBreakPreview" topLeftCell="A67">
      <selection activeCell="D121" sqref="D121"/>
      <pageMargins left="0" right="0" top="0" bottom="0" header="0" footer="0"/>
      <pageSetup paperSize="9" scale="37" orientation="landscape" r:id="rId2"/>
    </customSheetView>
  </customSheetViews>
  <mergeCells count="7">
    <mergeCell ref="J5:N5"/>
    <mergeCell ref="J7:K7"/>
    <mergeCell ref="J8:K8"/>
    <mergeCell ref="J9:K9"/>
    <mergeCell ref="M8:N8"/>
    <mergeCell ref="M9:N9"/>
    <mergeCell ref="J6:O6"/>
  </mergeCells>
  <printOptions horizontalCentered="1" verticalCentered="1"/>
  <pageMargins left="0" right="0" top="0" bottom="0" header="0" footer="0"/>
  <pageSetup paperSize="9" scale="38"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E249"/>
  <sheetViews>
    <sheetView showGridLines="0" view="pageBreakPreview" zoomScale="80" zoomScaleNormal="60" zoomScaleSheetLayoutView="80" workbookViewId="0">
      <pane xSplit="14" ySplit="9" topLeftCell="O10" activePane="bottomRight" state="frozen"/>
      <selection pane="topRight" activeCell="O1" sqref="O1"/>
      <selection pane="bottomLeft" activeCell="A10" sqref="A10"/>
      <selection pane="bottomRight" activeCell="Q9" sqref="Q9"/>
    </sheetView>
  </sheetViews>
  <sheetFormatPr baseColWidth="10" defaultColWidth="0" defaultRowHeight="12.75" x14ac:dyDescent="0.2"/>
  <cols>
    <col min="1" max="1" width="3.85546875" style="577" customWidth="1"/>
    <col min="2" max="2" width="2.85546875" style="577" customWidth="1"/>
    <col min="3" max="3" width="7.28515625" style="577" customWidth="1"/>
    <col min="4" max="4" width="4.7109375" style="189" customWidth="1"/>
    <col min="5" max="5" width="13.140625" style="189" customWidth="1"/>
    <col min="6" max="6" width="7.5703125" style="189" customWidth="1"/>
    <col min="7" max="7" width="13.140625" style="240" customWidth="1"/>
    <col min="8" max="8" width="12.5703125" style="240" customWidth="1"/>
    <col min="9" max="9" width="9.85546875" style="189" customWidth="1"/>
    <col min="10" max="10" width="12.7109375" style="189" customWidth="1"/>
    <col min="11" max="11" width="13.140625" style="618" customWidth="1"/>
    <col min="12" max="12" width="14.5703125" style="189" customWidth="1"/>
    <col min="13" max="13" width="12.140625" style="189" customWidth="1"/>
    <col min="14" max="14" width="3.42578125" style="240" customWidth="1"/>
    <col min="15" max="15" width="16.7109375" style="193" customWidth="1"/>
    <col min="16" max="16" width="16.7109375" style="240" customWidth="1"/>
    <col min="17" max="17" width="16.7109375" style="260" customWidth="1"/>
    <col min="18" max="18" width="16.7109375" style="589" customWidth="1"/>
    <col min="19" max="19" width="16.7109375" style="232" hidden="1" customWidth="1"/>
    <col min="20" max="22" width="16.7109375" style="240" hidden="1" customWidth="1"/>
    <col min="23" max="24" width="16.7109375" style="579" hidden="1" customWidth="1"/>
    <col min="25" max="31" width="16.7109375" style="189" hidden="1" customWidth="1"/>
    <col min="32" max="265" width="16.7109375" style="577" hidden="1" customWidth="1"/>
    <col min="266" max="16384" width="10.28515625" style="577" hidden="1"/>
  </cols>
  <sheetData>
    <row r="1" spans="2:31" x14ac:dyDescent="0.2">
      <c r="D1" s="232"/>
      <c r="E1" s="232"/>
      <c r="F1" s="232"/>
      <c r="G1" s="232"/>
      <c r="H1" s="232"/>
      <c r="I1" s="232"/>
      <c r="J1" s="232"/>
      <c r="L1" s="232"/>
      <c r="M1" s="232"/>
      <c r="N1" s="232"/>
      <c r="O1" s="232"/>
      <c r="P1" s="232"/>
      <c r="Q1" s="578"/>
      <c r="R1" s="488"/>
      <c r="T1" s="232"/>
      <c r="U1" s="232"/>
      <c r="V1" s="232"/>
      <c r="Y1" s="232"/>
      <c r="Z1" s="232"/>
      <c r="AA1" s="232"/>
      <c r="AB1" s="232"/>
      <c r="AC1" s="232"/>
      <c r="AD1" s="232"/>
      <c r="AE1" s="232"/>
    </row>
    <row r="2" spans="2:31" x14ac:dyDescent="0.2">
      <c r="C2" s="232" t="s">
        <v>2</v>
      </c>
      <c r="D2" s="232"/>
      <c r="F2" s="232"/>
      <c r="G2" s="232" t="s">
        <v>338</v>
      </c>
      <c r="H2" s="232"/>
      <c r="I2" s="232"/>
      <c r="J2" s="232"/>
      <c r="L2" s="232"/>
      <c r="M2" s="232"/>
      <c r="N2" s="232"/>
      <c r="O2" s="232"/>
      <c r="P2" s="232"/>
      <c r="Q2" s="578"/>
      <c r="R2" s="488"/>
      <c r="T2" s="232"/>
      <c r="U2" s="232"/>
      <c r="V2" s="232"/>
      <c r="Y2" s="232"/>
      <c r="Z2" s="232"/>
      <c r="AA2" s="232"/>
      <c r="AB2" s="232"/>
      <c r="AC2" s="232"/>
      <c r="AD2" s="232"/>
      <c r="AE2" s="232"/>
    </row>
    <row r="3" spans="2:31" ht="13.5" thickBot="1" x14ac:dyDescent="0.25">
      <c r="C3" s="232" t="s">
        <v>3</v>
      </c>
      <c r="D3" s="232"/>
      <c r="F3" s="232"/>
      <c r="G3" s="232" t="s">
        <v>131</v>
      </c>
      <c r="H3" s="232"/>
      <c r="I3" s="232"/>
      <c r="J3" s="232"/>
      <c r="L3" s="232"/>
      <c r="M3" s="232"/>
      <c r="N3" s="232"/>
      <c r="O3" s="190"/>
      <c r="P3" s="580"/>
      <c r="Q3" s="581"/>
      <c r="R3" s="488"/>
      <c r="T3" s="232"/>
      <c r="U3" s="232"/>
      <c r="V3" s="232"/>
      <c r="Y3" s="232"/>
      <c r="Z3" s="232"/>
      <c r="AA3" s="232"/>
      <c r="AB3" s="232"/>
      <c r="AC3" s="232"/>
      <c r="AD3" s="232"/>
      <c r="AE3" s="232"/>
    </row>
    <row r="4" spans="2:31" ht="13.5" thickBot="1" x14ac:dyDescent="0.25">
      <c r="C4" s="232" t="s">
        <v>4</v>
      </c>
      <c r="D4" s="232"/>
      <c r="F4" s="232"/>
      <c r="G4" s="191">
        <f ca="1">+SUM(L192:L204)</f>
        <v>0</v>
      </c>
      <c r="H4" s="232"/>
      <c r="I4" s="232"/>
      <c r="J4" s="232"/>
      <c r="L4" s="232"/>
      <c r="M4" s="232"/>
      <c r="N4" s="232"/>
      <c r="O4" s="232"/>
      <c r="P4" s="232"/>
      <c r="Q4" s="582"/>
      <c r="R4" s="583"/>
      <c r="T4" s="232"/>
      <c r="U4" s="232"/>
      <c r="V4" s="232"/>
      <c r="Y4" s="232"/>
      <c r="Z4" s="232"/>
      <c r="AA4" s="232"/>
      <c r="AB4" s="232"/>
      <c r="AC4" s="232"/>
      <c r="AD4" s="232"/>
      <c r="AE4" s="232"/>
    </row>
    <row r="5" spans="2:31" x14ac:dyDescent="0.2">
      <c r="D5" s="232"/>
      <c r="E5" s="232"/>
      <c r="F5" s="232"/>
      <c r="G5" s="232"/>
      <c r="H5" s="232"/>
      <c r="I5" s="232"/>
      <c r="J5" s="232"/>
      <c r="L5" s="232"/>
      <c r="M5" s="232"/>
      <c r="P5" s="584"/>
      <c r="Q5" s="259"/>
      <c r="R5" s="585"/>
      <c r="Y5" s="232"/>
      <c r="Z5" s="232"/>
      <c r="AA5" s="232"/>
      <c r="AB5" s="232"/>
      <c r="AC5" s="232"/>
      <c r="AD5" s="232"/>
      <c r="AE5" s="232"/>
    </row>
    <row r="6" spans="2:31" ht="13.5" thickBot="1" x14ac:dyDescent="0.25">
      <c r="D6" s="232"/>
      <c r="E6" s="232"/>
      <c r="F6" s="232"/>
      <c r="G6" s="232"/>
      <c r="H6" s="232"/>
      <c r="I6" s="232"/>
      <c r="J6" s="232"/>
      <c r="L6" s="464"/>
      <c r="M6" s="232"/>
      <c r="P6" s="586"/>
      <c r="Q6" s="587"/>
      <c r="R6" s="587"/>
      <c r="U6" s="588"/>
      <c r="Y6" s="232"/>
      <c r="Z6" s="232"/>
      <c r="AA6" s="232"/>
      <c r="AB6" s="232"/>
      <c r="AC6" s="232"/>
      <c r="AD6" s="232"/>
      <c r="AE6" s="232"/>
    </row>
    <row r="7" spans="2:31" ht="13.5" thickBot="1" x14ac:dyDescent="0.25">
      <c r="D7" s="232"/>
      <c r="E7" s="232"/>
      <c r="F7" s="232"/>
      <c r="G7" s="232"/>
      <c r="H7" s="232"/>
      <c r="I7" s="232"/>
      <c r="J7" s="232"/>
      <c r="K7" s="196" t="s">
        <v>343</v>
      </c>
      <c r="L7" s="711">
        <v>1</v>
      </c>
      <c r="M7" s="232"/>
      <c r="P7" s="196"/>
      <c r="U7" s="590"/>
      <c r="Y7" s="232"/>
      <c r="Z7" s="232"/>
      <c r="AA7" s="232"/>
      <c r="AB7" s="232"/>
      <c r="AC7" s="232"/>
      <c r="AD7" s="232"/>
      <c r="AE7" s="232"/>
    </row>
    <row r="8" spans="2:31" x14ac:dyDescent="0.2">
      <c r="D8" s="232"/>
      <c r="E8" s="232"/>
      <c r="F8" s="232"/>
      <c r="G8" s="232"/>
      <c r="H8" s="232"/>
      <c r="I8" s="232"/>
      <c r="J8" s="232"/>
      <c r="L8" s="232"/>
      <c r="M8" s="232"/>
      <c r="P8" s="196">
        <f t="shared" ref="P8:R8" si="0">O8 + 1</f>
        <v>1</v>
      </c>
      <c r="Q8" s="261">
        <f t="shared" si="0"/>
        <v>2</v>
      </c>
      <c r="R8" s="261">
        <f t="shared" si="0"/>
        <v>3</v>
      </c>
      <c r="T8" s="198"/>
      <c r="Y8" s="232"/>
      <c r="Z8" s="232"/>
      <c r="AA8" s="232"/>
      <c r="AB8" s="232"/>
      <c r="AC8" s="232"/>
      <c r="AD8" s="232"/>
      <c r="AE8" s="232"/>
    </row>
    <row r="9" spans="2:31" ht="25.5" customHeight="1" x14ac:dyDescent="0.2">
      <c r="C9" s="591" t="s">
        <v>342</v>
      </c>
      <c r="D9" s="232"/>
      <c r="E9" s="232"/>
      <c r="F9" s="232"/>
      <c r="G9" s="232" t="str">
        <f>IF(ISTEXT(INDEX(P9:R9,1,$L$7)),INDEX(P9:R9,1,$L$7),INDEX(P9:R9,1,1))</f>
        <v>Base Case</v>
      </c>
      <c r="H9" s="232"/>
      <c r="I9" s="232"/>
      <c r="J9" s="232"/>
      <c r="K9" s="618" t="s">
        <v>48</v>
      </c>
      <c r="L9" s="579" t="s">
        <v>49</v>
      </c>
      <c r="M9" s="232"/>
      <c r="P9" s="199" t="s">
        <v>344</v>
      </c>
      <c r="Q9" s="262"/>
      <c r="R9" s="262"/>
      <c r="Y9" s="232"/>
      <c r="Z9" s="232"/>
      <c r="AA9" s="232"/>
      <c r="AB9" s="232"/>
      <c r="AC9" s="232"/>
      <c r="AD9" s="232"/>
      <c r="AE9" s="232"/>
    </row>
    <row r="10" spans="2:31" ht="13.5" customHeight="1" x14ac:dyDescent="0.2">
      <c r="E10" s="602"/>
      <c r="F10" s="602"/>
      <c r="G10" s="189"/>
      <c r="H10" s="189"/>
      <c r="I10" s="602"/>
      <c r="J10" s="602"/>
      <c r="K10" s="608"/>
      <c r="L10" s="602"/>
      <c r="M10" s="602"/>
      <c r="Q10" s="589"/>
      <c r="X10" s="603"/>
    </row>
    <row r="11" spans="2:31" ht="16.5" customHeight="1" x14ac:dyDescent="0.2">
      <c r="B11" s="604"/>
      <c r="C11" s="604" t="s">
        <v>345</v>
      </c>
      <c r="D11" s="604"/>
      <c r="E11" s="604"/>
      <c r="F11" s="604"/>
      <c r="G11" s="604"/>
      <c r="H11" s="604"/>
      <c r="I11" s="604"/>
      <c r="J11" s="604"/>
      <c r="K11" s="640"/>
      <c r="L11" s="604"/>
      <c r="M11" s="604"/>
      <c r="Q11" s="589"/>
      <c r="X11" s="603"/>
    </row>
    <row r="12" spans="2:31" ht="13.5" customHeight="1" x14ac:dyDescent="0.2">
      <c r="B12" s="229"/>
      <c r="C12" s="229"/>
      <c r="D12" s="200"/>
      <c r="E12" s="605"/>
      <c r="F12" s="605"/>
      <c r="G12" s="200"/>
      <c r="H12" s="200"/>
      <c r="I12" s="605"/>
      <c r="J12" s="605"/>
      <c r="K12" s="641"/>
      <c r="L12" s="605"/>
      <c r="M12" s="605"/>
      <c r="Q12" s="589"/>
      <c r="X12" s="603"/>
    </row>
    <row r="13" spans="2:31" ht="13.5" customHeight="1" x14ac:dyDescent="0.2">
      <c r="B13" s="229"/>
      <c r="C13" s="201" t="s">
        <v>271</v>
      </c>
      <c r="D13" s="200"/>
      <c r="E13" s="200"/>
      <c r="F13" s="200"/>
      <c r="G13" s="229"/>
      <c r="H13" s="229"/>
      <c r="I13" s="200"/>
      <c r="J13" s="200"/>
      <c r="K13" s="642"/>
      <c r="L13" s="202"/>
      <c r="M13" s="200"/>
      <c r="P13" s="203"/>
      <c r="Q13" s="263"/>
      <c r="R13" s="263"/>
      <c r="X13" s="603"/>
    </row>
    <row r="14" spans="2:31" ht="13.5" customHeight="1" x14ac:dyDescent="0.2">
      <c r="B14" s="229"/>
      <c r="C14" s="228" t="s">
        <v>285</v>
      </c>
      <c r="D14" s="200"/>
      <c r="E14" s="200"/>
      <c r="F14" s="200"/>
      <c r="G14" s="229"/>
      <c r="H14" s="228"/>
      <c r="I14" s="200"/>
      <c r="J14" s="592"/>
      <c r="K14" s="643" t="s">
        <v>57</v>
      </c>
      <c r="L14" s="204">
        <f>+INDEX($P14:$R14,1,Scenario)</f>
        <v>1</v>
      </c>
      <c r="M14" s="592"/>
      <c r="P14" s="710">
        <v>1</v>
      </c>
      <c r="Q14" s="264"/>
      <c r="R14" s="264"/>
      <c r="X14" s="603"/>
    </row>
    <row r="15" spans="2:31" ht="13.5" customHeight="1" x14ac:dyDescent="0.2">
      <c r="B15" s="229"/>
      <c r="C15" s="228" t="s">
        <v>479</v>
      </c>
      <c r="D15" s="200"/>
      <c r="E15" s="200"/>
      <c r="F15" s="200"/>
      <c r="G15" s="229"/>
      <c r="H15" s="228"/>
      <c r="I15" s="200"/>
      <c r="J15" s="592"/>
      <c r="K15" s="643" t="s">
        <v>57</v>
      </c>
      <c r="L15" s="204">
        <f>+INDEX($P15:$R15,1,Scenario)</f>
        <v>1</v>
      </c>
      <c r="M15" s="592"/>
      <c r="P15" s="710">
        <v>1</v>
      </c>
      <c r="Q15" s="264"/>
      <c r="R15" s="264"/>
      <c r="X15" s="603"/>
    </row>
    <row r="16" spans="2:31" ht="13.5" customHeight="1" x14ac:dyDescent="0.2">
      <c r="B16" s="229"/>
      <c r="C16" s="228" t="s">
        <v>65</v>
      </c>
      <c r="D16" s="200"/>
      <c r="E16" s="200"/>
      <c r="F16" s="200"/>
      <c r="G16" s="229"/>
      <c r="H16" s="228"/>
      <c r="I16" s="200"/>
      <c r="J16" s="592"/>
      <c r="K16" s="643" t="s">
        <v>57</v>
      </c>
      <c r="L16" s="204">
        <f>+INDEX($P16:$R16,1,Scenario)</f>
        <v>1</v>
      </c>
      <c r="M16" s="592"/>
      <c r="P16" s="698">
        <v>1</v>
      </c>
      <c r="Q16" s="264"/>
      <c r="R16" s="264"/>
      <c r="X16" s="603"/>
    </row>
    <row r="17" spans="2:24" ht="13.5" customHeight="1" x14ac:dyDescent="0.2">
      <c r="B17" s="229"/>
      <c r="C17" s="228" t="s">
        <v>66</v>
      </c>
      <c r="D17" s="200"/>
      <c r="E17" s="200"/>
      <c r="F17" s="200"/>
      <c r="G17" s="229"/>
      <c r="H17" s="228"/>
      <c r="I17" s="200"/>
      <c r="J17" s="592"/>
      <c r="K17" s="643" t="s">
        <v>57</v>
      </c>
      <c r="L17" s="204">
        <f>+INDEX($P17:$R17,1,Scenario)</f>
        <v>1</v>
      </c>
      <c r="M17" s="592"/>
      <c r="P17" s="698">
        <v>1</v>
      </c>
      <c r="Q17" s="264"/>
      <c r="R17" s="264"/>
      <c r="X17" s="603"/>
    </row>
    <row r="18" spans="2:24" ht="13.5" customHeight="1" x14ac:dyDescent="0.2">
      <c r="B18" s="229"/>
      <c r="C18" s="228" t="s">
        <v>438</v>
      </c>
      <c r="D18" s="200"/>
      <c r="E18" s="200"/>
      <c r="F18" s="200"/>
      <c r="G18" s="229"/>
      <c r="H18" s="228"/>
      <c r="I18" s="200"/>
      <c r="J18" s="592"/>
      <c r="K18" s="643" t="s">
        <v>57</v>
      </c>
      <c r="L18" s="204">
        <f>+INDEX($P18:$R18,1,Scenario)</f>
        <v>1</v>
      </c>
      <c r="M18" s="592"/>
      <c r="P18" s="698">
        <v>1</v>
      </c>
      <c r="Q18" s="264"/>
      <c r="R18" s="264"/>
      <c r="X18" s="603"/>
    </row>
    <row r="19" spans="2:24" ht="13.5" customHeight="1" x14ac:dyDescent="0.2">
      <c r="B19" s="229"/>
      <c r="C19" s="228"/>
      <c r="D19" s="200"/>
      <c r="E19" s="200"/>
      <c r="F19" s="200"/>
      <c r="G19" s="229"/>
      <c r="H19" s="228"/>
      <c r="I19" s="200"/>
      <c r="J19" s="592"/>
      <c r="K19" s="644"/>
      <c r="L19" s="205"/>
      <c r="M19" s="592"/>
      <c r="P19" s="206"/>
      <c r="Q19" s="265"/>
      <c r="R19" s="265"/>
      <c r="X19" s="603"/>
    </row>
    <row r="20" spans="2:24" ht="13.5" customHeight="1" x14ac:dyDescent="0.2">
      <c r="B20" s="229"/>
      <c r="C20" s="201" t="s">
        <v>346</v>
      </c>
      <c r="D20" s="200"/>
      <c r="E20" s="200"/>
      <c r="F20" s="200"/>
      <c r="G20" s="229"/>
      <c r="H20" s="228"/>
      <c r="I20" s="200"/>
      <c r="J20" s="592"/>
      <c r="K20" s="644"/>
      <c r="L20" s="205"/>
      <c r="M20" s="592"/>
      <c r="P20" s="206"/>
      <c r="Q20" s="265"/>
      <c r="R20" s="265"/>
      <c r="X20" s="603"/>
    </row>
    <row r="21" spans="2:24" ht="13.5" customHeight="1" x14ac:dyDescent="0.2">
      <c r="B21" s="229"/>
      <c r="C21" s="228" t="s">
        <v>508</v>
      </c>
      <c r="D21" s="200"/>
      <c r="E21" s="200"/>
      <c r="F21" s="200"/>
      <c r="G21" s="229"/>
      <c r="H21" s="228"/>
      <c r="I21" s="200"/>
      <c r="J21" s="592"/>
      <c r="K21" s="644" t="s">
        <v>20</v>
      </c>
      <c r="L21" s="207">
        <f>+INDEX($P21:$R21,1,Scenario)</f>
        <v>2.2499999999999999E-2</v>
      </c>
      <c r="M21" s="592"/>
      <c r="P21" s="709">
        <v>2.2499999999999999E-2</v>
      </c>
      <c r="Q21" s="266"/>
      <c r="R21" s="266"/>
      <c r="X21" s="603"/>
    </row>
    <row r="22" spans="2:24" ht="13.5" customHeight="1" x14ac:dyDescent="0.2">
      <c r="B22" s="229"/>
      <c r="C22" s="228" t="s">
        <v>509</v>
      </c>
      <c r="D22" s="200"/>
      <c r="E22" s="200"/>
      <c r="F22" s="229"/>
      <c r="G22" s="229"/>
      <c r="H22" s="229"/>
      <c r="I22" s="229"/>
      <c r="J22" s="209"/>
      <c r="K22" s="644" t="s">
        <v>20</v>
      </c>
      <c r="L22" s="207">
        <f>+INDEX($P22:$R22,1,Scenario)</f>
        <v>2.3E-2</v>
      </c>
      <c r="M22" s="209"/>
      <c r="P22" s="709">
        <v>2.3E-2</v>
      </c>
      <c r="Q22" s="266"/>
      <c r="R22" s="266"/>
      <c r="X22" s="603"/>
    </row>
    <row r="23" spans="2:24" ht="13.5" customHeight="1" x14ac:dyDescent="0.2">
      <c r="B23" s="229"/>
      <c r="C23" s="228"/>
      <c r="D23" s="200"/>
      <c r="E23" s="200"/>
      <c r="F23" s="229"/>
      <c r="G23" s="229"/>
      <c r="H23" s="229"/>
      <c r="I23" s="229"/>
      <c r="J23" s="209"/>
      <c r="K23" s="644"/>
      <c r="L23" s="205"/>
      <c r="M23" s="209"/>
      <c r="P23" s="208"/>
      <c r="Q23" s="266"/>
      <c r="R23" s="266"/>
      <c r="X23" s="603"/>
    </row>
    <row r="24" spans="2:24" ht="13.5" customHeight="1" x14ac:dyDescent="0.2">
      <c r="C24" s="232"/>
      <c r="H24" s="232"/>
      <c r="J24" s="594"/>
      <c r="K24" s="645"/>
      <c r="L24" s="206"/>
      <c r="M24" s="594"/>
      <c r="P24" s="206"/>
      <c r="Q24" s="265"/>
      <c r="R24" s="265"/>
      <c r="X24" s="603"/>
    </row>
    <row r="25" spans="2:24" ht="16.5" customHeight="1" x14ac:dyDescent="0.2">
      <c r="B25" s="604"/>
      <c r="C25" s="604" t="s">
        <v>391</v>
      </c>
      <c r="D25" s="604"/>
      <c r="E25" s="604"/>
      <c r="F25" s="604"/>
      <c r="G25" s="604"/>
      <c r="H25" s="604"/>
      <c r="I25" s="604"/>
      <c r="J25" s="604"/>
      <c r="K25" s="640"/>
      <c r="L25" s="604"/>
      <c r="M25" s="604"/>
      <c r="Q25" s="589"/>
      <c r="X25" s="603"/>
    </row>
    <row r="26" spans="2:24" ht="13.5" customHeight="1" x14ac:dyDescent="0.2">
      <c r="B26" s="229"/>
      <c r="C26" s="229"/>
      <c r="D26" s="229"/>
      <c r="E26" s="200"/>
      <c r="F26" s="200"/>
      <c r="G26" s="229"/>
      <c r="H26" s="228"/>
      <c r="I26" s="200"/>
      <c r="J26" s="592"/>
      <c r="K26" s="644"/>
      <c r="L26" s="211"/>
      <c r="M26" s="592"/>
      <c r="P26" s="206"/>
      <c r="Q26" s="265"/>
      <c r="R26" s="265"/>
      <c r="X26" s="603"/>
    </row>
    <row r="27" spans="2:24" ht="13.5" customHeight="1" x14ac:dyDescent="0.2">
      <c r="B27" s="229"/>
      <c r="C27" s="595" t="s">
        <v>5</v>
      </c>
      <c r="D27" s="200"/>
      <c r="E27" s="200"/>
      <c r="F27" s="200"/>
      <c r="G27" s="229"/>
      <c r="H27" s="228"/>
      <c r="I27" s="200"/>
      <c r="J27" s="592"/>
      <c r="K27" s="644"/>
      <c r="L27" s="576">
        <v>40060</v>
      </c>
      <c r="M27" s="592"/>
      <c r="P27" s="206"/>
      <c r="Q27" s="265"/>
      <c r="R27" s="265"/>
      <c r="X27" s="603"/>
    </row>
    <row r="28" spans="2:24" ht="13.5" customHeight="1" x14ac:dyDescent="0.2">
      <c r="B28" s="229"/>
      <c r="C28" s="595" t="s">
        <v>8</v>
      </c>
      <c r="D28" s="200"/>
      <c r="E28" s="200"/>
      <c r="F28" s="200"/>
      <c r="G28" s="229"/>
      <c r="H28" s="228"/>
      <c r="I28" s="200"/>
      <c r="J28" s="592"/>
      <c r="K28" s="644"/>
      <c r="L28" s="576">
        <v>40351</v>
      </c>
      <c r="M28" s="592"/>
      <c r="P28" s="206"/>
      <c r="Q28" s="265"/>
      <c r="R28" s="265"/>
      <c r="X28" s="603"/>
    </row>
    <row r="29" spans="2:24" ht="13.5" customHeight="1" x14ac:dyDescent="0.2">
      <c r="B29" s="229"/>
      <c r="C29" s="595" t="s">
        <v>11</v>
      </c>
      <c r="D29" s="200"/>
      <c r="E29" s="200"/>
      <c r="F29" s="200"/>
      <c r="G29" s="229"/>
      <c r="H29" s="228"/>
      <c r="I29" s="200"/>
      <c r="J29" s="592"/>
      <c r="K29" s="644"/>
      <c r="L29" s="576">
        <v>42185</v>
      </c>
      <c r="M29" s="592"/>
      <c r="P29" s="206"/>
      <c r="Q29" s="265"/>
      <c r="R29" s="265"/>
      <c r="X29" s="603"/>
    </row>
    <row r="30" spans="2:24" ht="13.5" customHeight="1" x14ac:dyDescent="0.2">
      <c r="B30" s="229"/>
      <c r="C30" s="595" t="s">
        <v>14</v>
      </c>
      <c r="D30" s="200"/>
      <c r="E30" s="200"/>
      <c r="F30" s="200"/>
      <c r="G30" s="229"/>
      <c r="H30" s="228"/>
      <c r="I30" s="200"/>
      <c r="J30" s="592"/>
      <c r="K30" s="644"/>
      <c r="L30" s="576">
        <v>42278</v>
      </c>
      <c r="M30" s="592"/>
      <c r="P30" s="796"/>
      <c r="Q30" s="265"/>
      <c r="R30" s="265"/>
      <c r="X30" s="603"/>
    </row>
    <row r="31" spans="2:24" ht="13.5" customHeight="1" x14ac:dyDescent="0.2">
      <c r="B31" s="229"/>
      <c r="C31" s="595" t="s">
        <v>16</v>
      </c>
      <c r="D31" s="200"/>
      <c r="E31" s="200"/>
      <c r="F31" s="200"/>
      <c r="G31" s="229"/>
      <c r="H31" s="228"/>
      <c r="I31" s="200"/>
      <c r="J31" s="592"/>
      <c r="K31" s="644"/>
      <c r="L31" s="576">
        <v>59053</v>
      </c>
      <c r="M31" s="592"/>
      <c r="P31" s="206"/>
      <c r="Q31" s="265"/>
      <c r="R31" s="265"/>
      <c r="X31" s="603"/>
    </row>
    <row r="32" spans="2:24" ht="13.5" customHeight="1" x14ac:dyDescent="0.2">
      <c r="B32" s="229"/>
      <c r="C32" s="228"/>
      <c r="D32" s="200"/>
      <c r="E32" s="200"/>
      <c r="F32" s="200"/>
      <c r="G32" s="229"/>
      <c r="H32" s="228"/>
      <c r="I32" s="200"/>
      <c r="J32" s="592"/>
      <c r="K32" s="644"/>
      <c r="L32" s="211"/>
      <c r="M32" s="592"/>
      <c r="P32" s="206"/>
      <c r="Q32" s="265"/>
      <c r="R32" s="265"/>
      <c r="X32" s="603"/>
    </row>
    <row r="33" spans="1:24" ht="13.5" customHeight="1" x14ac:dyDescent="0.2">
      <c r="B33" s="229"/>
      <c r="C33" s="212" t="s">
        <v>270</v>
      </c>
      <c r="D33" s="200"/>
      <c r="E33" s="200"/>
      <c r="F33" s="200"/>
      <c r="G33" s="229"/>
      <c r="H33" s="228"/>
      <c r="I33" s="200"/>
      <c r="J33" s="592"/>
      <c r="K33" s="644"/>
      <c r="L33" s="206"/>
      <c r="M33" s="592"/>
      <c r="P33" s="206"/>
      <c r="Q33" s="265"/>
      <c r="R33" s="265"/>
      <c r="T33" s="213"/>
      <c r="X33" s="603"/>
    </row>
    <row r="34" spans="1:24" ht="13.5" customHeight="1" x14ac:dyDescent="0.2">
      <c r="A34" s="240">
        <v>1</v>
      </c>
      <c r="B34" s="229"/>
      <c r="C34" s="708">
        <v>2018</v>
      </c>
      <c r="D34" s="200"/>
      <c r="E34" s="200"/>
      <c r="F34" s="200"/>
      <c r="G34" s="229"/>
      <c r="H34" s="228"/>
      <c r="I34" s="200"/>
      <c r="J34" s="592"/>
      <c r="K34" s="642" t="s">
        <v>63</v>
      </c>
      <c r="L34" s="204">
        <f t="shared" ref="L34:L43" si="1">+INDEX($P34:$R34,1,Scenario)</f>
        <v>100816.560545667</v>
      </c>
      <c r="M34" s="592"/>
      <c r="P34" s="699">
        <v>100816.560545667</v>
      </c>
      <c r="Q34" s="264"/>
      <c r="R34" s="264"/>
      <c r="X34" s="603"/>
    </row>
    <row r="35" spans="1:24" ht="13.5" customHeight="1" x14ac:dyDescent="0.2">
      <c r="A35" s="240">
        <f>+A34+1</f>
        <v>2</v>
      </c>
      <c r="B35" s="229"/>
      <c r="C35" s="708">
        <f>+C34+3</f>
        <v>2021</v>
      </c>
      <c r="D35" s="200"/>
      <c r="E35" s="200"/>
      <c r="F35" s="200"/>
      <c r="G35" s="229"/>
      <c r="H35" s="228"/>
      <c r="I35" s="200"/>
      <c r="J35" s="592"/>
      <c r="K35" s="642" t="s">
        <v>63</v>
      </c>
      <c r="L35" s="204">
        <f t="shared" si="1"/>
        <v>139692.82618417928</v>
      </c>
      <c r="M35" s="592"/>
      <c r="P35" s="699">
        <v>139692.82618417928</v>
      </c>
      <c r="Q35" s="264"/>
      <c r="R35" s="264"/>
      <c r="X35" s="603"/>
    </row>
    <row r="36" spans="1:24" ht="13.5" customHeight="1" x14ac:dyDescent="0.2">
      <c r="A36" s="240">
        <f t="shared" ref="A36:A43" si="2">+A35+1</f>
        <v>3</v>
      </c>
      <c r="B36" s="229"/>
      <c r="C36" s="708">
        <f t="shared" ref="C36:C43" si="3">+C35+5</f>
        <v>2026</v>
      </c>
      <c r="D36" s="200"/>
      <c r="E36" s="200"/>
      <c r="F36" s="200"/>
      <c r="G36" s="229"/>
      <c r="H36" s="228"/>
      <c r="I36" s="200"/>
      <c r="J36" s="592"/>
      <c r="K36" s="642" t="s">
        <v>63</v>
      </c>
      <c r="L36" s="204">
        <f t="shared" si="1"/>
        <v>179512.67479715921</v>
      </c>
      <c r="M36" s="592"/>
      <c r="P36" s="699">
        <v>179512.67479715921</v>
      </c>
      <c r="Q36" s="264"/>
      <c r="R36" s="264"/>
      <c r="X36" s="603"/>
    </row>
    <row r="37" spans="1:24" ht="13.5" customHeight="1" x14ac:dyDescent="0.2">
      <c r="A37" s="240">
        <f t="shared" si="2"/>
        <v>4</v>
      </c>
      <c r="B37" s="229"/>
      <c r="C37" s="708">
        <f t="shared" si="3"/>
        <v>2031</v>
      </c>
      <c r="D37" s="200"/>
      <c r="E37" s="200"/>
      <c r="F37" s="200"/>
      <c r="G37" s="229"/>
      <c r="H37" s="228"/>
      <c r="I37" s="200"/>
      <c r="J37" s="592"/>
      <c r="K37" s="642" t="s">
        <v>63</v>
      </c>
      <c r="L37" s="204">
        <f t="shared" si="1"/>
        <v>236784.74789309705</v>
      </c>
      <c r="M37" s="592"/>
      <c r="P37" s="699">
        <v>236784.74789309705</v>
      </c>
      <c r="Q37" s="264"/>
      <c r="R37" s="264"/>
      <c r="X37" s="603"/>
    </row>
    <row r="38" spans="1:24" ht="13.5" customHeight="1" x14ac:dyDescent="0.2">
      <c r="A38" s="240">
        <f t="shared" si="2"/>
        <v>5</v>
      </c>
      <c r="B38" s="229"/>
      <c r="C38" s="708">
        <f t="shared" si="3"/>
        <v>2036</v>
      </c>
      <c r="D38" s="200"/>
      <c r="E38" s="200"/>
      <c r="F38" s="200"/>
      <c r="G38" s="229"/>
      <c r="H38" s="228"/>
      <c r="I38" s="200"/>
      <c r="J38" s="592"/>
      <c r="K38" s="642" t="s">
        <v>63</v>
      </c>
      <c r="L38" s="204">
        <f t="shared" si="1"/>
        <v>299215.57174665615</v>
      </c>
      <c r="M38" s="592"/>
      <c r="P38" s="699">
        <v>299215.57174665615</v>
      </c>
      <c r="Q38" s="264"/>
      <c r="R38" s="264"/>
      <c r="X38" s="603"/>
    </row>
    <row r="39" spans="1:24" ht="13.5" customHeight="1" x14ac:dyDescent="0.2">
      <c r="A39" s="240">
        <f t="shared" si="2"/>
        <v>6</v>
      </c>
      <c r="B39" s="229"/>
      <c r="C39" s="708">
        <f t="shared" si="3"/>
        <v>2041</v>
      </c>
      <c r="D39" s="200"/>
      <c r="E39" s="200"/>
      <c r="F39" s="200"/>
      <c r="G39" s="229"/>
      <c r="H39" s="228"/>
      <c r="I39" s="200"/>
      <c r="J39" s="592"/>
      <c r="K39" s="642" t="s">
        <v>63</v>
      </c>
      <c r="L39" s="204">
        <f t="shared" si="1"/>
        <v>379328.85397144285</v>
      </c>
      <c r="M39" s="592"/>
      <c r="P39" s="699">
        <v>379328.85397144285</v>
      </c>
      <c r="Q39" s="264"/>
      <c r="R39" s="264"/>
      <c r="X39" s="603"/>
    </row>
    <row r="40" spans="1:24" ht="13.5" customHeight="1" x14ac:dyDescent="0.2">
      <c r="A40" s="240">
        <f t="shared" si="2"/>
        <v>7</v>
      </c>
      <c r="B40" s="229"/>
      <c r="C40" s="708">
        <f t="shared" si="3"/>
        <v>2046</v>
      </c>
      <c r="D40" s="200"/>
      <c r="E40" s="200"/>
      <c r="F40" s="200"/>
      <c r="G40" s="229"/>
      <c r="H40" s="228"/>
      <c r="I40" s="200"/>
      <c r="J40" s="592"/>
      <c r="K40" s="642" t="s">
        <v>63</v>
      </c>
      <c r="L40" s="204">
        <f t="shared" si="1"/>
        <v>461044.43750795833</v>
      </c>
      <c r="M40" s="592"/>
      <c r="P40" s="699">
        <v>461044.43750795833</v>
      </c>
      <c r="Q40" s="264"/>
      <c r="R40" s="264"/>
      <c r="X40" s="603"/>
    </row>
    <row r="41" spans="1:24" ht="13.5" customHeight="1" x14ac:dyDescent="0.2">
      <c r="A41" s="240">
        <f t="shared" si="2"/>
        <v>8</v>
      </c>
      <c r="B41" s="229"/>
      <c r="C41" s="708">
        <f t="shared" si="3"/>
        <v>2051</v>
      </c>
      <c r="D41" s="200"/>
      <c r="E41" s="200"/>
      <c r="F41" s="200"/>
      <c r="G41" s="229"/>
      <c r="H41" s="228"/>
      <c r="I41" s="200"/>
      <c r="J41" s="592"/>
      <c r="K41" s="642" t="s">
        <v>63</v>
      </c>
      <c r="L41" s="204">
        <f t="shared" si="1"/>
        <v>555287.35118707013</v>
      </c>
      <c r="M41" s="592"/>
      <c r="P41" s="699">
        <v>555287.35118707013</v>
      </c>
      <c r="Q41" s="264"/>
      <c r="R41" s="264"/>
      <c r="X41" s="603"/>
    </row>
    <row r="42" spans="1:24" ht="13.5" customHeight="1" x14ac:dyDescent="0.2">
      <c r="A42" s="240">
        <f t="shared" si="2"/>
        <v>9</v>
      </c>
      <c r="B42" s="229"/>
      <c r="C42" s="708">
        <f t="shared" si="3"/>
        <v>2056</v>
      </c>
      <c r="D42" s="200"/>
      <c r="E42" s="200"/>
      <c r="F42" s="200"/>
      <c r="G42" s="229"/>
      <c r="H42" s="228"/>
      <c r="I42" s="200"/>
      <c r="J42" s="592"/>
      <c r="K42" s="642" t="s">
        <v>63</v>
      </c>
      <c r="L42" s="204">
        <f t="shared" si="1"/>
        <v>673171.81683657318</v>
      </c>
      <c r="M42" s="592"/>
      <c r="P42" s="699">
        <v>673171.81683657318</v>
      </c>
      <c r="Q42" s="264"/>
      <c r="R42" s="264"/>
      <c r="X42" s="603"/>
    </row>
    <row r="43" spans="1:24" ht="13.5" customHeight="1" x14ac:dyDescent="0.2">
      <c r="A43" s="240">
        <f t="shared" si="2"/>
        <v>10</v>
      </c>
      <c r="B43" s="229"/>
      <c r="C43" s="708">
        <f t="shared" si="3"/>
        <v>2061</v>
      </c>
      <c r="D43" s="200"/>
      <c r="E43" s="200"/>
      <c r="F43" s="200"/>
      <c r="G43" s="229"/>
      <c r="H43" s="228"/>
      <c r="I43" s="200"/>
      <c r="J43" s="592"/>
      <c r="K43" s="642" t="s">
        <v>63</v>
      </c>
      <c r="L43" s="204">
        <f t="shared" si="1"/>
        <v>868389.55701567011</v>
      </c>
      <c r="M43" s="592"/>
      <c r="P43" s="699">
        <v>868389.55701567011</v>
      </c>
      <c r="Q43" s="264"/>
      <c r="R43" s="264"/>
      <c r="X43" s="603"/>
    </row>
    <row r="44" spans="1:24" ht="13.5" customHeight="1" x14ac:dyDescent="0.2">
      <c r="B44" s="229"/>
      <c r="C44" s="214"/>
      <c r="D44" s="200"/>
      <c r="E44" s="200"/>
      <c r="F44" s="200"/>
      <c r="G44" s="229"/>
      <c r="H44" s="228"/>
      <c r="I44" s="200"/>
      <c r="J44" s="592"/>
      <c r="K44" s="642"/>
      <c r="L44" s="211"/>
      <c r="M44" s="592"/>
      <c r="P44" s="215"/>
      <c r="Q44" s="215"/>
      <c r="R44" s="215"/>
      <c r="X44" s="603"/>
    </row>
    <row r="45" spans="1:24" ht="13.5" customHeight="1" x14ac:dyDescent="0.2">
      <c r="B45" s="229"/>
      <c r="C45" s="212" t="s">
        <v>479</v>
      </c>
      <c r="D45" s="200"/>
      <c r="E45" s="200"/>
      <c r="F45" s="200"/>
      <c r="G45" s="229"/>
      <c r="H45" s="228"/>
      <c r="I45" s="200"/>
      <c r="J45" s="592"/>
      <c r="K45" s="642"/>
      <c r="L45" s="211"/>
      <c r="M45" s="592"/>
      <c r="P45" s="215"/>
      <c r="Q45" s="215"/>
      <c r="R45" s="215"/>
      <c r="X45" s="603"/>
    </row>
    <row r="46" spans="1:24" ht="13.5" customHeight="1" x14ac:dyDescent="0.2">
      <c r="A46" s="240">
        <v>1</v>
      </c>
      <c r="B46" s="229"/>
      <c r="C46" s="708">
        <v>2018</v>
      </c>
      <c r="D46" s="200"/>
      <c r="E46" s="200"/>
      <c r="F46" s="200"/>
      <c r="G46" s="229"/>
      <c r="H46" s="228"/>
      <c r="I46" s="200"/>
      <c r="J46" s="592"/>
      <c r="K46" s="642" t="s">
        <v>63</v>
      </c>
      <c r="L46" s="204">
        <f t="shared" ref="L46:L55" si="4">+INDEX($P46:$R46,1,Scenario)</f>
        <v>2084.9530497587298</v>
      </c>
      <c r="M46" s="592"/>
      <c r="P46" s="699">
        <v>2084.9530497587298</v>
      </c>
      <c r="Q46" s="264"/>
      <c r="R46" s="264"/>
      <c r="X46" s="603"/>
    </row>
    <row r="47" spans="1:24" ht="13.5" customHeight="1" x14ac:dyDescent="0.2">
      <c r="A47" s="240">
        <f>+A46+1</f>
        <v>2</v>
      </c>
      <c r="B47" s="229"/>
      <c r="C47" s="708">
        <f>+C46+3</f>
        <v>2021</v>
      </c>
      <c r="D47" s="200"/>
      <c r="E47" s="200"/>
      <c r="F47" s="200"/>
      <c r="G47" s="229"/>
      <c r="H47" s="228"/>
      <c r="I47" s="200"/>
      <c r="J47" s="592"/>
      <c r="K47" s="642" t="s">
        <v>63</v>
      </c>
      <c r="L47" s="204">
        <f t="shared" si="4"/>
        <v>1475.3315331820049</v>
      </c>
      <c r="M47" s="592"/>
      <c r="P47" s="699">
        <v>1475.3315331820049</v>
      </c>
      <c r="Q47" s="264"/>
      <c r="R47" s="264"/>
      <c r="X47" s="603"/>
    </row>
    <row r="48" spans="1:24" ht="13.5" customHeight="1" x14ac:dyDescent="0.2">
      <c r="A48" s="240">
        <f t="shared" ref="A48:A55" si="5">+A47+1</f>
        <v>3</v>
      </c>
      <c r="B48" s="229"/>
      <c r="C48" s="708">
        <f t="shared" ref="C48:C55" si="6">+C47+5</f>
        <v>2026</v>
      </c>
      <c r="D48" s="200"/>
      <c r="E48" s="200"/>
      <c r="F48" s="200"/>
      <c r="G48" s="229"/>
      <c r="H48" s="228"/>
      <c r="I48" s="200"/>
      <c r="J48" s="592"/>
      <c r="K48" s="642" t="s">
        <v>63</v>
      </c>
      <c r="L48" s="204">
        <f t="shared" si="4"/>
        <v>1684.8047581633728</v>
      </c>
      <c r="M48" s="592"/>
      <c r="P48" s="699">
        <v>1684.8047581633728</v>
      </c>
      <c r="Q48" s="264"/>
      <c r="R48" s="264"/>
      <c r="X48" s="603"/>
    </row>
    <row r="49" spans="1:24" ht="13.5" customHeight="1" x14ac:dyDescent="0.2">
      <c r="A49" s="240">
        <f t="shared" si="5"/>
        <v>4</v>
      </c>
      <c r="B49" s="229"/>
      <c r="C49" s="708">
        <f t="shared" si="6"/>
        <v>2031</v>
      </c>
      <c r="D49" s="200"/>
      <c r="E49" s="200"/>
      <c r="F49" s="200"/>
      <c r="G49" s="229"/>
      <c r="H49" s="228"/>
      <c r="I49" s="200"/>
      <c r="J49" s="592"/>
      <c r="K49" s="642" t="s">
        <v>63</v>
      </c>
      <c r="L49" s="204">
        <f t="shared" si="4"/>
        <v>1894.2779831447697</v>
      </c>
      <c r="M49" s="592"/>
      <c r="P49" s="699">
        <v>1894.2779831447697</v>
      </c>
      <c r="Q49" s="264"/>
      <c r="R49" s="264"/>
      <c r="X49" s="603"/>
    </row>
    <row r="50" spans="1:24" ht="13.5" customHeight="1" x14ac:dyDescent="0.2">
      <c r="A50" s="240">
        <f t="shared" si="5"/>
        <v>5</v>
      </c>
      <c r="B50" s="229"/>
      <c r="C50" s="708">
        <f t="shared" si="6"/>
        <v>2036</v>
      </c>
      <c r="D50" s="200"/>
      <c r="E50" s="200"/>
      <c r="F50" s="200"/>
      <c r="G50" s="229"/>
      <c r="H50" s="228"/>
      <c r="I50" s="200"/>
      <c r="J50" s="592"/>
      <c r="K50" s="642" t="s">
        <v>63</v>
      </c>
      <c r="L50" s="204">
        <f t="shared" si="4"/>
        <v>8213.7607930454542</v>
      </c>
      <c r="M50" s="592"/>
      <c r="P50" s="699">
        <v>8213.7607930454542</v>
      </c>
      <c r="Q50" s="264"/>
      <c r="R50" s="264"/>
      <c r="X50" s="603"/>
    </row>
    <row r="51" spans="1:24" ht="13.5" customHeight="1" x14ac:dyDescent="0.2">
      <c r="A51" s="240">
        <f t="shared" si="5"/>
        <v>6</v>
      </c>
      <c r="B51" s="229"/>
      <c r="C51" s="708">
        <f t="shared" si="6"/>
        <v>2041</v>
      </c>
      <c r="D51" s="200"/>
      <c r="E51" s="200"/>
      <c r="F51" s="200"/>
      <c r="G51" s="229"/>
      <c r="H51" s="228"/>
      <c r="I51" s="200"/>
      <c r="J51" s="592"/>
      <c r="K51" s="642" t="s">
        <v>63</v>
      </c>
      <c r="L51" s="204">
        <f t="shared" si="4"/>
        <v>10412.948932549451</v>
      </c>
      <c r="M51" s="592"/>
      <c r="P51" s="699">
        <v>10412.948932549451</v>
      </c>
      <c r="Q51" s="264"/>
      <c r="R51" s="264"/>
      <c r="X51" s="603"/>
    </row>
    <row r="52" spans="1:24" ht="13.5" customHeight="1" x14ac:dyDescent="0.2">
      <c r="A52" s="240">
        <f t="shared" si="5"/>
        <v>7</v>
      </c>
      <c r="B52" s="229"/>
      <c r="C52" s="708">
        <f t="shared" si="6"/>
        <v>2046</v>
      </c>
      <c r="D52" s="200"/>
      <c r="E52" s="200"/>
      <c r="F52" s="200"/>
      <c r="G52" s="229"/>
      <c r="H52" s="228"/>
      <c r="I52" s="200"/>
      <c r="J52" s="592"/>
      <c r="K52" s="642" t="s">
        <v>63</v>
      </c>
      <c r="L52" s="204">
        <f t="shared" si="4"/>
        <v>12656.121813943959</v>
      </c>
      <c r="M52" s="592"/>
      <c r="P52" s="699">
        <v>12656.121813943959</v>
      </c>
      <c r="Q52" s="264"/>
      <c r="R52" s="264"/>
      <c r="X52" s="603"/>
    </row>
    <row r="53" spans="1:24" ht="13.5" customHeight="1" x14ac:dyDescent="0.2">
      <c r="A53" s="240">
        <f t="shared" si="5"/>
        <v>8</v>
      </c>
      <c r="B53" s="229"/>
      <c r="C53" s="708">
        <f t="shared" si="6"/>
        <v>2051</v>
      </c>
      <c r="D53" s="200"/>
      <c r="E53" s="200"/>
      <c r="F53" s="200"/>
      <c r="G53" s="229"/>
      <c r="H53" s="228"/>
      <c r="I53" s="200"/>
      <c r="J53" s="592"/>
      <c r="K53" s="642" t="s">
        <v>63</v>
      </c>
      <c r="L53" s="204">
        <f t="shared" si="4"/>
        <v>15243.182189448969</v>
      </c>
      <c r="M53" s="592"/>
      <c r="P53" s="699">
        <v>15243.182189448969</v>
      </c>
      <c r="Q53" s="264"/>
      <c r="R53" s="264"/>
      <c r="X53" s="603"/>
    </row>
    <row r="54" spans="1:24" ht="13.5" customHeight="1" x14ac:dyDescent="0.2">
      <c r="A54" s="240">
        <f t="shared" si="5"/>
        <v>9</v>
      </c>
      <c r="B54" s="229"/>
      <c r="C54" s="708">
        <f t="shared" si="6"/>
        <v>2056</v>
      </c>
      <c r="D54" s="200"/>
      <c r="E54" s="200"/>
      <c r="F54" s="200"/>
      <c r="G54" s="229"/>
      <c r="H54" s="228"/>
      <c r="I54" s="200"/>
      <c r="J54" s="592"/>
      <c r="K54" s="642" t="s">
        <v>63</v>
      </c>
      <c r="L54" s="204">
        <f t="shared" si="4"/>
        <v>18479.226344533381</v>
      </c>
      <c r="M54" s="592"/>
      <c r="P54" s="699">
        <v>18479.226344533381</v>
      </c>
      <c r="Q54" s="264"/>
      <c r="R54" s="264"/>
      <c r="X54" s="603"/>
    </row>
    <row r="55" spans="1:24" ht="13.5" customHeight="1" x14ac:dyDescent="0.2">
      <c r="A55" s="240">
        <f t="shared" si="5"/>
        <v>10</v>
      </c>
      <c r="B55" s="229"/>
      <c r="C55" s="708">
        <f t="shared" si="6"/>
        <v>2061</v>
      </c>
      <c r="D55" s="200"/>
      <c r="E55" s="200"/>
      <c r="F55" s="200"/>
      <c r="G55" s="229"/>
      <c r="H55" s="228"/>
      <c r="I55" s="200"/>
      <c r="J55" s="592"/>
      <c r="K55" s="642" t="s">
        <v>63</v>
      </c>
      <c r="L55" s="204">
        <f t="shared" si="4"/>
        <v>23838.144702390884</v>
      </c>
      <c r="M55" s="592"/>
      <c r="P55" s="699">
        <v>23838.144702390884</v>
      </c>
      <c r="Q55" s="264"/>
      <c r="R55" s="264"/>
      <c r="X55" s="603"/>
    </row>
    <row r="56" spans="1:24" ht="13.5" customHeight="1" x14ac:dyDescent="0.2">
      <c r="B56" s="229"/>
      <c r="C56" s="228"/>
      <c r="D56" s="200"/>
      <c r="E56" s="200"/>
      <c r="F56" s="200"/>
      <c r="G56" s="229"/>
      <c r="H56" s="228"/>
      <c r="I56" s="200"/>
      <c r="J56" s="592"/>
      <c r="K56" s="644"/>
      <c r="L56" s="211"/>
      <c r="M56" s="592"/>
      <c r="P56" s="206"/>
      <c r="Q56" s="265"/>
      <c r="R56" s="265"/>
      <c r="X56" s="603"/>
    </row>
    <row r="57" spans="1:24" ht="13.5" customHeight="1" x14ac:dyDescent="0.2">
      <c r="B57" s="229"/>
      <c r="C57" s="212" t="s">
        <v>65</v>
      </c>
      <c r="D57" s="200"/>
      <c r="E57" s="200"/>
      <c r="F57" s="200"/>
      <c r="G57" s="229"/>
      <c r="H57" s="228"/>
      <c r="I57" s="200"/>
      <c r="J57" s="592"/>
      <c r="K57" s="644"/>
      <c r="L57" s="211"/>
      <c r="M57" s="592"/>
      <c r="P57" s="206"/>
      <c r="Q57" s="265"/>
      <c r="R57" s="265"/>
      <c r="X57" s="603"/>
    </row>
    <row r="58" spans="1:24" ht="13.5" customHeight="1" x14ac:dyDescent="0.2">
      <c r="A58" s="240">
        <f t="shared" ref="A58:A67" si="7">+A34</f>
        <v>1</v>
      </c>
      <c r="B58" s="229"/>
      <c r="C58" s="707">
        <f t="shared" ref="C58:C67" si="8">+C34</f>
        <v>2018</v>
      </c>
      <c r="D58" s="200"/>
      <c r="E58" s="200"/>
      <c r="F58" s="200"/>
      <c r="G58" s="229"/>
      <c r="H58" s="228"/>
      <c r="I58" s="200"/>
      <c r="J58" s="592"/>
      <c r="K58" s="642" t="s">
        <v>63</v>
      </c>
      <c r="L58" s="204">
        <f t="shared" ref="L58:L67" si="9">+INDEX($P58:$R58,1,Scenario)</f>
        <v>17402.625008768999</v>
      </c>
      <c r="M58" s="592"/>
      <c r="P58" s="699">
        <v>17402.625008768999</v>
      </c>
      <c r="Q58" s="264"/>
      <c r="R58" s="264"/>
      <c r="X58" s="603"/>
    </row>
    <row r="59" spans="1:24" ht="13.5" customHeight="1" x14ac:dyDescent="0.2">
      <c r="A59" s="240">
        <f t="shared" si="7"/>
        <v>2</v>
      </c>
      <c r="B59" s="229"/>
      <c r="C59" s="707">
        <f t="shared" si="8"/>
        <v>2021</v>
      </c>
      <c r="D59" s="200"/>
      <c r="E59" s="200"/>
      <c r="F59" s="200"/>
      <c r="G59" s="229"/>
      <c r="H59" s="228"/>
      <c r="I59" s="200"/>
      <c r="J59" s="592"/>
      <c r="K59" s="642" t="s">
        <v>63</v>
      </c>
      <c r="L59" s="204">
        <f t="shared" si="9"/>
        <v>19273.852594477416</v>
      </c>
      <c r="M59" s="592"/>
      <c r="P59" s="699">
        <v>19273.852594477416</v>
      </c>
      <c r="Q59" s="264"/>
      <c r="R59" s="264"/>
      <c r="X59" s="603"/>
    </row>
    <row r="60" spans="1:24" ht="13.5" customHeight="1" x14ac:dyDescent="0.2">
      <c r="A60" s="240">
        <f t="shared" si="7"/>
        <v>3</v>
      </c>
      <c r="B60" s="229"/>
      <c r="C60" s="707">
        <f t="shared" si="8"/>
        <v>2026</v>
      </c>
      <c r="D60" s="200"/>
      <c r="E60" s="200"/>
      <c r="F60" s="200"/>
      <c r="G60" s="229"/>
      <c r="H60" s="228"/>
      <c r="I60" s="200"/>
      <c r="J60" s="592"/>
      <c r="K60" s="642" t="s">
        <v>63</v>
      </c>
      <c r="L60" s="204">
        <f t="shared" si="9"/>
        <v>21245.591896039823</v>
      </c>
      <c r="M60" s="592"/>
      <c r="P60" s="699">
        <v>21245.591896039823</v>
      </c>
      <c r="Q60" s="264"/>
      <c r="R60" s="264"/>
      <c r="X60" s="603"/>
    </row>
    <row r="61" spans="1:24" ht="13.5" customHeight="1" x14ac:dyDescent="0.2">
      <c r="A61" s="240">
        <f t="shared" si="7"/>
        <v>4</v>
      </c>
      <c r="B61" s="229"/>
      <c r="C61" s="707">
        <f t="shared" si="8"/>
        <v>2031</v>
      </c>
      <c r="D61" s="200"/>
      <c r="E61" s="200"/>
      <c r="F61" s="200"/>
      <c r="G61" s="229"/>
      <c r="H61" s="228"/>
      <c r="I61" s="200"/>
      <c r="J61" s="592"/>
      <c r="K61" s="642" t="s">
        <v>63</v>
      </c>
      <c r="L61" s="204">
        <f t="shared" si="9"/>
        <v>24220.822203311673</v>
      </c>
      <c r="M61" s="592"/>
      <c r="P61" s="699">
        <v>24220.822203311673</v>
      </c>
      <c r="Q61" s="264"/>
      <c r="R61" s="264"/>
      <c r="X61" s="603"/>
    </row>
    <row r="62" spans="1:24" ht="13.5" customHeight="1" x14ac:dyDescent="0.2">
      <c r="A62" s="240">
        <f t="shared" si="7"/>
        <v>5</v>
      </c>
      <c r="B62" s="229"/>
      <c r="C62" s="707">
        <f t="shared" si="8"/>
        <v>2036</v>
      </c>
      <c r="D62" s="200"/>
      <c r="E62" s="200"/>
      <c r="F62" s="200"/>
      <c r="G62" s="229"/>
      <c r="H62" s="228"/>
      <c r="I62" s="200"/>
      <c r="J62" s="592"/>
      <c r="K62" s="642" t="s">
        <v>63</v>
      </c>
      <c r="L62" s="204">
        <f t="shared" si="9"/>
        <v>26981.814201687866</v>
      </c>
      <c r="M62" s="592"/>
      <c r="P62" s="699">
        <v>26981.814201687866</v>
      </c>
      <c r="Q62" s="264"/>
      <c r="R62" s="264"/>
      <c r="X62" s="603"/>
    </row>
    <row r="63" spans="1:24" ht="13.5" customHeight="1" x14ac:dyDescent="0.2">
      <c r="A63" s="240">
        <f t="shared" si="7"/>
        <v>6</v>
      </c>
      <c r="B63" s="229"/>
      <c r="C63" s="707">
        <f t="shared" si="8"/>
        <v>2041</v>
      </c>
      <c r="D63" s="200"/>
      <c r="E63" s="200"/>
      <c r="F63" s="200"/>
      <c r="G63" s="229"/>
      <c r="H63" s="228"/>
      <c r="I63" s="200"/>
      <c r="J63" s="592"/>
      <c r="K63" s="642" t="s">
        <v>63</v>
      </c>
      <c r="L63" s="204">
        <f t="shared" si="9"/>
        <v>30698.174413264616</v>
      </c>
      <c r="M63" s="592"/>
      <c r="P63" s="699">
        <v>30698.174413264616</v>
      </c>
      <c r="Q63" s="264"/>
      <c r="R63" s="264"/>
      <c r="X63" s="603"/>
    </row>
    <row r="64" spans="1:24" ht="13.5" customHeight="1" x14ac:dyDescent="0.2">
      <c r="A64" s="240">
        <f t="shared" si="7"/>
        <v>7</v>
      </c>
      <c r="B64" s="229"/>
      <c r="C64" s="707">
        <f t="shared" si="8"/>
        <v>2046</v>
      </c>
      <c r="D64" s="200"/>
      <c r="E64" s="200"/>
      <c r="F64" s="200"/>
      <c r="G64" s="229"/>
      <c r="H64" s="228"/>
      <c r="I64" s="200"/>
      <c r="J64" s="592"/>
      <c r="K64" s="642" t="s">
        <v>63</v>
      </c>
      <c r="L64" s="204">
        <f t="shared" si="9"/>
        <v>33908.566534823003</v>
      </c>
      <c r="M64" s="592"/>
      <c r="P64" s="699">
        <v>33908.566534823003</v>
      </c>
      <c r="Q64" s="264"/>
      <c r="R64" s="264"/>
      <c r="X64" s="603"/>
    </row>
    <row r="65" spans="1:31" ht="13.5" customHeight="1" x14ac:dyDescent="0.2">
      <c r="A65" s="240">
        <f t="shared" si="7"/>
        <v>8</v>
      </c>
      <c r="B65" s="229"/>
      <c r="C65" s="707">
        <f t="shared" si="8"/>
        <v>2051</v>
      </c>
      <c r="D65" s="200"/>
      <c r="E65" s="200"/>
      <c r="F65" s="200"/>
      <c r="G65" s="229"/>
      <c r="H65" s="228"/>
      <c r="I65" s="200"/>
      <c r="J65" s="592"/>
      <c r="K65" s="642" t="s">
        <v>63</v>
      </c>
      <c r="L65" s="204">
        <f t="shared" si="9"/>
        <v>37724.937693487096</v>
      </c>
      <c r="M65" s="592"/>
      <c r="P65" s="699">
        <v>37724.937693487096</v>
      </c>
      <c r="Q65" s="264"/>
      <c r="R65" s="264"/>
      <c r="X65" s="603"/>
    </row>
    <row r="66" spans="1:31" ht="13.5" customHeight="1" x14ac:dyDescent="0.2">
      <c r="A66" s="240">
        <f t="shared" si="7"/>
        <v>9</v>
      </c>
      <c r="B66" s="229"/>
      <c r="C66" s="707">
        <f t="shared" si="8"/>
        <v>2056</v>
      </c>
      <c r="D66" s="200"/>
      <c r="E66" s="200"/>
      <c r="F66" s="200"/>
      <c r="G66" s="229"/>
      <c r="H66" s="228"/>
      <c r="I66" s="200"/>
      <c r="J66" s="592"/>
      <c r="K66" s="642" t="s">
        <v>63</v>
      </c>
      <c r="L66" s="204">
        <f t="shared" si="9"/>
        <v>42163.67018876745</v>
      </c>
      <c r="M66" s="592"/>
      <c r="P66" s="699">
        <v>42163.67018876745</v>
      </c>
      <c r="Q66" s="264"/>
      <c r="R66" s="264"/>
      <c r="X66" s="603"/>
    </row>
    <row r="67" spans="1:31" ht="13.5" customHeight="1" x14ac:dyDescent="0.2">
      <c r="A67" s="240">
        <f t="shared" si="7"/>
        <v>10</v>
      </c>
      <c r="B67" s="229"/>
      <c r="C67" s="707">
        <f t="shared" si="8"/>
        <v>2061</v>
      </c>
      <c r="D67" s="200"/>
      <c r="E67" s="200"/>
      <c r="F67" s="200"/>
      <c r="G67" s="229"/>
      <c r="H67" s="228"/>
      <c r="I67" s="200"/>
      <c r="J67" s="592"/>
      <c r="K67" s="642" t="s">
        <v>63</v>
      </c>
      <c r="L67" s="204">
        <f t="shared" si="9"/>
        <v>49727.478312923915</v>
      </c>
      <c r="M67" s="592"/>
      <c r="P67" s="699">
        <v>49727.478312923915</v>
      </c>
      <c r="Q67" s="264"/>
      <c r="R67" s="264"/>
      <c r="X67" s="603"/>
    </row>
    <row r="68" spans="1:31" s="240" customFormat="1" ht="13.5" customHeight="1" x14ac:dyDescent="0.2">
      <c r="B68" s="229"/>
      <c r="C68" s="237"/>
      <c r="D68" s="200"/>
      <c r="E68" s="200"/>
      <c r="F68" s="200"/>
      <c r="G68" s="229"/>
      <c r="H68" s="228"/>
      <c r="I68" s="200"/>
      <c r="J68" s="592"/>
      <c r="K68" s="642"/>
      <c r="L68" s="216"/>
      <c r="M68" s="592"/>
      <c r="O68" s="193"/>
      <c r="P68" s="217"/>
      <c r="Q68" s="267"/>
      <c r="R68" s="267"/>
      <c r="S68" s="232"/>
      <c r="W68" s="579"/>
      <c r="X68" s="603"/>
      <c r="Y68" s="189"/>
      <c r="Z68" s="189"/>
      <c r="AA68" s="189"/>
      <c r="AB68" s="189"/>
      <c r="AC68" s="189"/>
      <c r="AD68" s="189"/>
      <c r="AE68" s="189"/>
    </row>
    <row r="69" spans="1:31" s="240" customFormat="1" ht="13.5" customHeight="1" x14ac:dyDescent="0.2">
      <c r="B69" s="229"/>
      <c r="C69" s="212" t="s">
        <v>66</v>
      </c>
      <c r="D69" s="200"/>
      <c r="E69" s="200"/>
      <c r="F69" s="200"/>
      <c r="G69" s="229"/>
      <c r="H69" s="228"/>
      <c r="I69" s="200"/>
      <c r="J69" s="592"/>
      <c r="K69" s="642"/>
      <c r="L69" s="216"/>
      <c r="M69" s="592"/>
      <c r="O69" s="193"/>
      <c r="P69" s="217"/>
      <c r="Q69" s="267"/>
      <c r="R69" s="267"/>
      <c r="S69" s="232"/>
      <c r="W69" s="579"/>
      <c r="X69" s="603"/>
      <c r="Y69" s="189"/>
      <c r="Z69" s="189"/>
      <c r="AA69" s="189"/>
      <c r="AB69" s="189"/>
      <c r="AC69" s="189"/>
      <c r="AD69" s="189"/>
      <c r="AE69" s="189"/>
    </row>
    <row r="70" spans="1:31" ht="13.5" customHeight="1" x14ac:dyDescent="0.2">
      <c r="A70" s="240">
        <f t="shared" ref="A70:A79" si="10">+A58</f>
        <v>1</v>
      </c>
      <c r="B70" s="229"/>
      <c r="C70" s="707">
        <f t="shared" ref="C70:C79" si="11">+C58</f>
        <v>2018</v>
      </c>
      <c r="D70" s="200"/>
      <c r="E70" s="200"/>
      <c r="F70" s="200"/>
      <c r="G70" s="229"/>
      <c r="H70" s="228"/>
      <c r="I70" s="200"/>
      <c r="J70" s="592"/>
      <c r="K70" s="642" t="s">
        <v>63</v>
      </c>
      <c r="L70" s="204">
        <f t="shared" ref="L70:L79" si="12">+INDEX($P70:$R70,1,Scenario)</f>
        <v>5748.6358847196598</v>
      </c>
      <c r="M70" s="592"/>
      <c r="P70" s="699">
        <v>5748.6358847196598</v>
      </c>
      <c r="Q70" s="264"/>
      <c r="R70" s="264"/>
      <c r="X70" s="603"/>
    </row>
    <row r="71" spans="1:31" ht="13.5" customHeight="1" x14ac:dyDescent="0.2">
      <c r="A71" s="240">
        <f t="shared" si="10"/>
        <v>2</v>
      </c>
      <c r="B71" s="229"/>
      <c r="C71" s="707">
        <f t="shared" si="11"/>
        <v>2021</v>
      </c>
      <c r="D71" s="200"/>
      <c r="E71" s="200"/>
      <c r="F71" s="200"/>
      <c r="G71" s="229"/>
      <c r="H71" s="228"/>
      <c r="I71" s="200"/>
      <c r="J71" s="592"/>
      <c r="K71" s="642" t="s">
        <v>63</v>
      </c>
      <c r="L71" s="204">
        <f t="shared" si="12"/>
        <v>1959.2155355152995</v>
      </c>
      <c r="M71" s="592"/>
      <c r="P71" s="699">
        <v>1959.2155355152995</v>
      </c>
      <c r="Q71" s="264"/>
      <c r="R71" s="264"/>
      <c r="X71" s="603"/>
    </row>
    <row r="72" spans="1:31" ht="13.5" customHeight="1" x14ac:dyDescent="0.2">
      <c r="A72" s="240">
        <f t="shared" si="10"/>
        <v>3</v>
      </c>
      <c r="B72" s="229"/>
      <c r="C72" s="707">
        <f t="shared" si="11"/>
        <v>2026</v>
      </c>
      <c r="D72" s="200"/>
      <c r="E72" s="200"/>
      <c r="F72" s="200"/>
      <c r="G72" s="229"/>
      <c r="H72" s="228"/>
      <c r="I72" s="200"/>
      <c r="J72" s="592"/>
      <c r="K72" s="642" t="s">
        <v>63</v>
      </c>
      <c r="L72" s="204">
        <f t="shared" si="12"/>
        <v>5942.3853198263478</v>
      </c>
      <c r="M72" s="592"/>
      <c r="P72" s="699">
        <v>5942.3853198263478</v>
      </c>
      <c r="Q72" s="264"/>
      <c r="R72" s="264"/>
      <c r="X72" s="603"/>
    </row>
    <row r="73" spans="1:31" ht="13.5" customHeight="1" x14ac:dyDescent="0.2">
      <c r="A73" s="240">
        <f t="shared" si="10"/>
        <v>4</v>
      </c>
      <c r="B73" s="229"/>
      <c r="C73" s="707">
        <f t="shared" si="11"/>
        <v>2031</v>
      </c>
      <c r="D73" s="200"/>
      <c r="E73" s="200"/>
      <c r="F73" s="200"/>
      <c r="G73" s="229"/>
      <c r="H73" s="228"/>
      <c r="I73" s="200"/>
      <c r="J73" s="592"/>
      <c r="K73" s="642" t="s">
        <v>63</v>
      </c>
      <c r="L73" s="204">
        <f t="shared" si="12"/>
        <v>3457.5956648409301</v>
      </c>
      <c r="M73" s="592"/>
      <c r="P73" s="699">
        <v>3457.5956648409301</v>
      </c>
      <c r="Q73" s="264"/>
      <c r="R73" s="264"/>
      <c r="X73" s="603"/>
    </row>
    <row r="74" spans="1:31" ht="13.5" customHeight="1" x14ac:dyDescent="0.2">
      <c r="A74" s="240">
        <f t="shared" si="10"/>
        <v>5</v>
      </c>
      <c r="B74" s="229"/>
      <c r="C74" s="707">
        <f t="shared" si="11"/>
        <v>2036</v>
      </c>
      <c r="D74" s="200"/>
      <c r="E74" s="200"/>
      <c r="F74" s="200"/>
      <c r="G74" s="229"/>
      <c r="H74" s="228"/>
      <c r="I74" s="200"/>
      <c r="J74" s="592"/>
      <c r="K74" s="642" t="s">
        <v>63</v>
      </c>
      <c r="L74" s="204">
        <f t="shared" si="12"/>
        <v>14142.377019175075</v>
      </c>
      <c r="M74" s="592"/>
      <c r="P74" s="699">
        <v>14142.377019175075</v>
      </c>
      <c r="Q74" s="264"/>
      <c r="R74" s="264"/>
      <c r="X74" s="603"/>
    </row>
    <row r="75" spans="1:31" ht="13.5" customHeight="1" x14ac:dyDescent="0.2">
      <c r="A75" s="240">
        <f t="shared" si="10"/>
        <v>6</v>
      </c>
      <c r="B75" s="229"/>
      <c r="C75" s="707">
        <f t="shared" si="11"/>
        <v>2041</v>
      </c>
      <c r="D75" s="200"/>
      <c r="E75" s="200"/>
      <c r="F75" s="200"/>
      <c r="G75" s="229"/>
      <c r="H75" s="228"/>
      <c r="I75" s="200"/>
      <c r="J75" s="592"/>
      <c r="K75" s="642" t="s">
        <v>63</v>
      </c>
      <c r="L75" s="204">
        <f t="shared" si="12"/>
        <v>1793.0119061764713</v>
      </c>
      <c r="M75" s="592"/>
      <c r="P75" s="699">
        <v>1793.0119061764713</v>
      </c>
      <c r="Q75" s="264"/>
      <c r="R75" s="264"/>
      <c r="X75" s="603"/>
    </row>
    <row r="76" spans="1:31" ht="13.5" customHeight="1" x14ac:dyDescent="0.2">
      <c r="A76" s="240">
        <f t="shared" si="10"/>
        <v>7</v>
      </c>
      <c r="B76" s="229"/>
      <c r="C76" s="707">
        <f t="shared" si="11"/>
        <v>2046</v>
      </c>
      <c r="D76" s="200"/>
      <c r="E76" s="200"/>
      <c r="F76" s="200"/>
      <c r="G76" s="229"/>
      <c r="H76" s="228"/>
      <c r="I76" s="200"/>
      <c r="J76" s="592"/>
      <c r="K76" s="642" t="s">
        <v>63</v>
      </c>
      <c r="L76" s="204">
        <f t="shared" si="12"/>
        <v>8280.7653197633754</v>
      </c>
      <c r="M76" s="592"/>
      <c r="P76" s="699">
        <v>8280.7653197633754</v>
      </c>
      <c r="Q76" s="264"/>
      <c r="R76" s="264"/>
      <c r="X76" s="603"/>
    </row>
    <row r="77" spans="1:31" ht="13.5" customHeight="1" x14ac:dyDescent="0.2">
      <c r="A77" s="240">
        <f t="shared" si="10"/>
        <v>8</v>
      </c>
      <c r="B77" s="229"/>
      <c r="C77" s="707">
        <f t="shared" si="11"/>
        <v>2051</v>
      </c>
      <c r="D77" s="200"/>
      <c r="E77" s="200"/>
      <c r="F77" s="200"/>
      <c r="G77" s="229"/>
      <c r="H77" s="228"/>
      <c r="I77" s="200"/>
      <c r="J77" s="592"/>
      <c r="K77" s="642" t="s">
        <v>63</v>
      </c>
      <c r="L77" s="204">
        <f t="shared" si="12"/>
        <v>6781.4833472677337</v>
      </c>
      <c r="M77" s="592"/>
      <c r="P77" s="699">
        <v>6781.4833472677337</v>
      </c>
      <c r="Q77" s="264"/>
      <c r="R77" s="264"/>
      <c r="X77" s="603"/>
    </row>
    <row r="78" spans="1:31" ht="13.5" customHeight="1" x14ac:dyDescent="0.2">
      <c r="A78" s="240">
        <f t="shared" si="10"/>
        <v>9</v>
      </c>
      <c r="B78" s="229"/>
      <c r="C78" s="707">
        <f t="shared" si="11"/>
        <v>2056</v>
      </c>
      <c r="D78" s="200"/>
      <c r="E78" s="200"/>
      <c r="F78" s="200"/>
      <c r="G78" s="229"/>
      <c r="H78" s="228"/>
      <c r="I78" s="200"/>
      <c r="J78" s="592"/>
      <c r="K78" s="642" t="s">
        <v>63</v>
      </c>
      <c r="L78" s="204">
        <f t="shared" si="12"/>
        <v>10644.037616882248</v>
      </c>
      <c r="M78" s="592"/>
      <c r="P78" s="699">
        <v>10644.037616882248</v>
      </c>
      <c r="Q78" s="264"/>
      <c r="R78" s="264"/>
      <c r="X78" s="603"/>
    </row>
    <row r="79" spans="1:31" ht="13.5" customHeight="1" x14ac:dyDescent="0.2">
      <c r="A79" s="240">
        <f t="shared" si="10"/>
        <v>10</v>
      </c>
      <c r="B79" s="229"/>
      <c r="C79" s="707">
        <f t="shared" si="11"/>
        <v>2061</v>
      </c>
      <c r="D79" s="200"/>
      <c r="E79" s="200"/>
      <c r="F79" s="200"/>
      <c r="G79" s="229"/>
      <c r="H79" s="228"/>
      <c r="I79" s="200"/>
      <c r="J79" s="592"/>
      <c r="K79" s="642" t="s">
        <v>63</v>
      </c>
      <c r="L79" s="204">
        <f t="shared" si="12"/>
        <v>18026.85981387502</v>
      </c>
      <c r="M79" s="592"/>
      <c r="P79" s="699">
        <v>18026.85981387502</v>
      </c>
      <c r="Q79" s="264"/>
      <c r="R79" s="264"/>
      <c r="X79" s="603"/>
    </row>
    <row r="80" spans="1:31" ht="13.5" customHeight="1" x14ac:dyDescent="0.2">
      <c r="B80" s="229"/>
      <c r="C80" s="228"/>
      <c r="D80" s="200"/>
      <c r="E80" s="200"/>
      <c r="F80" s="200"/>
      <c r="G80" s="229"/>
      <c r="H80" s="228"/>
      <c r="I80" s="200"/>
      <c r="J80" s="592"/>
      <c r="K80" s="642"/>
      <c r="L80" s="216"/>
      <c r="M80" s="592"/>
      <c r="P80" s="217"/>
      <c r="Q80" s="267"/>
      <c r="R80" s="267"/>
      <c r="X80" s="603"/>
    </row>
    <row r="81" spans="2:24" ht="13.5" customHeight="1" x14ac:dyDescent="0.2">
      <c r="B81" s="229"/>
      <c r="C81" s="212" t="s">
        <v>437</v>
      </c>
      <c r="D81" s="200"/>
      <c r="E81" s="200"/>
      <c r="F81" s="200"/>
      <c r="G81" s="229"/>
      <c r="H81" s="228"/>
      <c r="I81" s="200"/>
      <c r="J81" s="592"/>
      <c r="K81" s="642" t="s">
        <v>63</v>
      </c>
      <c r="L81" s="204">
        <f>+INDEX($P81:$R81,1,Scenario)</f>
        <v>694.70635617961</v>
      </c>
      <c r="M81" s="592"/>
      <c r="P81" s="699">
        <v>694.70635617961</v>
      </c>
      <c r="Q81" s="264"/>
      <c r="R81" s="264"/>
      <c r="X81" s="603"/>
    </row>
    <row r="82" spans="2:24" ht="13.5" customHeight="1" x14ac:dyDescent="0.2">
      <c r="B82" s="229"/>
      <c r="C82" s="212"/>
      <c r="D82" s="200"/>
      <c r="E82" s="200"/>
      <c r="F82" s="200"/>
      <c r="G82" s="229"/>
      <c r="H82" s="228"/>
      <c r="I82" s="200"/>
      <c r="J82" s="592"/>
      <c r="K82" s="642"/>
      <c r="L82" s="216"/>
      <c r="M82" s="592"/>
      <c r="P82" s="797"/>
      <c r="Q82" s="271"/>
      <c r="R82" s="271"/>
      <c r="X82" s="603"/>
    </row>
    <row r="83" spans="2:24" ht="13.5" customHeight="1" x14ac:dyDescent="0.2">
      <c r="B83" s="229"/>
      <c r="C83" s="212" t="s">
        <v>274</v>
      </c>
      <c r="D83" s="200"/>
      <c r="E83" s="200"/>
      <c r="F83" s="200"/>
      <c r="G83" s="229"/>
      <c r="H83" s="228"/>
      <c r="I83" s="200"/>
      <c r="J83" s="592"/>
      <c r="K83" s="642" t="s">
        <v>63</v>
      </c>
      <c r="L83" s="204">
        <f>+INDEX($P83:$R83,1,Scenario)</f>
        <v>446</v>
      </c>
      <c r="M83" s="592"/>
      <c r="P83" s="699">
        <v>446</v>
      </c>
      <c r="Q83" s="264"/>
      <c r="R83" s="264"/>
      <c r="X83" s="603"/>
    </row>
    <row r="84" spans="2:24" ht="13.5" customHeight="1" x14ac:dyDescent="0.2">
      <c r="B84" s="229"/>
      <c r="C84" s="212"/>
      <c r="D84" s="200"/>
      <c r="E84" s="200"/>
      <c r="F84" s="200"/>
      <c r="G84" s="229"/>
      <c r="H84" s="228"/>
      <c r="I84" s="200"/>
      <c r="J84" s="592"/>
      <c r="K84" s="642"/>
      <c r="L84" s="216"/>
      <c r="M84" s="592"/>
      <c r="P84" s="797"/>
      <c r="Q84" s="271"/>
      <c r="R84" s="271"/>
      <c r="X84" s="603"/>
    </row>
    <row r="85" spans="2:24" ht="13.5" customHeight="1" x14ac:dyDescent="0.2">
      <c r="B85" s="229"/>
      <c r="C85" s="212" t="s">
        <v>506</v>
      </c>
      <c r="D85" s="200"/>
      <c r="E85" s="200"/>
      <c r="F85" s="200"/>
      <c r="G85" s="229"/>
      <c r="H85" s="228"/>
      <c r="I85" s="200"/>
      <c r="J85" s="592"/>
      <c r="K85" s="642" t="s">
        <v>63</v>
      </c>
      <c r="L85" s="204">
        <f>+INDEX($P85:$R85,1,Scenario)</f>
        <v>500</v>
      </c>
      <c r="M85" s="592"/>
      <c r="P85" s="699">
        <v>500</v>
      </c>
      <c r="Q85" s="264"/>
      <c r="R85" s="264"/>
      <c r="X85" s="603"/>
    </row>
    <row r="86" spans="2:24" ht="13.5" customHeight="1" x14ac:dyDescent="0.2">
      <c r="C86" s="232"/>
      <c r="H86" s="232"/>
      <c r="J86" s="594"/>
      <c r="K86" s="645"/>
      <c r="L86" s="206"/>
      <c r="M86" s="594"/>
      <c r="P86" s="217"/>
      <c r="Q86" s="267"/>
      <c r="R86" s="267"/>
      <c r="X86" s="603"/>
    </row>
    <row r="87" spans="2:24" x14ac:dyDescent="0.2">
      <c r="B87" s="604"/>
      <c r="C87" s="604" t="s">
        <v>41</v>
      </c>
      <c r="D87" s="604"/>
      <c r="E87" s="604"/>
      <c r="F87" s="604"/>
      <c r="G87" s="604"/>
      <c r="H87" s="604"/>
      <c r="I87" s="604"/>
      <c r="J87" s="604"/>
      <c r="K87" s="640"/>
      <c r="L87" s="604"/>
      <c r="M87" s="604"/>
      <c r="Q87" s="589"/>
    </row>
    <row r="88" spans="2:24" x14ac:dyDescent="0.2">
      <c r="B88" s="229"/>
      <c r="C88" s="229"/>
      <c r="D88" s="200"/>
      <c r="E88" s="200"/>
      <c r="F88" s="200"/>
      <c r="G88" s="229"/>
      <c r="H88" s="229"/>
      <c r="I88" s="200"/>
      <c r="J88" s="200"/>
      <c r="K88" s="642"/>
      <c r="L88" s="218"/>
      <c r="M88" s="200"/>
      <c r="Q88" s="589"/>
    </row>
    <row r="89" spans="2:24" x14ac:dyDescent="0.2">
      <c r="B89" s="229"/>
      <c r="C89" s="228" t="s">
        <v>283</v>
      </c>
      <c r="D89" s="228"/>
      <c r="E89" s="228"/>
      <c r="F89" s="200"/>
      <c r="G89" s="229"/>
      <c r="H89" s="229"/>
      <c r="I89" s="200"/>
      <c r="J89" s="200"/>
      <c r="K89" s="642" t="s">
        <v>20</v>
      </c>
      <c r="L89" s="207">
        <f>+INDEX($P89:$R89,1,Scenario)</f>
        <v>0.21</v>
      </c>
      <c r="M89" s="200"/>
      <c r="P89" s="696">
        <v>0.21</v>
      </c>
      <c r="Q89" s="268"/>
      <c r="R89" s="268"/>
    </row>
    <row r="90" spans="2:24" x14ac:dyDescent="0.2">
      <c r="B90" s="229"/>
      <c r="C90" s="228"/>
      <c r="D90" s="228"/>
      <c r="E90" s="228"/>
      <c r="F90" s="200"/>
      <c r="G90" s="229"/>
      <c r="H90" s="229"/>
      <c r="I90" s="200"/>
      <c r="J90" s="200"/>
      <c r="K90" s="642"/>
      <c r="L90" s="211"/>
      <c r="M90" s="200"/>
      <c r="P90" s="206"/>
      <c r="Q90" s="265"/>
      <c r="R90" s="265"/>
    </row>
    <row r="91" spans="2:24" x14ac:dyDescent="0.2">
      <c r="B91" s="229"/>
      <c r="C91" s="228" t="s">
        <v>484</v>
      </c>
      <c r="D91" s="228"/>
      <c r="E91" s="200"/>
      <c r="F91" s="200"/>
      <c r="G91" s="229"/>
      <c r="H91" s="228"/>
      <c r="I91" s="200"/>
      <c r="J91" s="200"/>
      <c r="K91" s="642" t="s">
        <v>20</v>
      </c>
      <c r="L91" s="207">
        <f>+INDEX($P91:$R91,1,Scenario)</f>
        <v>0.8</v>
      </c>
      <c r="M91" s="200"/>
      <c r="P91" s="696">
        <v>0.8</v>
      </c>
      <c r="Q91" s="268"/>
      <c r="R91" s="268"/>
    </row>
    <row r="92" spans="2:24" x14ac:dyDescent="0.2">
      <c r="B92" s="229"/>
      <c r="C92" s="228"/>
      <c r="D92" s="228"/>
      <c r="E92" s="200"/>
      <c r="F92" s="200"/>
      <c r="G92" s="229"/>
      <c r="H92" s="228"/>
      <c r="I92" s="200"/>
      <c r="J92" s="200"/>
      <c r="K92" s="642"/>
      <c r="L92" s="211"/>
      <c r="M92" s="200"/>
      <c r="P92" s="206"/>
      <c r="Q92" s="265"/>
      <c r="R92" s="265"/>
    </row>
    <row r="93" spans="2:24" x14ac:dyDescent="0.2">
      <c r="B93" s="229"/>
      <c r="C93" s="228" t="s">
        <v>499</v>
      </c>
      <c r="D93" s="228"/>
      <c r="E93" s="200"/>
      <c r="F93" s="200"/>
      <c r="G93" s="229"/>
      <c r="H93" s="228"/>
      <c r="I93" s="200"/>
      <c r="J93" s="200"/>
      <c r="K93" s="642"/>
      <c r="L93" s="237"/>
      <c r="M93" s="237"/>
      <c r="N93" s="577"/>
      <c r="O93" s="577"/>
      <c r="P93" s="577"/>
      <c r="Q93" s="577"/>
      <c r="R93" s="577"/>
    </row>
    <row r="94" spans="2:24" x14ac:dyDescent="0.2">
      <c r="B94" s="229"/>
      <c r="C94" s="228" t="s">
        <v>81</v>
      </c>
      <c r="D94" s="228"/>
      <c r="E94" s="200"/>
      <c r="F94" s="200"/>
      <c r="G94" s="229"/>
      <c r="H94" s="228"/>
      <c r="I94" s="200"/>
      <c r="J94" s="200"/>
      <c r="K94" s="642" t="s">
        <v>502</v>
      </c>
      <c r="L94" s="195">
        <f>+INDEX($P94:$R94,1,Scenario)</f>
        <v>2021</v>
      </c>
      <c r="M94" s="200"/>
      <c r="P94" s="704">
        <v>2021</v>
      </c>
      <c r="Q94" s="565"/>
      <c r="R94" s="565"/>
    </row>
    <row r="95" spans="2:24" x14ac:dyDescent="0.2">
      <c r="B95" s="229"/>
      <c r="C95" s="228" t="s">
        <v>500</v>
      </c>
      <c r="D95" s="228"/>
      <c r="E95" s="200"/>
      <c r="F95" s="200"/>
      <c r="G95" s="229"/>
      <c r="H95" s="228"/>
      <c r="I95" s="200"/>
      <c r="J95" s="200"/>
      <c r="K95" s="642" t="s">
        <v>20</v>
      </c>
      <c r="L95" s="567">
        <f>+INDEX($P95:$R95,1,Scenario)</f>
        <v>0.3</v>
      </c>
      <c r="M95" s="200"/>
      <c r="P95" s="705">
        <v>0.3</v>
      </c>
      <c r="Q95" s="565"/>
      <c r="R95" s="565"/>
    </row>
    <row r="96" spans="2:24" x14ac:dyDescent="0.2">
      <c r="B96" s="229"/>
      <c r="C96" s="228" t="s">
        <v>501</v>
      </c>
      <c r="D96" s="228"/>
      <c r="E96" s="200"/>
      <c r="F96" s="200"/>
      <c r="G96" s="229"/>
      <c r="H96" s="228"/>
      <c r="I96" s="200"/>
      <c r="J96" s="200"/>
      <c r="K96" s="642" t="s">
        <v>502</v>
      </c>
      <c r="L96" s="566">
        <f>+INDEX($P96:$R96,1,Scenario)</f>
        <v>100</v>
      </c>
      <c r="M96" s="200"/>
      <c r="P96" s="706">
        <v>100</v>
      </c>
      <c r="Q96" s="565"/>
      <c r="R96" s="565"/>
    </row>
    <row r="97" spans="2:29" x14ac:dyDescent="0.2">
      <c r="B97" s="229"/>
      <c r="C97" s="228"/>
      <c r="D97" s="228"/>
      <c r="E97" s="200"/>
      <c r="F97" s="200"/>
      <c r="G97" s="229"/>
      <c r="H97" s="228"/>
      <c r="I97" s="200"/>
      <c r="J97" s="200"/>
      <c r="K97" s="642"/>
      <c r="L97" s="211"/>
      <c r="M97" s="200"/>
      <c r="P97" s="206"/>
      <c r="Q97" s="265"/>
      <c r="R97" s="265"/>
    </row>
    <row r="98" spans="2:29" x14ac:dyDescent="0.2">
      <c r="B98" s="229"/>
      <c r="C98" s="228" t="s">
        <v>273</v>
      </c>
      <c r="D98" s="228"/>
      <c r="E98" s="228" t="s">
        <v>6</v>
      </c>
      <c r="F98" s="200"/>
      <c r="G98" s="229"/>
      <c r="H98" s="229"/>
      <c r="I98" s="200"/>
      <c r="J98" s="200"/>
      <c r="K98" s="642" t="s">
        <v>130</v>
      </c>
      <c r="L98" s="219">
        <f>+INDEX($P98:$R98,1,Scenario)</f>
        <v>1</v>
      </c>
      <c r="M98" s="200"/>
      <c r="P98" s="701">
        <v>1</v>
      </c>
      <c r="Q98" s="269"/>
      <c r="R98" s="269"/>
    </row>
    <row r="99" spans="2:29" x14ac:dyDescent="0.2">
      <c r="B99" s="229"/>
      <c r="C99" s="228" t="s">
        <v>274</v>
      </c>
      <c r="D99" s="228"/>
      <c r="E99" s="228"/>
      <c r="F99" s="200"/>
      <c r="G99" s="229"/>
      <c r="H99" s="229"/>
      <c r="I99" s="200"/>
      <c r="J99" s="200"/>
      <c r="K99" s="642" t="s">
        <v>20</v>
      </c>
      <c r="L99" s="207">
        <f>+INDEX($P99:$R99,1,Scenario)</f>
        <v>7.4999999999999997E-3</v>
      </c>
      <c r="M99" s="200"/>
      <c r="P99" s="696">
        <v>7.4999999999999997E-3</v>
      </c>
      <c r="Q99" s="268"/>
      <c r="R99" s="268"/>
    </row>
    <row r="100" spans="2:29" x14ac:dyDescent="0.2">
      <c r="B100" s="229"/>
      <c r="C100" s="237" t="s">
        <v>275</v>
      </c>
      <c r="D100" s="228"/>
      <c r="E100" s="228"/>
      <c r="F100" s="200"/>
      <c r="G100" s="229"/>
      <c r="H100" s="229"/>
      <c r="I100" s="200"/>
      <c r="J100" s="200"/>
      <c r="K100" s="642" t="s">
        <v>20</v>
      </c>
      <c r="L100" s="207">
        <f>+INDEX($P100:$R100,1,Scenario)</f>
        <v>0.7</v>
      </c>
      <c r="M100" s="200"/>
      <c r="P100" s="696">
        <v>0.7</v>
      </c>
      <c r="Q100" s="268"/>
      <c r="R100" s="268"/>
    </row>
    <row r="101" spans="2:29" ht="13.5" customHeight="1" x14ac:dyDescent="0.2">
      <c r="B101" s="229"/>
      <c r="C101" s="228"/>
      <c r="D101" s="200"/>
      <c r="E101" s="200"/>
      <c r="F101" s="200"/>
      <c r="G101" s="229"/>
      <c r="H101" s="228"/>
      <c r="I101" s="200"/>
      <c r="J101" s="592"/>
      <c r="K101" s="644"/>
      <c r="L101" s="211"/>
      <c r="M101" s="592"/>
      <c r="P101" s="206"/>
      <c r="R101" s="260"/>
      <c r="X101" s="603"/>
    </row>
    <row r="102" spans="2:29" x14ac:dyDescent="0.2">
      <c r="D102" s="577"/>
      <c r="E102" s="577"/>
      <c r="F102" s="577"/>
      <c r="G102" s="577"/>
      <c r="H102" s="577"/>
      <c r="I102" s="577"/>
      <c r="J102" s="577"/>
      <c r="K102" s="646"/>
      <c r="L102" s="577"/>
      <c r="M102" s="577"/>
      <c r="N102" s="577"/>
      <c r="O102" s="577"/>
      <c r="P102" s="577"/>
      <c r="Q102" s="596"/>
      <c r="R102" s="596"/>
      <c r="Y102" s="232"/>
    </row>
    <row r="103" spans="2:29" ht="16.5" customHeight="1" x14ac:dyDescent="0.2">
      <c r="B103" s="604"/>
      <c r="C103" s="604" t="s">
        <v>385</v>
      </c>
      <c r="D103" s="604"/>
      <c r="E103" s="604"/>
      <c r="F103" s="604"/>
      <c r="G103" s="604"/>
      <c r="H103" s="604"/>
      <c r="I103" s="604"/>
      <c r="J103" s="604"/>
      <c r="K103" s="640"/>
      <c r="L103" s="604"/>
      <c r="M103" s="604"/>
      <c r="Q103" s="589"/>
      <c r="X103" s="577"/>
      <c r="Y103" s="577"/>
      <c r="Z103" s="577"/>
      <c r="AA103" s="577"/>
      <c r="AB103" s="577"/>
      <c r="AC103" s="577"/>
    </row>
    <row r="104" spans="2:29" ht="13.5" customHeight="1" x14ac:dyDescent="0.2">
      <c r="B104" s="240"/>
      <c r="C104" s="232"/>
      <c r="H104" s="232"/>
      <c r="J104" s="594"/>
      <c r="K104" s="645"/>
      <c r="L104" s="206"/>
      <c r="M104" s="594"/>
      <c r="P104" s="206"/>
      <c r="Q104" s="265"/>
      <c r="R104" s="265"/>
      <c r="X104" s="603"/>
    </row>
    <row r="105" spans="2:29" ht="13.5" customHeight="1" x14ac:dyDescent="0.2">
      <c r="B105" s="409" t="s">
        <v>392</v>
      </c>
      <c r="H105" s="232"/>
      <c r="J105" s="594"/>
      <c r="K105" s="645"/>
      <c r="L105" s="206"/>
      <c r="M105" s="594"/>
      <c r="P105" s="206"/>
      <c r="Q105" s="265"/>
      <c r="R105" s="265"/>
      <c r="X105" s="603"/>
    </row>
    <row r="106" spans="2:29" ht="13.5" customHeight="1" x14ac:dyDescent="0.2">
      <c r="B106" s="229"/>
      <c r="C106" s="228"/>
      <c r="D106" s="200"/>
      <c r="E106" s="200"/>
      <c r="F106" s="200"/>
      <c r="G106" s="229"/>
      <c r="H106" s="228"/>
      <c r="I106" s="200"/>
      <c r="J106" s="592"/>
      <c r="K106" s="644"/>
      <c r="L106" s="211"/>
      <c r="M106" s="592"/>
      <c r="P106" s="206"/>
      <c r="Q106" s="265"/>
      <c r="R106" s="265"/>
      <c r="X106" s="603"/>
    </row>
    <row r="107" spans="2:29" x14ac:dyDescent="0.2">
      <c r="B107" s="229"/>
      <c r="C107" s="221" t="s">
        <v>386</v>
      </c>
      <c r="D107" s="200"/>
      <c r="E107" s="200"/>
      <c r="F107" s="200"/>
      <c r="G107" s="229"/>
      <c r="H107" s="229"/>
      <c r="I107" s="200"/>
      <c r="J107" s="200"/>
      <c r="K107" s="642"/>
      <c r="L107" s="202"/>
      <c r="M107" s="200"/>
    </row>
    <row r="108" spans="2:29" x14ac:dyDescent="0.2">
      <c r="B108" s="229"/>
      <c r="C108" s="228" t="s">
        <v>13</v>
      </c>
      <c r="D108" s="228"/>
      <c r="E108" s="228"/>
      <c r="F108" s="200"/>
      <c r="G108" s="229"/>
      <c r="H108" s="229"/>
      <c r="I108" s="200"/>
      <c r="J108" s="200"/>
      <c r="K108" s="642" t="s">
        <v>30</v>
      </c>
      <c r="L108" s="222">
        <v>51682</v>
      </c>
      <c r="M108" s="200"/>
      <c r="P108" s="223"/>
      <c r="Q108" s="271"/>
      <c r="R108" s="271"/>
    </row>
    <row r="109" spans="2:29" x14ac:dyDescent="0.2">
      <c r="B109" s="229"/>
      <c r="C109" s="228" t="s">
        <v>15</v>
      </c>
      <c r="D109" s="200"/>
      <c r="E109" s="200"/>
      <c r="F109" s="200"/>
      <c r="G109" s="229"/>
      <c r="H109" s="229"/>
      <c r="I109" s="200"/>
      <c r="J109" s="200"/>
      <c r="K109" s="642" t="s">
        <v>30</v>
      </c>
      <c r="L109" s="222">
        <v>54788</v>
      </c>
      <c r="M109" s="200"/>
      <c r="P109" s="223"/>
      <c r="Q109" s="271"/>
      <c r="R109" s="271"/>
    </row>
    <row r="110" spans="2:29" x14ac:dyDescent="0.2">
      <c r="B110" s="229"/>
      <c r="C110" s="228" t="s">
        <v>341</v>
      </c>
      <c r="D110" s="228"/>
      <c r="E110" s="228"/>
      <c r="F110" s="200"/>
      <c r="G110" s="229"/>
      <c r="H110" s="229"/>
      <c r="I110" s="200"/>
      <c r="J110" s="200"/>
      <c r="K110" s="642" t="s">
        <v>63</v>
      </c>
      <c r="L110" s="204">
        <v>93</v>
      </c>
      <c r="M110" s="200"/>
      <c r="P110" s="224"/>
      <c r="Q110" s="271"/>
      <c r="R110" s="271"/>
    </row>
    <row r="111" spans="2:29" x14ac:dyDescent="0.2">
      <c r="B111" s="229"/>
      <c r="C111" s="228" t="s">
        <v>289</v>
      </c>
      <c r="D111" s="228"/>
      <c r="E111" s="228"/>
      <c r="F111" s="200"/>
      <c r="G111" s="229"/>
      <c r="H111" s="229"/>
      <c r="I111" s="200"/>
      <c r="J111" s="200"/>
      <c r="K111" s="642" t="s">
        <v>63</v>
      </c>
      <c r="L111" s="204">
        <v>11.542999999999999</v>
      </c>
      <c r="M111" s="200"/>
      <c r="P111" s="224"/>
      <c r="Q111" s="271"/>
      <c r="R111" s="271"/>
    </row>
    <row r="112" spans="2:29" x14ac:dyDescent="0.2">
      <c r="B112" s="229"/>
      <c r="C112" s="228" t="s">
        <v>22</v>
      </c>
      <c r="D112" s="228"/>
      <c r="E112" s="228"/>
      <c r="F112" s="200"/>
      <c r="G112" s="229"/>
      <c r="H112" s="229"/>
      <c r="I112" s="200"/>
      <c r="J112" s="200"/>
      <c r="K112" s="642" t="s">
        <v>30</v>
      </c>
      <c r="L112" s="222">
        <v>44012</v>
      </c>
      <c r="M112" s="200"/>
      <c r="P112" s="223"/>
      <c r="Q112" s="271"/>
      <c r="R112" s="271"/>
    </row>
    <row r="113" spans="2:18" x14ac:dyDescent="0.2">
      <c r="B113" s="229"/>
      <c r="C113" s="228" t="s">
        <v>23</v>
      </c>
      <c r="D113" s="200"/>
      <c r="E113" s="229"/>
      <c r="F113" s="200"/>
      <c r="G113" s="229"/>
      <c r="H113" s="229"/>
      <c r="I113" s="200"/>
      <c r="J113" s="200"/>
      <c r="K113" s="642" t="s">
        <v>20</v>
      </c>
      <c r="L113" s="207">
        <v>0.5</v>
      </c>
      <c r="M113" s="200"/>
      <c r="P113" s="225"/>
      <c r="Q113" s="271"/>
      <c r="R113" s="271"/>
    </row>
    <row r="114" spans="2:18" x14ac:dyDescent="0.2">
      <c r="B114" s="229"/>
      <c r="C114" s="228" t="s">
        <v>425</v>
      </c>
      <c r="D114" s="200"/>
      <c r="E114" s="229"/>
      <c r="F114" s="200"/>
      <c r="G114" s="229"/>
      <c r="H114" s="229"/>
      <c r="I114" s="200"/>
      <c r="J114" s="200"/>
      <c r="K114" s="642" t="s">
        <v>130</v>
      </c>
      <c r="L114" s="219">
        <v>1</v>
      </c>
      <c r="M114" s="200"/>
      <c r="P114" s="226"/>
      <c r="Q114" s="271"/>
      <c r="R114" s="271"/>
    </row>
    <row r="115" spans="2:18" x14ac:dyDescent="0.2">
      <c r="B115" s="229"/>
      <c r="C115" s="228" t="s">
        <v>25</v>
      </c>
      <c r="D115" s="228"/>
      <c r="E115" s="228"/>
      <c r="F115" s="200"/>
      <c r="G115" s="229"/>
      <c r="H115" s="229"/>
      <c r="I115" s="200"/>
      <c r="J115" s="200"/>
      <c r="K115" s="642" t="s">
        <v>30</v>
      </c>
      <c r="L115" s="222">
        <v>44196</v>
      </c>
      <c r="M115" s="200"/>
      <c r="P115" s="223"/>
      <c r="Q115" s="271"/>
      <c r="R115" s="271"/>
    </row>
    <row r="116" spans="2:18" x14ac:dyDescent="0.2">
      <c r="B116" s="229"/>
      <c r="C116" s="228" t="s">
        <v>27</v>
      </c>
      <c r="D116" s="200"/>
      <c r="E116" s="229"/>
      <c r="F116" s="200"/>
      <c r="G116" s="229"/>
      <c r="H116" s="229"/>
      <c r="I116" s="200"/>
      <c r="J116" s="200"/>
      <c r="K116" s="642" t="s">
        <v>20</v>
      </c>
      <c r="L116" s="207">
        <v>0.5</v>
      </c>
      <c r="M116" s="200"/>
      <c r="P116" s="225"/>
      <c r="Q116" s="271"/>
      <c r="R116" s="271"/>
    </row>
    <row r="117" spans="2:18" x14ac:dyDescent="0.2">
      <c r="B117" s="229"/>
      <c r="C117" s="228"/>
      <c r="D117" s="200"/>
      <c r="E117" s="229"/>
      <c r="F117" s="200"/>
      <c r="G117" s="229"/>
      <c r="H117" s="229"/>
      <c r="I117" s="200"/>
      <c r="J117" s="200"/>
      <c r="K117" s="642"/>
      <c r="L117" s="211"/>
      <c r="M117" s="200"/>
      <c r="P117" s="225"/>
      <c r="Q117" s="271"/>
      <c r="R117" s="271"/>
    </row>
    <row r="118" spans="2:18" x14ac:dyDescent="0.2">
      <c r="B118" s="229"/>
      <c r="C118" s="221" t="s">
        <v>280</v>
      </c>
      <c r="D118" s="200"/>
      <c r="E118" s="229"/>
      <c r="F118" s="200"/>
      <c r="G118" s="229"/>
      <c r="H118" s="229"/>
      <c r="I118" s="200"/>
      <c r="J118" s="200"/>
      <c r="K118" s="642"/>
      <c r="L118" s="211"/>
      <c r="M118" s="200"/>
      <c r="P118" s="225"/>
      <c r="Q118" s="271"/>
      <c r="R118" s="271"/>
    </row>
    <row r="119" spans="2:18" x14ac:dyDescent="0.2">
      <c r="B119" s="229"/>
      <c r="C119" s="228" t="s">
        <v>454</v>
      </c>
      <c r="D119" s="200"/>
      <c r="E119" s="229"/>
      <c r="F119" s="200"/>
      <c r="G119" s="229"/>
      <c r="H119" s="229"/>
      <c r="I119" s="200"/>
      <c r="J119" s="200"/>
      <c r="K119" s="642" t="s">
        <v>20</v>
      </c>
      <c r="L119" s="207">
        <v>7.1150772357723588E-2</v>
      </c>
      <c r="M119" s="200"/>
      <c r="P119" s="225"/>
      <c r="Q119" s="271"/>
      <c r="R119" s="271"/>
    </row>
    <row r="120" spans="2:18" x14ac:dyDescent="0.2">
      <c r="B120" s="229"/>
      <c r="C120" s="221"/>
      <c r="D120" s="200"/>
      <c r="E120" s="229"/>
      <c r="F120" s="200"/>
      <c r="G120" s="229"/>
      <c r="H120" s="229"/>
      <c r="I120" s="200"/>
      <c r="J120" s="200"/>
      <c r="K120" s="642"/>
      <c r="L120" s="211"/>
      <c r="M120" s="200"/>
      <c r="P120" s="225"/>
      <c r="Q120" s="271"/>
      <c r="R120" s="271"/>
    </row>
    <row r="121" spans="2:18" x14ac:dyDescent="0.2">
      <c r="B121" s="229"/>
      <c r="C121" s="221" t="s">
        <v>455</v>
      </c>
      <c r="D121" s="200"/>
      <c r="E121" s="229"/>
      <c r="F121" s="200"/>
      <c r="G121" s="229"/>
      <c r="H121" s="229"/>
      <c r="I121" s="200"/>
      <c r="J121" s="200"/>
      <c r="K121" s="642"/>
      <c r="L121" s="211"/>
      <c r="M121" s="200"/>
      <c r="P121" s="225"/>
      <c r="Q121" s="271"/>
      <c r="R121" s="271"/>
    </row>
    <row r="122" spans="2:18" x14ac:dyDescent="0.2">
      <c r="B122" s="229"/>
      <c r="C122" s="221" t="s">
        <v>456</v>
      </c>
      <c r="D122" s="200"/>
      <c r="E122" s="229"/>
      <c r="F122" s="200"/>
      <c r="G122" s="229"/>
      <c r="H122" s="229"/>
      <c r="I122" s="200"/>
      <c r="J122" s="200"/>
      <c r="K122" s="642"/>
      <c r="L122" s="211"/>
      <c r="M122" s="200"/>
      <c r="P122" s="225"/>
      <c r="Q122" s="271"/>
      <c r="R122" s="271"/>
    </row>
    <row r="123" spans="2:18" x14ac:dyDescent="0.2">
      <c r="B123" s="229"/>
      <c r="C123" s="229" t="s">
        <v>40</v>
      </c>
      <c r="D123" s="200"/>
      <c r="E123" s="229"/>
      <c r="F123" s="200"/>
      <c r="G123" s="229"/>
      <c r="H123" s="229"/>
      <c r="I123" s="200"/>
      <c r="J123" s="200"/>
      <c r="K123" s="642"/>
      <c r="L123" s="211"/>
      <c r="M123" s="200"/>
      <c r="P123" s="225"/>
      <c r="Q123" s="271"/>
      <c r="R123" s="271"/>
    </row>
    <row r="124" spans="2:18" x14ac:dyDescent="0.2">
      <c r="B124" s="229"/>
      <c r="C124" s="229" t="s">
        <v>457</v>
      </c>
      <c r="D124" s="200"/>
      <c r="E124" s="229"/>
      <c r="F124" s="200"/>
      <c r="G124" s="229"/>
      <c r="H124" s="229"/>
      <c r="I124" s="200"/>
      <c r="J124" s="200"/>
      <c r="K124" s="642" t="s">
        <v>20</v>
      </c>
      <c r="L124" s="207">
        <v>0.95</v>
      </c>
      <c r="M124" s="200"/>
      <c r="P124" s="225"/>
      <c r="Q124" s="271"/>
      <c r="R124" s="271"/>
    </row>
    <row r="125" spans="2:18" x14ac:dyDescent="0.2">
      <c r="B125" s="229"/>
      <c r="C125" s="229" t="s">
        <v>458</v>
      </c>
      <c r="D125" s="200"/>
      <c r="E125" s="229"/>
      <c r="F125" s="200"/>
      <c r="G125" s="229"/>
      <c r="H125" s="229"/>
      <c r="I125" s="200"/>
      <c r="J125" s="200"/>
      <c r="K125" s="642" t="s">
        <v>20</v>
      </c>
      <c r="L125" s="207">
        <v>0.75</v>
      </c>
      <c r="M125" s="200"/>
      <c r="P125" s="225"/>
      <c r="Q125" s="271"/>
      <c r="R125" s="271"/>
    </row>
    <row r="126" spans="2:18" x14ac:dyDescent="0.2">
      <c r="B126" s="229"/>
      <c r="C126" s="229" t="s">
        <v>459</v>
      </c>
      <c r="D126" s="200"/>
      <c r="E126" s="229"/>
      <c r="F126" s="200"/>
      <c r="G126" s="229"/>
      <c r="H126" s="229"/>
      <c r="I126" s="200"/>
      <c r="J126" s="200"/>
      <c r="K126" s="642" t="s">
        <v>20</v>
      </c>
      <c r="L126" s="207">
        <v>0.55000000000000004</v>
      </c>
      <c r="M126" s="200"/>
      <c r="P126" s="225"/>
      <c r="Q126" s="271"/>
      <c r="R126" s="271"/>
    </row>
    <row r="127" spans="2:18" x14ac:dyDescent="0.2">
      <c r="B127" s="229"/>
      <c r="C127" s="229" t="s">
        <v>460</v>
      </c>
      <c r="D127" s="200"/>
      <c r="E127" s="229"/>
      <c r="F127" s="200"/>
      <c r="G127" s="229"/>
      <c r="H127" s="229"/>
      <c r="I127" s="200"/>
      <c r="J127" s="200"/>
      <c r="K127" s="642" t="s">
        <v>20</v>
      </c>
      <c r="L127" s="207">
        <v>0.35</v>
      </c>
      <c r="M127" s="200"/>
      <c r="P127" s="225"/>
      <c r="Q127" s="271"/>
      <c r="R127" s="271"/>
    </row>
    <row r="128" spans="2:18" x14ac:dyDescent="0.2">
      <c r="B128" s="229"/>
      <c r="C128" s="229" t="s">
        <v>461</v>
      </c>
      <c r="D128" s="200"/>
      <c r="E128" s="229"/>
      <c r="F128" s="200"/>
      <c r="G128" s="229"/>
      <c r="H128" s="229"/>
      <c r="I128" s="200"/>
      <c r="J128" s="200"/>
      <c r="K128" s="642" t="s">
        <v>20</v>
      </c>
      <c r="L128" s="207">
        <v>0.15</v>
      </c>
      <c r="M128" s="200"/>
      <c r="P128" s="225"/>
      <c r="Q128" s="271"/>
      <c r="R128" s="271"/>
    </row>
    <row r="129" spans="2:18" x14ac:dyDescent="0.2">
      <c r="B129" s="229"/>
      <c r="C129" s="221"/>
      <c r="D129" s="200"/>
      <c r="E129" s="229"/>
      <c r="F129" s="200"/>
      <c r="G129" s="229"/>
      <c r="H129" s="229"/>
      <c r="I129" s="200"/>
      <c r="J129" s="200"/>
      <c r="K129" s="642"/>
      <c r="L129" s="211"/>
      <c r="M129" s="200"/>
      <c r="P129" s="225"/>
      <c r="Q129" s="271"/>
      <c r="R129" s="271"/>
    </row>
    <row r="130" spans="2:18" x14ac:dyDescent="0.2">
      <c r="B130" s="229"/>
      <c r="C130" s="228"/>
      <c r="D130" s="200"/>
      <c r="E130" s="229"/>
      <c r="F130" s="200"/>
      <c r="G130" s="229"/>
      <c r="H130" s="229"/>
      <c r="I130" s="200"/>
      <c r="J130" s="200"/>
      <c r="K130" s="642"/>
      <c r="L130" s="211"/>
      <c r="M130" s="200"/>
      <c r="P130" s="225"/>
      <c r="Q130" s="271"/>
      <c r="R130" s="271"/>
    </row>
    <row r="131" spans="2:18" x14ac:dyDescent="0.2">
      <c r="B131" s="229"/>
      <c r="C131" s="230" t="s">
        <v>318</v>
      </c>
      <c r="D131" s="200"/>
      <c r="E131" s="200"/>
      <c r="F131" s="200"/>
      <c r="G131" s="229"/>
      <c r="H131" s="228"/>
      <c r="I131" s="200"/>
      <c r="J131" s="200"/>
      <c r="K131" s="642"/>
      <c r="L131" s="231"/>
      <c r="M131" s="200"/>
      <c r="P131" s="226"/>
      <c r="Q131" s="271"/>
      <c r="R131" s="271"/>
    </row>
    <row r="132" spans="2:18" x14ac:dyDescent="0.2">
      <c r="B132" s="229"/>
      <c r="C132" s="228" t="s">
        <v>36</v>
      </c>
      <c r="D132" s="228"/>
      <c r="E132" s="228"/>
      <c r="F132" s="200"/>
      <c r="G132" s="229"/>
      <c r="H132" s="229"/>
      <c r="I132" s="200"/>
      <c r="J132" s="200"/>
      <c r="K132" s="642" t="s">
        <v>30</v>
      </c>
      <c r="L132" s="232">
        <v>2056</v>
      </c>
      <c r="M132" s="200"/>
      <c r="P132" s="224"/>
      <c r="Q132" s="271"/>
      <c r="R132" s="271"/>
    </row>
    <row r="133" spans="2:18" x14ac:dyDescent="0.2">
      <c r="B133" s="229"/>
      <c r="C133" s="228" t="s">
        <v>38</v>
      </c>
      <c r="D133" s="228"/>
      <c r="E133" s="228"/>
      <c r="F133" s="200"/>
      <c r="G133" s="229"/>
      <c r="H133" s="229"/>
      <c r="I133" s="200"/>
      <c r="J133" s="200"/>
      <c r="K133" s="642" t="s">
        <v>30</v>
      </c>
      <c r="L133" s="232">
        <v>2061</v>
      </c>
      <c r="M133" s="200"/>
      <c r="P133" s="224"/>
      <c r="Q133" s="271"/>
      <c r="R133" s="271"/>
    </row>
    <row r="134" spans="2:18" x14ac:dyDescent="0.2">
      <c r="B134" s="229"/>
      <c r="C134" s="228" t="s">
        <v>323</v>
      </c>
      <c r="D134" s="228"/>
      <c r="E134" s="228"/>
      <c r="F134" s="200"/>
      <c r="G134" s="229"/>
      <c r="H134" s="229"/>
      <c r="I134" s="200"/>
      <c r="J134" s="200"/>
      <c r="K134" s="642" t="s">
        <v>63</v>
      </c>
      <c r="L134" s="233">
        <v>-133568.75352641862</v>
      </c>
      <c r="M134" s="200"/>
      <c r="P134" s="224"/>
      <c r="Q134" s="271"/>
      <c r="R134" s="271"/>
    </row>
    <row r="135" spans="2:18" x14ac:dyDescent="0.2">
      <c r="B135" s="229"/>
      <c r="C135" s="228" t="s">
        <v>448</v>
      </c>
      <c r="D135" s="228"/>
      <c r="E135" s="228"/>
      <c r="F135" s="200"/>
      <c r="G135" s="229"/>
      <c r="H135" s="229"/>
      <c r="I135" s="200"/>
      <c r="J135" s="200"/>
      <c r="K135" s="642"/>
      <c r="L135" s="233">
        <v>201426.03299870552</v>
      </c>
      <c r="M135" s="200"/>
      <c r="P135" s="224"/>
      <c r="Q135" s="271"/>
      <c r="R135" s="271"/>
    </row>
    <row r="136" spans="2:18" x14ac:dyDescent="0.2">
      <c r="B136" s="229"/>
      <c r="C136" s="228"/>
      <c r="D136" s="228"/>
      <c r="E136" s="228"/>
      <c r="F136" s="200"/>
      <c r="G136" s="229"/>
      <c r="H136" s="229"/>
      <c r="I136" s="200"/>
      <c r="J136" s="200"/>
      <c r="K136" s="642"/>
      <c r="L136" s="234"/>
      <c r="M136" s="200"/>
      <c r="P136" s="224"/>
      <c r="Q136" s="271"/>
      <c r="R136" s="271"/>
    </row>
    <row r="137" spans="2:18" x14ac:dyDescent="0.2">
      <c r="B137" s="229"/>
      <c r="C137" s="201" t="s">
        <v>462</v>
      </c>
      <c r="D137" s="228"/>
      <c r="E137" s="228"/>
      <c r="F137" s="200"/>
      <c r="G137" s="229"/>
      <c r="H137" s="229"/>
      <c r="I137" s="200"/>
      <c r="J137" s="200"/>
      <c r="K137" s="642"/>
      <c r="L137" s="234"/>
      <c r="M137" s="200"/>
      <c r="P137" s="224"/>
      <c r="Q137" s="271"/>
      <c r="R137" s="271"/>
    </row>
    <row r="138" spans="2:18" x14ac:dyDescent="0.2">
      <c r="B138" s="229"/>
      <c r="C138" s="703">
        <v>2056</v>
      </c>
      <c r="D138" s="228"/>
      <c r="E138" s="228"/>
      <c r="F138" s="200"/>
      <c r="G138" s="229"/>
      <c r="H138" s="229"/>
      <c r="I138" s="200"/>
      <c r="J138" s="200"/>
      <c r="K138" s="642" t="s">
        <v>20</v>
      </c>
      <c r="L138" s="235">
        <v>0.25</v>
      </c>
      <c r="M138" s="200"/>
      <c r="P138" s="224"/>
      <c r="Q138" s="271"/>
      <c r="R138" s="271"/>
    </row>
    <row r="139" spans="2:18" x14ac:dyDescent="0.2">
      <c r="B139" s="229"/>
      <c r="C139" s="703">
        <v>2057</v>
      </c>
      <c r="D139" s="228"/>
      <c r="E139" s="228"/>
      <c r="F139" s="200"/>
      <c r="G139" s="229"/>
      <c r="H139" s="229"/>
      <c r="I139" s="200"/>
      <c r="J139" s="200"/>
      <c r="K139" s="642" t="s">
        <v>20</v>
      </c>
      <c r="L139" s="235">
        <v>1</v>
      </c>
      <c r="M139" s="200"/>
      <c r="P139" s="224"/>
      <c r="Q139" s="271"/>
      <c r="R139" s="271"/>
    </row>
    <row r="140" spans="2:18" x14ac:dyDescent="0.2">
      <c r="B140" s="229"/>
      <c r="C140" s="703">
        <v>2058</v>
      </c>
      <c r="D140" s="228"/>
      <c r="E140" s="228"/>
      <c r="F140" s="200"/>
      <c r="G140" s="229"/>
      <c r="H140" s="229"/>
      <c r="I140" s="200"/>
      <c r="J140" s="200"/>
      <c r="K140" s="642" t="s">
        <v>20</v>
      </c>
      <c r="L140" s="235">
        <v>1</v>
      </c>
      <c r="M140" s="200"/>
      <c r="P140" s="224"/>
      <c r="Q140" s="271"/>
      <c r="R140" s="271"/>
    </row>
    <row r="141" spans="2:18" x14ac:dyDescent="0.2">
      <c r="B141" s="229"/>
      <c r="C141" s="703">
        <v>2059</v>
      </c>
      <c r="D141" s="228"/>
      <c r="E141" s="228"/>
      <c r="F141" s="200"/>
      <c r="G141" s="229"/>
      <c r="H141" s="229"/>
      <c r="I141" s="200"/>
      <c r="J141" s="200"/>
      <c r="K141" s="642" t="s">
        <v>20</v>
      </c>
      <c r="L141" s="235">
        <v>1</v>
      </c>
      <c r="M141" s="200"/>
      <c r="P141" s="224"/>
      <c r="Q141" s="271"/>
      <c r="R141" s="271"/>
    </row>
    <row r="142" spans="2:18" x14ac:dyDescent="0.2">
      <c r="B142" s="229"/>
      <c r="C142" s="703">
        <v>2060</v>
      </c>
      <c r="D142" s="228"/>
      <c r="E142" s="228"/>
      <c r="F142" s="200"/>
      <c r="G142" s="229"/>
      <c r="H142" s="229"/>
      <c r="I142" s="200"/>
      <c r="J142" s="200"/>
      <c r="K142" s="642" t="s">
        <v>20</v>
      </c>
      <c r="L142" s="235">
        <v>1</v>
      </c>
      <c r="M142" s="200"/>
      <c r="P142" s="224"/>
      <c r="Q142" s="271"/>
      <c r="R142" s="271"/>
    </row>
    <row r="143" spans="2:18" x14ac:dyDescent="0.2">
      <c r="B143" s="229"/>
      <c r="C143" s="703">
        <v>2061</v>
      </c>
      <c r="D143" s="228"/>
      <c r="E143" s="228"/>
      <c r="F143" s="200"/>
      <c r="G143" s="229"/>
      <c r="H143" s="229"/>
      <c r="I143" s="200"/>
      <c r="J143" s="200"/>
      <c r="K143" s="642" t="s">
        <v>20</v>
      </c>
      <c r="L143" s="235">
        <v>1</v>
      </c>
      <c r="M143" s="200"/>
      <c r="P143" s="224"/>
      <c r="Q143" s="271"/>
      <c r="R143" s="271"/>
    </row>
    <row r="144" spans="2:18" x14ac:dyDescent="0.2">
      <c r="B144" s="229"/>
      <c r="C144" s="228"/>
      <c r="D144" s="228"/>
      <c r="E144" s="228"/>
      <c r="F144" s="200"/>
      <c r="G144" s="229"/>
      <c r="H144" s="229"/>
      <c r="I144" s="200"/>
      <c r="J144" s="200"/>
      <c r="K144" s="642"/>
      <c r="L144" s="234"/>
      <c r="M144" s="200"/>
      <c r="P144" s="224"/>
      <c r="Q144" s="271"/>
      <c r="R144" s="271"/>
    </row>
    <row r="145" spans="2:31" x14ac:dyDescent="0.2">
      <c r="B145" s="229"/>
      <c r="C145" s="230" t="s">
        <v>75</v>
      </c>
      <c r="D145" s="236"/>
      <c r="E145" s="236"/>
      <c r="F145" s="236"/>
      <c r="G145" s="229"/>
      <c r="H145" s="228"/>
      <c r="I145" s="236"/>
      <c r="J145" s="236"/>
      <c r="K145" s="642"/>
      <c r="L145" s="238"/>
      <c r="M145" s="200"/>
      <c r="P145" s="224"/>
      <c r="Q145" s="271"/>
      <c r="R145" s="271"/>
    </row>
    <row r="146" spans="2:31" x14ac:dyDescent="0.2">
      <c r="B146" s="229"/>
      <c r="C146" s="229" t="s">
        <v>463</v>
      </c>
      <c r="D146" s="236"/>
      <c r="E146" s="236"/>
      <c r="F146" s="236"/>
      <c r="G146" s="229"/>
      <c r="H146" s="229"/>
      <c r="I146" s="236"/>
      <c r="J146" s="236"/>
      <c r="K146" s="642" t="s">
        <v>30</v>
      </c>
      <c r="L146" s="606">
        <v>44196</v>
      </c>
      <c r="M146" s="200"/>
      <c r="P146" s="224"/>
      <c r="Q146" s="271"/>
      <c r="R146" s="271"/>
    </row>
    <row r="147" spans="2:31" x14ac:dyDescent="0.2">
      <c r="B147" s="229"/>
      <c r="C147" s="228"/>
      <c r="D147" s="228"/>
      <c r="E147" s="228"/>
      <c r="F147" s="200"/>
      <c r="G147" s="229"/>
      <c r="H147" s="229"/>
      <c r="I147" s="200"/>
      <c r="J147" s="200"/>
      <c r="K147" s="642"/>
      <c r="L147" s="239"/>
      <c r="M147" s="200"/>
      <c r="P147" s="224"/>
      <c r="Q147" s="271"/>
      <c r="R147" s="271"/>
    </row>
    <row r="148" spans="2:31" x14ac:dyDescent="0.2">
      <c r="B148" s="229"/>
      <c r="C148" s="228"/>
      <c r="D148" s="228"/>
      <c r="E148" s="228"/>
      <c r="F148" s="200"/>
      <c r="G148" s="229"/>
      <c r="H148" s="229"/>
      <c r="I148" s="200"/>
      <c r="J148" s="200"/>
      <c r="K148" s="642"/>
      <c r="L148" s="202"/>
      <c r="M148" s="200"/>
      <c r="P148" s="224"/>
      <c r="Q148" s="271"/>
      <c r="R148" s="271"/>
    </row>
    <row r="149" spans="2:31" x14ac:dyDescent="0.2">
      <c r="B149" s="229"/>
      <c r="C149" s="230" t="s">
        <v>43</v>
      </c>
      <c r="D149" s="228"/>
      <c r="E149" s="228"/>
      <c r="F149" s="200"/>
      <c r="G149" s="229"/>
      <c r="H149" s="229"/>
      <c r="I149" s="200"/>
      <c r="J149" s="200"/>
      <c r="K149" s="642"/>
      <c r="L149" s="202"/>
      <c r="M149" s="200"/>
      <c r="P149" s="224"/>
      <c r="Q149" s="271"/>
      <c r="R149" s="271"/>
    </row>
    <row r="150" spans="2:31" x14ac:dyDescent="0.2">
      <c r="B150" s="229"/>
      <c r="C150" s="229" t="s">
        <v>447</v>
      </c>
      <c r="D150" s="229"/>
      <c r="E150" s="229"/>
      <c r="F150" s="229"/>
      <c r="G150" s="229"/>
      <c r="H150" s="229"/>
      <c r="I150" s="229"/>
      <c r="J150" s="229"/>
      <c r="K150" s="642" t="s">
        <v>63</v>
      </c>
      <c r="L150" s="240">
        <v>61500</v>
      </c>
      <c r="M150" s="229"/>
      <c r="P150" s="227"/>
      <c r="X150" s="577"/>
      <c r="Y150" s="577"/>
      <c r="Z150" s="577"/>
      <c r="AA150" s="577"/>
      <c r="AB150" s="577"/>
      <c r="AC150" s="577"/>
      <c r="AD150" s="577"/>
      <c r="AE150" s="577"/>
    </row>
    <row r="151" spans="2:31" x14ac:dyDescent="0.2">
      <c r="B151" s="229"/>
      <c r="C151" s="229"/>
      <c r="D151" s="200"/>
      <c r="E151" s="200"/>
      <c r="F151" s="200"/>
      <c r="G151" s="229"/>
      <c r="H151" s="229"/>
      <c r="I151" s="200"/>
      <c r="J151" s="200"/>
      <c r="K151" s="642"/>
      <c r="L151" s="202"/>
      <c r="M151" s="200"/>
    </row>
    <row r="152" spans="2:31" ht="13.5" customHeight="1" x14ac:dyDescent="0.2">
      <c r="B152" s="409" t="s">
        <v>393</v>
      </c>
      <c r="H152" s="232"/>
      <c r="J152" s="594"/>
      <c r="K152" s="645"/>
      <c r="L152" s="206"/>
      <c r="M152" s="594"/>
      <c r="P152" s="206"/>
      <c r="Q152" s="265"/>
      <c r="R152" s="265"/>
      <c r="X152" s="603"/>
    </row>
    <row r="153" spans="2:31" ht="13.5" customHeight="1" x14ac:dyDescent="0.2">
      <c r="B153" s="229"/>
      <c r="C153" s="228" t="s">
        <v>129</v>
      </c>
      <c r="D153" s="200"/>
      <c r="E153" s="200"/>
      <c r="F153" s="200"/>
      <c r="G153" s="229"/>
      <c r="H153" s="228"/>
      <c r="I153" s="200"/>
      <c r="J153" s="592"/>
      <c r="K153" s="642" t="s">
        <v>130</v>
      </c>
      <c r="L153" s="219">
        <f t="shared" ref="L153:L160" si="13">+INDEX($P153:$R153,1,Scenario)</f>
        <v>1</v>
      </c>
      <c r="M153" s="592"/>
      <c r="P153" s="701">
        <v>1</v>
      </c>
      <c r="Q153" s="269"/>
      <c r="R153" s="269"/>
      <c r="X153" s="603"/>
    </row>
    <row r="154" spans="2:31" x14ac:dyDescent="0.2">
      <c r="B154" s="229"/>
      <c r="C154" s="228" t="s">
        <v>30</v>
      </c>
      <c r="D154" s="200"/>
      <c r="E154" s="200"/>
      <c r="F154" s="200"/>
      <c r="G154" s="229"/>
      <c r="H154" s="229"/>
      <c r="I154" s="200"/>
      <c r="J154" s="200"/>
      <c r="K154" s="642" t="s">
        <v>30</v>
      </c>
      <c r="L154" s="222">
        <f t="shared" si="13"/>
        <v>44012</v>
      </c>
      <c r="M154" s="200"/>
      <c r="P154" s="702">
        <v>44012</v>
      </c>
      <c r="Q154" s="272"/>
      <c r="R154" s="272"/>
    </row>
    <row r="155" spans="2:31" x14ac:dyDescent="0.2">
      <c r="B155" s="229"/>
      <c r="C155" s="229" t="s">
        <v>31</v>
      </c>
      <c r="D155" s="200"/>
      <c r="E155" s="200"/>
      <c r="F155" s="200"/>
      <c r="G155" s="229"/>
      <c r="H155" s="229"/>
      <c r="I155" s="200"/>
      <c r="J155" s="200"/>
      <c r="K155" s="642" t="s">
        <v>124</v>
      </c>
      <c r="L155" s="204">
        <f t="shared" si="13"/>
        <v>5</v>
      </c>
      <c r="M155" s="200"/>
      <c r="P155" s="698">
        <v>5</v>
      </c>
      <c r="Q155" s="273"/>
      <c r="R155" s="273"/>
    </row>
    <row r="156" spans="2:31" x14ac:dyDescent="0.2">
      <c r="B156" s="229"/>
      <c r="C156" s="229" t="s">
        <v>32</v>
      </c>
      <c r="D156" s="200"/>
      <c r="E156" s="200"/>
      <c r="F156" s="200"/>
      <c r="G156" s="229"/>
      <c r="H156" s="229"/>
      <c r="I156" s="200"/>
      <c r="J156" s="200"/>
      <c r="K156" s="642" t="s">
        <v>124</v>
      </c>
      <c r="L156" s="204">
        <f t="shared" si="13"/>
        <v>11</v>
      </c>
      <c r="M156" s="200"/>
      <c r="P156" s="698">
        <v>11</v>
      </c>
      <c r="Q156" s="273"/>
      <c r="R156" s="273"/>
    </row>
    <row r="157" spans="2:31" x14ac:dyDescent="0.2">
      <c r="B157" s="229"/>
      <c r="C157" s="228" t="s">
        <v>17</v>
      </c>
      <c r="D157" s="200"/>
      <c r="E157" s="200"/>
      <c r="F157" s="200"/>
      <c r="G157" s="229"/>
      <c r="H157" s="229"/>
      <c r="I157" s="200"/>
      <c r="J157" s="200"/>
      <c r="K157" s="642" t="s">
        <v>20</v>
      </c>
      <c r="L157" s="207">
        <f t="shared" si="13"/>
        <v>1.2E-2</v>
      </c>
      <c r="M157" s="200"/>
      <c r="P157" s="696">
        <v>1.2E-2</v>
      </c>
      <c r="Q157" s="268"/>
      <c r="R157" s="268"/>
    </row>
    <row r="158" spans="2:31" x14ac:dyDescent="0.2">
      <c r="B158" s="229"/>
      <c r="C158" s="241" t="s">
        <v>9</v>
      </c>
      <c r="D158" s="200"/>
      <c r="E158" s="200"/>
      <c r="F158" s="200"/>
      <c r="G158" s="229"/>
      <c r="H158" s="229"/>
      <c r="I158" s="200"/>
      <c r="J158" s="200"/>
      <c r="K158" s="642" t="s">
        <v>20</v>
      </c>
      <c r="L158" s="207">
        <f t="shared" si="13"/>
        <v>5.2499999999999998E-2</v>
      </c>
      <c r="M158" s="200"/>
      <c r="P158" s="696">
        <v>5.2499999999999998E-2</v>
      </c>
      <c r="Q158" s="268"/>
      <c r="R158" s="268"/>
    </row>
    <row r="159" spans="2:31" x14ac:dyDescent="0.2">
      <c r="B159" s="229"/>
      <c r="C159" s="237" t="s">
        <v>10</v>
      </c>
      <c r="D159" s="200"/>
      <c r="E159" s="200"/>
      <c r="F159" s="200"/>
      <c r="G159" s="229"/>
      <c r="H159" s="229"/>
      <c r="I159" s="200"/>
      <c r="J159" s="200"/>
      <c r="K159" s="642" t="s">
        <v>20</v>
      </c>
      <c r="L159" s="207">
        <f t="shared" si="13"/>
        <v>0</v>
      </c>
      <c r="M159" s="200"/>
      <c r="P159" s="696">
        <v>0</v>
      </c>
      <c r="Q159" s="268"/>
      <c r="R159" s="268"/>
    </row>
    <row r="160" spans="2:31" x14ac:dyDescent="0.2">
      <c r="B160" s="229"/>
      <c r="C160" s="237" t="s">
        <v>12</v>
      </c>
      <c r="D160" s="200"/>
      <c r="E160" s="200"/>
      <c r="F160" s="200"/>
      <c r="G160" s="229"/>
      <c r="H160" s="229"/>
      <c r="I160" s="200"/>
      <c r="J160" s="200"/>
      <c r="K160" s="642" t="s">
        <v>20</v>
      </c>
      <c r="L160" s="207">
        <f t="shared" si="13"/>
        <v>0</v>
      </c>
      <c r="M160" s="200"/>
      <c r="P160" s="696">
        <v>0</v>
      </c>
      <c r="Q160" s="268"/>
      <c r="R160" s="268"/>
    </row>
    <row r="161" spans="1:31" x14ac:dyDescent="0.2">
      <c r="B161" s="229"/>
      <c r="C161" s="229"/>
      <c r="D161" s="200"/>
      <c r="E161" s="200"/>
      <c r="F161" s="200"/>
      <c r="G161" s="229"/>
      <c r="H161" s="229"/>
      <c r="I161" s="200"/>
      <c r="J161" s="200"/>
      <c r="K161" s="642"/>
      <c r="L161" s="202"/>
      <c r="M161" s="200"/>
      <c r="P161" s="203"/>
      <c r="Q161" s="263"/>
      <c r="R161" s="263"/>
    </row>
    <row r="162" spans="1:31" ht="13.5" customHeight="1" x14ac:dyDescent="0.2">
      <c r="B162" s="229"/>
      <c r="C162" s="221" t="s">
        <v>24</v>
      </c>
      <c r="D162" s="200"/>
      <c r="E162" s="200"/>
      <c r="F162" s="200"/>
      <c r="G162" s="229"/>
      <c r="H162" s="228"/>
      <c r="I162" s="200"/>
      <c r="J162" s="592"/>
      <c r="K162" s="644"/>
      <c r="L162" s="211"/>
      <c r="M162" s="592"/>
      <c r="P162" s="206"/>
      <c r="Q162" s="265"/>
      <c r="R162" s="265"/>
      <c r="X162" s="603"/>
    </row>
    <row r="163" spans="1:31" x14ac:dyDescent="0.2">
      <c r="B163" s="229"/>
      <c r="C163" s="229" t="s">
        <v>129</v>
      </c>
      <c r="D163" s="200"/>
      <c r="E163" s="200"/>
      <c r="F163" s="200"/>
      <c r="G163" s="229"/>
      <c r="H163" s="229"/>
      <c r="I163" s="200"/>
      <c r="J163" s="200"/>
      <c r="K163" s="642" t="s">
        <v>130</v>
      </c>
      <c r="L163" s="219">
        <f>+INDEX($P163:$R163,1,Scenario)</f>
        <v>1</v>
      </c>
      <c r="M163" s="200"/>
      <c r="P163" s="701">
        <v>1</v>
      </c>
      <c r="Q163" s="269"/>
      <c r="R163" s="269"/>
    </row>
    <row r="164" spans="1:31" x14ac:dyDescent="0.2">
      <c r="B164" s="229"/>
      <c r="C164" s="241" t="s">
        <v>9</v>
      </c>
      <c r="D164" s="200"/>
      <c r="E164" s="200"/>
      <c r="F164" s="200"/>
      <c r="G164" s="229"/>
      <c r="H164" s="229"/>
      <c r="I164" s="200"/>
      <c r="J164" s="200"/>
      <c r="K164" s="642" t="s">
        <v>20</v>
      </c>
      <c r="L164" s="207">
        <f>+INDEX($P164:$R164,1,Scenario)</f>
        <v>5.2499999999999998E-2</v>
      </c>
      <c r="M164" s="200"/>
      <c r="P164" s="696">
        <v>5.2499999999999998E-2</v>
      </c>
      <c r="Q164" s="268"/>
      <c r="R164" s="268"/>
    </row>
    <row r="165" spans="1:31" x14ac:dyDescent="0.2">
      <c r="B165" s="229"/>
      <c r="C165" s="229"/>
      <c r="D165" s="200"/>
      <c r="E165" s="200"/>
      <c r="F165" s="200"/>
      <c r="G165" s="229"/>
      <c r="H165" s="229"/>
      <c r="I165" s="200"/>
      <c r="J165" s="200"/>
      <c r="K165" s="642"/>
      <c r="L165" s="228"/>
      <c r="M165" s="200"/>
      <c r="P165" s="203"/>
      <c r="Q165" s="263"/>
      <c r="R165" s="263"/>
    </row>
    <row r="166" spans="1:31" x14ac:dyDescent="0.2">
      <c r="A166" s="240"/>
      <c r="B166" s="229"/>
      <c r="C166" s="242" t="s">
        <v>282</v>
      </c>
      <c r="D166" s="200"/>
      <c r="E166" s="200"/>
      <c r="F166" s="200"/>
      <c r="G166" s="229"/>
      <c r="H166" s="229"/>
      <c r="I166" s="200"/>
      <c r="J166" s="200"/>
      <c r="K166" s="642"/>
      <c r="L166" s="228"/>
      <c r="M166" s="200"/>
      <c r="P166" s="203"/>
      <c r="Q166" s="263"/>
      <c r="R166" s="263"/>
    </row>
    <row r="167" spans="1:31" x14ac:dyDescent="0.2">
      <c r="A167" s="240"/>
      <c r="B167" s="229"/>
      <c r="C167" s="228" t="s">
        <v>26</v>
      </c>
      <c r="D167" s="200"/>
      <c r="E167" s="200"/>
      <c r="F167" s="200"/>
      <c r="G167" s="229"/>
      <c r="H167" s="229"/>
      <c r="I167" s="200"/>
      <c r="J167" s="200"/>
      <c r="K167" s="642" t="s">
        <v>30</v>
      </c>
      <c r="L167" s="222">
        <f>+INDEX($P167:$R167,1,Scenario)</f>
        <v>55153</v>
      </c>
      <c r="M167" s="200"/>
      <c r="P167" s="700">
        <v>55153</v>
      </c>
      <c r="Q167" s="274"/>
      <c r="R167" s="274"/>
    </row>
    <row r="168" spans="1:31" x14ac:dyDescent="0.2">
      <c r="B168" s="229"/>
      <c r="C168" s="229"/>
      <c r="D168" s="200"/>
      <c r="E168" s="200"/>
      <c r="F168" s="200"/>
      <c r="G168" s="229"/>
      <c r="H168" s="229"/>
      <c r="I168" s="200"/>
      <c r="J168" s="200"/>
      <c r="K168" s="642"/>
      <c r="L168" s="228"/>
      <c r="M168" s="200"/>
      <c r="P168" s="203"/>
      <c r="Q168" s="263"/>
      <c r="R168" s="263"/>
    </row>
    <row r="169" spans="1:31" x14ac:dyDescent="0.2">
      <c r="B169" s="229"/>
      <c r="C169" s="228" t="s">
        <v>21</v>
      </c>
      <c r="D169" s="200"/>
      <c r="E169" s="200"/>
      <c r="F169" s="200"/>
      <c r="G169" s="229"/>
      <c r="H169" s="229"/>
      <c r="I169" s="200"/>
      <c r="J169" s="200"/>
      <c r="K169" s="642" t="s">
        <v>63</v>
      </c>
      <c r="L169" s="243">
        <f>+INDEX($P169:$R169,1,Scenario)</f>
        <v>50</v>
      </c>
      <c r="M169" s="200"/>
      <c r="P169" s="699">
        <v>50</v>
      </c>
      <c r="Q169" s="275"/>
      <c r="R169" s="275"/>
    </row>
    <row r="170" spans="1:31" x14ac:dyDescent="0.2">
      <c r="B170" s="229"/>
      <c r="C170" s="229"/>
      <c r="D170" s="200"/>
      <c r="E170" s="200"/>
      <c r="F170" s="200"/>
      <c r="G170" s="229"/>
      <c r="H170" s="229"/>
      <c r="I170" s="200"/>
      <c r="J170" s="200"/>
      <c r="K170" s="642"/>
      <c r="L170" s="228"/>
      <c r="M170" s="200"/>
      <c r="P170" s="203"/>
      <c r="Q170" s="263"/>
      <c r="R170" s="263"/>
    </row>
    <row r="171" spans="1:31" x14ac:dyDescent="0.2">
      <c r="B171" s="229"/>
      <c r="C171" s="228" t="s">
        <v>17</v>
      </c>
      <c r="D171" s="200"/>
      <c r="E171" s="200"/>
      <c r="F171" s="200"/>
      <c r="G171" s="229"/>
      <c r="H171" s="229"/>
      <c r="I171" s="200"/>
      <c r="J171" s="200"/>
      <c r="K171" s="642" t="s">
        <v>20</v>
      </c>
      <c r="L171" s="207">
        <f>+INDEX($P171:$R171,1,Scenario)</f>
        <v>1.2E-2</v>
      </c>
      <c r="M171" s="200"/>
      <c r="P171" s="696">
        <v>1.2E-2</v>
      </c>
      <c r="Q171" s="268"/>
      <c r="R171" s="268"/>
    </row>
    <row r="172" spans="1:31" x14ac:dyDescent="0.2">
      <c r="B172" s="229"/>
      <c r="C172" s="228" t="s">
        <v>177</v>
      </c>
      <c r="D172" s="200"/>
      <c r="E172" s="200"/>
      <c r="F172" s="200"/>
      <c r="G172" s="229"/>
      <c r="H172" s="229"/>
      <c r="I172" s="200"/>
      <c r="J172" s="200"/>
      <c r="K172" s="642" t="s">
        <v>20</v>
      </c>
      <c r="L172" s="207">
        <f>+INDEX($P172:$R172,1,Scenario)</f>
        <v>4.0000000000000001E-3</v>
      </c>
      <c r="M172" s="200"/>
      <c r="P172" s="696">
        <v>4.0000000000000001E-3</v>
      </c>
      <c r="Q172" s="268"/>
      <c r="R172" s="268"/>
    </row>
    <row r="173" spans="1:31" x14ac:dyDescent="0.2">
      <c r="B173" s="229"/>
      <c r="C173" s="228"/>
      <c r="D173" s="200"/>
      <c r="E173" s="200"/>
      <c r="F173" s="200"/>
      <c r="G173" s="229"/>
      <c r="H173" s="229"/>
      <c r="I173" s="200"/>
      <c r="J173" s="200"/>
      <c r="K173" s="642"/>
      <c r="L173" s="205"/>
      <c r="M173" s="200"/>
      <c r="P173" s="225"/>
      <c r="Q173" s="276"/>
      <c r="R173" s="276"/>
    </row>
    <row r="174" spans="1:31" ht="13.5" customHeight="1" x14ac:dyDescent="0.2">
      <c r="C174" s="232"/>
      <c r="H174" s="232"/>
      <c r="J174" s="594"/>
      <c r="K174" s="645"/>
      <c r="L174" s="206"/>
      <c r="M174" s="594"/>
      <c r="P174" s="206"/>
      <c r="Q174" s="265"/>
      <c r="R174" s="265"/>
      <c r="X174" s="603"/>
    </row>
    <row r="175" spans="1:31" x14ac:dyDescent="0.2">
      <c r="B175" s="604"/>
      <c r="C175" s="604" t="s">
        <v>387</v>
      </c>
      <c r="D175" s="604"/>
      <c r="E175" s="604"/>
      <c r="F175" s="604"/>
      <c r="G175" s="604"/>
      <c r="H175" s="604"/>
      <c r="I175" s="604"/>
      <c r="J175" s="604"/>
      <c r="K175" s="640"/>
      <c r="L175" s="604"/>
      <c r="M175" s="604"/>
    </row>
    <row r="176" spans="1:31" s="240" customFormat="1" ht="9.75" customHeight="1" x14ac:dyDescent="0.2">
      <c r="B176" s="607"/>
      <c r="C176" s="607"/>
      <c r="D176" s="607"/>
      <c r="E176" s="607"/>
      <c r="F176" s="607"/>
      <c r="G176" s="607"/>
      <c r="H176" s="607"/>
      <c r="I176" s="607"/>
      <c r="J176" s="607"/>
      <c r="K176" s="647"/>
      <c r="L176" s="607"/>
      <c r="M176" s="607"/>
      <c r="O176" s="193"/>
      <c r="Q176" s="260"/>
      <c r="R176" s="589"/>
      <c r="S176" s="232"/>
      <c r="W176" s="579"/>
      <c r="X176" s="579"/>
      <c r="Y176" s="189"/>
      <c r="Z176" s="189"/>
      <c r="AA176" s="189"/>
      <c r="AB176" s="189"/>
      <c r="AC176" s="189"/>
      <c r="AD176" s="189"/>
      <c r="AE176" s="189"/>
    </row>
    <row r="177" spans="2:31" s="240" customFormat="1" x14ac:dyDescent="0.2">
      <c r="B177" s="201"/>
      <c r="C177" s="201" t="s">
        <v>403</v>
      </c>
      <c r="D177" s="607"/>
      <c r="E177" s="607"/>
      <c r="F177" s="607"/>
      <c r="G177" s="607"/>
      <c r="H177" s="607"/>
      <c r="I177" s="607"/>
      <c r="J177" s="607"/>
      <c r="K177" s="647"/>
      <c r="L177" s="609">
        <f>+INDEX($P177:$R177,1,Scenario)</f>
        <v>2</v>
      </c>
      <c r="M177" s="607"/>
      <c r="O177" s="193"/>
      <c r="P177" s="698">
        <v>2</v>
      </c>
      <c r="Q177" s="277"/>
      <c r="R177" s="277"/>
      <c r="S177" s="232"/>
      <c r="W177" s="579"/>
      <c r="X177" s="579"/>
      <c r="Y177" s="189"/>
      <c r="Z177" s="189"/>
      <c r="AA177" s="189"/>
      <c r="AB177" s="189"/>
      <c r="AC177" s="189"/>
      <c r="AD177" s="189"/>
      <c r="AE177" s="189"/>
    </row>
    <row r="178" spans="2:31" s="240" customFormat="1" x14ac:dyDescent="0.2">
      <c r="B178" s="201"/>
      <c r="C178" s="201" t="s">
        <v>384</v>
      </c>
      <c r="D178" s="607"/>
      <c r="E178" s="607"/>
      <c r="F178" s="607"/>
      <c r="G178" s="607"/>
      <c r="H178" s="607"/>
      <c r="I178" s="607"/>
      <c r="J178" s="607"/>
      <c r="K178" s="648" t="s">
        <v>20</v>
      </c>
      <c r="L178" s="610">
        <v>0.54603854389721629</v>
      </c>
      <c r="M178" s="607"/>
      <c r="O178" s="193"/>
      <c r="P178" s="224"/>
      <c r="Q178" s="278"/>
      <c r="R178" s="278"/>
      <c r="S178" s="232"/>
      <c r="W178" s="579"/>
      <c r="X178" s="579"/>
      <c r="Y178" s="189"/>
      <c r="Z178" s="189"/>
      <c r="AA178" s="189"/>
      <c r="AB178" s="189"/>
      <c r="AC178" s="189"/>
      <c r="AD178" s="189"/>
      <c r="AE178" s="189"/>
    </row>
    <row r="179" spans="2:31" s="240" customFormat="1" ht="9.75" customHeight="1" x14ac:dyDescent="0.2">
      <c r="B179" s="607"/>
      <c r="C179" s="607"/>
      <c r="D179" s="607"/>
      <c r="E179" s="607"/>
      <c r="F179" s="607"/>
      <c r="G179" s="607"/>
      <c r="H179" s="607"/>
      <c r="I179" s="607"/>
      <c r="J179" s="607"/>
      <c r="K179" s="647"/>
      <c r="L179" s="611"/>
      <c r="M179" s="607"/>
      <c r="O179" s="193"/>
      <c r="Q179" s="260"/>
      <c r="R179" s="589"/>
      <c r="S179" s="232"/>
      <c r="W179" s="579"/>
      <c r="X179" s="579"/>
      <c r="Y179" s="189"/>
      <c r="Z179" s="189"/>
      <c r="AA179" s="189"/>
      <c r="AB179" s="189"/>
      <c r="AC179" s="189"/>
      <c r="AD179" s="189"/>
      <c r="AE179" s="189"/>
    </row>
    <row r="180" spans="2:31" ht="13.5" customHeight="1" x14ac:dyDescent="0.2">
      <c r="B180" s="201" t="s">
        <v>417</v>
      </c>
      <c r="C180" s="228"/>
      <c r="D180" s="200"/>
      <c r="E180" s="200"/>
      <c r="F180" s="200"/>
      <c r="G180" s="229"/>
      <c r="H180" s="228"/>
      <c r="I180" s="200"/>
      <c r="J180" s="592"/>
      <c r="K180" s="644"/>
      <c r="L180" s="211"/>
      <c r="M180" s="592"/>
      <c r="P180" s="206"/>
      <c r="Q180" s="265"/>
      <c r="R180" s="265"/>
      <c r="X180" s="603"/>
    </row>
    <row r="181" spans="2:31" ht="13.5" customHeight="1" x14ac:dyDescent="0.2">
      <c r="B181" s="229"/>
      <c r="C181" s="228" t="s">
        <v>398</v>
      </c>
      <c r="D181" s="200"/>
      <c r="E181" s="200"/>
      <c r="F181" s="200"/>
      <c r="G181" s="229"/>
      <c r="H181" s="228"/>
      <c r="I181" s="200"/>
      <c r="J181" s="592"/>
      <c r="K181" s="644" t="s">
        <v>20</v>
      </c>
      <c r="L181" s="207">
        <f>+INDEX($P181:$R181,1,Scenario)</f>
        <v>3.0028533333333329E-2</v>
      </c>
      <c r="M181" s="592"/>
      <c r="P181" s="696">
        <v>3.0028533333333329E-2</v>
      </c>
      <c r="Q181" s="279"/>
      <c r="R181" s="279"/>
      <c r="X181" s="603"/>
    </row>
    <row r="182" spans="2:31" ht="13.5" customHeight="1" x14ac:dyDescent="0.2">
      <c r="B182" s="229"/>
      <c r="C182" s="228" t="s">
        <v>399</v>
      </c>
      <c r="D182" s="200"/>
      <c r="E182" s="200"/>
      <c r="F182" s="200"/>
      <c r="G182" s="229"/>
      <c r="H182" s="228"/>
      <c r="I182" s="200"/>
      <c r="J182" s="592"/>
      <c r="K182" s="644"/>
      <c r="L182" s="244">
        <f>+INDEX($P182:$R182,1,Scenario)</f>
        <v>0.85</v>
      </c>
      <c r="M182" s="592"/>
      <c r="P182" s="697">
        <v>0.85</v>
      </c>
      <c r="Q182" s="275"/>
      <c r="R182" s="275"/>
      <c r="X182" s="603"/>
    </row>
    <row r="183" spans="2:31" ht="13.5" customHeight="1" x14ac:dyDescent="0.2">
      <c r="B183" s="229"/>
      <c r="C183" s="228" t="s">
        <v>400</v>
      </c>
      <c r="D183" s="200"/>
      <c r="E183" s="200"/>
      <c r="F183" s="200"/>
      <c r="G183" s="229"/>
      <c r="H183" s="228"/>
      <c r="I183" s="200"/>
      <c r="J183" s="592"/>
      <c r="K183" s="644" t="s">
        <v>20</v>
      </c>
      <c r="L183" s="207">
        <f>+INDEX($P183:$R183,1,Scenario)</f>
        <v>0.06</v>
      </c>
      <c r="M183" s="592"/>
      <c r="P183" s="696">
        <v>0.06</v>
      </c>
      <c r="Q183" s="279"/>
      <c r="R183" s="279"/>
      <c r="X183" s="603"/>
    </row>
    <row r="184" spans="2:31" ht="13.5" customHeight="1" x14ac:dyDescent="0.2">
      <c r="B184" s="229"/>
      <c r="C184" s="228" t="s">
        <v>401</v>
      </c>
      <c r="D184" s="200"/>
      <c r="E184" s="200"/>
      <c r="F184" s="200"/>
      <c r="G184" s="229"/>
      <c r="H184" s="228"/>
      <c r="I184" s="200"/>
      <c r="J184" s="592"/>
      <c r="K184" s="644" t="s">
        <v>402</v>
      </c>
      <c r="L184" s="244">
        <f>+INDEX($P184:$R184,1,Scenario)</f>
        <v>1.2021999999999999</v>
      </c>
      <c r="M184" s="592"/>
      <c r="P184" s="697">
        <v>1.2021999999999999</v>
      </c>
      <c r="Q184" s="275"/>
      <c r="R184" s="275"/>
      <c r="X184" s="603"/>
    </row>
    <row r="185" spans="2:31" ht="13.5" customHeight="1" x14ac:dyDescent="0.2">
      <c r="B185" s="229"/>
      <c r="C185" s="228"/>
      <c r="D185" s="200"/>
      <c r="E185" s="200"/>
      <c r="F185" s="200"/>
      <c r="G185" s="229"/>
      <c r="H185" s="228"/>
      <c r="I185" s="200"/>
      <c r="J185" s="592"/>
      <c r="K185" s="644"/>
      <c r="L185" s="211"/>
      <c r="M185" s="592"/>
      <c r="P185" s="206"/>
      <c r="Q185" s="265"/>
      <c r="R185" s="265"/>
      <c r="X185" s="603"/>
    </row>
    <row r="186" spans="2:31" ht="13.5" customHeight="1" x14ac:dyDescent="0.2">
      <c r="B186" s="201" t="s">
        <v>418</v>
      </c>
      <c r="C186" s="228"/>
      <c r="D186" s="200"/>
      <c r="E186" s="200"/>
      <c r="F186" s="200"/>
      <c r="G186" s="229"/>
      <c r="H186" s="228"/>
      <c r="I186" s="200"/>
      <c r="J186" s="592"/>
      <c r="K186" s="644"/>
      <c r="L186" s="211"/>
      <c r="M186" s="592"/>
      <c r="P186" s="206"/>
      <c r="Q186" s="265"/>
      <c r="R186" s="265"/>
      <c r="X186" s="603"/>
    </row>
    <row r="187" spans="2:31" ht="13.5" customHeight="1" x14ac:dyDescent="0.2">
      <c r="B187" s="229"/>
      <c r="C187" s="228" t="s">
        <v>383</v>
      </c>
      <c r="D187" s="200"/>
      <c r="E187" s="200"/>
      <c r="F187" s="200"/>
      <c r="G187" s="229"/>
      <c r="H187" s="228"/>
      <c r="I187" s="200"/>
      <c r="J187" s="592"/>
      <c r="K187" s="644" t="s">
        <v>20</v>
      </c>
      <c r="L187" s="245">
        <f>+INDEX($P187:$R187,1,Scenario)</f>
        <v>0.105</v>
      </c>
      <c r="M187" s="592"/>
      <c r="P187" s="696">
        <v>0.105</v>
      </c>
      <c r="Q187" s="268"/>
      <c r="R187" s="268"/>
      <c r="X187" s="603"/>
    </row>
    <row r="188" spans="2:31" ht="13.5" customHeight="1" x14ac:dyDescent="0.2">
      <c r="B188" s="229"/>
      <c r="C188" s="228"/>
      <c r="D188" s="200"/>
      <c r="E188" s="200"/>
      <c r="F188" s="200"/>
      <c r="G188" s="229"/>
      <c r="H188" s="228"/>
      <c r="I188" s="200"/>
      <c r="J188" s="592"/>
      <c r="K188" s="644"/>
      <c r="L188" s="593"/>
      <c r="M188" s="592"/>
      <c r="P188" s="225"/>
      <c r="Q188" s="276"/>
      <c r="R188" s="276"/>
      <c r="X188" s="603"/>
    </row>
    <row r="189" spans="2:31" x14ac:dyDescent="0.2">
      <c r="L189" s="197"/>
    </row>
    <row r="190" spans="2:31" x14ac:dyDescent="0.2">
      <c r="B190" s="604"/>
      <c r="C190" s="604" t="s">
        <v>284</v>
      </c>
      <c r="D190" s="604"/>
      <c r="E190" s="604"/>
      <c r="F190" s="604"/>
      <c r="G190" s="604"/>
      <c r="H190" s="604"/>
      <c r="I190" s="604"/>
      <c r="J190" s="604"/>
      <c r="K190" s="640"/>
      <c r="L190" s="604"/>
      <c r="M190" s="604"/>
    </row>
    <row r="191" spans="2:31" ht="13.5" thickBot="1" x14ac:dyDescent="0.25">
      <c r="B191" s="229"/>
      <c r="C191" s="229"/>
      <c r="D191" s="200"/>
      <c r="E191" s="200"/>
      <c r="F191" s="200"/>
      <c r="G191" s="229"/>
      <c r="H191" s="229"/>
      <c r="I191" s="200"/>
      <c r="J191" s="200"/>
      <c r="K191" s="642"/>
      <c r="L191" s="246"/>
      <c r="M191" s="200"/>
    </row>
    <row r="192" spans="2:31" ht="13.5" thickBot="1" x14ac:dyDescent="0.25">
      <c r="B192" s="229"/>
      <c r="C192" s="237" t="s">
        <v>34</v>
      </c>
      <c r="D192" s="200"/>
      <c r="E192" s="200"/>
      <c r="F192" s="200"/>
      <c r="G192" s="229"/>
      <c r="H192" s="229"/>
      <c r="I192" s="200"/>
      <c r="J192" s="200"/>
      <c r="K192" s="642"/>
      <c r="L192" s="247">
        <f ca="1">+Acc!N67</f>
        <v>0</v>
      </c>
      <c r="M192" s="200"/>
    </row>
    <row r="193" spans="2:13" ht="13.5" thickBot="1" x14ac:dyDescent="0.25">
      <c r="B193" s="229"/>
      <c r="C193" s="228" t="s">
        <v>35</v>
      </c>
      <c r="D193" s="200"/>
      <c r="E193" s="200"/>
      <c r="F193" s="200"/>
      <c r="G193" s="229"/>
      <c r="H193" s="229"/>
      <c r="I193" s="200"/>
      <c r="J193" s="200"/>
      <c r="K193" s="642"/>
      <c r="L193" s="247">
        <f>+Acc!N101</f>
        <v>0</v>
      </c>
      <c r="M193" s="200"/>
    </row>
    <row r="194" spans="2:13" ht="13.5" thickBot="1" x14ac:dyDescent="0.25">
      <c r="B194" s="229"/>
      <c r="C194" s="237" t="s">
        <v>37</v>
      </c>
      <c r="D194" s="200"/>
      <c r="E194" s="200"/>
      <c r="F194" s="200"/>
      <c r="G194" s="229"/>
      <c r="H194" s="229"/>
      <c r="I194" s="200"/>
      <c r="J194" s="200"/>
      <c r="K194" s="642"/>
      <c r="L194" s="247">
        <f>IF(ROUND(AND(Fin!N26+Fin!N47+Fin!N58+Fin!N34+Fin!N96+Fin!N140+Fin!N189),2)=0,0,1)</f>
        <v>0</v>
      </c>
      <c r="M194" s="200"/>
    </row>
    <row r="195" spans="2:13" ht="13.5" thickBot="1" x14ac:dyDescent="0.25">
      <c r="B195" s="229"/>
      <c r="C195" s="237" t="s">
        <v>39</v>
      </c>
      <c r="D195" s="200"/>
      <c r="E195" s="200"/>
      <c r="F195" s="200"/>
      <c r="G195" s="229"/>
      <c r="H195" s="229"/>
      <c r="I195" s="200"/>
      <c r="J195" s="200"/>
      <c r="K195" s="642"/>
      <c r="L195" s="247">
        <f ca="1">Tax!N52</f>
        <v>0</v>
      </c>
      <c r="M195" s="200"/>
    </row>
    <row r="196" spans="2:13" ht="13.5" thickBot="1" x14ac:dyDescent="0.25">
      <c r="B196" s="229"/>
      <c r="C196" s="237" t="s">
        <v>487</v>
      </c>
      <c r="D196" s="200"/>
      <c r="E196" s="200"/>
      <c r="F196" s="200"/>
      <c r="G196" s="229"/>
      <c r="H196" s="229"/>
      <c r="I196" s="200"/>
      <c r="J196" s="200"/>
      <c r="K196" s="642"/>
      <c r="L196" s="668">
        <f ca="1">+Tax!N80</f>
        <v>0</v>
      </c>
      <c r="M196" s="200"/>
    </row>
    <row r="197" spans="2:13" ht="13.5" thickBot="1" x14ac:dyDescent="0.25">
      <c r="B197" s="229"/>
      <c r="C197" s="237" t="s">
        <v>485</v>
      </c>
      <c r="D197" s="200"/>
      <c r="E197" s="200"/>
      <c r="F197" s="200"/>
      <c r="G197" s="229"/>
      <c r="H197" s="229"/>
      <c r="I197" s="200"/>
      <c r="J197" s="200"/>
      <c r="K197" s="642"/>
      <c r="L197" s="668">
        <f ca="1">+Tax!N33</f>
        <v>0</v>
      </c>
      <c r="M197" s="200"/>
    </row>
    <row r="198" spans="2:13" ht="13.5" thickBot="1" x14ac:dyDescent="0.25">
      <c r="B198" s="229"/>
      <c r="C198" s="237" t="s">
        <v>42</v>
      </c>
      <c r="D198" s="200"/>
      <c r="E198" s="200"/>
      <c r="F198" s="200"/>
      <c r="G198" s="229"/>
      <c r="H198" s="229"/>
      <c r="I198" s="200"/>
      <c r="J198" s="200"/>
      <c r="K198" s="642"/>
      <c r="L198" s="247">
        <f>+Fin!N308</f>
        <v>0</v>
      </c>
      <c r="M198" s="200"/>
    </row>
    <row r="199" spans="2:13" ht="13.5" thickBot="1" x14ac:dyDescent="0.25">
      <c r="B199" s="229"/>
      <c r="C199" s="237" t="s">
        <v>43</v>
      </c>
      <c r="D199" s="200"/>
      <c r="E199" s="200"/>
      <c r="F199" s="200"/>
      <c r="G199" s="229"/>
      <c r="H199" s="229"/>
      <c r="I199" s="200"/>
      <c r="J199" s="200"/>
      <c r="K199" s="642"/>
      <c r="L199" s="247">
        <f>+Fin!N277</f>
        <v>0</v>
      </c>
      <c r="M199" s="200"/>
    </row>
    <row r="200" spans="2:13" ht="13.5" thickBot="1" x14ac:dyDescent="0.25">
      <c r="B200" s="229"/>
      <c r="C200" s="237" t="s">
        <v>33</v>
      </c>
      <c r="D200" s="200"/>
      <c r="E200" s="200"/>
      <c r="F200" s="200"/>
      <c r="G200" s="229"/>
      <c r="H200" s="229"/>
      <c r="I200" s="200"/>
      <c r="J200" s="200"/>
      <c r="K200" s="642"/>
      <c r="L200" s="247">
        <f>+Fin!N251</f>
        <v>0</v>
      </c>
      <c r="M200" s="200"/>
    </row>
    <row r="201" spans="2:13" ht="13.5" thickBot="1" x14ac:dyDescent="0.25">
      <c r="B201" s="229"/>
      <c r="C201" s="237" t="s">
        <v>314</v>
      </c>
      <c r="D201" s="200"/>
      <c r="E201" s="200"/>
      <c r="F201" s="200"/>
      <c r="G201" s="229"/>
      <c r="H201" s="229"/>
      <c r="I201" s="200"/>
      <c r="J201" s="200"/>
      <c r="K201" s="642"/>
      <c r="L201" s="247">
        <f>Fin!N318</f>
        <v>0</v>
      </c>
      <c r="M201" s="200"/>
    </row>
    <row r="202" spans="2:13" ht="13.5" thickBot="1" x14ac:dyDescent="0.25">
      <c r="B202" s="229"/>
      <c r="C202" s="237" t="s">
        <v>321</v>
      </c>
      <c r="D202" s="200"/>
      <c r="E202" s="200"/>
      <c r="F202" s="200"/>
      <c r="G202" s="229"/>
      <c r="H202" s="229"/>
      <c r="I202" s="200"/>
      <c r="J202" s="200"/>
      <c r="K202" s="642"/>
      <c r="L202" s="247">
        <f>Fin!N292</f>
        <v>0</v>
      </c>
      <c r="M202" s="200"/>
    </row>
    <row r="203" spans="2:13" ht="13.5" thickBot="1" x14ac:dyDescent="0.25">
      <c r="B203" s="229"/>
      <c r="C203" s="237" t="s">
        <v>44</v>
      </c>
      <c r="D203" s="200"/>
      <c r="E203" s="200"/>
      <c r="F203" s="200"/>
      <c r="G203" s="229"/>
      <c r="H203" s="229"/>
      <c r="I203" s="200"/>
      <c r="J203" s="200"/>
      <c r="K203" s="642"/>
      <c r="L203" s="247">
        <f>+CF!N58</f>
        <v>0</v>
      </c>
      <c r="M203" s="200"/>
    </row>
    <row r="204" spans="2:13" ht="13.5" thickBot="1" x14ac:dyDescent="0.25">
      <c r="B204" s="229"/>
      <c r="C204" s="237" t="s">
        <v>45</v>
      </c>
      <c r="D204" s="200"/>
      <c r="E204" s="200"/>
      <c r="F204" s="200"/>
      <c r="G204" s="229"/>
      <c r="H204" s="229"/>
      <c r="I204" s="200"/>
      <c r="J204" s="200"/>
      <c r="K204" s="642"/>
      <c r="L204" s="247">
        <f>IF(Mac!$M$21 = "OK",0,1)</f>
        <v>0</v>
      </c>
      <c r="M204" s="200"/>
    </row>
    <row r="205" spans="2:13" x14ac:dyDescent="0.2">
      <c r="B205" s="229"/>
      <c r="C205" s="229"/>
      <c r="D205" s="200"/>
      <c r="E205" s="200"/>
      <c r="F205" s="200"/>
      <c r="G205" s="229"/>
      <c r="H205" s="229"/>
      <c r="I205" s="200"/>
      <c r="J205" s="200"/>
      <c r="K205" s="642"/>
      <c r="L205" s="228"/>
      <c r="M205" s="200"/>
    </row>
    <row r="206" spans="2:13" x14ac:dyDescent="0.2">
      <c r="L206" s="232"/>
    </row>
    <row r="207" spans="2:13" x14ac:dyDescent="0.2">
      <c r="B207" s="604" t="s">
        <v>464</v>
      </c>
      <c r="C207" s="604"/>
      <c r="D207" s="604"/>
      <c r="E207" s="604"/>
      <c r="F207" s="604"/>
      <c r="G207" s="604"/>
      <c r="H207" s="604"/>
      <c r="I207" s="604"/>
      <c r="J207" s="604"/>
      <c r="K207" s="640"/>
      <c r="L207" s="604"/>
      <c r="M207" s="604"/>
    </row>
    <row r="209" spans="2:13" x14ac:dyDescent="0.2">
      <c r="L209" s="608">
        <v>2017</v>
      </c>
    </row>
    <row r="210" spans="2:13" x14ac:dyDescent="0.2">
      <c r="B210" s="409" t="s">
        <v>395</v>
      </c>
    </row>
    <row r="212" spans="2:13" x14ac:dyDescent="0.2">
      <c r="B212" s="229"/>
      <c r="C212" s="248" t="s">
        <v>397</v>
      </c>
      <c r="D212" s="228"/>
      <c r="E212" s="228"/>
      <c r="F212" s="228"/>
      <c r="G212" s="249"/>
      <c r="H212" s="249"/>
      <c r="I212" s="228"/>
      <c r="J212" s="228"/>
      <c r="K212" s="642"/>
      <c r="L212" s="228"/>
      <c r="M212" s="200"/>
    </row>
    <row r="213" spans="2:13" x14ac:dyDescent="0.2">
      <c r="B213" s="229"/>
      <c r="C213" s="248"/>
      <c r="D213" s="228"/>
      <c r="E213" s="228"/>
      <c r="F213" s="228"/>
      <c r="G213" s="249"/>
      <c r="H213" s="249"/>
      <c r="I213" s="228"/>
      <c r="J213" s="228"/>
      <c r="K213" s="642"/>
      <c r="L213" s="228"/>
      <c r="M213" s="200"/>
    </row>
    <row r="214" spans="2:13" x14ac:dyDescent="0.2">
      <c r="B214" s="229"/>
      <c r="C214" s="250" t="s">
        <v>90</v>
      </c>
      <c r="D214" s="250"/>
      <c r="E214" s="250"/>
      <c r="F214" s="251"/>
      <c r="G214" s="252"/>
      <c r="H214" s="252"/>
      <c r="I214" s="251"/>
      <c r="J214" s="251"/>
      <c r="K214" s="649"/>
      <c r="L214" s="253">
        <f>SUM(L215:L220)</f>
        <v>135988.20498000001</v>
      </c>
      <c r="M214" s="200"/>
    </row>
    <row r="215" spans="2:13" x14ac:dyDescent="0.2">
      <c r="B215" s="229"/>
      <c r="C215" s="597" t="s">
        <v>33</v>
      </c>
      <c r="D215" s="229"/>
      <c r="E215" s="229"/>
      <c r="F215" s="228"/>
      <c r="G215" s="249"/>
      <c r="H215" s="249"/>
      <c r="I215" s="228"/>
      <c r="J215" s="228"/>
      <c r="K215" s="642"/>
      <c r="L215" s="233">
        <v>20000</v>
      </c>
      <c r="M215" s="200"/>
    </row>
    <row r="216" spans="2:13" x14ac:dyDescent="0.2">
      <c r="B216" s="229"/>
      <c r="C216" s="597" t="s">
        <v>43</v>
      </c>
      <c r="D216" s="229"/>
      <c r="E216" s="229"/>
      <c r="F216" s="228"/>
      <c r="G216" s="249"/>
      <c r="H216" s="249"/>
      <c r="I216" s="228"/>
      <c r="J216" s="228"/>
      <c r="K216" s="642"/>
      <c r="L216" s="233">
        <v>61500</v>
      </c>
      <c r="M216" s="200"/>
    </row>
    <row r="217" spans="2:13" x14ac:dyDescent="0.2">
      <c r="B217" s="229"/>
      <c r="C217" s="597" t="s">
        <v>314</v>
      </c>
      <c r="D217" s="229"/>
      <c r="E217" s="229"/>
      <c r="F217" s="228"/>
      <c r="G217" s="249"/>
      <c r="H217" s="249"/>
      <c r="I217" s="228"/>
      <c r="J217" s="228"/>
      <c r="K217" s="642"/>
      <c r="L217" s="233">
        <v>1982.7223300000005</v>
      </c>
      <c r="M217" s="200"/>
    </row>
    <row r="218" spans="2:13" x14ac:dyDescent="0.2">
      <c r="B218" s="229"/>
      <c r="C218" s="597" t="s">
        <v>318</v>
      </c>
      <c r="D218" s="229"/>
      <c r="E218" s="229"/>
      <c r="F218" s="228"/>
      <c r="G218" s="249"/>
      <c r="H218" s="249"/>
      <c r="I218" s="228"/>
      <c r="J218" s="228"/>
      <c r="K218" s="642"/>
      <c r="L218" s="233">
        <v>0</v>
      </c>
      <c r="M218" s="200"/>
    </row>
    <row r="219" spans="2:13" x14ac:dyDescent="0.2">
      <c r="B219" s="229"/>
      <c r="C219" s="597" t="s">
        <v>75</v>
      </c>
      <c r="D219" s="229"/>
      <c r="E219" s="229"/>
      <c r="F219" s="228"/>
      <c r="G219" s="249"/>
      <c r="H219" s="249"/>
      <c r="I219" s="228"/>
      <c r="J219" s="228"/>
      <c r="K219" s="642"/>
      <c r="L219" s="233">
        <v>52505.482650000005</v>
      </c>
      <c r="M219" s="200"/>
    </row>
    <row r="220" spans="2:13" x14ac:dyDescent="0.2">
      <c r="B220" s="229"/>
      <c r="C220" s="597" t="s">
        <v>91</v>
      </c>
      <c r="D220" s="229"/>
      <c r="E220" s="229"/>
      <c r="F220" s="228"/>
      <c r="G220" s="249"/>
      <c r="H220" s="249"/>
      <c r="I220" s="228"/>
      <c r="J220" s="228"/>
      <c r="K220" s="642"/>
      <c r="L220" s="233">
        <v>0</v>
      </c>
      <c r="M220" s="200"/>
    </row>
    <row r="221" spans="2:13" x14ac:dyDescent="0.2">
      <c r="B221" s="229"/>
      <c r="C221" s="598"/>
      <c r="D221" s="229"/>
      <c r="E221" s="229"/>
      <c r="F221" s="228"/>
      <c r="G221" s="249"/>
      <c r="H221" s="249"/>
      <c r="I221" s="228"/>
      <c r="J221" s="228"/>
      <c r="K221" s="642"/>
      <c r="L221" s="228"/>
      <c r="M221" s="200"/>
    </row>
    <row r="222" spans="2:13" x14ac:dyDescent="0.2">
      <c r="B222" s="229"/>
      <c r="C222" s="229"/>
      <c r="D222" s="229"/>
      <c r="E222" s="229"/>
      <c r="F222" s="228"/>
      <c r="G222" s="249"/>
      <c r="H222" s="249"/>
      <c r="I222" s="228"/>
      <c r="J222" s="228"/>
      <c r="K222" s="642"/>
      <c r="L222" s="228"/>
      <c r="M222" s="200"/>
    </row>
    <row r="223" spans="2:13" x14ac:dyDescent="0.2">
      <c r="B223" s="229"/>
      <c r="C223" s="250" t="s">
        <v>92</v>
      </c>
      <c r="D223" s="250"/>
      <c r="E223" s="250"/>
      <c r="F223" s="251"/>
      <c r="G223" s="252"/>
      <c r="H223" s="252"/>
      <c r="I223" s="251"/>
      <c r="J223" s="251"/>
      <c r="K223" s="649"/>
      <c r="L223" s="253">
        <f t="shared" ref="L223" si="14">SUM(L224:L224)</f>
        <v>1915503.307443745</v>
      </c>
      <c r="M223" s="200"/>
    </row>
    <row r="224" spans="2:13" x14ac:dyDescent="0.2">
      <c r="B224" s="229"/>
      <c r="C224" s="597" t="s">
        <v>423</v>
      </c>
      <c r="D224" s="229"/>
      <c r="E224" s="229"/>
      <c r="F224" s="228"/>
      <c r="G224" s="229"/>
      <c r="H224" s="229"/>
      <c r="I224" s="228"/>
      <c r="J224" s="228"/>
      <c r="K224" s="642"/>
      <c r="L224" s="233">
        <v>1915503.307443745</v>
      </c>
      <c r="M224" s="200"/>
    </row>
    <row r="225" spans="2:31" s="601" customFormat="1" x14ac:dyDescent="0.2">
      <c r="B225" s="249"/>
      <c r="C225" s="249"/>
      <c r="D225" s="249"/>
      <c r="E225" s="249"/>
      <c r="F225" s="228"/>
      <c r="G225" s="249"/>
      <c r="H225" s="249"/>
      <c r="I225" s="228"/>
      <c r="J225" s="228"/>
      <c r="K225" s="642"/>
      <c r="L225" s="228"/>
      <c r="M225" s="200"/>
      <c r="N225" s="599"/>
      <c r="O225" s="193"/>
      <c r="P225" s="599"/>
      <c r="Q225" s="260"/>
      <c r="R225" s="600"/>
      <c r="S225" s="232"/>
      <c r="T225" s="599"/>
      <c r="U225" s="599"/>
      <c r="V225" s="599"/>
      <c r="W225" s="579"/>
      <c r="X225" s="579"/>
      <c r="Y225" s="189"/>
      <c r="Z225" s="189"/>
      <c r="AA225" s="189"/>
      <c r="AB225" s="189"/>
      <c r="AC225" s="189"/>
      <c r="AD225" s="189"/>
      <c r="AE225" s="189"/>
    </row>
    <row r="226" spans="2:31" x14ac:dyDescent="0.2">
      <c r="B226" s="229"/>
      <c r="C226" s="256" t="s">
        <v>94</v>
      </c>
      <c r="D226" s="256"/>
      <c r="E226" s="256"/>
      <c r="F226" s="256"/>
      <c r="G226" s="256"/>
      <c r="H226" s="256"/>
      <c r="I226" s="256"/>
      <c r="J226" s="256"/>
      <c r="K226" s="650"/>
      <c r="L226" s="694">
        <f>+L223+L214</f>
        <v>2051491.5124237449</v>
      </c>
      <c r="M226" s="200"/>
    </row>
    <row r="227" spans="2:31" x14ac:dyDescent="0.2">
      <c r="B227" s="229"/>
      <c r="C227" s="229"/>
      <c r="D227" s="229"/>
      <c r="E227" s="229"/>
      <c r="F227" s="228"/>
      <c r="G227" s="229"/>
      <c r="H227" s="229"/>
      <c r="I227" s="228"/>
      <c r="J227" s="228"/>
      <c r="K227" s="642"/>
      <c r="L227" s="228"/>
      <c r="M227" s="200"/>
    </row>
    <row r="228" spans="2:31" x14ac:dyDescent="0.2">
      <c r="B228" s="229"/>
      <c r="C228" s="229"/>
      <c r="D228" s="229"/>
      <c r="E228" s="229"/>
      <c r="F228" s="228"/>
      <c r="G228" s="229"/>
      <c r="H228" s="229"/>
      <c r="I228" s="228"/>
      <c r="J228" s="228"/>
      <c r="K228" s="642"/>
      <c r="L228" s="228"/>
      <c r="M228" s="200"/>
    </row>
    <row r="229" spans="2:31" x14ac:dyDescent="0.2">
      <c r="B229" s="229"/>
      <c r="C229" s="229"/>
      <c r="D229" s="229"/>
      <c r="E229" s="229"/>
      <c r="F229" s="228"/>
      <c r="G229" s="229"/>
      <c r="H229" s="229"/>
      <c r="I229" s="228"/>
      <c r="J229" s="228"/>
      <c r="K229" s="642"/>
      <c r="L229" s="237"/>
      <c r="M229" s="200"/>
    </row>
    <row r="230" spans="2:31" x14ac:dyDescent="0.2">
      <c r="B230" s="229"/>
      <c r="C230" s="250" t="s">
        <v>95</v>
      </c>
      <c r="D230" s="250"/>
      <c r="E230" s="250"/>
      <c r="F230" s="251"/>
      <c r="G230" s="252"/>
      <c r="H230" s="252"/>
      <c r="I230" s="251"/>
      <c r="J230" s="251"/>
      <c r="K230" s="649"/>
      <c r="L230" s="253">
        <f t="shared" ref="L230" si="15">SUM(L231:L232)</f>
        <v>402116.81488000008</v>
      </c>
      <c r="M230" s="200"/>
    </row>
    <row r="231" spans="2:31" x14ac:dyDescent="0.2">
      <c r="B231" s="229"/>
      <c r="C231" s="597" t="s">
        <v>96</v>
      </c>
      <c r="D231" s="229"/>
      <c r="E231" s="229"/>
      <c r="F231" s="228"/>
      <c r="G231" s="229"/>
      <c r="H231" s="229"/>
      <c r="I231" s="228"/>
      <c r="J231" s="228"/>
      <c r="K231" s="642"/>
      <c r="L231" s="257">
        <v>671912.55500000005</v>
      </c>
      <c r="M231" s="200"/>
    </row>
    <row r="232" spans="2:31" x14ac:dyDescent="0.2">
      <c r="B232" s="229"/>
      <c r="C232" s="597" t="s">
        <v>97</v>
      </c>
      <c r="D232" s="229"/>
      <c r="E232" s="229"/>
      <c r="F232" s="228"/>
      <c r="G232" s="229"/>
      <c r="H232" s="229"/>
      <c r="I232" s="228"/>
      <c r="J232" s="228"/>
      <c r="K232" s="642"/>
      <c r="L232" s="257">
        <v>-269795.74011999997</v>
      </c>
      <c r="M232" s="200"/>
    </row>
    <row r="233" spans="2:31" x14ac:dyDescent="0.2">
      <c r="B233" s="229"/>
      <c r="C233" s="229"/>
      <c r="D233" s="229"/>
      <c r="E233" s="229"/>
      <c r="F233" s="228"/>
      <c r="G233" s="229"/>
      <c r="H233" s="229"/>
      <c r="I233" s="228"/>
      <c r="J233" s="228"/>
      <c r="K233" s="642"/>
      <c r="L233" s="237"/>
      <c r="M233" s="200"/>
    </row>
    <row r="234" spans="2:31" x14ac:dyDescent="0.2">
      <c r="B234" s="229"/>
      <c r="C234" s="229"/>
      <c r="D234" s="229"/>
      <c r="E234" s="229"/>
      <c r="F234" s="228"/>
      <c r="G234" s="229"/>
      <c r="H234" s="229"/>
      <c r="I234" s="228"/>
      <c r="J234" s="228"/>
      <c r="K234" s="642"/>
      <c r="L234" s="237"/>
      <c r="M234" s="200"/>
    </row>
    <row r="235" spans="2:31" x14ac:dyDescent="0.2">
      <c r="B235" s="229"/>
      <c r="C235" s="250" t="s">
        <v>98</v>
      </c>
      <c r="D235" s="250"/>
      <c r="E235" s="250"/>
      <c r="F235" s="251"/>
      <c r="G235" s="252"/>
      <c r="H235" s="252"/>
      <c r="I235" s="251"/>
      <c r="J235" s="251"/>
      <c r="K235" s="649"/>
      <c r="L235" s="253">
        <f t="shared" ref="L235" si="16">SUM(L236:L239)</f>
        <v>1649374.6975537459</v>
      </c>
      <c r="M235" s="200"/>
    </row>
    <row r="236" spans="2:31" x14ac:dyDescent="0.2">
      <c r="B236" s="229"/>
      <c r="C236" s="597"/>
      <c r="D236" s="229"/>
      <c r="E236" s="229"/>
      <c r="F236" s="228"/>
      <c r="G236" s="229"/>
      <c r="H236" s="229"/>
      <c r="I236" s="228"/>
      <c r="J236" s="228"/>
      <c r="K236" s="642"/>
      <c r="L236" s="237"/>
      <c r="M236" s="200"/>
    </row>
    <row r="237" spans="2:31" x14ac:dyDescent="0.2">
      <c r="B237" s="229"/>
      <c r="C237" s="597" t="s">
        <v>100</v>
      </c>
      <c r="D237" s="229"/>
      <c r="E237" s="229"/>
      <c r="F237" s="228"/>
      <c r="G237" s="229"/>
      <c r="H237" s="229"/>
      <c r="I237" s="228"/>
      <c r="J237" s="228"/>
      <c r="K237" s="642"/>
      <c r="L237" s="233">
        <v>615000.38086000003</v>
      </c>
      <c r="M237" s="200"/>
    </row>
    <row r="238" spans="2:31" x14ac:dyDescent="0.2">
      <c r="B238" s="229"/>
      <c r="C238" s="597" t="s">
        <v>101</v>
      </c>
      <c r="D238" s="229"/>
      <c r="E238" s="229"/>
      <c r="F238" s="228"/>
      <c r="G238" s="229"/>
      <c r="H238" s="229"/>
      <c r="I238" s="228"/>
      <c r="J238" s="228"/>
      <c r="K238" s="642"/>
      <c r="L238" s="233">
        <v>1034374.3166937459</v>
      </c>
      <c r="M238" s="200"/>
    </row>
    <row r="239" spans="2:31" x14ac:dyDescent="0.2">
      <c r="B239" s="229"/>
      <c r="C239" s="597"/>
      <c r="D239" s="229"/>
      <c r="E239" s="229"/>
      <c r="F239" s="228"/>
      <c r="G239" s="229"/>
      <c r="H239" s="229"/>
      <c r="I239" s="228"/>
      <c r="J239" s="228"/>
      <c r="K239" s="642"/>
      <c r="L239" s="237"/>
      <c r="M239" s="200"/>
    </row>
    <row r="240" spans="2:31" x14ac:dyDescent="0.2">
      <c r="B240" s="229"/>
      <c r="C240" s="229"/>
      <c r="D240" s="229"/>
      <c r="E240" s="229"/>
      <c r="F240" s="228"/>
      <c r="G240" s="229"/>
      <c r="H240" s="229"/>
      <c r="I240" s="228"/>
      <c r="J240" s="228"/>
      <c r="K240" s="642"/>
      <c r="L240" s="237"/>
      <c r="M240" s="200"/>
    </row>
    <row r="241" spans="2:13" x14ac:dyDescent="0.2">
      <c r="B241" s="229"/>
      <c r="C241" s="256" t="s">
        <v>103</v>
      </c>
      <c r="D241" s="256"/>
      <c r="E241" s="256"/>
      <c r="F241" s="256"/>
      <c r="G241" s="256"/>
      <c r="H241" s="256"/>
      <c r="I241" s="256"/>
      <c r="J241" s="256"/>
      <c r="K241" s="650"/>
      <c r="L241" s="694">
        <f>+L235+L230</f>
        <v>2051491.5124337459</v>
      </c>
      <c r="M241" s="200"/>
    </row>
    <row r="242" spans="2:13" x14ac:dyDescent="0.2">
      <c r="B242" s="229"/>
      <c r="C242" s="229"/>
      <c r="D242" s="228"/>
      <c r="E242" s="228"/>
      <c r="F242" s="228"/>
      <c r="G242" s="229"/>
      <c r="H242" s="229"/>
      <c r="I242" s="228"/>
      <c r="J242" s="228"/>
      <c r="K242" s="642"/>
      <c r="L242" s="695">
        <f>ROUND(L241-L226,0)</f>
        <v>0</v>
      </c>
      <c r="M242" s="200"/>
    </row>
    <row r="243" spans="2:13" x14ac:dyDescent="0.2">
      <c r="B243" s="229"/>
      <c r="C243" s="229"/>
      <c r="D243" s="200"/>
      <c r="E243" s="200"/>
      <c r="F243" s="200"/>
      <c r="G243" s="229"/>
      <c r="H243" s="229"/>
      <c r="I243" s="200"/>
      <c r="J243" s="200"/>
      <c r="K243" s="642"/>
      <c r="L243" s="200"/>
      <c r="M243" s="200"/>
    </row>
    <row r="244" spans="2:13" x14ac:dyDescent="0.2">
      <c r="B244" s="229"/>
      <c r="C244" s="229"/>
      <c r="D244" s="229"/>
      <c r="E244" s="229"/>
      <c r="F244" s="229"/>
      <c r="G244" s="229"/>
      <c r="H244" s="229"/>
      <c r="I244" s="229"/>
      <c r="J244" s="229"/>
      <c r="K244" s="229"/>
      <c r="L244" s="229"/>
      <c r="M244" s="200"/>
    </row>
    <row r="245" spans="2:13" x14ac:dyDescent="0.2">
      <c r="B245" s="229"/>
      <c r="C245" s="229"/>
      <c r="D245" s="200"/>
      <c r="E245" s="200"/>
      <c r="F245" s="200"/>
      <c r="G245" s="229"/>
      <c r="H245" s="229"/>
      <c r="I245" s="200"/>
      <c r="J245" s="200"/>
      <c r="K245" s="642"/>
      <c r="L245" s="200"/>
      <c r="M245" s="200"/>
    </row>
    <row r="246" spans="2:13" x14ac:dyDescent="0.2">
      <c r="B246" s="229"/>
      <c r="C246" s="597" t="s">
        <v>39</v>
      </c>
      <c r="D246" s="229"/>
      <c r="E246" s="229"/>
      <c r="F246" s="228"/>
      <c r="G246" s="229"/>
      <c r="H246" s="229"/>
      <c r="I246" s="228"/>
      <c r="J246" s="228"/>
      <c r="K246" s="642"/>
      <c r="L246" s="233">
        <v>-125528.55972041667</v>
      </c>
      <c r="M246" s="200"/>
    </row>
    <row r="247" spans="2:13" x14ac:dyDescent="0.2">
      <c r="B247" s="229"/>
      <c r="C247" s="597"/>
      <c r="D247" s="229"/>
      <c r="E247" s="229"/>
      <c r="F247" s="228"/>
      <c r="G247" s="229"/>
      <c r="H247" s="229"/>
      <c r="I247" s="228"/>
      <c r="J247" s="228"/>
      <c r="K247" s="642"/>
      <c r="L247" s="229"/>
      <c r="M247" s="200"/>
    </row>
    <row r="248" spans="2:13" x14ac:dyDescent="0.2">
      <c r="B248" s="229"/>
      <c r="C248" s="256" t="s">
        <v>424</v>
      </c>
      <c r="D248" s="256"/>
      <c r="E248" s="256"/>
      <c r="F248" s="256"/>
      <c r="G248" s="256"/>
      <c r="H248" s="256"/>
      <c r="I248" s="256"/>
      <c r="J248" s="256"/>
      <c r="K248" s="650"/>
      <c r="L248" s="694">
        <v>471899.37758907408</v>
      </c>
      <c r="M248" s="200"/>
    </row>
    <row r="249" spans="2:13" x14ac:dyDescent="0.2">
      <c r="B249" s="229"/>
      <c r="C249" s="229"/>
      <c r="D249" s="200"/>
      <c r="E249" s="200"/>
      <c r="F249" s="200"/>
      <c r="G249" s="229"/>
      <c r="H249" s="229"/>
      <c r="I249" s="200"/>
      <c r="J249" s="200"/>
      <c r="K249" s="642"/>
      <c r="L249" s="200"/>
      <c r="M249" s="200"/>
    </row>
  </sheetData>
  <sheetProtection algorithmName="SHA-512" hashValue="NMhLDboPqu1+C9Ayq5RVNkiaF+cIJeWYVFfJND8h0eqkIdLM5430OMMiV13l3zTsROhuMo2/iyeG8SQTHPkNzg==" saltValue="F+pttldHO9/4MC1PhNhDFg==" spinCount="100000" sheet="1" objects="1" scenarios="1"/>
  <customSheetViews>
    <customSheetView guid="{A171ABFC-BD20-4BE9-8F97-F532286F0C2D}" scale="85" showGridLines="0" hiddenColumns="1">
      <pane xSplit="14" ySplit="9" topLeftCell="O73" activePane="bottomRight" state="frozen"/>
      <selection pane="bottomRight" activeCell="H100" sqref="H100"/>
      <pageMargins left="0.75" right="0.75" top="1" bottom="1" header="0.5" footer="0.5"/>
      <pageSetup paperSize="9" orientation="portrait" r:id="rId1"/>
      <headerFooter alignWithMargins="0"/>
    </customSheetView>
    <customSheetView guid="{5F88CBE0-3291-4A41-996B-A8A1DC273A84}" scale="85" showGridLines="0" hiddenColumns="1">
      <pane xSplit="14" ySplit="9" topLeftCell="O125" activePane="bottomRight" state="frozen"/>
      <selection pane="bottomRight" activeCell="L149" sqref="L149"/>
      <pageMargins left="0.75" right="0.75" top="1" bottom="1" header="0.5" footer="0.5"/>
      <pageSetup paperSize="9" orientation="portrait" r:id="rId2"/>
      <headerFooter alignWithMargins="0"/>
    </customSheetView>
  </customSheetViews>
  <phoneticPr fontId="5" type="noConversion"/>
  <conditionalFormatting sqref="L16 L169">
    <cfRule type="cellIs" dxfId="145" priority="475" stopIfTrue="1" operator="lessThan">
      <formula>0</formula>
    </cfRule>
  </conditionalFormatting>
  <conditionalFormatting sqref="G4 L192:L204">
    <cfRule type="cellIs" dxfId="144" priority="476" stopIfTrue="1" operator="equal">
      <formula>0</formula>
    </cfRule>
    <cfRule type="cellIs" dxfId="143" priority="477" stopIfTrue="1" operator="equal">
      <formula>1</formula>
    </cfRule>
  </conditionalFormatting>
  <conditionalFormatting sqref="L14">
    <cfRule type="cellIs" dxfId="142" priority="437" stopIfTrue="1" operator="lessThan">
      <formula>0</formula>
    </cfRule>
  </conditionalFormatting>
  <conditionalFormatting sqref="P9 Q167:R167">
    <cfRule type="expression" dxfId="141" priority="350" stopIfTrue="1">
      <formula>$L$5=P$7</formula>
    </cfRule>
  </conditionalFormatting>
  <conditionalFormatting sqref="P22:P23">
    <cfRule type="expression" dxfId="140" priority="336" stopIfTrue="1">
      <formula>$L$5=P$7</formula>
    </cfRule>
  </conditionalFormatting>
  <conditionalFormatting sqref="P14:P16">
    <cfRule type="expression" dxfId="139" priority="335" stopIfTrue="1">
      <formula>$L$5=P$7</formula>
    </cfRule>
  </conditionalFormatting>
  <conditionalFormatting sqref="L155:L156">
    <cfRule type="cellIs" dxfId="138" priority="230" stopIfTrue="1" operator="lessThan">
      <formula>0</formula>
    </cfRule>
  </conditionalFormatting>
  <conditionalFormatting sqref="L110:L111">
    <cfRule type="cellIs" dxfId="137" priority="229" stopIfTrue="1" operator="lessThan">
      <formula>0</formula>
    </cfRule>
  </conditionalFormatting>
  <conditionalFormatting sqref="L17">
    <cfRule type="cellIs" dxfId="136" priority="216" stopIfTrue="1" operator="lessThan">
      <formula>0</formula>
    </cfRule>
  </conditionalFormatting>
  <conditionalFormatting sqref="P17:P18">
    <cfRule type="top10" dxfId="135" priority="215" stopIfTrue="1" rank="10"/>
  </conditionalFormatting>
  <conditionalFormatting sqref="P98">
    <cfRule type="expression" dxfId="134" priority="209" stopIfTrue="1">
      <formula>$L$5=P$7</formula>
    </cfRule>
  </conditionalFormatting>
  <conditionalFormatting sqref="P89">
    <cfRule type="expression" dxfId="133" priority="206" stopIfTrue="1">
      <formula>$L$5=P$7</formula>
    </cfRule>
  </conditionalFormatting>
  <conditionalFormatting sqref="P99:P100">
    <cfRule type="expression" dxfId="132" priority="205" stopIfTrue="1">
      <formula>$L$5=P$7</formula>
    </cfRule>
  </conditionalFormatting>
  <conditionalFormatting sqref="Q22:Q23 Q34:R43 Q58:R67 Q70:R79 Q81:R81 R163:R164 Q46:R55 Q83:R83 Q85:R85">
    <cfRule type="expression" dxfId="131" priority="201" stopIfTrue="1">
      <formula>$L$5=Q$7</formula>
    </cfRule>
  </conditionalFormatting>
  <conditionalFormatting sqref="Q14:Q16">
    <cfRule type="expression" dxfId="130" priority="200" stopIfTrue="1">
      <formula>$L$5=Q$7</formula>
    </cfRule>
  </conditionalFormatting>
  <conditionalFormatting sqref="Q157 Q159:Q160">
    <cfRule type="expression" dxfId="129" priority="197" stopIfTrue="1">
      <formula>$L$5=Q$7</formula>
    </cfRule>
  </conditionalFormatting>
  <conditionalFormatting sqref="Q155">
    <cfRule type="expression" dxfId="128" priority="195" stopIfTrue="1">
      <formula>$L$5=Q$7</formula>
    </cfRule>
  </conditionalFormatting>
  <conditionalFormatting sqref="Q154">
    <cfRule type="expression" dxfId="127" priority="196" stopIfTrue="1">
      <formula>$L$5=Q$7</formula>
    </cfRule>
  </conditionalFormatting>
  <conditionalFormatting sqref="Q156">
    <cfRule type="expression" dxfId="126" priority="194" stopIfTrue="1">
      <formula>$L$5=Q$7</formula>
    </cfRule>
  </conditionalFormatting>
  <conditionalFormatting sqref="Q17:Q18">
    <cfRule type="expression" dxfId="125" priority="192" stopIfTrue="1">
      <formula>$L$5=Q$7</formula>
    </cfRule>
  </conditionalFormatting>
  <conditionalFormatting sqref="Q164">
    <cfRule type="expression" dxfId="124" priority="191" stopIfTrue="1">
      <formula>$L$5=Q$7</formula>
    </cfRule>
  </conditionalFormatting>
  <conditionalFormatting sqref="Q169">
    <cfRule type="expression" dxfId="123" priority="190" stopIfTrue="1">
      <formula>$L$5=Q$7</formula>
    </cfRule>
  </conditionalFormatting>
  <conditionalFormatting sqref="Q171:Q172">
    <cfRule type="expression" dxfId="122" priority="189" stopIfTrue="1">
      <formula>$L$5=Q$7</formula>
    </cfRule>
  </conditionalFormatting>
  <conditionalFormatting sqref="Q163">
    <cfRule type="expression" dxfId="121" priority="187" stopIfTrue="1">
      <formula>$L$5=Q$7</formula>
    </cfRule>
  </conditionalFormatting>
  <conditionalFormatting sqref="Q98">
    <cfRule type="expression" dxfId="120" priority="186" stopIfTrue="1">
      <formula>$L$5=Q$7</formula>
    </cfRule>
  </conditionalFormatting>
  <conditionalFormatting sqref="Q89">
    <cfRule type="expression" dxfId="119" priority="183" stopIfTrue="1">
      <formula>$L$5=Q$7</formula>
    </cfRule>
  </conditionalFormatting>
  <conditionalFormatting sqref="R22:R23">
    <cfRule type="expression" dxfId="118" priority="178" stopIfTrue="1">
      <formula>$L$5=R$7</formula>
    </cfRule>
  </conditionalFormatting>
  <conditionalFormatting sqref="R14:R16">
    <cfRule type="expression" dxfId="117" priority="177" stopIfTrue="1">
      <formula>$L$5=R$7</formula>
    </cfRule>
  </conditionalFormatting>
  <conditionalFormatting sqref="R157 R159:R160">
    <cfRule type="expression" dxfId="116" priority="174" stopIfTrue="1">
      <formula>$L$5=R$7</formula>
    </cfRule>
  </conditionalFormatting>
  <conditionalFormatting sqref="R17:R18">
    <cfRule type="expression" dxfId="115" priority="169" stopIfTrue="1">
      <formula>$L$5=R$7</formula>
    </cfRule>
  </conditionalFormatting>
  <conditionalFormatting sqref="R169">
    <cfRule type="expression" dxfId="114" priority="167" stopIfTrue="1">
      <formula>$L$5=R$7</formula>
    </cfRule>
  </conditionalFormatting>
  <conditionalFormatting sqref="R171:R172">
    <cfRule type="expression" dxfId="113" priority="166" stopIfTrue="1">
      <formula>$L$5=R$7</formula>
    </cfRule>
  </conditionalFormatting>
  <conditionalFormatting sqref="R98">
    <cfRule type="expression" dxfId="112" priority="163" stopIfTrue="1">
      <formula>$L$5=R$7</formula>
    </cfRule>
  </conditionalFormatting>
  <conditionalFormatting sqref="R89">
    <cfRule type="expression" dxfId="111" priority="160" stopIfTrue="1">
      <formula>$L$5=R$7</formula>
    </cfRule>
  </conditionalFormatting>
  <conditionalFormatting sqref="R99:R100">
    <cfRule type="expression" dxfId="110" priority="159" stopIfTrue="1">
      <formula>$L$5=R$7</formula>
    </cfRule>
  </conditionalFormatting>
  <conditionalFormatting sqref="Q158">
    <cfRule type="expression" dxfId="109" priority="109" stopIfTrue="1">
      <formula>$L$5=Q$7</formula>
    </cfRule>
  </conditionalFormatting>
  <conditionalFormatting sqref="P177">
    <cfRule type="expression" dxfId="108" priority="105" stopIfTrue="1">
      <formula>$L$5=P$7</formula>
    </cfRule>
  </conditionalFormatting>
  <conditionalFormatting sqref="Q177">
    <cfRule type="expression" dxfId="107" priority="104" stopIfTrue="1">
      <formula>$L$5=Q$7</formula>
    </cfRule>
  </conditionalFormatting>
  <conditionalFormatting sqref="R177">
    <cfRule type="expression" dxfId="106" priority="103" stopIfTrue="1">
      <formula>$L$5=R$7</formula>
    </cfRule>
  </conditionalFormatting>
  <conditionalFormatting sqref="P181">
    <cfRule type="expression" dxfId="105" priority="100" stopIfTrue="1">
      <formula>$L$5=P$7</formula>
    </cfRule>
  </conditionalFormatting>
  <conditionalFormatting sqref="Q181">
    <cfRule type="expression" dxfId="104" priority="99" stopIfTrue="1">
      <formula>$L$5=Q$7</formula>
    </cfRule>
  </conditionalFormatting>
  <conditionalFormatting sqref="R181">
    <cfRule type="expression" dxfId="103" priority="98" stopIfTrue="1">
      <formula>$L$5=R$7</formula>
    </cfRule>
  </conditionalFormatting>
  <conditionalFormatting sqref="P183">
    <cfRule type="expression" dxfId="102" priority="95" stopIfTrue="1">
      <formula>$L$5=P$7</formula>
    </cfRule>
  </conditionalFormatting>
  <conditionalFormatting sqref="Q183">
    <cfRule type="expression" dxfId="101" priority="94" stopIfTrue="1">
      <formula>$L$5=Q$7</formula>
    </cfRule>
  </conditionalFormatting>
  <conditionalFormatting sqref="R183">
    <cfRule type="expression" dxfId="100" priority="93" stopIfTrue="1">
      <formula>$L$5=R$7</formula>
    </cfRule>
  </conditionalFormatting>
  <conditionalFormatting sqref="P187">
    <cfRule type="expression" dxfId="99" priority="90" stopIfTrue="1">
      <formula>$L$5=P$7</formula>
    </cfRule>
  </conditionalFormatting>
  <conditionalFormatting sqref="Q187">
    <cfRule type="expression" dxfId="98" priority="89" stopIfTrue="1">
      <formula>$L$5=Q$7</formula>
    </cfRule>
  </conditionalFormatting>
  <conditionalFormatting sqref="R187">
    <cfRule type="expression" dxfId="97" priority="88" stopIfTrue="1">
      <formula>$L$5=R$7</formula>
    </cfRule>
  </conditionalFormatting>
  <conditionalFormatting sqref="P184">
    <cfRule type="expression" dxfId="96" priority="85" stopIfTrue="1">
      <formula>$L$5=P$7</formula>
    </cfRule>
  </conditionalFormatting>
  <conditionalFormatting sqref="Q184">
    <cfRule type="expression" dxfId="95" priority="84" stopIfTrue="1">
      <formula>$L$5=Q$7</formula>
    </cfRule>
  </conditionalFormatting>
  <conditionalFormatting sqref="R184">
    <cfRule type="expression" dxfId="94" priority="83" stopIfTrue="1">
      <formula>$L$5=R$7</formula>
    </cfRule>
  </conditionalFormatting>
  <conditionalFormatting sqref="P182">
    <cfRule type="expression" dxfId="93" priority="80" stopIfTrue="1">
      <formula>$L$5=P$7</formula>
    </cfRule>
  </conditionalFormatting>
  <conditionalFormatting sqref="Q182">
    <cfRule type="expression" dxfId="92" priority="79" stopIfTrue="1">
      <formula>$L$5=Q$7</formula>
    </cfRule>
  </conditionalFormatting>
  <conditionalFormatting sqref="R182">
    <cfRule type="expression" dxfId="91" priority="78" stopIfTrue="1">
      <formula>$L$5=R$7</formula>
    </cfRule>
  </conditionalFormatting>
  <conditionalFormatting sqref="R158">
    <cfRule type="expression" dxfId="90" priority="74" stopIfTrue="1">
      <formula>$L$5=R$7</formula>
    </cfRule>
  </conditionalFormatting>
  <conditionalFormatting sqref="L34">
    <cfRule type="cellIs" dxfId="89" priority="68" stopIfTrue="1" operator="lessThan">
      <formula>0</formula>
    </cfRule>
  </conditionalFormatting>
  <conditionalFormatting sqref="L35:L43">
    <cfRule type="cellIs" dxfId="88" priority="67" stopIfTrue="1" operator="lessThan">
      <formula>0</formula>
    </cfRule>
  </conditionalFormatting>
  <conditionalFormatting sqref="L58">
    <cfRule type="cellIs" dxfId="87" priority="66" stopIfTrue="1" operator="lessThan">
      <formula>0</formula>
    </cfRule>
  </conditionalFormatting>
  <conditionalFormatting sqref="L59:L69">
    <cfRule type="cellIs" dxfId="86" priority="65" stopIfTrue="1" operator="lessThan">
      <formula>0</formula>
    </cfRule>
  </conditionalFormatting>
  <conditionalFormatting sqref="L70">
    <cfRule type="cellIs" dxfId="85" priority="64" stopIfTrue="1" operator="lessThan">
      <formula>0</formula>
    </cfRule>
  </conditionalFormatting>
  <conditionalFormatting sqref="L71:L80">
    <cfRule type="cellIs" dxfId="84" priority="63" stopIfTrue="1" operator="lessThan">
      <formula>0</formula>
    </cfRule>
  </conditionalFormatting>
  <conditionalFormatting sqref="L81:L82">
    <cfRule type="cellIs" dxfId="83" priority="62" stopIfTrue="1" operator="lessThan">
      <formula>0</formula>
    </cfRule>
  </conditionalFormatting>
  <conditionalFormatting sqref="L18">
    <cfRule type="cellIs" dxfId="82" priority="61" stopIfTrue="1" operator="lessThan">
      <formula>0</formula>
    </cfRule>
  </conditionalFormatting>
  <conditionalFormatting sqref="P21">
    <cfRule type="expression" dxfId="81" priority="60" stopIfTrue="1">
      <formula>$L$5=P$7</formula>
    </cfRule>
  </conditionalFormatting>
  <conditionalFormatting sqref="Q21">
    <cfRule type="expression" dxfId="80" priority="59" stopIfTrue="1">
      <formula>$L$5=Q$7</formula>
    </cfRule>
  </conditionalFormatting>
  <conditionalFormatting sqref="R21">
    <cfRule type="expression" dxfId="79" priority="58" stopIfTrue="1">
      <formula>$L$5=R$7</formula>
    </cfRule>
  </conditionalFormatting>
  <conditionalFormatting sqref="Q153">
    <cfRule type="expression" dxfId="78" priority="54" stopIfTrue="1">
      <formula>$L$5=Q$7</formula>
    </cfRule>
  </conditionalFormatting>
  <conditionalFormatting sqref="R153">
    <cfRule type="expression" dxfId="77" priority="53" stopIfTrue="1">
      <formula>$L$5=R$7</formula>
    </cfRule>
  </conditionalFormatting>
  <conditionalFormatting sqref="P44:P45">
    <cfRule type="top10" dxfId="76" priority="48" stopIfTrue="1" rank="10"/>
  </conditionalFormatting>
  <conditionalFormatting sqref="P34:P43">
    <cfRule type="top10" dxfId="75" priority="47" stopIfTrue="1" rank="10"/>
  </conditionalFormatting>
  <conditionalFormatting sqref="P58:P67">
    <cfRule type="top10" dxfId="74" priority="43" stopIfTrue="1" rank="10"/>
  </conditionalFormatting>
  <conditionalFormatting sqref="P70:P79">
    <cfRule type="top10" dxfId="73" priority="39" stopIfTrue="1" rank="10"/>
  </conditionalFormatting>
  <conditionalFormatting sqref="P81 P83 P85">
    <cfRule type="top10" dxfId="72" priority="37" stopIfTrue="1" rank="10"/>
  </conditionalFormatting>
  <conditionalFormatting sqref="P91">
    <cfRule type="expression" dxfId="71" priority="35" stopIfTrue="1">
      <formula>$L$5=P$7</formula>
    </cfRule>
  </conditionalFormatting>
  <conditionalFormatting sqref="Q91">
    <cfRule type="expression" dxfId="70" priority="34" stopIfTrue="1">
      <formula>$L$5=Q$7</formula>
    </cfRule>
  </conditionalFormatting>
  <conditionalFormatting sqref="R91">
    <cfRule type="expression" dxfId="69" priority="33" stopIfTrue="1">
      <formula>$L$5=R$7</formula>
    </cfRule>
  </conditionalFormatting>
  <conditionalFormatting sqref="Q99:Q100">
    <cfRule type="expression" dxfId="68" priority="30" stopIfTrue="1">
      <formula>$L$5=Q$7</formula>
    </cfRule>
  </conditionalFormatting>
  <conditionalFormatting sqref="R155">
    <cfRule type="expression" dxfId="67" priority="27" stopIfTrue="1">
      <formula>$L$5=R$7</formula>
    </cfRule>
  </conditionalFormatting>
  <conditionalFormatting sqref="R154">
    <cfRule type="expression" dxfId="66" priority="28" stopIfTrue="1">
      <formula>$L$5=R$7</formula>
    </cfRule>
  </conditionalFormatting>
  <conditionalFormatting sqref="R156">
    <cfRule type="expression" dxfId="65" priority="26" stopIfTrue="1">
      <formula>$L$5=R$7</formula>
    </cfRule>
  </conditionalFormatting>
  <conditionalFormatting sqref="Q9:R9">
    <cfRule type="expression" dxfId="64" priority="23" stopIfTrue="1">
      <formula>$L$5=Q$7</formula>
    </cfRule>
  </conditionalFormatting>
  <conditionalFormatting sqref="P46:P55">
    <cfRule type="top10" dxfId="63" priority="20" stopIfTrue="1" rank="10"/>
  </conditionalFormatting>
  <conditionalFormatting sqref="L46">
    <cfRule type="cellIs" dxfId="62" priority="19" stopIfTrue="1" operator="lessThan">
      <formula>0</formula>
    </cfRule>
  </conditionalFormatting>
  <conditionalFormatting sqref="L47:L55">
    <cfRule type="cellIs" dxfId="61" priority="18" stopIfTrue="1" operator="lessThan">
      <formula>0</formula>
    </cfRule>
  </conditionalFormatting>
  <conditionalFormatting sqref="Q44:R45">
    <cfRule type="top10" dxfId="60" priority="17" stopIfTrue="1" rank="10"/>
  </conditionalFormatting>
  <conditionalFormatting sqref="L15">
    <cfRule type="cellIs" dxfId="59" priority="16" stopIfTrue="1" operator="lessThan">
      <formula>0</formula>
    </cfRule>
  </conditionalFormatting>
  <conditionalFormatting sqref="P167">
    <cfRule type="expression" dxfId="58" priority="15" stopIfTrue="1">
      <formula>$L$5=P$7</formula>
    </cfRule>
  </conditionalFormatting>
  <conditionalFormatting sqref="P157:P160">
    <cfRule type="expression" dxfId="57" priority="14" stopIfTrue="1">
      <formula>$L$5=P$7</formula>
    </cfRule>
  </conditionalFormatting>
  <conditionalFormatting sqref="P154">
    <cfRule type="expression" dxfId="56" priority="13" stopIfTrue="1">
      <formula>$L$5=P$7</formula>
    </cfRule>
  </conditionalFormatting>
  <conditionalFormatting sqref="P155">
    <cfRule type="expression" dxfId="55" priority="12" stopIfTrue="1">
      <formula>$L$5=P$7</formula>
    </cfRule>
  </conditionalFormatting>
  <conditionalFormatting sqref="P156">
    <cfRule type="top10" dxfId="54" priority="11" stopIfTrue="1" rank="10"/>
  </conditionalFormatting>
  <conditionalFormatting sqref="P164">
    <cfRule type="expression" dxfId="53" priority="10" stopIfTrue="1">
      <formula>$L$5=P$7</formula>
    </cfRule>
  </conditionalFormatting>
  <conditionalFormatting sqref="P169">
    <cfRule type="expression" dxfId="52" priority="9" stopIfTrue="1">
      <formula>$L$5=P$7</formula>
    </cfRule>
  </conditionalFormatting>
  <conditionalFormatting sqref="P171:P172">
    <cfRule type="expression" dxfId="51" priority="8" stopIfTrue="1">
      <formula>$L$5=P$7</formula>
    </cfRule>
  </conditionalFormatting>
  <conditionalFormatting sqref="P163">
    <cfRule type="expression" dxfId="50" priority="7" stopIfTrue="1">
      <formula>$L$5=P$7</formula>
    </cfRule>
  </conditionalFormatting>
  <conditionalFormatting sqref="P153">
    <cfRule type="expression" dxfId="49" priority="6" stopIfTrue="1">
      <formula>$L$5=P$7</formula>
    </cfRule>
  </conditionalFormatting>
  <conditionalFormatting sqref="P94:P96">
    <cfRule type="expression" dxfId="48" priority="5" stopIfTrue="1">
      <formula>$L$5=P$7</formula>
    </cfRule>
  </conditionalFormatting>
  <conditionalFormatting sqref="L94:L96">
    <cfRule type="expression" dxfId="47" priority="4" stopIfTrue="1">
      <formula>$L$5=L$7</formula>
    </cfRule>
  </conditionalFormatting>
  <conditionalFormatting sqref="L83">
    <cfRule type="cellIs" dxfId="46" priority="3" stopIfTrue="1" operator="lessThan">
      <formula>0</formula>
    </cfRule>
  </conditionalFormatting>
  <conditionalFormatting sqref="L84">
    <cfRule type="cellIs" dxfId="45" priority="2" stopIfTrue="1" operator="lessThan">
      <formula>0</formula>
    </cfRule>
  </conditionalFormatting>
  <conditionalFormatting sqref="L85">
    <cfRule type="cellIs" dxfId="44" priority="1" stopIfTrue="1" operator="lessThan">
      <formula>0</formula>
    </cfRule>
  </conditionalFormatting>
  <pageMargins left="0.74803149606299213" right="0.74803149606299213" top="0.98425196850393704" bottom="0.98425196850393704" header="0.51181102362204722" footer="0.51181102362204722"/>
  <pageSetup paperSize="9" scale="35" orientation="portrait" r:id="rId3"/>
  <headerFooter alignWithMargins="0"/>
  <rowBreaks count="1" manualBreakCount="1">
    <brk id="172" max="17" man="1"/>
  </rowBreaks>
  <ignoredErrors>
    <ignoredError sqref="L242 C58:C67 C70:C79 L89:L92 L16:L18 L20:L22 L34:L43 L58:L67 L70:L79 L81 L99:L100 L155:L162 L164 L169:L172 L181:L184 L187 Q8:R8 L14" unlockedFormula="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DX139"/>
  <sheetViews>
    <sheetView showGridLines="0" view="pageBreakPreview" zoomScale="70" zoomScaleNormal="70" zoomScaleSheetLayoutView="70" workbookViewId="0">
      <pane xSplit="15" ySplit="10" topLeftCell="Q11" activePane="bottomRight" state="frozen"/>
      <selection pane="topRight" activeCell="P1" sqref="P1"/>
      <selection pane="bottomLeft" activeCell="A11" sqref="A11"/>
      <selection pane="bottomRight"/>
    </sheetView>
  </sheetViews>
  <sheetFormatPr baseColWidth="10" defaultColWidth="0" defaultRowHeight="12.75" zeroHeight="1" x14ac:dyDescent="0.2"/>
  <cols>
    <col min="1" max="2" width="2.42578125" customWidth="1"/>
    <col min="3" max="3" width="13" customWidth="1"/>
    <col min="4" max="5" width="9.140625" customWidth="1"/>
    <col min="6" max="6" width="7.7109375" customWidth="1"/>
    <col min="7" max="7" width="9" customWidth="1"/>
    <col min="8" max="8" width="22" bestFit="1" customWidth="1"/>
    <col min="9" max="9" width="7.42578125" customWidth="1"/>
    <col min="10" max="10" width="2.28515625" customWidth="1"/>
    <col min="11" max="11" width="9.140625" style="144" customWidth="1"/>
    <col min="12" max="12" width="15" customWidth="1"/>
    <col min="13" max="13" width="1.7109375" customWidth="1"/>
    <col min="14" max="14" width="16.28515625" customWidth="1"/>
    <col min="15" max="16" width="2.7109375" customWidth="1"/>
    <col min="17" max="62" width="15.28515625" customWidth="1"/>
    <col min="63" max="120" width="15.28515625" hidden="1" customWidth="1"/>
    <col min="121" max="125" width="9.140625" hidden="1" customWidth="1"/>
    <col min="126" max="128" width="0" hidden="1" customWidth="1"/>
    <col min="129" max="16384" width="9.140625" hidden="1"/>
  </cols>
  <sheetData>
    <row r="1" spans="1:125" x14ac:dyDescent="0.2">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42"/>
    </row>
    <row r="2" spans="1:125" x14ac:dyDescent="0.2">
      <c r="C2" t="s">
        <v>2</v>
      </c>
      <c r="F2" s="61" t="str">
        <f>+Inputs!$G$2</f>
        <v xml:space="preserve">LBJ Infrastructure Group LLC IH-635 Mananged Lanes Project </v>
      </c>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42"/>
    </row>
    <row r="3" spans="1:125" ht="13.5" thickBot="1" x14ac:dyDescent="0.25">
      <c r="C3" t="s">
        <v>3</v>
      </c>
      <c r="F3" t="s">
        <v>440</v>
      </c>
      <c r="S3" s="98"/>
      <c r="BH3" s="61"/>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42"/>
    </row>
    <row r="4" spans="1:125" ht="13.5" thickBot="1" x14ac:dyDescent="0.25">
      <c r="C4" t="s">
        <v>4</v>
      </c>
      <c r="F4" s="728">
        <f ca="1">+Inputs!G4</f>
        <v>0</v>
      </c>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42"/>
    </row>
    <row r="5" spans="1:125" x14ac:dyDescent="0.2">
      <c r="BJ5" s="117"/>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42"/>
    </row>
    <row r="6" spans="1:125" x14ac:dyDescent="0.2">
      <c r="R6" s="61">
        <f>+IFERROR(INDEX(Inputs!$A$34:$A$43,MATCH(R7,Inputs!$C$34:$C$43,0),1),Oper!Q6)</f>
        <v>0</v>
      </c>
      <c r="S6" s="61">
        <f>+IFERROR(INDEX(Inputs!$A$34:$A$43,MATCH(S7,Inputs!$C$34:$C$43,0),1),Oper!R6)</f>
        <v>1</v>
      </c>
      <c r="T6" s="61">
        <f>+IFERROR(INDEX(Inputs!$A$34:$A$43,MATCH(T7,Inputs!$C$34:$C$43,0),1),Oper!S6)</f>
        <v>1</v>
      </c>
      <c r="U6" s="61">
        <f>+IFERROR(INDEX(Inputs!$A$34:$A$43,MATCH(U7,Inputs!$C$34:$C$43,0),1),Oper!T6)</f>
        <v>1</v>
      </c>
      <c r="V6" s="61">
        <f>+IFERROR(INDEX(Inputs!$A$34:$A$43,MATCH(V7,Inputs!$C$34:$C$43,0),1),Oper!U6)</f>
        <v>2</v>
      </c>
      <c r="W6" s="61">
        <f>+IFERROR(INDEX(Inputs!$A$34:$A$43,MATCH(W7,Inputs!$C$34:$C$43,0),1),Oper!V6)</f>
        <v>2</v>
      </c>
      <c r="X6" s="61">
        <f>+IFERROR(INDEX(Inputs!$A$34:$A$43,MATCH(X7,Inputs!$C$34:$C$43,0),1),Oper!W6)</f>
        <v>2</v>
      </c>
      <c r="Y6" s="61">
        <f>+IFERROR(INDEX(Inputs!$A$34:$A$43,MATCH(Y7,Inputs!$C$34:$C$43,0),1),Oper!X6)</f>
        <v>2</v>
      </c>
      <c r="Z6" s="61">
        <f>+IFERROR(INDEX(Inputs!$A$34:$A$43,MATCH(Z7,Inputs!$C$34:$C$43,0),1),Oper!Y6)</f>
        <v>2</v>
      </c>
      <c r="AA6" s="61">
        <f>+IFERROR(INDEX(Inputs!$A$34:$A$43,MATCH(AA7,Inputs!$C$34:$C$43,0),1),Oper!Z6)</f>
        <v>3</v>
      </c>
      <c r="AB6" s="61">
        <f>+IFERROR(INDEX(Inputs!$A$34:$A$43,MATCH(AB7,Inputs!$C$34:$C$43,0),1),Oper!AA6)</f>
        <v>3</v>
      </c>
      <c r="AC6" s="61">
        <f>+IFERROR(INDEX(Inputs!$A$34:$A$43,MATCH(AC7,Inputs!$C$34:$C$43,0),1),Oper!AB6)</f>
        <v>3</v>
      </c>
      <c r="AD6" s="61">
        <f>+IFERROR(INDEX(Inputs!$A$34:$A$43,MATCH(AD7,Inputs!$C$34:$C$43,0),1),Oper!AC6)</f>
        <v>3</v>
      </c>
      <c r="AE6" s="61">
        <f>+IFERROR(INDEX(Inputs!$A$34:$A$43,MATCH(AE7,Inputs!$C$34:$C$43,0),1),Oper!AD6)</f>
        <v>3</v>
      </c>
      <c r="AF6" s="61">
        <f>+IFERROR(INDEX(Inputs!$A$34:$A$43,MATCH(AF7,Inputs!$C$34:$C$43,0),1),Oper!AE6)</f>
        <v>4</v>
      </c>
      <c r="AG6" s="61">
        <f>+IFERROR(INDEX(Inputs!$A$34:$A$43,MATCH(AG7,Inputs!$C$34:$C$43,0),1),Oper!AF6)</f>
        <v>4</v>
      </c>
      <c r="AH6" s="61">
        <f>+IFERROR(INDEX(Inputs!$A$34:$A$43,MATCH(AH7,Inputs!$C$34:$C$43,0),1),Oper!AG6)</f>
        <v>4</v>
      </c>
      <c r="AI6" s="61">
        <f>+IFERROR(INDEX(Inputs!$A$34:$A$43,MATCH(AI7,Inputs!$C$34:$C$43,0),1),Oper!AH6)</f>
        <v>4</v>
      </c>
      <c r="AJ6" s="61">
        <f>+IFERROR(INDEX(Inputs!$A$34:$A$43,MATCH(AJ7,Inputs!$C$34:$C$43,0),1),Oper!AI6)</f>
        <v>4</v>
      </c>
      <c r="AK6" s="61">
        <f>+IFERROR(INDEX(Inputs!$A$34:$A$43,MATCH(AK7,Inputs!$C$34:$C$43,0),1),Oper!AJ6)</f>
        <v>5</v>
      </c>
      <c r="AL6" s="61">
        <f>+IFERROR(INDEX(Inputs!$A$34:$A$43,MATCH(AL7,Inputs!$C$34:$C$43,0),1),Oper!AK6)</f>
        <v>5</v>
      </c>
      <c r="AM6" s="61">
        <f>+IFERROR(INDEX(Inputs!$A$34:$A$43,MATCH(AM7,Inputs!$C$34:$C$43,0),1),Oper!AL6)</f>
        <v>5</v>
      </c>
      <c r="AN6" s="61">
        <f>+IFERROR(INDEX(Inputs!$A$34:$A$43,MATCH(AN7,Inputs!$C$34:$C$43,0),1),Oper!AM6)</f>
        <v>5</v>
      </c>
      <c r="AO6" s="61">
        <f>+IFERROR(INDEX(Inputs!$A$34:$A$43,MATCH(AO7,Inputs!$C$34:$C$43,0),1),Oper!AN6)</f>
        <v>5</v>
      </c>
      <c r="AP6" s="61">
        <f>+IFERROR(INDEX(Inputs!$A$34:$A$43,MATCH(AP7,Inputs!$C$34:$C$43,0),1),Oper!AO6)</f>
        <v>6</v>
      </c>
      <c r="AQ6" s="61">
        <f>+IFERROR(INDEX(Inputs!$A$34:$A$43,MATCH(AQ7,Inputs!$C$34:$C$43,0),1),Oper!AP6)</f>
        <v>6</v>
      </c>
      <c r="AR6" s="61">
        <f>+IFERROR(INDEX(Inputs!$A$34:$A$43,MATCH(AR7,Inputs!$C$34:$C$43,0),1),Oper!AQ6)</f>
        <v>6</v>
      </c>
      <c r="AS6" s="61">
        <f>+IFERROR(INDEX(Inputs!$A$34:$A$43,MATCH(AS7,Inputs!$C$34:$C$43,0),1),Oper!AR6)</f>
        <v>6</v>
      </c>
      <c r="AT6" s="61">
        <f>+IFERROR(INDEX(Inputs!$A$34:$A$43,MATCH(AT7,Inputs!$C$34:$C$43,0),1),Oper!AS6)</f>
        <v>6</v>
      </c>
      <c r="AU6" s="61">
        <f>+IFERROR(INDEX(Inputs!$A$34:$A$43,MATCH(AU7,Inputs!$C$34:$C$43,0),1),Oper!AT6)</f>
        <v>7</v>
      </c>
      <c r="AV6" s="61">
        <f>+IFERROR(INDEX(Inputs!$A$34:$A$43,MATCH(AV7,Inputs!$C$34:$C$43,0),1),Oper!AU6)</f>
        <v>7</v>
      </c>
      <c r="AW6" s="61">
        <f>+IFERROR(INDEX(Inputs!$A$34:$A$43,MATCH(AW7,Inputs!$C$34:$C$43,0),1),Oper!AV6)</f>
        <v>7</v>
      </c>
      <c r="AX6" s="61">
        <f>+IFERROR(INDEX(Inputs!$A$34:$A$43,MATCH(AX7,Inputs!$C$34:$C$43,0),1),Oper!AW6)</f>
        <v>7</v>
      </c>
      <c r="AY6" s="61">
        <f>+IFERROR(INDEX(Inputs!$A$34:$A$43,MATCH(AY7,Inputs!$C$34:$C$43,0),1),Oper!AX6)</f>
        <v>7</v>
      </c>
      <c r="AZ6" s="61">
        <f>+IFERROR(INDEX(Inputs!$A$34:$A$43,MATCH(AZ7,Inputs!$C$34:$C$43,0),1),Oper!AY6)</f>
        <v>8</v>
      </c>
      <c r="BA6" s="61">
        <f>+IFERROR(INDEX(Inputs!$A$34:$A$43,MATCH(BA7,Inputs!$C$34:$C$43,0),1),Oper!AZ6)</f>
        <v>8</v>
      </c>
      <c r="BB6" s="61">
        <f>+IFERROR(INDEX(Inputs!$A$34:$A$43,MATCH(BB7,Inputs!$C$34:$C$43,0),1),Oper!BA6)</f>
        <v>8</v>
      </c>
      <c r="BC6" s="61">
        <f>+IFERROR(INDEX(Inputs!$A$34:$A$43,MATCH(BC7,Inputs!$C$34:$C$43,0),1),Oper!BB6)</f>
        <v>8</v>
      </c>
      <c r="BD6" s="61">
        <f>+IFERROR(INDEX(Inputs!$A$34:$A$43,MATCH(BD7,Inputs!$C$34:$C$43,0),1),Oper!BC6)</f>
        <v>8</v>
      </c>
      <c r="BE6" s="61">
        <f>+IFERROR(INDEX(Inputs!$A$34:$A$43,MATCH(BE7,Inputs!$C$34:$C$43,0),1),Oper!BD6)</f>
        <v>9</v>
      </c>
      <c r="BF6" s="61">
        <f>+IFERROR(INDEX(Inputs!$A$34:$A$43,MATCH(BF7,Inputs!$C$34:$C$43,0),1),Oper!BE6)</f>
        <v>9</v>
      </c>
      <c r="BG6" s="61">
        <f>+IFERROR(INDEX(Inputs!$A$34:$A$43,MATCH(BG7,Inputs!$C$34:$C$43,0),1),Oper!BF6)</f>
        <v>9</v>
      </c>
      <c r="BH6" s="61">
        <f>+IFERROR(INDEX(Inputs!$A$34:$A$43,MATCH(BH7,Inputs!$C$34:$C$43,0),1),Oper!BG6)</f>
        <v>9</v>
      </c>
      <c r="BI6" s="61">
        <f>+IFERROR(INDEX(Inputs!$A$34:$A$43,MATCH(BI7,Inputs!$C$34:$C$43,0),1),Oper!BH6)</f>
        <v>9</v>
      </c>
      <c r="BJ6" s="61">
        <f>+IFERROR(INDEX(Inputs!$A$34:$A$43,MATCH(BJ7,Inputs!$C$34:$C$43,0),1),Oper!BI6)</f>
        <v>10</v>
      </c>
      <c r="BK6" s="61">
        <f>+IFERROR(INDEX(Inputs!$A$34:$A$43,MATCH(BK7,Inputs!$C$34:$C$43,0),1),Oper!BJ6)</f>
        <v>10</v>
      </c>
      <c r="BL6" s="61">
        <f>+IFERROR(INDEX(Inputs!$A$34:$A$43,MATCH(BL7,Inputs!$C$34:$C$43,0),1),Oper!BK6)</f>
        <v>10</v>
      </c>
      <c r="BM6" s="61">
        <f>+IFERROR(INDEX(Inputs!$A$34:$A$43,MATCH(BM7,Inputs!$C$34:$C$43,0),1),Oper!BL6)</f>
        <v>10</v>
      </c>
      <c r="BN6" s="61">
        <f>+IFERROR(INDEX(Inputs!$A$34:$A$43,MATCH(BN7,Inputs!$C$34:$C$43,0),1),Oper!BM6)</f>
        <v>10</v>
      </c>
      <c r="BO6" s="61">
        <f>+IFERROR(INDEX(Inputs!$A$34:$A$43,MATCH(BO7,Inputs!$C$34:$C$43,0),1),Oper!BN6)</f>
        <v>10</v>
      </c>
      <c r="BP6" s="61">
        <f>+IFERROR(INDEX(Inputs!$A$34:$A$43,MATCH(BP7,Inputs!$C$34:$C$43,0),1),Oper!BO6)</f>
        <v>10</v>
      </c>
      <c r="BQ6" s="61">
        <f>+IFERROR(INDEX(Inputs!$A$34:$A$43,MATCH(BQ7,Inputs!$C$34:$C$43,0),1),Oper!BP6)</f>
        <v>10</v>
      </c>
      <c r="BR6" s="61">
        <f>+IFERROR(INDEX(Inputs!$A$34:$A$43,MATCH(BR7,Inputs!$C$34:$C$43,0),1),Oper!BQ6)</f>
        <v>10</v>
      </c>
      <c r="BS6" s="61">
        <f>+IFERROR(INDEX(Inputs!$A$34:$A$43,MATCH(BS7,Inputs!$C$34:$C$43,0),1),Oper!BR6)</f>
        <v>10</v>
      </c>
      <c r="BT6" s="61">
        <f>+IFERROR(INDEX(Inputs!$A$34:$A$43,MATCH(BT7,Inputs!$C$34:$C$43,0),1),Oper!BS6)</f>
        <v>10</v>
      </c>
      <c r="BU6" s="61">
        <f>+IFERROR(INDEX(Inputs!$A$34:$A$43,MATCH(BU7,Inputs!$C$34:$C$43,0),1),Oper!BT6)</f>
        <v>10</v>
      </c>
      <c r="BV6" s="61">
        <f>+IFERROR(INDEX(Inputs!$A$34:$A$43,MATCH(BV7,Inputs!$C$34:$C$43,0),1),Oper!BU6)</f>
        <v>10</v>
      </c>
      <c r="BW6" s="61">
        <f>+IFERROR(INDEX(Inputs!$A$34:$A$43,MATCH(BW7,Inputs!$C$34:$C$43,0),1),Oper!BV6)</f>
        <v>10</v>
      </c>
      <c r="BX6" s="39">
        <f>+IFERROR(INDEX(Inputs!$A$34:$A$43,MATCH(BX7,Inputs!$C$34:$C$43,0),1),Oper!BW6)</f>
        <v>10</v>
      </c>
      <c r="BY6" s="39">
        <f>+IFERROR(INDEX(Inputs!$A$34:$A$43,MATCH(BY7,Inputs!$C$34:$C$43,0),1),Oper!BX6)</f>
        <v>10</v>
      </c>
      <c r="BZ6" s="39">
        <f>+IFERROR(INDEX(Inputs!$A$34:$A$43,MATCH(BZ7,Inputs!$C$34:$C$43,0),1),Oper!BY6)</f>
        <v>10</v>
      </c>
      <c r="CA6" s="39">
        <f>+IFERROR(INDEX(Inputs!$A$34:$A$43,MATCH(CA7,Inputs!$C$34:$C$43,0),1),Oper!BZ6)</f>
        <v>10</v>
      </c>
      <c r="CB6" s="39">
        <f>+IFERROR(INDEX(Inputs!$A$34:$A$43,MATCH(CB7,Inputs!$C$34:$C$43,0),1),Oper!CA6)</f>
        <v>10</v>
      </c>
      <c r="CC6" s="39">
        <f>+IFERROR(INDEX(Inputs!$A$34:$A$43,MATCH(CC7,Inputs!$C$34:$C$43,0),1),Oper!CB6)</f>
        <v>10</v>
      </c>
      <c r="CD6" s="39">
        <f>+IFERROR(INDEX(Inputs!$A$34:$A$43,MATCH(CD7,Inputs!$C$34:$C$43,0),1),Oper!CC6)</f>
        <v>10</v>
      </c>
      <c r="CE6" s="39">
        <f>+IFERROR(INDEX(Inputs!$A$34:$A$43,MATCH(CE7,Inputs!$C$34:$C$43,0),1),Oper!CD6)</f>
        <v>10</v>
      </c>
      <c r="CF6" s="39">
        <f>+IFERROR(INDEX(Inputs!$A$34:$A$43,MATCH(CF7,Inputs!$C$34:$C$43,0),1),Oper!CE6)</f>
        <v>10</v>
      </c>
      <c r="CG6" s="39">
        <f>+IFERROR(INDEX(Inputs!$A$34:$A$43,MATCH(CG7,Inputs!$C$34:$C$43,0),1),Oper!CF6)</f>
        <v>10</v>
      </c>
      <c r="CH6" s="39">
        <f>+IFERROR(INDEX(Inputs!$A$34:$A$43,MATCH(CH7,Inputs!$C$34:$C$43,0),1),Oper!CG6)</f>
        <v>10</v>
      </c>
      <c r="CI6" s="39">
        <f>+IFERROR(INDEX(Inputs!$A$34:$A$43,MATCH(CI7,Inputs!$C$34:$C$43,0),1),Oper!CH6)</f>
        <v>10</v>
      </c>
      <c r="CJ6" s="39">
        <f>+IFERROR(INDEX(Inputs!$A$34:$A$43,MATCH(CJ7,Inputs!$C$34:$C$43,0),1),Oper!CI6)</f>
        <v>10</v>
      </c>
      <c r="CK6" s="39">
        <f>+IFERROR(INDEX(Inputs!$A$34:$A$43,MATCH(CK7,Inputs!$C$34:$C$43,0),1),Oper!CJ6)</f>
        <v>10</v>
      </c>
      <c r="CL6" s="39">
        <f>+IFERROR(INDEX(Inputs!$A$34:$A$43,MATCH(CL7,Inputs!$C$34:$C$43,0),1),Oper!CK6)</f>
        <v>10</v>
      </c>
      <c r="CM6" s="39">
        <f>+IFERROR(INDEX(Inputs!$A$34:$A$43,MATCH(CM7,Inputs!$C$34:$C$43,0),1),Oper!CL6)</f>
        <v>10</v>
      </c>
      <c r="CN6" s="39">
        <f>+IFERROR(INDEX(Inputs!$A$34:$A$43,MATCH(CN7,Inputs!$C$34:$C$43,0),1),Oper!CM6)</f>
        <v>10</v>
      </c>
      <c r="CO6" s="39">
        <f>+IFERROR(INDEX(Inputs!$A$34:$A$43,MATCH(CO7,Inputs!$C$34:$C$43,0),1),Oper!CN6)</f>
        <v>10</v>
      </c>
      <c r="CP6" s="39">
        <f>+IFERROR(INDEX(Inputs!$A$34:$A$43,MATCH(CP7,Inputs!$C$34:$C$43,0),1),Oper!CO6)</f>
        <v>10</v>
      </c>
      <c r="CQ6" s="39">
        <f>+IFERROR(INDEX(Inputs!$A$34:$A$43,MATCH(CQ7,Inputs!$C$34:$C$43,0),1),Oper!CP6)</f>
        <v>10</v>
      </c>
      <c r="CR6" s="39">
        <f>+IFERROR(INDEX(Inputs!$A$34:$A$43,MATCH(CR7,Inputs!$C$34:$C$43,0),1),Oper!CQ6)</f>
        <v>10</v>
      </c>
      <c r="CS6" s="39">
        <f>+IFERROR(INDEX(Inputs!$A$34:$A$43,MATCH(CS7,Inputs!$C$34:$C$43,0),1),Oper!CR6)</f>
        <v>10</v>
      </c>
      <c r="CT6" s="39">
        <f>+IFERROR(INDEX(Inputs!$A$34:$A$43,MATCH(CT7,Inputs!$C$34:$C$43,0),1),Oper!CS6)</f>
        <v>10</v>
      </c>
      <c r="CU6" s="39">
        <f>+IFERROR(INDEX(Inputs!$A$34:$A$43,MATCH(CU7,Inputs!$C$34:$C$43,0),1),Oper!CT6)</f>
        <v>10</v>
      </c>
      <c r="CV6" s="39">
        <f>+IFERROR(INDEX(Inputs!$A$34:$A$43,MATCH(CV7,Inputs!$C$34:$C$43,0),1),Oper!CU6)</f>
        <v>10</v>
      </c>
      <c r="CW6" s="39">
        <f>+IFERROR(INDEX(Inputs!$A$34:$A$43,MATCH(CW7,Inputs!$C$34:$C$43,0),1),Oper!CV6)</f>
        <v>10</v>
      </c>
      <c r="CX6" s="39">
        <f>+IFERROR(INDEX(Inputs!$A$34:$A$43,MATCH(CX7,Inputs!$C$34:$C$43,0),1),Oper!CW6)</f>
        <v>10</v>
      </c>
      <c r="CY6" s="39">
        <f>+IFERROR(INDEX(Inputs!$A$34:$A$43,MATCH(CY7,Inputs!$C$34:$C$43,0),1),Oper!CX6)</f>
        <v>10</v>
      </c>
      <c r="CZ6" s="39">
        <f>+IFERROR(INDEX(Inputs!$A$34:$A$43,MATCH(CZ7,Inputs!$C$34:$C$43,0),1),Oper!CY6)</f>
        <v>10</v>
      </c>
      <c r="DA6" s="39">
        <f>+IFERROR(INDEX(Inputs!$A$34:$A$43,MATCH(DA7,Inputs!$C$34:$C$43,0),1),Oper!CZ6)</f>
        <v>10</v>
      </c>
      <c r="DB6" s="39">
        <f>+IFERROR(INDEX(Inputs!$A$34:$A$43,MATCH(DB7,Inputs!$C$34:$C$43,0),1),Oper!DA6)</f>
        <v>10</v>
      </c>
      <c r="DC6" s="39">
        <f>+IFERROR(INDEX(Inputs!$A$34:$A$43,MATCH(DC7,Inputs!$C$34:$C$43,0),1),Oper!DB6)</f>
        <v>10</v>
      </c>
      <c r="DD6" s="39">
        <f>+IFERROR(INDEX(Inputs!$A$34:$A$43,MATCH(DD7,Inputs!$C$34:$C$43,0),1),Oper!DC6)</f>
        <v>10</v>
      </c>
      <c r="DE6" s="39">
        <f>+IFERROR(INDEX(Inputs!$A$34:$A$43,MATCH(DE7,Inputs!$C$34:$C$43,0),1),Oper!DD6)</f>
        <v>10</v>
      </c>
      <c r="DF6" s="39">
        <f>+IFERROR(INDEX(Inputs!$A$34:$A$43,MATCH(DF7,Inputs!$C$34:$C$43,0),1),Oper!DE6)</f>
        <v>10</v>
      </c>
      <c r="DG6" s="39">
        <f>+IFERROR(INDEX(Inputs!$A$34:$A$43,MATCH(DG7,Inputs!$C$34:$C$43,0),1),Oper!DF6)</f>
        <v>10</v>
      </c>
      <c r="DH6" s="39">
        <f>+IFERROR(INDEX(Inputs!$A$34:$A$43,MATCH(DH7,Inputs!$C$34:$C$43,0),1),Oper!DG6)</f>
        <v>10</v>
      </c>
      <c r="DI6" s="39">
        <f>+IFERROR(INDEX(Inputs!$A$34:$A$43,MATCH(DI7,Inputs!$C$34:$C$43,0),1),Oper!DH6)</f>
        <v>10</v>
      </c>
      <c r="DJ6" s="39">
        <f>+IFERROR(INDEX(Inputs!$A$34:$A$43,MATCH(DJ7,Inputs!$C$34:$C$43,0),1),Oper!DI6)</f>
        <v>10</v>
      </c>
      <c r="DK6" s="39">
        <f>+IFERROR(INDEX(Inputs!$A$34:$A$43,MATCH(DK7,Inputs!$C$34:$C$43,0),1),Oper!DJ6)</f>
        <v>10</v>
      </c>
      <c r="DL6" s="39">
        <f>+IFERROR(INDEX(Inputs!$A$34:$A$43,MATCH(DL7,Inputs!$C$34:$C$43,0),1),Oper!DK6)</f>
        <v>10</v>
      </c>
      <c r="DM6" s="39">
        <f>+IFERROR(INDEX(Inputs!$A$34:$A$43,MATCH(DM7,Inputs!$C$34:$C$43,0),1),Oper!DL6)</f>
        <v>10</v>
      </c>
      <c r="DN6" s="39">
        <f>+IFERROR(INDEX(Inputs!$A$34:$A$43,MATCH(DN7,Inputs!$C$34:$C$43,0),1),Oper!DM6)</f>
        <v>10</v>
      </c>
      <c r="DO6" s="39">
        <f>+IFERROR(INDEX(Inputs!$A$34:$A$43,MATCH(DO7,Inputs!$C$34:$C$43,0),1),Oper!DN6)</f>
        <v>10</v>
      </c>
      <c r="DP6" s="39">
        <f>+IFERROR(INDEX(Inputs!$A$34:$A$43,MATCH(DP7,Inputs!$C$34:$C$43,0),1),Oper!DO6)</f>
        <v>10</v>
      </c>
      <c r="DQ6" s="42"/>
    </row>
    <row r="7" spans="1:125" x14ac:dyDescent="0.2">
      <c r="C7" t="s">
        <v>19</v>
      </c>
      <c r="Q7" s="667">
        <f t="shared" ref="Q7:BV7" si="0">+YEAR(Q9)</f>
        <v>2016</v>
      </c>
      <c r="R7" s="667">
        <f t="shared" si="0"/>
        <v>2017</v>
      </c>
      <c r="S7" s="667">
        <f t="shared" si="0"/>
        <v>2018</v>
      </c>
      <c r="T7" s="667">
        <f t="shared" si="0"/>
        <v>2019</v>
      </c>
      <c r="U7" s="667">
        <f t="shared" si="0"/>
        <v>2020</v>
      </c>
      <c r="V7" s="667">
        <f t="shared" si="0"/>
        <v>2021</v>
      </c>
      <c r="W7" s="667">
        <f t="shared" si="0"/>
        <v>2022</v>
      </c>
      <c r="X7" s="667">
        <f t="shared" si="0"/>
        <v>2023</v>
      </c>
      <c r="Y7" s="667">
        <f t="shared" si="0"/>
        <v>2024</v>
      </c>
      <c r="Z7" s="667">
        <f t="shared" si="0"/>
        <v>2025</v>
      </c>
      <c r="AA7" s="667">
        <f t="shared" si="0"/>
        <v>2026</v>
      </c>
      <c r="AB7" s="667">
        <f t="shared" si="0"/>
        <v>2027</v>
      </c>
      <c r="AC7" s="667">
        <f t="shared" si="0"/>
        <v>2028</v>
      </c>
      <c r="AD7" s="667">
        <f t="shared" si="0"/>
        <v>2029</v>
      </c>
      <c r="AE7" s="667">
        <f t="shared" si="0"/>
        <v>2030</v>
      </c>
      <c r="AF7" s="667">
        <f t="shared" si="0"/>
        <v>2031</v>
      </c>
      <c r="AG7" s="667">
        <f t="shared" si="0"/>
        <v>2032</v>
      </c>
      <c r="AH7" s="667">
        <f t="shared" si="0"/>
        <v>2033</v>
      </c>
      <c r="AI7" s="667">
        <f t="shared" si="0"/>
        <v>2034</v>
      </c>
      <c r="AJ7" s="667">
        <f t="shared" si="0"/>
        <v>2035</v>
      </c>
      <c r="AK7" s="667">
        <f t="shared" si="0"/>
        <v>2036</v>
      </c>
      <c r="AL7" s="667">
        <f t="shared" si="0"/>
        <v>2037</v>
      </c>
      <c r="AM7" s="667">
        <f t="shared" si="0"/>
        <v>2038</v>
      </c>
      <c r="AN7" s="667">
        <f t="shared" si="0"/>
        <v>2039</v>
      </c>
      <c r="AO7" s="667">
        <f t="shared" si="0"/>
        <v>2040</v>
      </c>
      <c r="AP7" s="667">
        <f t="shared" si="0"/>
        <v>2041</v>
      </c>
      <c r="AQ7" s="667">
        <f t="shared" si="0"/>
        <v>2042</v>
      </c>
      <c r="AR7" s="667">
        <f t="shared" si="0"/>
        <v>2043</v>
      </c>
      <c r="AS7" s="667">
        <f t="shared" si="0"/>
        <v>2044</v>
      </c>
      <c r="AT7" s="667">
        <f t="shared" si="0"/>
        <v>2045</v>
      </c>
      <c r="AU7" s="667">
        <f t="shared" si="0"/>
        <v>2046</v>
      </c>
      <c r="AV7" s="667">
        <f t="shared" si="0"/>
        <v>2047</v>
      </c>
      <c r="AW7" s="667">
        <f t="shared" si="0"/>
        <v>2048</v>
      </c>
      <c r="AX7" s="667">
        <f t="shared" si="0"/>
        <v>2049</v>
      </c>
      <c r="AY7" s="667">
        <f t="shared" si="0"/>
        <v>2050</v>
      </c>
      <c r="AZ7" s="667">
        <f t="shared" si="0"/>
        <v>2051</v>
      </c>
      <c r="BA7" s="667">
        <f t="shared" si="0"/>
        <v>2052</v>
      </c>
      <c r="BB7" s="667">
        <f t="shared" si="0"/>
        <v>2053</v>
      </c>
      <c r="BC7" s="667">
        <f t="shared" si="0"/>
        <v>2054</v>
      </c>
      <c r="BD7" s="667">
        <f t="shared" si="0"/>
        <v>2055</v>
      </c>
      <c r="BE7" s="667">
        <f t="shared" si="0"/>
        <v>2056</v>
      </c>
      <c r="BF7" s="667">
        <f t="shared" si="0"/>
        <v>2057</v>
      </c>
      <c r="BG7" s="667">
        <f t="shared" si="0"/>
        <v>2058</v>
      </c>
      <c r="BH7" s="667">
        <f t="shared" si="0"/>
        <v>2059</v>
      </c>
      <c r="BI7" s="667">
        <f t="shared" si="0"/>
        <v>2060</v>
      </c>
      <c r="BJ7" s="667">
        <f t="shared" si="0"/>
        <v>2061</v>
      </c>
      <c r="BK7" s="667">
        <f t="shared" si="0"/>
        <v>2062</v>
      </c>
      <c r="BL7" s="667">
        <f t="shared" si="0"/>
        <v>2063</v>
      </c>
      <c r="BM7" s="667">
        <f t="shared" si="0"/>
        <v>2064</v>
      </c>
      <c r="BN7" s="667">
        <f t="shared" si="0"/>
        <v>2065</v>
      </c>
      <c r="BO7" s="667">
        <f t="shared" si="0"/>
        <v>2066</v>
      </c>
      <c r="BP7" s="667">
        <f t="shared" si="0"/>
        <v>2067</v>
      </c>
      <c r="BQ7" s="667">
        <f t="shared" si="0"/>
        <v>2068</v>
      </c>
      <c r="BR7" s="667">
        <f t="shared" si="0"/>
        <v>2069</v>
      </c>
      <c r="BS7" s="667">
        <f t="shared" si="0"/>
        <v>2070</v>
      </c>
      <c r="BT7" s="667">
        <f t="shared" si="0"/>
        <v>2071</v>
      </c>
      <c r="BU7" s="667">
        <f t="shared" si="0"/>
        <v>2072</v>
      </c>
      <c r="BV7" s="667">
        <f t="shared" si="0"/>
        <v>2073</v>
      </c>
      <c r="BW7" s="667">
        <f t="shared" ref="BW7:DP7" si="1">+YEAR(BW9)</f>
        <v>2074</v>
      </c>
      <c r="BX7" s="667">
        <f t="shared" si="1"/>
        <v>2075</v>
      </c>
      <c r="BY7" s="667">
        <f t="shared" si="1"/>
        <v>2076</v>
      </c>
      <c r="BZ7" s="667">
        <f t="shared" si="1"/>
        <v>2077</v>
      </c>
      <c r="CA7" s="667">
        <f t="shared" si="1"/>
        <v>2078</v>
      </c>
      <c r="CB7" s="667">
        <f t="shared" si="1"/>
        <v>2079</v>
      </c>
      <c r="CC7" s="667">
        <f t="shared" si="1"/>
        <v>2080</v>
      </c>
      <c r="CD7" s="667">
        <f t="shared" si="1"/>
        <v>2081</v>
      </c>
      <c r="CE7" s="667">
        <f t="shared" si="1"/>
        <v>2082</v>
      </c>
      <c r="CF7" s="667">
        <f t="shared" si="1"/>
        <v>2083</v>
      </c>
      <c r="CG7" s="667">
        <f t="shared" si="1"/>
        <v>2084</v>
      </c>
      <c r="CH7" s="667">
        <f t="shared" si="1"/>
        <v>2085</v>
      </c>
      <c r="CI7" s="667">
        <f t="shared" si="1"/>
        <v>2086</v>
      </c>
      <c r="CJ7" s="667">
        <f t="shared" si="1"/>
        <v>2087</v>
      </c>
      <c r="CK7" s="667">
        <f t="shared" si="1"/>
        <v>2088</v>
      </c>
      <c r="CL7" s="667">
        <f t="shared" si="1"/>
        <v>2089</v>
      </c>
      <c r="CM7" s="667">
        <f t="shared" si="1"/>
        <v>2090</v>
      </c>
      <c r="CN7" s="667">
        <f t="shared" si="1"/>
        <v>2091</v>
      </c>
      <c r="CO7" s="667">
        <f t="shared" si="1"/>
        <v>2092</v>
      </c>
      <c r="CP7" s="667">
        <f t="shared" si="1"/>
        <v>2093</v>
      </c>
      <c r="CQ7" s="667">
        <f t="shared" si="1"/>
        <v>2094</v>
      </c>
      <c r="CR7" s="667">
        <f t="shared" si="1"/>
        <v>2095</v>
      </c>
      <c r="CS7" s="667">
        <f t="shared" si="1"/>
        <v>2096</v>
      </c>
      <c r="CT7" s="667">
        <f t="shared" si="1"/>
        <v>2097</v>
      </c>
      <c r="CU7" s="667">
        <f t="shared" si="1"/>
        <v>2098</v>
      </c>
      <c r="CV7" s="667">
        <f t="shared" si="1"/>
        <v>2099</v>
      </c>
      <c r="CW7" s="667">
        <f t="shared" si="1"/>
        <v>2100</v>
      </c>
      <c r="CX7" s="667">
        <f t="shared" si="1"/>
        <v>2101</v>
      </c>
      <c r="CY7" s="667">
        <f t="shared" si="1"/>
        <v>2102</v>
      </c>
      <c r="CZ7" s="667">
        <f t="shared" si="1"/>
        <v>2103</v>
      </c>
      <c r="DA7" s="667">
        <f t="shared" si="1"/>
        <v>2104</v>
      </c>
      <c r="DB7" s="667">
        <f t="shared" si="1"/>
        <v>2105</v>
      </c>
      <c r="DC7" s="667">
        <f t="shared" si="1"/>
        <v>2106</v>
      </c>
      <c r="DD7" s="667">
        <f t="shared" si="1"/>
        <v>2107</v>
      </c>
      <c r="DE7" s="667">
        <f t="shared" si="1"/>
        <v>2108</v>
      </c>
      <c r="DF7" s="667">
        <f t="shared" si="1"/>
        <v>2109</v>
      </c>
      <c r="DG7" s="667">
        <f t="shared" si="1"/>
        <v>2110</v>
      </c>
      <c r="DH7" s="667">
        <f t="shared" si="1"/>
        <v>2111</v>
      </c>
      <c r="DI7" s="667">
        <f t="shared" si="1"/>
        <v>2112</v>
      </c>
      <c r="DJ7" s="667">
        <f t="shared" si="1"/>
        <v>2113</v>
      </c>
      <c r="DK7" s="667">
        <f t="shared" si="1"/>
        <v>2114</v>
      </c>
      <c r="DL7" s="667">
        <f t="shared" si="1"/>
        <v>2115</v>
      </c>
      <c r="DM7" s="667">
        <f t="shared" si="1"/>
        <v>2116</v>
      </c>
      <c r="DN7" s="667">
        <f t="shared" si="1"/>
        <v>2117</v>
      </c>
      <c r="DO7" s="667">
        <f t="shared" si="1"/>
        <v>2118</v>
      </c>
      <c r="DP7" s="667">
        <f t="shared" si="1"/>
        <v>2119</v>
      </c>
      <c r="DQ7" s="5"/>
    </row>
    <row r="8" spans="1:125" x14ac:dyDescent="0.2">
      <c r="C8" t="s">
        <v>46</v>
      </c>
      <c r="Q8" s="148">
        <v>42370</v>
      </c>
      <c r="R8" s="70">
        <f t="shared" ref="R8:BV8" si="2">+Q9+1</f>
        <v>42736</v>
      </c>
      <c r="S8" s="70">
        <f t="shared" si="2"/>
        <v>43101</v>
      </c>
      <c r="T8" s="70">
        <f t="shared" si="2"/>
        <v>43466</v>
      </c>
      <c r="U8" s="70">
        <f t="shared" si="2"/>
        <v>43831</v>
      </c>
      <c r="V8" s="70">
        <f t="shared" si="2"/>
        <v>44197</v>
      </c>
      <c r="W8" s="70">
        <f t="shared" si="2"/>
        <v>44562</v>
      </c>
      <c r="X8" s="70">
        <f t="shared" si="2"/>
        <v>44927</v>
      </c>
      <c r="Y8" s="70">
        <f t="shared" si="2"/>
        <v>45292</v>
      </c>
      <c r="Z8" s="70">
        <f t="shared" si="2"/>
        <v>45658</v>
      </c>
      <c r="AA8" s="70">
        <f t="shared" si="2"/>
        <v>46023</v>
      </c>
      <c r="AB8" s="70">
        <f t="shared" si="2"/>
        <v>46388</v>
      </c>
      <c r="AC8" s="70">
        <f t="shared" si="2"/>
        <v>46753</v>
      </c>
      <c r="AD8" s="70">
        <f t="shared" si="2"/>
        <v>47119</v>
      </c>
      <c r="AE8" s="70">
        <f t="shared" si="2"/>
        <v>47484</v>
      </c>
      <c r="AF8" s="70">
        <f t="shared" si="2"/>
        <v>47849</v>
      </c>
      <c r="AG8" s="70">
        <f t="shared" si="2"/>
        <v>48214</v>
      </c>
      <c r="AH8" s="70">
        <f t="shared" si="2"/>
        <v>48580</v>
      </c>
      <c r="AI8" s="70">
        <f t="shared" si="2"/>
        <v>48945</v>
      </c>
      <c r="AJ8" s="70">
        <f t="shared" si="2"/>
        <v>49310</v>
      </c>
      <c r="AK8" s="70">
        <f t="shared" si="2"/>
        <v>49675</v>
      </c>
      <c r="AL8" s="70">
        <f t="shared" si="2"/>
        <v>50041</v>
      </c>
      <c r="AM8" s="70">
        <f t="shared" si="2"/>
        <v>50406</v>
      </c>
      <c r="AN8" s="70">
        <f t="shared" si="2"/>
        <v>50771</v>
      </c>
      <c r="AO8" s="70">
        <f t="shared" si="2"/>
        <v>51136</v>
      </c>
      <c r="AP8" s="70">
        <f t="shared" si="2"/>
        <v>51502</v>
      </c>
      <c r="AQ8" s="70">
        <f t="shared" si="2"/>
        <v>51867</v>
      </c>
      <c r="AR8" s="70">
        <f t="shared" si="2"/>
        <v>52232</v>
      </c>
      <c r="AS8" s="70">
        <f t="shared" si="2"/>
        <v>52597</v>
      </c>
      <c r="AT8" s="70">
        <f t="shared" si="2"/>
        <v>52963</v>
      </c>
      <c r="AU8" s="70">
        <f t="shared" si="2"/>
        <v>53328</v>
      </c>
      <c r="AV8" s="70">
        <f t="shared" si="2"/>
        <v>53693</v>
      </c>
      <c r="AW8" s="70">
        <f t="shared" si="2"/>
        <v>54058</v>
      </c>
      <c r="AX8" s="70">
        <f t="shared" si="2"/>
        <v>54424</v>
      </c>
      <c r="AY8" s="70">
        <f t="shared" si="2"/>
        <v>54789</v>
      </c>
      <c r="AZ8" s="70">
        <f t="shared" si="2"/>
        <v>55154</v>
      </c>
      <c r="BA8" s="70">
        <f t="shared" si="2"/>
        <v>55519</v>
      </c>
      <c r="BB8" s="70">
        <f t="shared" si="2"/>
        <v>55885</v>
      </c>
      <c r="BC8" s="70">
        <f t="shared" si="2"/>
        <v>56250</v>
      </c>
      <c r="BD8" s="70">
        <f t="shared" si="2"/>
        <v>56615</v>
      </c>
      <c r="BE8" s="70">
        <f t="shared" si="2"/>
        <v>56980</v>
      </c>
      <c r="BF8" s="70">
        <f t="shared" si="2"/>
        <v>57346</v>
      </c>
      <c r="BG8" s="70">
        <f t="shared" si="2"/>
        <v>57711</v>
      </c>
      <c r="BH8" s="70">
        <f t="shared" si="2"/>
        <v>58076</v>
      </c>
      <c r="BI8" s="70">
        <f t="shared" si="2"/>
        <v>58441</v>
      </c>
      <c r="BJ8" s="70">
        <f t="shared" si="2"/>
        <v>58807</v>
      </c>
      <c r="BK8" s="70">
        <f t="shared" si="2"/>
        <v>59172</v>
      </c>
      <c r="BL8" s="70">
        <f t="shared" si="2"/>
        <v>59537</v>
      </c>
      <c r="BM8" s="70">
        <f t="shared" si="2"/>
        <v>59902</v>
      </c>
      <c r="BN8" s="70">
        <f t="shared" si="2"/>
        <v>60268</v>
      </c>
      <c r="BO8" s="70">
        <f t="shared" si="2"/>
        <v>60633</v>
      </c>
      <c r="BP8" s="70">
        <f t="shared" si="2"/>
        <v>60998</v>
      </c>
      <c r="BQ8" s="70">
        <f t="shared" si="2"/>
        <v>61363</v>
      </c>
      <c r="BR8" s="70">
        <f t="shared" si="2"/>
        <v>61729</v>
      </c>
      <c r="BS8" s="70">
        <f t="shared" si="2"/>
        <v>62094</v>
      </c>
      <c r="BT8" s="70">
        <f t="shared" si="2"/>
        <v>62459</v>
      </c>
      <c r="BU8" s="70">
        <f t="shared" si="2"/>
        <v>62824</v>
      </c>
      <c r="BV8" s="70">
        <f t="shared" si="2"/>
        <v>63190</v>
      </c>
      <c r="BW8" s="70">
        <f t="shared" ref="BW8:DP8" si="3">+BV9+1</f>
        <v>63555</v>
      </c>
      <c r="BX8" s="70">
        <f t="shared" si="3"/>
        <v>63920</v>
      </c>
      <c r="BY8" s="70">
        <f t="shared" si="3"/>
        <v>64285</v>
      </c>
      <c r="BZ8" s="70">
        <f t="shared" si="3"/>
        <v>64651</v>
      </c>
      <c r="CA8" s="70">
        <f t="shared" si="3"/>
        <v>65016</v>
      </c>
      <c r="CB8" s="70">
        <f t="shared" si="3"/>
        <v>65381</v>
      </c>
      <c r="CC8" s="70">
        <f t="shared" si="3"/>
        <v>65746</v>
      </c>
      <c r="CD8" s="70">
        <f t="shared" si="3"/>
        <v>66112</v>
      </c>
      <c r="CE8" s="70">
        <f t="shared" si="3"/>
        <v>66477</v>
      </c>
      <c r="CF8" s="70">
        <f t="shared" si="3"/>
        <v>66842</v>
      </c>
      <c r="CG8" s="70">
        <f t="shared" si="3"/>
        <v>67207</v>
      </c>
      <c r="CH8" s="70">
        <f t="shared" si="3"/>
        <v>67573</v>
      </c>
      <c r="CI8" s="70">
        <f t="shared" si="3"/>
        <v>67938</v>
      </c>
      <c r="CJ8" s="70">
        <f t="shared" si="3"/>
        <v>68303</v>
      </c>
      <c r="CK8" s="70">
        <f t="shared" si="3"/>
        <v>68668</v>
      </c>
      <c r="CL8" s="70">
        <f t="shared" si="3"/>
        <v>69034</v>
      </c>
      <c r="CM8" s="70">
        <f t="shared" si="3"/>
        <v>69399</v>
      </c>
      <c r="CN8" s="70">
        <f t="shared" si="3"/>
        <v>69764</v>
      </c>
      <c r="CO8" s="70">
        <f t="shared" si="3"/>
        <v>70129</v>
      </c>
      <c r="CP8" s="70">
        <f t="shared" si="3"/>
        <v>70495</v>
      </c>
      <c r="CQ8" s="70">
        <f t="shared" si="3"/>
        <v>70860</v>
      </c>
      <c r="CR8" s="70">
        <f t="shared" si="3"/>
        <v>71225</v>
      </c>
      <c r="CS8" s="70">
        <f t="shared" si="3"/>
        <v>71590</v>
      </c>
      <c r="CT8" s="70">
        <f t="shared" si="3"/>
        <v>71956</v>
      </c>
      <c r="CU8" s="70">
        <f t="shared" si="3"/>
        <v>72321</v>
      </c>
      <c r="CV8" s="70">
        <f t="shared" si="3"/>
        <v>72686</v>
      </c>
      <c r="CW8" s="70">
        <f t="shared" si="3"/>
        <v>73051</v>
      </c>
      <c r="CX8" s="70">
        <f t="shared" si="3"/>
        <v>73416</v>
      </c>
      <c r="CY8" s="70">
        <f t="shared" si="3"/>
        <v>73781</v>
      </c>
      <c r="CZ8" s="70">
        <f t="shared" si="3"/>
        <v>74146</v>
      </c>
      <c r="DA8" s="70">
        <f t="shared" si="3"/>
        <v>74511</v>
      </c>
      <c r="DB8" s="70">
        <f t="shared" si="3"/>
        <v>74877</v>
      </c>
      <c r="DC8" s="70">
        <f t="shared" si="3"/>
        <v>75242</v>
      </c>
      <c r="DD8" s="70">
        <f t="shared" si="3"/>
        <v>75607</v>
      </c>
      <c r="DE8" s="70">
        <f t="shared" si="3"/>
        <v>75972</v>
      </c>
      <c r="DF8" s="70">
        <f t="shared" si="3"/>
        <v>76338</v>
      </c>
      <c r="DG8" s="70">
        <f t="shared" si="3"/>
        <v>76703</v>
      </c>
      <c r="DH8" s="70">
        <f t="shared" si="3"/>
        <v>77068</v>
      </c>
      <c r="DI8" s="70">
        <f t="shared" si="3"/>
        <v>77433</v>
      </c>
      <c r="DJ8" s="70">
        <f t="shared" si="3"/>
        <v>77799</v>
      </c>
      <c r="DK8" s="70">
        <f t="shared" si="3"/>
        <v>78164</v>
      </c>
      <c r="DL8" s="70">
        <f t="shared" si="3"/>
        <v>78529</v>
      </c>
      <c r="DM8" s="70">
        <f t="shared" si="3"/>
        <v>78894</v>
      </c>
      <c r="DN8" s="70">
        <f t="shared" si="3"/>
        <v>79260</v>
      </c>
      <c r="DO8" s="70">
        <f t="shared" si="3"/>
        <v>79625</v>
      </c>
      <c r="DP8" s="70">
        <f t="shared" si="3"/>
        <v>79990</v>
      </c>
      <c r="DQ8" s="30"/>
    </row>
    <row r="9" spans="1:125" x14ac:dyDescent="0.2">
      <c r="C9" t="s">
        <v>47</v>
      </c>
      <c r="Q9" s="70">
        <f t="shared" ref="Q9:BU9" si="4">+EOMONTH(Q8,11)</f>
        <v>42735</v>
      </c>
      <c r="R9" s="70">
        <f t="shared" si="4"/>
        <v>43100</v>
      </c>
      <c r="S9" s="70">
        <f t="shared" si="4"/>
        <v>43465</v>
      </c>
      <c r="T9" s="70">
        <f t="shared" si="4"/>
        <v>43830</v>
      </c>
      <c r="U9" s="70">
        <f t="shared" si="4"/>
        <v>44196</v>
      </c>
      <c r="V9" s="70">
        <f t="shared" si="4"/>
        <v>44561</v>
      </c>
      <c r="W9" s="70">
        <f t="shared" si="4"/>
        <v>44926</v>
      </c>
      <c r="X9" s="70">
        <f t="shared" si="4"/>
        <v>45291</v>
      </c>
      <c r="Y9" s="70">
        <f t="shared" si="4"/>
        <v>45657</v>
      </c>
      <c r="Z9" s="70">
        <f t="shared" si="4"/>
        <v>46022</v>
      </c>
      <c r="AA9" s="70">
        <f t="shared" si="4"/>
        <v>46387</v>
      </c>
      <c r="AB9" s="70">
        <f t="shared" si="4"/>
        <v>46752</v>
      </c>
      <c r="AC9" s="70">
        <f t="shared" si="4"/>
        <v>47118</v>
      </c>
      <c r="AD9" s="70">
        <f t="shared" si="4"/>
        <v>47483</v>
      </c>
      <c r="AE9" s="70">
        <f t="shared" si="4"/>
        <v>47848</v>
      </c>
      <c r="AF9" s="70">
        <f t="shared" si="4"/>
        <v>48213</v>
      </c>
      <c r="AG9" s="70">
        <f t="shared" si="4"/>
        <v>48579</v>
      </c>
      <c r="AH9" s="70">
        <f t="shared" si="4"/>
        <v>48944</v>
      </c>
      <c r="AI9" s="70">
        <f t="shared" si="4"/>
        <v>49309</v>
      </c>
      <c r="AJ9" s="70">
        <f t="shared" si="4"/>
        <v>49674</v>
      </c>
      <c r="AK9" s="70">
        <f t="shared" si="4"/>
        <v>50040</v>
      </c>
      <c r="AL9" s="70">
        <f t="shared" si="4"/>
        <v>50405</v>
      </c>
      <c r="AM9" s="70">
        <f t="shared" si="4"/>
        <v>50770</v>
      </c>
      <c r="AN9" s="70">
        <f t="shared" si="4"/>
        <v>51135</v>
      </c>
      <c r="AO9" s="70">
        <f t="shared" si="4"/>
        <v>51501</v>
      </c>
      <c r="AP9" s="70">
        <f t="shared" si="4"/>
        <v>51866</v>
      </c>
      <c r="AQ9" s="70">
        <f t="shared" si="4"/>
        <v>52231</v>
      </c>
      <c r="AR9" s="70">
        <f t="shared" si="4"/>
        <v>52596</v>
      </c>
      <c r="AS9" s="70">
        <f t="shared" si="4"/>
        <v>52962</v>
      </c>
      <c r="AT9" s="70">
        <f t="shared" si="4"/>
        <v>53327</v>
      </c>
      <c r="AU9" s="70">
        <f t="shared" si="4"/>
        <v>53692</v>
      </c>
      <c r="AV9" s="70">
        <f t="shared" si="4"/>
        <v>54057</v>
      </c>
      <c r="AW9" s="70">
        <f t="shared" si="4"/>
        <v>54423</v>
      </c>
      <c r="AX9" s="70">
        <f t="shared" si="4"/>
        <v>54788</v>
      </c>
      <c r="AY9" s="70">
        <f t="shared" si="4"/>
        <v>55153</v>
      </c>
      <c r="AZ9" s="70">
        <f t="shared" si="4"/>
        <v>55518</v>
      </c>
      <c r="BA9" s="70">
        <f t="shared" si="4"/>
        <v>55884</v>
      </c>
      <c r="BB9" s="70">
        <f t="shared" si="4"/>
        <v>56249</v>
      </c>
      <c r="BC9" s="70">
        <f t="shared" si="4"/>
        <v>56614</v>
      </c>
      <c r="BD9" s="70">
        <f t="shared" si="4"/>
        <v>56979</v>
      </c>
      <c r="BE9" s="70">
        <f t="shared" si="4"/>
        <v>57345</v>
      </c>
      <c r="BF9" s="70">
        <f t="shared" si="4"/>
        <v>57710</v>
      </c>
      <c r="BG9" s="70">
        <f t="shared" si="4"/>
        <v>58075</v>
      </c>
      <c r="BH9" s="70">
        <f t="shared" si="4"/>
        <v>58440</v>
      </c>
      <c r="BI9" s="70">
        <f t="shared" si="4"/>
        <v>58806</v>
      </c>
      <c r="BJ9" s="70">
        <f t="shared" si="4"/>
        <v>59171</v>
      </c>
      <c r="BK9" s="70">
        <f t="shared" si="4"/>
        <v>59536</v>
      </c>
      <c r="BL9" s="70">
        <f t="shared" si="4"/>
        <v>59901</v>
      </c>
      <c r="BM9" s="70">
        <f t="shared" si="4"/>
        <v>60267</v>
      </c>
      <c r="BN9" s="70">
        <f t="shared" si="4"/>
        <v>60632</v>
      </c>
      <c r="BO9" s="70">
        <f t="shared" si="4"/>
        <v>60997</v>
      </c>
      <c r="BP9" s="70">
        <f t="shared" si="4"/>
        <v>61362</v>
      </c>
      <c r="BQ9" s="70">
        <f t="shared" si="4"/>
        <v>61728</v>
      </c>
      <c r="BR9" s="70">
        <f t="shared" si="4"/>
        <v>62093</v>
      </c>
      <c r="BS9" s="70">
        <f t="shared" si="4"/>
        <v>62458</v>
      </c>
      <c r="BT9" s="70">
        <f t="shared" si="4"/>
        <v>62823</v>
      </c>
      <c r="BU9" s="70">
        <f t="shared" si="4"/>
        <v>63189</v>
      </c>
      <c r="BV9" s="70">
        <f t="shared" ref="BV9:DP9" si="5">+EOMONTH(BV8,11)</f>
        <v>63554</v>
      </c>
      <c r="BW9" s="70">
        <f t="shared" si="5"/>
        <v>63919</v>
      </c>
      <c r="BX9" s="70">
        <f t="shared" si="5"/>
        <v>64284</v>
      </c>
      <c r="BY9" s="70">
        <f t="shared" si="5"/>
        <v>64650</v>
      </c>
      <c r="BZ9" s="70">
        <f t="shared" si="5"/>
        <v>65015</v>
      </c>
      <c r="CA9" s="70">
        <f t="shared" si="5"/>
        <v>65380</v>
      </c>
      <c r="CB9" s="70">
        <f t="shared" si="5"/>
        <v>65745</v>
      </c>
      <c r="CC9" s="70">
        <f t="shared" si="5"/>
        <v>66111</v>
      </c>
      <c r="CD9" s="70">
        <f t="shared" si="5"/>
        <v>66476</v>
      </c>
      <c r="CE9" s="70">
        <f t="shared" si="5"/>
        <v>66841</v>
      </c>
      <c r="CF9" s="70">
        <f t="shared" si="5"/>
        <v>67206</v>
      </c>
      <c r="CG9" s="70">
        <f t="shared" si="5"/>
        <v>67572</v>
      </c>
      <c r="CH9" s="70">
        <f t="shared" si="5"/>
        <v>67937</v>
      </c>
      <c r="CI9" s="70">
        <f t="shared" si="5"/>
        <v>68302</v>
      </c>
      <c r="CJ9" s="70">
        <f t="shared" si="5"/>
        <v>68667</v>
      </c>
      <c r="CK9" s="70">
        <f t="shared" si="5"/>
        <v>69033</v>
      </c>
      <c r="CL9" s="70">
        <f t="shared" si="5"/>
        <v>69398</v>
      </c>
      <c r="CM9" s="70">
        <f t="shared" si="5"/>
        <v>69763</v>
      </c>
      <c r="CN9" s="70">
        <f t="shared" si="5"/>
        <v>70128</v>
      </c>
      <c r="CO9" s="70">
        <f t="shared" si="5"/>
        <v>70494</v>
      </c>
      <c r="CP9" s="70">
        <f t="shared" si="5"/>
        <v>70859</v>
      </c>
      <c r="CQ9" s="70">
        <f t="shared" si="5"/>
        <v>71224</v>
      </c>
      <c r="CR9" s="70">
        <f t="shared" si="5"/>
        <v>71589</v>
      </c>
      <c r="CS9" s="70">
        <f t="shared" si="5"/>
        <v>71955</v>
      </c>
      <c r="CT9" s="70">
        <f t="shared" si="5"/>
        <v>72320</v>
      </c>
      <c r="CU9" s="70">
        <f t="shared" si="5"/>
        <v>72685</v>
      </c>
      <c r="CV9" s="70">
        <f t="shared" si="5"/>
        <v>73050</v>
      </c>
      <c r="CW9" s="70">
        <f t="shared" si="5"/>
        <v>73415</v>
      </c>
      <c r="CX9" s="70">
        <f t="shared" si="5"/>
        <v>73780</v>
      </c>
      <c r="CY9" s="70">
        <f t="shared" si="5"/>
        <v>74145</v>
      </c>
      <c r="CZ9" s="70">
        <f t="shared" si="5"/>
        <v>74510</v>
      </c>
      <c r="DA9" s="70">
        <f t="shared" si="5"/>
        <v>74876</v>
      </c>
      <c r="DB9" s="70">
        <f t="shared" si="5"/>
        <v>75241</v>
      </c>
      <c r="DC9" s="70">
        <f t="shared" si="5"/>
        <v>75606</v>
      </c>
      <c r="DD9" s="70">
        <f t="shared" si="5"/>
        <v>75971</v>
      </c>
      <c r="DE9" s="70">
        <f t="shared" si="5"/>
        <v>76337</v>
      </c>
      <c r="DF9" s="70">
        <f t="shared" si="5"/>
        <v>76702</v>
      </c>
      <c r="DG9" s="70">
        <f t="shared" si="5"/>
        <v>77067</v>
      </c>
      <c r="DH9" s="70">
        <f t="shared" si="5"/>
        <v>77432</v>
      </c>
      <c r="DI9" s="70">
        <f t="shared" si="5"/>
        <v>77798</v>
      </c>
      <c r="DJ9" s="70">
        <f t="shared" si="5"/>
        <v>78163</v>
      </c>
      <c r="DK9" s="70">
        <f t="shared" si="5"/>
        <v>78528</v>
      </c>
      <c r="DL9" s="70">
        <f t="shared" si="5"/>
        <v>78893</v>
      </c>
      <c r="DM9" s="70">
        <f t="shared" si="5"/>
        <v>79259</v>
      </c>
      <c r="DN9" s="70">
        <f t="shared" si="5"/>
        <v>79624</v>
      </c>
      <c r="DO9" s="70">
        <f t="shared" si="5"/>
        <v>79989</v>
      </c>
      <c r="DP9" s="70">
        <f t="shared" si="5"/>
        <v>80354</v>
      </c>
      <c r="DQ9" s="30"/>
    </row>
    <row r="10" spans="1:125" x14ac:dyDescent="0.2">
      <c r="K10" s="144" t="s">
        <v>48</v>
      </c>
      <c r="L10" s="6" t="s">
        <v>49</v>
      </c>
      <c r="M10" s="6"/>
      <c r="N10" s="6" t="s">
        <v>50</v>
      </c>
      <c r="DQ10" s="42"/>
    </row>
    <row r="11" spans="1:125" x14ac:dyDescent="0.2">
      <c r="DQ11" s="42"/>
    </row>
    <row r="12" spans="1:125" x14ac:dyDescent="0.2">
      <c r="C12" t="s">
        <v>53</v>
      </c>
      <c r="K12" s="144" t="s">
        <v>20</v>
      </c>
      <c r="Q12" s="727">
        <f>+IF(OR(CF!Q7&lt;YEAR(Inputs!$L$30),CF!Q7&gt;YEAR(Inputs!$L$31)),0,IF(CF!Q7=YEAR(Inputs!$L$31),(Inputs!$L$31-CF!Q8+1)/CF!Q$15,IF(CF!Q7=YEAR(Inputs!$L$30),(CF!Q9-Inputs!$L$30+1)/CF!Q15,1)))</f>
        <v>1</v>
      </c>
      <c r="R12" s="727">
        <f>+IF(OR(CF!R7&lt;YEAR(Inputs!$L$30),CF!R7&gt;YEAR(Inputs!$L$31)),0,IF(CF!R7=YEAR(Inputs!$L$31),(Inputs!$L$31-CF!R8+1)/CF!R$15,IF(CF!R7=YEAR(Inputs!$L$30),(CF!R9-Inputs!$L$30+1)/CF!R15,1)))</f>
        <v>1</v>
      </c>
      <c r="S12" s="727">
        <f>+IF(OR(CF!S7&lt;YEAR(Inputs!$L$30),CF!S7&gt;YEAR(Inputs!$L$31)),0,IF(CF!S7=YEAR(Inputs!$L$31),(Inputs!$L$31-CF!S8+1)/CF!S$15,IF(CF!S7=YEAR(Inputs!$L$30),(CF!S9-Inputs!$L$30+1)/CF!S15,1)))</f>
        <v>1</v>
      </c>
      <c r="T12" s="727">
        <f>+IF(OR(CF!T7&lt;YEAR(Inputs!$L$30),CF!T7&gt;YEAR(Inputs!$L$31)),0,IF(CF!T7=YEAR(Inputs!$L$31),(Inputs!$L$31-CF!T8+1)/CF!T$15,IF(CF!T7=YEAR(Inputs!$L$30),(CF!T9-Inputs!$L$30+1)/CF!T15,1)))</f>
        <v>1</v>
      </c>
      <c r="U12" s="727">
        <f>+IF(OR(CF!U7&lt;YEAR(Inputs!$L$30),CF!U7&gt;YEAR(Inputs!$L$31)),0,IF(CF!U7=YEAR(Inputs!$L$31),(Inputs!$L$31-CF!U8+1)/CF!U$15,IF(CF!U7=YEAR(Inputs!$L$30),(CF!U9-Inputs!$L$30+1)/CF!U15,1)))</f>
        <v>1</v>
      </c>
      <c r="V12" s="727">
        <f>+IF(OR(CF!V7&lt;YEAR(Inputs!$L$30),CF!V7&gt;YEAR(Inputs!$L$31)),0,IF(CF!V7=YEAR(Inputs!$L$31),(Inputs!$L$31-CF!V8+1)/CF!V$15,IF(CF!V7=YEAR(Inputs!$L$30),(CF!V9-Inputs!$L$30+1)/CF!V15,1)))</f>
        <v>1</v>
      </c>
      <c r="W12" s="727">
        <f>+IF(OR(CF!W7&lt;YEAR(Inputs!$L$30),CF!W7&gt;YEAR(Inputs!$L$31)),0,IF(CF!W7=YEAR(Inputs!$L$31),(Inputs!$L$31-CF!W8+1)/CF!W$15,IF(CF!W7=YEAR(Inputs!$L$30),(CF!W9-Inputs!$L$30+1)/CF!W15,1)))</f>
        <v>1</v>
      </c>
      <c r="X12" s="727">
        <f>+IF(OR(CF!X7&lt;YEAR(Inputs!$L$30),CF!X7&gt;YEAR(Inputs!$L$31)),0,IF(CF!X7=YEAR(Inputs!$L$31),(Inputs!$L$31-CF!X8+1)/CF!X$15,IF(CF!X7=YEAR(Inputs!$L$30),(CF!X9-Inputs!$L$30+1)/CF!X15,1)))</f>
        <v>1</v>
      </c>
      <c r="Y12" s="727">
        <f>+IF(OR(CF!Y7&lt;YEAR(Inputs!$L$30),CF!Y7&gt;YEAR(Inputs!$L$31)),0,IF(CF!Y7=YEAR(Inputs!$L$31),(Inputs!$L$31-CF!Y8+1)/CF!Y$15,IF(CF!Y7=YEAR(Inputs!$L$30),(CF!Y9-Inputs!$L$30+1)/CF!Y15,1)))</f>
        <v>1</v>
      </c>
      <c r="Z12" s="727">
        <f>+IF(OR(CF!Z7&lt;YEAR(Inputs!$L$30),CF!Z7&gt;YEAR(Inputs!$L$31)),0,IF(CF!Z7=YEAR(Inputs!$L$31),(Inputs!$L$31-CF!Z8+1)/CF!Z$15,IF(CF!Z7=YEAR(Inputs!$L$30),(CF!Z9-Inputs!$L$30+1)/CF!Z15,1)))</f>
        <v>1</v>
      </c>
      <c r="AA12" s="727">
        <f>+IF(OR(CF!AA7&lt;YEAR(Inputs!$L$30),CF!AA7&gt;YEAR(Inputs!$L$31)),0,IF(CF!AA7=YEAR(Inputs!$L$31),(Inputs!$L$31-CF!AA8+1)/CF!AA$15,IF(CF!AA7=YEAR(Inputs!$L$30),(CF!AA9-Inputs!$L$30+1)/CF!AA15,1)))</f>
        <v>1</v>
      </c>
      <c r="AB12" s="727">
        <f>+IF(OR(CF!AB7&lt;YEAR(Inputs!$L$30),CF!AB7&gt;YEAR(Inputs!$L$31)),0,IF(CF!AB7=YEAR(Inputs!$L$31),(Inputs!$L$31-CF!AB8+1)/CF!AB$15,IF(CF!AB7=YEAR(Inputs!$L$30),(CF!AB9-Inputs!$L$30+1)/CF!AB15,1)))</f>
        <v>1</v>
      </c>
      <c r="AC12" s="727">
        <f>+IF(OR(CF!AC7&lt;YEAR(Inputs!$L$30),CF!AC7&gt;YEAR(Inputs!$L$31)),0,IF(CF!AC7=YEAR(Inputs!$L$31),(Inputs!$L$31-CF!AC8+1)/CF!AC$15,IF(CF!AC7=YEAR(Inputs!$L$30),(CF!AC9-Inputs!$L$30+1)/CF!AC15,1)))</f>
        <v>1</v>
      </c>
      <c r="AD12" s="727">
        <f>+IF(OR(CF!AD7&lt;YEAR(Inputs!$L$30),CF!AD7&gt;YEAR(Inputs!$L$31)),0,IF(CF!AD7=YEAR(Inputs!$L$31),(Inputs!$L$31-CF!AD8+1)/CF!AD$15,IF(CF!AD7=YEAR(Inputs!$L$30),(CF!AD9-Inputs!$L$30+1)/CF!AD15,1)))</f>
        <v>1</v>
      </c>
      <c r="AE12" s="727">
        <f>+IF(OR(CF!AE7&lt;YEAR(Inputs!$L$30),CF!AE7&gt;YEAR(Inputs!$L$31)),0,IF(CF!AE7=YEAR(Inputs!$L$31),(Inputs!$L$31-CF!AE8+1)/CF!AE$15,IF(CF!AE7=YEAR(Inputs!$L$30),(CF!AE9-Inputs!$L$30+1)/CF!AE15,1)))</f>
        <v>1</v>
      </c>
      <c r="AF12" s="727">
        <f>+IF(OR(CF!AF7&lt;YEAR(Inputs!$L$30),CF!AF7&gt;YEAR(Inputs!$L$31)),0,IF(CF!AF7=YEAR(Inputs!$L$31),(Inputs!$L$31-CF!AF8+1)/CF!AF$15,IF(CF!AF7=YEAR(Inputs!$L$30),(CF!AF9-Inputs!$L$30+1)/CF!AF15,1)))</f>
        <v>1</v>
      </c>
      <c r="AG12" s="727">
        <f>+IF(OR(CF!AG7&lt;YEAR(Inputs!$L$30),CF!AG7&gt;YEAR(Inputs!$L$31)),0,IF(CF!AG7=YEAR(Inputs!$L$31),(Inputs!$L$31-CF!AG8+1)/CF!AG$15,IF(CF!AG7=YEAR(Inputs!$L$30),(CF!AG9-Inputs!$L$30+1)/CF!AG15,1)))</f>
        <v>1</v>
      </c>
      <c r="AH12" s="727">
        <f>+IF(OR(CF!AH7&lt;YEAR(Inputs!$L$30),CF!AH7&gt;YEAR(Inputs!$L$31)),0,IF(CF!AH7=YEAR(Inputs!$L$31),(Inputs!$L$31-CF!AH8+1)/CF!AH$15,IF(CF!AH7=YEAR(Inputs!$L$30),(CF!AH9-Inputs!$L$30+1)/CF!AH15,1)))</f>
        <v>1</v>
      </c>
      <c r="AI12" s="727">
        <f>+IF(OR(CF!AI7&lt;YEAR(Inputs!$L$30),CF!AI7&gt;YEAR(Inputs!$L$31)),0,IF(CF!AI7=YEAR(Inputs!$L$31),(Inputs!$L$31-CF!AI8+1)/CF!AI$15,IF(CF!AI7=YEAR(Inputs!$L$30),(CF!AI9-Inputs!$L$30+1)/CF!AI15,1)))</f>
        <v>1</v>
      </c>
      <c r="AJ12" s="727">
        <f>+IF(OR(CF!AJ7&lt;YEAR(Inputs!$L$30),CF!AJ7&gt;YEAR(Inputs!$L$31)),0,IF(CF!AJ7=YEAR(Inputs!$L$31),(Inputs!$L$31-CF!AJ8+1)/CF!AJ$15,IF(CF!AJ7=YEAR(Inputs!$L$30),(CF!AJ9-Inputs!$L$30+1)/CF!AJ15,1)))</f>
        <v>1</v>
      </c>
      <c r="AK12" s="727">
        <f>+IF(OR(CF!AK7&lt;YEAR(Inputs!$L$30),CF!AK7&gt;YEAR(Inputs!$L$31)),0,IF(CF!AK7=YEAR(Inputs!$L$31),(Inputs!$L$31-CF!AK8+1)/CF!AK$15,IF(CF!AK7=YEAR(Inputs!$L$30),(CF!AK9-Inputs!$L$30+1)/CF!AK15,1)))</f>
        <v>1</v>
      </c>
      <c r="AL12" s="727">
        <f>+IF(OR(CF!AL7&lt;YEAR(Inputs!$L$30),CF!AL7&gt;YEAR(Inputs!$L$31)),0,IF(CF!AL7=YEAR(Inputs!$L$31),(Inputs!$L$31-CF!AL8+1)/CF!AL$15,IF(CF!AL7=YEAR(Inputs!$L$30),(CF!AL9-Inputs!$L$30+1)/CF!AL15,1)))</f>
        <v>1</v>
      </c>
      <c r="AM12" s="727">
        <f>+IF(OR(CF!AM7&lt;YEAR(Inputs!$L$30),CF!AM7&gt;YEAR(Inputs!$L$31)),0,IF(CF!AM7=YEAR(Inputs!$L$31),(Inputs!$L$31-CF!AM8+1)/CF!AM$15,IF(CF!AM7=YEAR(Inputs!$L$30),(CF!AM9-Inputs!$L$30+1)/CF!AM15,1)))</f>
        <v>1</v>
      </c>
      <c r="AN12" s="727">
        <f>+IF(OR(CF!AN7&lt;YEAR(Inputs!$L$30),CF!AN7&gt;YEAR(Inputs!$L$31)),0,IF(CF!AN7=YEAR(Inputs!$L$31),(Inputs!$L$31-CF!AN8+1)/CF!AN$15,IF(CF!AN7=YEAR(Inputs!$L$30),(CF!AN9-Inputs!$L$30+1)/CF!AN15,1)))</f>
        <v>1</v>
      </c>
      <c r="AO12" s="727">
        <f>+IF(OR(CF!AO7&lt;YEAR(Inputs!$L$30),CF!AO7&gt;YEAR(Inputs!$L$31)),0,IF(CF!AO7=YEAR(Inputs!$L$31),(Inputs!$L$31-CF!AO8+1)/CF!AO$15,IF(CF!AO7=YEAR(Inputs!$L$30),(CF!AO9-Inputs!$L$30+1)/CF!AO15,1)))</f>
        <v>1</v>
      </c>
      <c r="AP12" s="727">
        <f>+IF(OR(CF!AP7&lt;YEAR(Inputs!$L$30),CF!AP7&gt;YEAR(Inputs!$L$31)),0,IF(CF!AP7=YEAR(Inputs!$L$31),(Inputs!$L$31-CF!AP8+1)/CF!AP$15,IF(CF!AP7=YEAR(Inputs!$L$30),(CF!AP9-Inputs!$L$30+1)/CF!AP15,1)))</f>
        <v>1</v>
      </c>
      <c r="AQ12" s="727">
        <f>+IF(OR(CF!AQ7&lt;YEAR(Inputs!$L$30),CF!AQ7&gt;YEAR(Inputs!$L$31)),0,IF(CF!AQ7=YEAR(Inputs!$L$31),(Inputs!$L$31-CF!AQ8+1)/CF!AQ$15,IF(CF!AQ7=YEAR(Inputs!$L$30),(CF!AQ9-Inputs!$L$30+1)/CF!AQ15,1)))</f>
        <v>1</v>
      </c>
      <c r="AR12" s="727">
        <f>+IF(OR(CF!AR7&lt;YEAR(Inputs!$L$30),CF!AR7&gt;YEAR(Inputs!$L$31)),0,IF(CF!AR7=YEAR(Inputs!$L$31),(Inputs!$L$31-CF!AR8+1)/CF!AR$15,IF(CF!AR7=YEAR(Inputs!$L$30),(CF!AR9-Inputs!$L$30+1)/CF!AR15,1)))</f>
        <v>1</v>
      </c>
      <c r="AS12" s="727">
        <f>+IF(OR(CF!AS7&lt;YEAR(Inputs!$L$30),CF!AS7&gt;YEAR(Inputs!$L$31)),0,IF(CF!AS7=YEAR(Inputs!$L$31),(Inputs!$L$31-CF!AS8+1)/CF!AS$15,IF(CF!AS7=YEAR(Inputs!$L$30),(CF!AS9-Inputs!$L$30+1)/CF!AS15,1)))</f>
        <v>1</v>
      </c>
      <c r="AT12" s="727">
        <f>+IF(OR(CF!AT7&lt;YEAR(Inputs!$L$30),CF!AT7&gt;YEAR(Inputs!$L$31)),0,IF(CF!AT7=YEAR(Inputs!$L$31),(Inputs!$L$31-CF!AT8+1)/CF!AT$15,IF(CF!AT7=YEAR(Inputs!$L$30),(CF!AT9-Inputs!$L$30+1)/CF!AT15,1)))</f>
        <v>1</v>
      </c>
      <c r="AU12" s="727">
        <f>+IF(OR(CF!AU7&lt;YEAR(Inputs!$L$30),CF!AU7&gt;YEAR(Inputs!$L$31)),0,IF(CF!AU7=YEAR(Inputs!$L$31),(Inputs!$L$31-CF!AU8+1)/CF!AU$15,IF(CF!AU7=YEAR(Inputs!$L$30),(CF!AU9-Inputs!$L$30+1)/CF!AU15,1)))</f>
        <v>1</v>
      </c>
      <c r="AV12" s="727">
        <f>+IF(OR(CF!AV7&lt;YEAR(Inputs!$L$30),CF!AV7&gt;YEAR(Inputs!$L$31)),0,IF(CF!AV7=YEAR(Inputs!$L$31),(Inputs!$L$31-CF!AV8+1)/CF!AV$15,IF(CF!AV7=YEAR(Inputs!$L$30),(CF!AV9-Inputs!$L$30+1)/CF!AV15,1)))</f>
        <v>1</v>
      </c>
      <c r="AW12" s="727">
        <f>+IF(OR(CF!AW7&lt;YEAR(Inputs!$L$30),CF!AW7&gt;YEAR(Inputs!$L$31)),0,IF(CF!AW7=YEAR(Inputs!$L$31),(Inputs!$L$31-CF!AW8+1)/CF!AW$15,IF(CF!AW7=YEAR(Inputs!$L$30),(CF!AW9-Inputs!$L$30+1)/CF!AW15,1)))</f>
        <v>1</v>
      </c>
      <c r="AX12" s="727">
        <f>+IF(OR(CF!AX7&lt;YEAR(Inputs!$L$30),CF!AX7&gt;YEAR(Inputs!$L$31)),0,IF(CF!AX7=YEAR(Inputs!$L$31),(Inputs!$L$31-CF!AX8+1)/CF!AX$15,IF(CF!AX7=YEAR(Inputs!$L$30),(CF!AX9-Inputs!$L$30+1)/CF!AX15,1)))</f>
        <v>1</v>
      </c>
      <c r="AY12" s="727">
        <f>+IF(OR(CF!AY7&lt;YEAR(Inputs!$L$30),CF!AY7&gt;YEAR(Inputs!$L$31)),0,IF(CF!AY7=YEAR(Inputs!$L$31),(Inputs!$L$31-CF!AY8+1)/CF!AY$15,IF(CF!AY7=YEAR(Inputs!$L$30),(CF!AY9-Inputs!$L$30+1)/CF!AY15,1)))</f>
        <v>1</v>
      </c>
      <c r="AZ12" s="727">
        <f>+IF(OR(CF!AZ7&lt;YEAR(Inputs!$L$30),CF!AZ7&gt;YEAR(Inputs!$L$31)),0,IF(CF!AZ7=YEAR(Inputs!$L$31),(Inputs!$L$31-CF!AZ8+1)/CF!AZ$15,IF(CF!AZ7=YEAR(Inputs!$L$30),(CF!AZ9-Inputs!$L$30+1)/CF!AZ15,1)))</f>
        <v>1</v>
      </c>
      <c r="BA12" s="727">
        <f>+IF(OR(CF!BA7&lt;YEAR(Inputs!$L$30),CF!BA7&gt;YEAR(Inputs!$L$31)),0,IF(CF!BA7=YEAR(Inputs!$L$31),(Inputs!$L$31-CF!BA8+1)/CF!BA$15,IF(CF!BA7=YEAR(Inputs!$L$30),(CF!BA9-Inputs!$L$30+1)/CF!BA15,1)))</f>
        <v>1</v>
      </c>
      <c r="BB12" s="727">
        <f>+IF(OR(CF!BB7&lt;YEAR(Inputs!$L$30),CF!BB7&gt;YEAR(Inputs!$L$31)),0,IF(CF!BB7=YEAR(Inputs!$L$31),(Inputs!$L$31-CF!BB8+1)/CF!BB$15,IF(CF!BB7=YEAR(Inputs!$L$30),(CF!BB9-Inputs!$L$30+1)/CF!BB15,1)))</f>
        <v>1</v>
      </c>
      <c r="BC12" s="727">
        <f>+IF(OR(CF!BC7&lt;YEAR(Inputs!$L$30),CF!BC7&gt;YEAR(Inputs!$L$31)),0,IF(CF!BC7=YEAR(Inputs!$L$31),(Inputs!$L$31-CF!BC8+1)/CF!BC$15,IF(CF!BC7=YEAR(Inputs!$L$30),(CF!BC9-Inputs!$L$30+1)/CF!BC15,1)))</f>
        <v>1</v>
      </c>
      <c r="BD12" s="727">
        <f>+IF(OR(CF!BD7&lt;YEAR(Inputs!$L$30),CF!BD7&gt;YEAR(Inputs!$L$31)),0,IF(CF!BD7=YEAR(Inputs!$L$31),(Inputs!$L$31-CF!BD8+1)/CF!BD$15,IF(CF!BD7=YEAR(Inputs!$L$30),(CF!BD9-Inputs!$L$30+1)/CF!BD15,1)))</f>
        <v>1</v>
      </c>
      <c r="BE12" s="727">
        <f>+IF(OR(CF!BE7&lt;YEAR(Inputs!$L$30),CF!BE7&gt;YEAR(Inputs!$L$31)),0,IF(CF!BE7=YEAR(Inputs!$L$31),(Inputs!$L$31-CF!BE8+1)/CF!BE$15,IF(CF!BE7=YEAR(Inputs!$L$30),(CF!BE9-Inputs!$L$30+1)/CF!BE15,1)))</f>
        <v>1</v>
      </c>
      <c r="BF12" s="727">
        <f>+IF(OR(CF!BF7&lt;YEAR(Inputs!$L$30),CF!BF7&gt;YEAR(Inputs!$L$31)),0,IF(CF!BF7=YEAR(Inputs!$L$31),(Inputs!$L$31-CF!BF8+1)/CF!BF$15,IF(CF!BF7=YEAR(Inputs!$L$30),(CF!BF9-Inputs!$L$30+1)/CF!BF15,1)))</f>
        <v>1</v>
      </c>
      <c r="BG12" s="727">
        <f>+IF(OR(CF!BG7&lt;YEAR(Inputs!$L$30),CF!BG7&gt;YEAR(Inputs!$L$31)),0,IF(CF!BG7=YEAR(Inputs!$L$31),(Inputs!$L$31-CF!BG8+1)/CF!BG$15,IF(CF!BG7=YEAR(Inputs!$L$30),(CF!BG9-Inputs!$L$30+1)/CF!BG15,1)))</f>
        <v>1</v>
      </c>
      <c r="BH12" s="727">
        <f>+IF(OR(CF!BH7&lt;YEAR(Inputs!$L$30),CF!BH7&gt;YEAR(Inputs!$L$31)),0,IF(CF!BH7=YEAR(Inputs!$L$31),(Inputs!$L$31-CF!BH8+1)/CF!BH$15,IF(CF!BH7=YEAR(Inputs!$L$30),(CF!BH9-Inputs!$L$30+1)/CF!BH15,1)))</f>
        <v>1</v>
      </c>
      <c r="BI12" s="727">
        <f>+IF(OR(CF!BI7&lt;YEAR(Inputs!$L$30),CF!BI7&gt;YEAR(Inputs!$L$31)),0,IF(CF!BI7=YEAR(Inputs!$L$31),(Inputs!$L$31-CF!BI8+1)/CF!BI$15,IF(CF!BI7=YEAR(Inputs!$L$30),(CF!BI9-Inputs!$L$30+1)/CF!BI15,1)))</f>
        <v>1</v>
      </c>
      <c r="BJ12" s="727">
        <f>+IF(OR(CF!BJ7&lt;YEAR(Inputs!$L$30),CF!BJ7&gt;YEAR(Inputs!$L$31)),0,IF(CF!BJ7=YEAR(Inputs!$L$31),(Inputs!$L$31-CF!BJ8+1)/CF!BJ$15,IF(CF!BJ7=YEAR(Inputs!$L$30),(CF!BJ9-Inputs!$L$30+1)/CF!BJ15,1)))</f>
        <v>0.67671232876712328</v>
      </c>
      <c r="BK12" s="727">
        <f>+IF(OR(CF!BK7&lt;YEAR(Inputs!$L$30),CF!BK7&gt;YEAR(Inputs!$L$31)),0,IF(CF!BK7=YEAR(Inputs!$L$31),(Inputs!$L$31-CF!BK8+1)/CF!BK$15,IF(CF!BK7=YEAR(Inputs!$L$30),(CF!BK9-Inputs!$L$30+1)/CF!BK15,1)))</f>
        <v>0</v>
      </c>
      <c r="BL12" s="727">
        <f>+IF(OR(CF!BL7&lt;YEAR(Inputs!$L$30),CF!BL7&gt;YEAR(Inputs!$L$31)),0,IF(CF!BL7=YEAR(Inputs!$L$31),(Inputs!$L$31-CF!BL8+1)/CF!BL$15,IF(CF!BL7=YEAR(Inputs!$L$30),(CF!BL9-Inputs!$L$30+1)/CF!BL15,1)))</f>
        <v>0</v>
      </c>
      <c r="BM12" s="727">
        <f>+IF(OR(CF!BM7&lt;YEAR(Inputs!$L$30),CF!BM7&gt;YEAR(Inputs!$L$31)),0,IF(CF!BM7=YEAR(Inputs!$L$31),(Inputs!$L$31-CF!BM8+1)/CF!BM$15,IF(CF!BM7=YEAR(Inputs!$L$30),(CF!BM9-Inputs!$L$30+1)/CF!BM15,1)))</f>
        <v>0</v>
      </c>
      <c r="BN12" s="727">
        <f>+IF(OR(CF!BN7&lt;YEAR(Inputs!$L$30),CF!BN7&gt;YEAR(Inputs!$L$31)),0,IF(CF!BN7=YEAR(Inputs!$L$31),(Inputs!$L$31-CF!BN8+1)/CF!BN$15,IF(CF!BN7=YEAR(Inputs!$L$30),(CF!BN9-Inputs!$L$30+1)/CF!BN15,1)))</f>
        <v>0</v>
      </c>
      <c r="BO12" s="727">
        <f>+IF(OR(CF!BO7&lt;YEAR(Inputs!$L$30),CF!BO7&gt;YEAR(Inputs!$L$31)),0,IF(CF!BO7=YEAR(Inputs!$L$31),(Inputs!$L$31-CF!BO8+1)/CF!BO$15,IF(CF!BO7=YEAR(Inputs!$L$30),(CF!BO9-Inputs!$L$30+1)/CF!BO15,1)))</f>
        <v>0</v>
      </c>
      <c r="BP12" s="727">
        <f>+IF(OR(CF!BP7&lt;YEAR(Inputs!$L$30),CF!BP7&gt;YEAR(Inputs!$L$31)),0,IF(CF!BP7=YEAR(Inputs!$L$31),(Inputs!$L$31-CF!BP8+1)/CF!BP$15,IF(CF!BP7=YEAR(Inputs!$L$30),(CF!BP9-Inputs!$L$30+1)/CF!BP15,1)))</f>
        <v>0</v>
      </c>
      <c r="BQ12" s="727">
        <f>+IF(OR(CF!BQ7&lt;YEAR(Inputs!$L$30),CF!BQ7&gt;YEAR(Inputs!$L$31)),0,IF(CF!BQ7=YEAR(Inputs!$L$31),(Inputs!$L$31-CF!BQ8+1)/CF!BQ$15,IF(CF!BQ7=YEAR(Inputs!$L$30),(CF!BQ9-Inputs!$L$30+1)/CF!BQ15,1)))</f>
        <v>0</v>
      </c>
      <c r="BR12" s="727">
        <f>+IF(OR(CF!BR7&lt;YEAR(Inputs!$L$30),CF!BR7&gt;YEAR(Inputs!$L$31)),0,IF(CF!BR7=YEAR(Inputs!$L$31),(Inputs!$L$31-CF!BR8+1)/CF!BR$15,IF(CF!BR7=YEAR(Inputs!$L$30),(CF!BR9-Inputs!$L$30+1)/CF!BR15,1)))</f>
        <v>0</v>
      </c>
      <c r="BS12" s="727">
        <f>+IF(OR(CF!BS7&lt;YEAR(Inputs!$L$30),CF!BS7&gt;YEAR(Inputs!$L$31)),0,IF(CF!BS7=YEAR(Inputs!$L$31),(Inputs!$L$31-CF!BS8+1)/CF!BS$15,IF(CF!BS7=YEAR(Inputs!$L$30),(CF!BS9-Inputs!$L$30+1)/CF!BS15,1)))</f>
        <v>0</v>
      </c>
      <c r="BT12" s="727">
        <f>+IF(OR(CF!BT7&lt;YEAR(Inputs!$L$30),CF!BT7&gt;YEAR(Inputs!$L$31)),0,IF(CF!BT7=YEAR(Inputs!$L$31),(Inputs!$L$31-CF!BT8+1)/CF!BT$15,IF(CF!BT7=YEAR(Inputs!$L$30),(CF!BT9-Inputs!$L$30+1)/CF!BT15,1)))</f>
        <v>0</v>
      </c>
      <c r="BU12" s="727">
        <f>+IF(OR(CF!BU7&lt;YEAR(Inputs!$L$30),CF!BU7&gt;YEAR(Inputs!$L$31)),0,IF(CF!BU7=YEAR(Inputs!$L$31),(Inputs!$L$31-CF!BU8+1)/CF!BU$15,IF(CF!BU7=YEAR(Inputs!$L$30),(CF!BU9-Inputs!$L$30+1)/CF!BU15,1)))</f>
        <v>0</v>
      </c>
      <c r="BV12" s="727">
        <f>+IF(OR(CF!BV7&lt;YEAR(Inputs!$L$30),CF!BV7&gt;YEAR(Inputs!$L$31)),0,IF(CF!BV7=YEAR(Inputs!$L$31),(Inputs!$L$31-CF!BV8+1)/CF!BV$15,IF(CF!BV7=YEAR(Inputs!$L$30),(CF!BV9-Inputs!$L$30+1)/CF!BV15,1)))</f>
        <v>0</v>
      </c>
      <c r="BW12" s="727">
        <f>+IF(OR(CF!BW7&lt;YEAR(Inputs!$L$30),CF!BW7&gt;YEAR(Inputs!$L$31)),0,IF(CF!BW7=YEAR(Inputs!$L$31),(Inputs!$L$31-CF!BW8+1)/CF!BW$15,IF(CF!BW7=YEAR(Inputs!$L$30),(CF!BW9-Inputs!$L$30+1)/CF!BW15,1)))</f>
        <v>0</v>
      </c>
      <c r="BX12" s="727">
        <f>+IF(OR(CF!BX7&lt;YEAR(Inputs!$L$30),CF!BX7&gt;YEAR(Inputs!$L$31)),0,IF(CF!BX7=YEAR(Inputs!$L$31),(Inputs!$L$31-CF!BX8+1)/CF!BX$15,IF(CF!BX7=YEAR(Inputs!$L$30),(CF!BX9-Inputs!$L$30+1)/CF!BX15,1)))</f>
        <v>0</v>
      </c>
      <c r="BY12" s="727">
        <f>+IF(OR(CF!BY7&lt;YEAR(Inputs!$L$30),CF!BY7&gt;YEAR(Inputs!$L$31)),0,IF(CF!BY7=YEAR(Inputs!$L$31),(Inputs!$L$31-CF!BY8+1)/CF!BY$15,IF(CF!BY7=YEAR(Inputs!$L$30),(CF!BY9-Inputs!$L$30+1)/CF!BY15,1)))</f>
        <v>0</v>
      </c>
      <c r="BZ12" s="727">
        <f>+IF(OR(CF!BZ7&lt;YEAR(Inputs!$L$30),CF!BZ7&gt;YEAR(Inputs!$L$31)),0,IF(CF!BZ7=YEAR(Inputs!$L$31),(Inputs!$L$31-CF!BZ8+1)/CF!BZ$15,IF(CF!BZ7=YEAR(Inputs!$L$30),(CF!BZ9-Inputs!$L$30+1)/CF!BZ15,1)))</f>
        <v>0</v>
      </c>
      <c r="CA12" s="727">
        <f>+IF(OR(CF!CA7&lt;YEAR(Inputs!$L$30),CF!CA7&gt;YEAR(Inputs!$L$31)),0,IF(CF!CA7=YEAR(Inputs!$L$31),(Inputs!$L$31-CF!CA8+1)/CF!CA$15,IF(CF!CA7=YEAR(Inputs!$L$30),(CF!CA9-Inputs!$L$30+1)/CF!CA15,1)))</f>
        <v>0</v>
      </c>
      <c r="CB12" s="727">
        <f>+IF(OR(CF!CB7&lt;YEAR(Inputs!$L$30),CF!CB7&gt;YEAR(Inputs!$L$31)),0,IF(CF!CB7=YEAR(Inputs!$L$31),(Inputs!$L$31-CF!CB8+1)/CF!CB$15,IF(CF!CB7=YEAR(Inputs!$L$30),(CF!CB9-Inputs!$L$30+1)/CF!CB15,1)))</f>
        <v>0</v>
      </c>
      <c r="CC12" s="727">
        <f>+IF(OR(CF!CC7&lt;YEAR(Inputs!$L$30),CF!CC7&gt;YEAR(Inputs!$L$31)),0,IF(CF!CC7=YEAR(Inputs!$L$31),(Inputs!$L$31-CF!CC8+1)/CF!CC$15,IF(CF!CC7=YEAR(Inputs!$L$30),(CF!CC9-Inputs!$L$30+1)/CF!CC15,1)))</f>
        <v>0</v>
      </c>
      <c r="CD12" s="727">
        <f>+IF(OR(CF!CD7&lt;YEAR(Inputs!$L$30),CF!CD7&gt;YEAR(Inputs!$L$31)),0,IF(CF!CD7=YEAR(Inputs!$L$31),(Inputs!$L$31-CF!CD8+1)/CF!CD$15,IF(CF!CD7=YEAR(Inputs!$L$30),(CF!CD9-Inputs!$L$30+1)/CF!CD15,1)))</f>
        <v>0</v>
      </c>
      <c r="CE12" s="727">
        <f>+IF(OR(CF!CE7&lt;YEAR(Inputs!$L$30),CF!CE7&gt;YEAR(Inputs!$L$31)),0,IF(CF!CE7=YEAR(Inputs!$L$31),(Inputs!$L$31-CF!CE8+1)/CF!CE$15,IF(CF!CE7=YEAR(Inputs!$L$30),(CF!CE9-Inputs!$L$30+1)/CF!CE15,1)))</f>
        <v>0</v>
      </c>
      <c r="CF12" s="727">
        <f>+IF(OR(CF!CF7&lt;YEAR(Inputs!$L$30),CF!CF7&gt;YEAR(Inputs!$L$31)),0,IF(CF!CF7=YEAR(Inputs!$L$31),(Inputs!$L$31-CF!CF8+1)/CF!CF$15,IF(CF!CF7=YEAR(Inputs!$L$30),(CF!CF9-Inputs!$L$30+1)/CF!CF15,1)))</f>
        <v>0</v>
      </c>
      <c r="CG12" s="727">
        <f>+IF(OR(CF!CG7&lt;YEAR(Inputs!$L$30),CF!CG7&gt;YEAR(Inputs!$L$31)),0,IF(CF!CG7=YEAR(Inputs!$L$31),(Inputs!$L$31-CF!CG8+1)/CF!CG$15,IF(CF!CG7=YEAR(Inputs!$L$30),(CF!CG9-Inputs!$L$30+1)/CF!CG15,1)))</f>
        <v>0</v>
      </c>
      <c r="CH12" s="727">
        <f>+IF(OR(CF!CH7&lt;YEAR(Inputs!$L$30),CF!CH7&gt;YEAR(Inputs!$L$31)),0,IF(CF!CH7=YEAR(Inputs!$L$31),(Inputs!$L$31-CF!CH8+1)/CF!CH$15,IF(CF!CH7=YEAR(Inputs!$L$30),(CF!CH9-Inputs!$L$30+1)/CF!CH15,1)))</f>
        <v>0</v>
      </c>
      <c r="CI12" s="727">
        <f>+IF(OR(CF!CI7&lt;YEAR(Inputs!$L$30),CF!CI7&gt;YEAR(Inputs!$L$31)),0,IF(CF!CI7=YEAR(Inputs!$L$31),(Inputs!$L$31-CF!CI8+1)/CF!CI$15,IF(CF!CI7=YEAR(Inputs!$L$30),(CF!CI9-Inputs!$L$30+1)/CF!CI15,1)))</f>
        <v>0</v>
      </c>
      <c r="CJ12" s="727">
        <f>+IF(OR(CF!CJ7&lt;YEAR(Inputs!$L$30),CF!CJ7&gt;YEAR(Inputs!$L$31)),0,IF(CF!CJ7=YEAR(Inputs!$L$31),(Inputs!$L$31-CF!CJ8+1)/CF!CJ$15,IF(CF!CJ7=YEAR(Inputs!$L$30),(CF!CJ9-Inputs!$L$30+1)/CF!CJ15,1)))</f>
        <v>0</v>
      </c>
      <c r="CK12" s="727">
        <f>+IF(OR(CF!CK7&lt;YEAR(Inputs!$L$30),CF!CK7&gt;YEAR(Inputs!$L$31)),0,IF(CF!CK7=YEAR(Inputs!$L$31),(Inputs!$L$31-CF!CK8+1)/CF!CK$15,IF(CF!CK7=YEAR(Inputs!$L$30),(CF!CK9-Inputs!$L$30+1)/CF!CK15,1)))</f>
        <v>0</v>
      </c>
      <c r="CL12" s="727">
        <f>+IF(OR(CF!CL7&lt;YEAR(Inputs!$L$30),CF!CL7&gt;YEAR(Inputs!$L$31)),0,IF(CF!CL7=YEAR(Inputs!$L$31),(Inputs!$L$31-CF!CL8+1)/CF!CL$15,IF(CF!CL7=YEAR(Inputs!$L$30),(CF!CL9-Inputs!$L$30+1)/CF!CL15,1)))</f>
        <v>0</v>
      </c>
      <c r="CM12" s="727">
        <f>+IF(OR(CF!CM7&lt;YEAR(Inputs!$L$30),CF!CM7&gt;YEAR(Inputs!$L$31)),0,IF(CF!CM7=YEAR(Inputs!$L$31),(Inputs!$L$31-CF!CM8+1)/CF!CM$15,IF(CF!CM7=YEAR(Inputs!$L$30),(CF!CM9-Inputs!$L$30+1)/CF!CM15,1)))</f>
        <v>0</v>
      </c>
      <c r="CN12" s="727">
        <f>+IF(OR(CF!CN7&lt;YEAR(Inputs!$L$30),CF!CN7&gt;YEAR(Inputs!$L$31)),0,IF(CF!CN7=YEAR(Inputs!$L$31),(Inputs!$L$31-CF!CN8+1)/CF!CN$15,IF(CF!CN7=YEAR(Inputs!$L$30),(CF!CN9-Inputs!$L$30+1)/CF!CN15,1)))</f>
        <v>0</v>
      </c>
      <c r="CO12" s="727">
        <f>+IF(OR(CF!CO7&lt;YEAR(Inputs!$L$30),CF!CO7&gt;YEAR(Inputs!$L$31)),0,IF(CF!CO7=YEAR(Inputs!$L$31),(Inputs!$L$31-CF!CO8+1)/CF!CO$15,IF(CF!CO7=YEAR(Inputs!$L$30),(CF!CO9-Inputs!$L$30+1)/CF!CO15,1)))</f>
        <v>0</v>
      </c>
      <c r="CP12" s="727">
        <f>+IF(OR(CF!CP7&lt;YEAR(Inputs!$L$30),CF!CP7&gt;YEAR(Inputs!$L$31)),0,IF(CF!CP7=YEAR(Inputs!$L$31),(Inputs!$L$31-CF!CP8+1)/CF!CP$15,IF(CF!CP7=YEAR(Inputs!$L$30),(CF!CP9-Inputs!$L$30+1)/CF!CP15,1)))</f>
        <v>0</v>
      </c>
      <c r="CQ12" s="727">
        <f>+IF(OR(CF!CQ7&lt;YEAR(Inputs!$L$30),CF!CQ7&gt;YEAR(Inputs!$L$31)),0,IF(CF!CQ7=YEAR(Inputs!$L$31),(Inputs!$L$31-CF!CQ8+1)/CF!CQ$15,IF(CF!CQ7=YEAR(Inputs!$L$30),(CF!CQ9-Inputs!$L$30+1)/CF!CQ15,1)))</f>
        <v>0</v>
      </c>
      <c r="CR12" s="727">
        <f>+IF(OR(CF!CR7&lt;YEAR(Inputs!$L$30),CF!CR7&gt;YEAR(Inputs!$L$31)),0,IF(CF!CR7=YEAR(Inputs!$L$31),(Inputs!$L$31-CF!CR8+1)/CF!CR$15,IF(CF!CR7=YEAR(Inputs!$L$30),(CF!CR9-Inputs!$L$30+1)/CF!CR15,1)))</f>
        <v>0</v>
      </c>
      <c r="CS12" s="727">
        <f>+IF(OR(CF!CS7&lt;YEAR(Inputs!$L$30),CF!CS7&gt;YEAR(Inputs!$L$31)),0,IF(CF!CS7=YEAR(Inputs!$L$31),(Inputs!$L$31-CF!CS8+1)/CF!CS$15,IF(CF!CS7=YEAR(Inputs!$L$30),(CF!CS9-Inputs!$L$30+1)/CF!CS15,1)))</f>
        <v>0</v>
      </c>
      <c r="CT12" s="727">
        <f>+IF(OR(CF!CT7&lt;YEAR(Inputs!$L$30),CF!CT7&gt;YEAR(Inputs!$L$31)),0,IF(CF!CT7=YEAR(Inputs!$L$31),(Inputs!$L$31-CF!CT8+1)/CF!CT$15,IF(CF!CT7=YEAR(Inputs!$L$30),(CF!CT9-Inputs!$L$30+1)/CF!CT15,1)))</f>
        <v>0</v>
      </c>
      <c r="CU12" s="727">
        <f>+IF(OR(CF!CU7&lt;YEAR(Inputs!$L$30),CF!CU7&gt;YEAR(Inputs!$L$31)),0,IF(CF!CU7=YEAR(Inputs!$L$31),(Inputs!$L$31-CF!CU8+1)/CF!CU$15,IF(CF!CU7=YEAR(Inputs!$L$30),(CF!CU9-Inputs!$L$30+1)/CF!CU15,1)))</f>
        <v>0</v>
      </c>
      <c r="CV12" s="727">
        <f>+IF(OR(CF!CV7&lt;YEAR(Inputs!$L$30),CF!CV7&gt;YEAR(Inputs!$L$31)),0,IF(CF!CV7=YEAR(Inputs!$L$31),(Inputs!$L$31-CF!CV8+1)/CF!CV$15,IF(CF!CV7=YEAR(Inputs!$L$30),(CF!CV9-Inputs!$L$30+1)/CF!CV15,1)))</f>
        <v>0</v>
      </c>
      <c r="CW12" s="727">
        <f>+IF(OR(CF!CW7&lt;YEAR(Inputs!$L$30),CF!CW7&gt;YEAR(Inputs!$L$31)),0,IF(CF!CW7=YEAR(Inputs!$L$31),(Inputs!$L$31-CF!CW8+1)/CF!CW$15,IF(CF!CW7=YEAR(Inputs!$L$30),(CF!CW9-Inputs!$L$30+1)/CF!CW15,1)))</f>
        <v>0</v>
      </c>
      <c r="CX12" s="727">
        <f>+IF(OR(CF!CX7&lt;YEAR(Inputs!$L$30),CF!CX7&gt;YEAR(Inputs!$L$31)),0,IF(CF!CX7=YEAR(Inputs!$L$31),(Inputs!$L$31-CF!CX8+1)/CF!CX$15,IF(CF!CX7=YEAR(Inputs!$L$30),(CF!CX9-Inputs!$L$30+1)/CF!CX15,1)))</f>
        <v>0</v>
      </c>
      <c r="CY12" s="727">
        <f>+IF(OR(CF!CY7&lt;YEAR(Inputs!$L$30),CF!CY7&gt;YEAR(Inputs!$L$31)),0,IF(CF!CY7=YEAR(Inputs!$L$31),(Inputs!$L$31-CF!CY8+1)/CF!CY$15,IF(CF!CY7=YEAR(Inputs!$L$30),(CF!CY9-Inputs!$L$30+1)/CF!CY15,1)))</f>
        <v>0</v>
      </c>
      <c r="CZ12" s="727">
        <f>+IF(OR(CF!CZ7&lt;YEAR(Inputs!$L$30),CF!CZ7&gt;YEAR(Inputs!$L$31)),0,IF(CF!CZ7=YEAR(Inputs!$L$31),(Inputs!$L$31-CF!CZ8+1)/CF!CZ$15,IF(CF!CZ7=YEAR(Inputs!$L$30),(CF!CZ9-Inputs!$L$30+1)/CF!CZ15,1)))</f>
        <v>0</v>
      </c>
      <c r="DA12" s="727">
        <f>+IF(OR(CF!DA7&lt;YEAR(Inputs!$L$30),CF!DA7&gt;YEAR(Inputs!$L$31)),0,IF(CF!DA7=YEAR(Inputs!$L$31),(Inputs!$L$31-CF!DA8+1)/CF!DA$15,IF(CF!DA7=YEAR(Inputs!$L$30),(CF!DA9-Inputs!$L$30+1)/CF!DA15,1)))</f>
        <v>0</v>
      </c>
      <c r="DB12" s="727">
        <f>+IF(OR(CF!DB7&lt;YEAR(Inputs!$L$30),CF!DB7&gt;YEAR(Inputs!$L$31)),0,IF(CF!DB7=YEAR(Inputs!$L$31),(Inputs!$L$31-CF!DB8+1)/CF!DB$15,IF(CF!DB7=YEAR(Inputs!$L$30),(CF!DB9-Inputs!$L$30+1)/CF!DB15,1)))</f>
        <v>0</v>
      </c>
      <c r="DC12" s="727">
        <f>+IF(OR(CF!DC7&lt;YEAR(Inputs!$L$30),CF!DC7&gt;YEAR(Inputs!$L$31)),0,IF(CF!DC7=YEAR(Inputs!$L$31),(Inputs!$L$31-CF!DC8+1)/CF!DC$15,IF(CF!DC7=YEAR(Inputs!$L$30),(CF!DC9-Inputs!$L$30+1)/CF!DC15,1)))</f>
        <v>0</v>
      </c>
      <c r="DD12" s="727">
        <f>+IF(OR(CF!DD7&lt;YEAR(Inputs!$L$30),CF!DD7&gt;YEAR(Inputs!$L$31)),0,IF(CF!DD7=YEAR(Inputs!$L$31),(Inputs!$L$31-CF!DD8+1)/CF!DD$15,IF(CF!DD7=YEAR(Inputs!$L$30),(CF!DD9-Inputs!$L$30+1)/CF!DD15,1)))</f>
        <v>0</v>
      </c>
      <c r="DE12" s="727">
        <f>+IF(OR(CF!DE7&lt;YEAR(Inputs!$L$30),CF!DE7&gt;YEAR(Inputs!$L$31)),0,IF(CF!DE7=YEAR(Inputs!$L$31),(Inputs!$L$31-CF!DE8+1)/CF!DE$15,IF(CF!DE7=YEAR(Inputs!$L$30),(CF!DE9-Inputs!$L$30+1)/CF!DE15,1)))</f>
        <v>0</v>
      </c>
      <c r="DF12" s="727">
        <f>+IF(OR(CF!DF7&lt;YEAR(Inputs!$L$30),CF!DF7&gt;YEAR(Inputs!$L$31)),0,IF(CF!DF7=YEAR(Inputs!$L$31),(Inputs!$L$31-CF!DF8+1)/CF!DF$15,IF(CF!DF7=YEAR(Inputs!$L$30),(CF!DF9-Inputs!$L$30+1)/CF!DF15,1)))</f>
        <v>0</v>
      </c>
      <c r="DG12" s="727">
        <f>+IF(OR(CF!DG7&lt;YEAR(Inputs!$L$30),CF!DG7&gt;YEAR(Inputs!$L$31)),0,IF(CF!DG7=YEAR(Inputs!$L$31),(Inputs!$L$31-CF!DG8+1)/CF!DG$15,IF(CF!DG7=YEAR(Inputs!$L$30),(CF!DG9-Inputs!$L$30+1)/CF!DG15,1)))</f>
        <v>0</v>
      </c>
      <c r="DH12" s="727">
        <f>+IF(OR(CF!DH7&lt;YEAR(Inputs!$L$30),CF!DH7&gt;YEAR(Inputs!$L$31)),0,IF(CF!DH7=YEAR(Inputs!$L$31),(Inputs!$L$31-CF!DH8+1)/CF!DH$15,IF(CF!DH7=YEAR(Inputs!$L$30),(CF!DH9-Inputs!$L$30+1)/CF!DH15,1)))</f>
        <v>0</v>
      </c>
      <c r="DI12" s="727">
        <f>+IF(OR(CF!DI7&lt;YEAR(Inputs!$L$30),CF!DI7&gt;YEAR(Inputs!$L$31)),0,IF(CF!DI7=YEAR(Inputs!$L$31),(Inputs!$L$31-CF!DI8+1)/CF!DI$15,IF(CF!DI7=YEAR(Inputs!$L$30),(CF!DI9-Inputs!$L$30+1)/CF!DI15,1)))</f>
        <v>0</v>
      </c>
      <c r="DJ12" s="727">
        <f>+IF(OR(CF!DJ7&lt;YEAR(Inputs!$L$30),CF!DJ7&gt;YEAR(Inputs!$L$31)),0,IF(CF!DJ7=YEAR(Inputs!$L$31),(Inputs!$L$31-CF!DJ8+1)/CF!DJ$15,IF(CF!DJ7=YEAR(Inputs!$L$30),(CF!DJ9-Inputs!$L$30+1)/CF!DJ15,1)))</f>
        <v>0</v>
      </c>
      <c r="DK12" s="727">
        <f>+IF(OR(CF!DK7&lt;YEAR(Inputs!$L$30),CF!DK7&gt;YEAR(Inputs!$L$31)),0,IF(CF!DK7=YEAR(Inputs!$L$31),(Inputs!$L$31-CF!DK8+1)/CF!DK$15,IF(CF!DK7=YEAR(Inputs!$L$30),(CF!DK9-Inputs!$L$30+1)/CF!DK15,1)))</f>
        <v>0</v>
      </c>
      <c r="DL12" s="727">
        <f>+IF(OR(CF!DL7&lt;YEAR(Inputs!$L$30),CF!DL7&gt;YEAR(Inputs!$L$31)),0,IF(CF!DL7=YEAR(Inputs!$L$31),(Inputs!$L$31-CF!DL8+1)/CF!DL$15,IF(CF!DL7=YEAR(Inputs!$L$30),(CF!DL9-Inputs!$L$30+1)/CF!DL15,1)))</f>
        <v>0</v>
      </c>
      <c r="DM12" s="727">
        <f>+IF(OR(CF!DM7&lt;YEAR(Inputs!$L$30),CF!DM7&gt;YEAR(Inputs!$L$31)),0,IF(CF!DM7=YEAR(Inputs!$L$31),(Inputs!$L$31-CF!DM8+1)/CF!DM$15,IF(CF!DM7=YEAR(Inputs!$L$30),(CF!DM9-Inputs!$L$30+1)/CF!DM15,1)))</f>
        <v>0</v>
      </c>
      <c r="DN12" s="727">
        <f>+IF(OR(CF!DN7&lt;YEAR(Inputs!$L$30),CF!DN7&gt;YEAR(Inputs!$L$31)),0,IF(CF!DN7=YEAR(Inputs!$L$31),(Inputs!$L$31-CF!DN8+1)/CF!DN$15,IF(CF!DN7=YEAR(Inputs!$L$30),(CF!DN9-Inputs!$L$30+1)/CF!DN15,1)))</f>
        <v>0</v>
      </c>
      <c r="DO12" s="727">
        <f>+IF(OR(CF!DO7&lt;YEAR(Inputs!$L$30),CF!DO7&gt;YEAR(Inputs!$L$31)),0,IF(CF!DO7=YEAR(Inputs!$L$31),(Inputs!$L$31-CF!DO8+1)/CF!DO$15,IF(CF!DO7=YEAR(Inputs!$L$30),(CF!DO9-Inputs!$L$30+1)/CF!DO15,1)))</f>
        <v>0</v>
      </c>
      <c r="DP12" s="727">
        <f>+IF(OR(CF!DP7&lt;YEAR(Inputs!$L$30),CF!DP7&gt;YEAR(Inputs!$L$31)),0,IF(CF!DP7=YEAR(Inputs!$L$31),(Inputs!$L$31-CF!DP8+1)/CF!DP$15,IF(CF!DP7=YEAR(Inputs!$L$30),(CF!DP9-Inputs!$L$30+1)/CF!DP15,1)))</f>
        <v>0</v>
      </c>
      <c r="DQ12" s="46"/>
    </row>
    <row r="13" spans="1:125" x14ac:dyDescent="0.2">
      <c r="DQ13" s="42"/>
    </row>
    <row r="14" spans="1:125" s="124" customFormat="1" ht="15.75" x14ac:dyDescent="0.25">
      <c r="A14" s="120"/>
      <c r="B14" s="120"/>
      <c r="C14" s="120" t="s">
        <v>378</v>
      </c>
      <c r="D14" s="120"/>
      <c r="E14" s="120"/>
      <c r="F14" s="120"/>
      <c r="G14" s="120"/>
      <c r="H14" s="120"/>
      <c r="I14" s="120"/>
      <c r="J14" s="120"/>
      <c r="K14" s="562"/>
      <c r="L14" s="120"/>
      <c r="M14" s="120"/>
      <c r="N14" s="120"/>
      <c r="O14" s="121"/>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3"/>
      <c r="DQ14" s="122"/>
      <c r="DR14" s="122"/>
      <c r="DS14" s="122"/>
      <c r="DT14" s="122"/>
      <c r="DU14" s="122"/>
    </row>
    <row r="15" spans="1:125" x14ac:dyDescent="0.2">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row>
    <row r="16" spans="1:125" x14ac:dyDescent="0.2">
      <c r="C16" t="s">
        <v>270</v>
      </c>
      <c r="N16" s="63">
        <f>+SUM(Q16:BJ16)</f>
        <v>39545578.786975168</v>
      </c>
      <c r="O16" s="63"/>
      <c r="P16" s="63"/>
      <c r="Q16" s="126"/>
      <c r="R16" s="63">
        <f t="shared" ref="R16:AO16" si="6">+R33</f>
        <v>0</v>
      </c>
      <c r="S16" s="63">
        <f t="shared" si="6"/>
        <v>120885.88824258334</v>
      </c>
      <c r="T16" s="63">
        <f t="shared" si="6"/>
        <v>137801.19959581227</v>
      </c>
      <c r="U16" s="63">
        <f t="shared" si="6"/>
        <v>157083.43534639102</v>
      </c>
      <c r="V16" s="63">
        <f t="shared" si="6"/>
        <v>179063.79431092911</v>
      </c>
      <c r="W16" s="63">
        <f t="shared" si="6"/>
        <v>192605.02760027614</v>
      </c>
      <c r="X16" s="63">
        <f t="shared" si="6"/>
        <v>207170.28140534012</v>
      </c>
      <c r="Y16" s="63">
        <f t="shared" si="6"/>
        <v>222836.99461179745</v>
      </c>
      <c r="Z16" s="63">
        <f t="shared" si="6"/>
        <v>239688.46221945746</v>
      </c>
      <c r="AA16" s="63">
        <f t="shared" si="6"/>
        <v>257814.27819564901</v>
      </c>
      <c r="AB16" s="63">
        <f t="shared" si="6"/>
        <v>278762.48071423272</v>
      </c>
      <c r="AC16" s="63">
        <f t="shared" si="6"/>
        <v>301412.78907362081</v>
      </c>
      <c r="AD16" s="63">
        <f t="shared" si="6"/>
        <v>325903.50460495288</v>
      </c>
      <c r="AE16" s="63">
        <f t="shared" si="6"/>
        <v>352384.16604760505</v>
      </c>
      <c r="AF16" s="63">
        <f t="shared" si="6"/>
        <v>381016.46262314834</v>
      </c>
      <c r="AG16" s="63">
        <f t="shared" si="6"/>
        <v>408456.17658274976</v>
      </c>
      <c r="AH16" s="63">
        <f t="shared" si="6"/>
        <v>437872.02012216265</v>
      </c>
      <c r="AI16" s="63">
        <f t="shared" si="6"/>
        <v>469406.30843176972</v>
      </c>
      <c r="AJ16" s="63">
        <f t="shared" si="6"/>
        <v>503211.60583420709</v>
      </c>
      <c r="AK16" s="63">
        <f t="shared" si="6"/>
        <v>539451.46389750403</v>
      </c>
      <c r="AL16" s="63">
        <f t="shared" si="6"/>
        <v>578674.50285759126</v>
      </c>
      <c r="AM16" s="63">
        <f t="shared" si="6"/>
        <v>620749.41429967957</v>
      </c>
      <c r="AN16" s="63">
        <f t="shared" si="6"/>
        <v>665883.55535032612</v>
      </c>
      <c r="AO16" s="63">
        <f t="shared" si="6"/>
        <v>714299.35988941567</v>
      </c>
      <c r="AP16" s="63">
        <f t="shared" ref="AP16:BU16" si="7">+AP33</f>
        <v>766235.43476756511</v>
      </c>
      <c r="AQ16" s="63">
        <f t="shared" si="7"/>
        <v>815048.11516243534</v>
      </c>
      <c r="AR16" s="63">
        <f t="shared" si="7"/>
        <v>866970.38519414421</v>
      </c>
      <c r="AS16" s="63">
        <f t="shared" si="7"/>
        <v>922200.33985832217</v>
      </c>
      <c r="AT16" s="63">
        <f t="shared" si="7"/>
        <v>980948.69370233372</v>
      </c>
      <c r="AU16" s="63">
        <f t="shared" si="7"/>
        <v>1043439.5847480897</v>
      </c>
      <c r="AV16" s="63">
        <f t="shared" si="7"/>
        <v>1107893.3127959436</v>
      </c>
      <c r="AW16" s="63">
        <f t="shared" si="7"/>
        <v>1176328.376342268</v>
      </c>
      <c r="AX16" s="63">
        <f t="shared" si="7"/>
        <v>1248990.7042546622</v>
      </c>
      <c r="AY16" s="63">
        <f t="shared" si="7"/>
        <v>1326141.4165364497</v>
      </c>
      <c r="AZ16" s="63">
        <f t="shared" si="7"/>
        <v>1408057.7626899001</v>
      </c>
      <c r="BA16" s="63">
        <f t="shared" si="7"/>
        <v>1496985.9829482075</v>
      </c>
      <c r="BB16" s="63">
        <f t="shared" si="7"/>
        <v>1591530.6122543954</v>
      </c>
      <c r="BC16" s="63">
        <f t="shared" si="7"/>
        <v>1692046.3642246984</v>
      </c>
      <c r="BD16" s="63">
        <f t="shared" si="7"/>
        <v>1798910.355001319</v>
      </c>
      <c r="BE16" s="63">
        <f t="shared" si="7"/>
        <v>1912523.5181210623</v>
      </c>
      <c r="BF16" s="63">
        <f t="shared" si="7"/>
        <v>2058733.5943873224</v>
      </c>
      <c r="BG16" s="63">
        <f t="shared" si="7"/>
        <v>2216121.2515822537</v>
      </c>
      <c r="BH16" s="63">
        <f t="shared" si="7"/>
        <v>2385541.0020527993</v>
      </c>
      <c r="BI16" s="63">
        <f t="shared" si="7"/>
        <v>2567912.6845663274</v>
      </c>
      <c r="BJ16" s="63">
        <f t="shared" si="7"/>
        <v>1870586.1239274591</v>
      </c>
      <c r="BK16" s="63">
        <f t="shared" si="7"/>
        <v>0</v>
      </c>
      <c r="BL16" s="63">
        <f t="shared" si="7"/>
        <v>0</v>
      </c>
      <c r="BM16" s="63">
        <f t="shared" si="7"/>
        <v>0</v>
      </c>
      <c r="BN16" s="63">
        <f t="shared" si="7"/>
        <v>0</v>
      </c>
      <c r="BO16" s="63">
        <f t="shared" si="7"/>
        <v>0</v>
      </c>
      <c r="BP16" s="63">
        <f t="shared" si="7"/>
        <v>0</v>
      </c>
      <c r="BQ16" s="63">
        <f t="shared" si="7"/>
        <v>0</v>
      </c>
      <c r="BR16" s="63">
        <f t="shared" si="7"/>
        <v>0</v>
      </c>
      <c r="BS16" s="63">
        <f t="shared" si="7"/>
        <v>0</v>
      </c>
      <c r="BT16" s="63">
        <f t="shared" si="7"/>
        <v>0</v>
      </c>
      <c r="BU16" s="63">
        <f t="shared" si="7"/>
        <v>0</v>
      </c>
      <c r="BV16" s="63">
        <f t="shared" ref="BV16:DA16" si="8">+BV33</f>
        <v>0</v>
      </c>
      <c r="BW16" s="63">
        <f t="shared" si="8"/>
        <v>0</v>
      </c>
      <c r="BX16" s="63">
        <f t="shared" si="8"/>
        <v>0</v>
      </c>
      <c r="BY16" s="63">
        <f t="shared" si="8"/>
        <v>0</v>
      </c>
      <c r="BZ16" s="63">
        <f t="shared" si="8"/>
        <v>0</v>
      </c>
      <c r="CA16" s="63">
        <f t="shared" si="8"/>
        <v>0</v>
      </c>
      <c r="CB16" s="63">
        <f t="shared" si="8"/>
        <v>0</v>
      </c>
      <c r="CC16" s="63">
        <f t="shared" si="8"/>
        <v>0</v>
      </c>
      <c r="CD16" s="63">
        <f t="shared" si="8"/>
        <v>0</v>
      </c>
      <c r="CE16" s="63">
        <f t="shared" si="8"/>
        <v>0</v>
      </c>
      <c r="CF16" s="63">
        <f t="shared" si="8"/>
        <v>0</v>
      </c>
      <c r="CG16" s="63">
        <f t="shared" si="8"/>
        <v>0</v>
      </c>
      <c r="CH16" s="63">
        <f t="shared" si="8"/>
        <v>0</v>
      </c>
      <c r="CI16" s="63">
        <f t="shared" si="8"/>
        <v>0</v>
      </c>
      <c r="CJ16" s="63">
        <f t="shared" si="8"/>
        <v>0</v>
      </c>
      <c r="CK16" s="63">
        <f t="shared" si="8"/>
        <v>0</v>
      </c>
      <c r="CL16" s="63">
        <f t="shared" si="8"/>
        <v>0</v>
      </c>
      <c r="CM16" s="63">
        <f t="shared" si="8"/>
        <v>0</v>
      </c>
      <c r="CN16" s="63">
        <f t="shared" si="8"/>
        <v>0</v>
      </c>
      <c r="CO16" s="63">
        <f t="shared" si="8"/>
        <v>0</v>
      </c>
      <c r="CP16" s="63">
        <f t="shared" si="8"/>
        <v>0</v>
      </c>
      <c r="CQ16" s="63">
        <f t="shared" si="8"/>
        <v>0</v>
      </c>
      <c r="CR16" s="63">
        <f t="shared" si="8"/>
        <v>0</v>
      </c>
      <c r="CS16" s="63">
        <f t="shared" si="8"/>
        <v>0</v>
      </c>
      <c r="CT16" s="63">
        <f t="shared" si="8"/>
        <v>0</v>
      </c>
      <c r="CU16" s="63">
        <f t="shared" si="8"/>
        <v>0</v>
      </c>
      <c r="CV16" s="63">
        <f t="shared" si="8"/>
        <v>0</v>
      </c>
      <c r="CW16" s="63">
        <f t="shared" si="8"/>
        <v>0</v>
      </c>
      <c r="CX16" s="63">
        <f t="shared" si="8"/>
        <v>0</v>
      </c>
      <c r="CY16" s="63">
        <f t="shared" si="8"/>
        <v>0</v>
      </c>
      <c r="CZ16" s="63">
        <f t="shared" si="8"/>
        <v>0</v>
      </c>
      <c r="DA16" s="63">
        <f t="shared" si="8"/>
        <v>0</v>
      </c>
      <c r="DB16" s="63">
        <f t="shared" ref="DB16:DP16" si="9">+DB33</f>
        <v>0</v>
      </c>
      <c r="DC16" s="63">
        <f t="shared" si="9"/>
        <v>0</v>
      </c>
      <c r="DD16" s="63">
        <f t="shared" si="9"/>
        <v>0</v>
      </c>
      <c r="DE16" s="63">
        <f t="shared" si="9"/>
        <v>0</v>
      </c>
      <c r="DF16" s="63">
        <f t="shared" si="9"/>
        <v>0</v>
      </c>
      <c r="DG16" s="63">
        <f t="shared" si="9"/>
        <v>0</v>
      </c>
      <c r="DH16" s="63">
        <f t="shared" si="9"/>
        <v>0</v>
      </c>
      <c r="DI16" s="63">
        <f t="shared" si="9"/>
        <v>0</v>
      </c>
      <c r="DJ16" s="63">
        <f t="shared" si="9"/>
        <v>0</v>
      </c>
      <c r="DK16" s="63">
        <f t="shared" si="9"/>
        <v>0</v>
      </c>
      <c r="DL16" s="63">
        <f t="shared" si="9"/>
        <v>0</v>
      </c>
      <c r="DM16" s="63">
        <f t="shared" si="9"/>
        <v>0</v>
      </c>
      <c r="DN16" s="63">
        <f t="shared" si="9"/>
        <v>0</v>
      </c>
      <c r="DO16" s="63">
        <f t="shared" si="9"/>
        <v>0</v>
      </c>
      <c r="DP16" s="63">
        <f t="shared" si="9"/>
        <v>0</v>
      </c>
      <c r="DQ16" s="63"/>
    </row>
    <row r="17" spans="1:125" x14ac:dyDescent="0.2">
      <c r="C17" t="s">
        <v>18</v>
      </c>
      <c r="N17" s="63">
        <f t="shared" ref="N17:N20" si="10">+SUM(Q17:BJ17)</f>
        <v>-1030323.1768835471</v>
      </c>
      <c r="O17" s="63"/>
      <c r="P17" s="63"/>
      <c r="Q17" s="126"/>
      <c r="R17" s="63">
        <f t="shared" ref="R17:AO17" si="11">+R106</f>
        <v>0</v>
      </c>
      <c r="S17" s="63">
        <f t="shared" si="11"/>
        <v>-2499.9999999999964</v>
      </c>
      <c r="T17" s="63">
        <f t="shared" si="11"/>
        <v>-2277.8988766992275</v>
      </c>
      <c r="U17" s="63">
        <f t="shared" si="11"/>
        <v>-2075.5293169870438</v>
      </c>
      <c r="V17" s="63">
        <f t="shared" si="11"/>
        <v>-1891.1383598884436</v>
      </c>
      <c r="W17" s="63">
        <f t="shared" si="11"/>
        <v>-1986.6937647688851</v>
      </c>
      <c r="X17" s="63">
        <f t="shared" si="11"/>
        <v>-2087.0773914206857</v>
      </c>
      <c r="Y17" s="63">
        <f t="shared" si="11"/>
        <v>-2192.5332001462748</v>
      </c>
      <c r="Z17" s="63">
        <f t="shared" si="11"/>
        <v>-2303.3174780698355</v>
      </c>
      <c r="AA17" s="63">
        <f t="shared" si="11"/>
        <v>-2419.6994619867296</v>
      </c>
      <c r="AB17" s="63">
        <f t="shared" si="11"/>
        <v>-2534.0541314604457</v>
      </c>
      <c r="AC17" s="63">
        <f t="shared" si="11"/>
        <v>-2653.8131871547976</v>
      </c>
      <c r="AD17" s="63">
        <f t="shared" si="11"/>
        <v>-2779.2320396319978</v>
      </c>
      <c r="AE17" s="63">
        <f t="shared" si="11"/>
        <v>-2910.5781701229016</v>
      </c>
      <c r="AF17" s="63">
        <f t="shared" si="11"/>
        <v>-3048.1317009851755</v>
      </c>
      <c r="AG17" s="63">
        <f t="shared" si="11"/>
        <v>-4181.4704234191167</v>
      </c>
      <c r="AH17" s="63">
        <f t="shared" si="11"/>
        <v>-5736.2006032343297</v>
      </c>
      <c r="AI17" s="63">
        <f t="shared" si="11"/>
        <v>-7869.0015780718713</v>
      </c>
      <c r="AJ17" s="63">
        <f t="shared" si="11"/>
        <v>-10794.808291882895</v>
      </c>
      <c r="AK17" s="63">
        <f t="shared" si="11"/>
        <v>-14808.471557970681</v>
      </c>
      <c r="AL17" s="63">
        <f t="shared" si="11"/>
        <v>-15885.182431384857</v>
      </c>
      <c r="AM17" s="63">
        <f t="shared" si="11"/>
        <v>-17040.180000383381</v>
      </c>
      <c r="AN17" s="63">
        <f t="shared" si="11"/>
        <v>-18279.15642138154</v>
      </c>
      <c r="AO17" s="63">
        <f t="shared" si="11"/>
        <v>-19608.21772245461</v>
      </c>
      <c r="AP17" s="63">
        <f t="shared" ref="AP17:BU17" si="12">+AP106</f>
        <v>-21033.913895580296</v>
      </c>
      <c r="AQ17" s="63">
        <f t="shared" si="12"/>
        <v>-22373.869827988488</v>
      </c>
      <c r="AR17" s="63">
        <f t="shared" si="12"/>
        <v>-23799.187044545186</v>
      </c>
      <c r="AS17" s="63">
        <f t="shared" si="12"/>
        <v>-25315.303447091228</v>
      </c>
      <c r="AT17" s="63">
        <f t="shared" si="12"/>
        <v>-26928.00335653466</v>
      </c>
      <c r="AU17" s="63">
        <f t="shared" si="12"/>
        <v>-28643.439581320119</v>
      </c>
      <c r="AV17" s="63">
        <f t="shared" si="12"/>
        <v>-30412.757606163163</v>
      </c>
      <c r="AW17" s="63">
        <f t="shared" si="12"/>
        <v>-32291.36719370932</v>
      </c>
      <c r="AX17" s="63">
        <f t="shared" si="12"/>
        <v>-34286.019332480915</v>
      </c>
      <c r="AY17" s="63">
        <f t="shared" si="12"/>
        <v>-36403.882022569196</v>
      </c>
      <c r="AZ17" s="63">
        <f t="shared" si="12"/>
        <v>-38652.566034624673</v>
      </c>
      <c r="BA17" s="63">
        <f t="shared" si="12"/>
        <v>-41093.732865244885</v>
      </c>
      <c r="BB17" s="63">
        <f t="shared" si="12"/>
        <v>-43689.075630512794</v>
      </c>
      <c r="BC17" s="63">
        <f t="shared" si="12"/>
        <v>-46448.331566952489</v>
      </c>
      <c r="BD17" s="63">
        <f t="shared" si="12"/>
        <v>-49381.852882389132</v>
      </c>
      <c r="BE17" s="63">
        <f t="shared" si="12"/>
        <v>-52500.645595480142</v>
      </c>
      <c r="BF17" s="63">
        <f t="shared" si="12"/>
        <v>-56514.255532200972</v>
      </c>
      <c r="BG17" s="63">
        <f t="shared" si="12"/>
        <v>-60834.701023826499</v>
      </c>
      <c r="BH17" s="63">
        <f t="shared" si="12"/>
        <v>-65485.439272037511</v>
      </c>
      <c r="BI17" s="63">
        <f t="shared" si="12"/>
        <v>-70491.720752800975</v>
      </c>
      <c r="BJ17" s="63">
        <f t="shared" si="12"/>
        <v>-75880.726309988822</v>
      </c>
      <c r="BK17" s="63">
        <f t="shared" si="12"/>
        <v>0</v>
      </c>
      <c r="BL17" s="63">
        <f t="shared" si="12"/>
        <v>0</v>
      </c>
      <c r="BM17" s="63">
        <f t="shared" si="12"/>
        <v>0</v>
      </c>
      <c r="BN17" s="63">
        <f t="shared" si="12"/>
        <v>0</v>
      </c>
      <c r="BO17" s="63">
        <f t="shared" si="12"/>
        <v>0</v>
      </c>
      <c r="BP17" s="63">
        <f t="shared" si="12"/>
        <v>0</v>
      </c>
      <c r="BQ17" s="63">
        <f t="shared" si="12"/>
        <v>0</v>
      </c>
      <c r="BR17" s="63">
        <f t="shared" si="12"/>
        <v>0</v>
      </c>
      <c r="BS17" s="63">
        <f t="shared" si="12"/>
        <v>0</v>
      </c>
      <c r="BT17" s="63">
        <f t="shared" si="12"/>
        <v>0</v>
      </c>
      <c r="BU17" s="63">
        <f t="shared" si="12"/>
        <v>0</v>
      </c>
      <c r="BV17" s="63">
        <f t="shared" ref="BV17:DA17" si="13">+BV106</f>
        <v>0</v>
      </c>
      <c r="BW17" s="63">
        <f t="shared" si="13"/>
        <v>0</v>
      </c>
      <c r="BX17" s="63">
        <f t="shared" si="13"/>
        <v>0</v>
      </c>
      <c r="BY17" s="63">
        <f t="shared" si="13"/>
        <v>0</v>
      </c>
      <c r="BZ17" s="63">
        <f t="shared" si="13"/>
        <v>0</v>
      </c>
      <c r="CA17" s="63">
        <f t="shared" si="13"/>
        <v>0</v>
      </c>
      <c r="CB17" s="63">
        <f t="shared" si="13"/>
        <v>0</v>
      </c>
      <c r="CC17" s="63">
        <f t="shared" si="13"/>
        <v>0</v>
      </c>
      <c r="CD17" s="63">
        <f t="shared" si="13"/>
        <v>0</v>
      </c>
      <c r="CE17" s="63">
        <f t="shared" si="13"/>
        <v>0</v>
      </c>
      <c r="CF17" s="63">
        <f t="shared" si="13"/>
        <v>0</v>
      </c>
      <c r="CG17" s="63">
        <f t="shared" si="13"/>
        <v>0</v>
      </c>
      <c r="CH17" s="63">
        <f t="shared" si="13"/>
        <v>0</v>
      </c>
      <c r="CI17" s="63">
        <f t="shared" si="13"/>
        <v>0</v>
      </c>
      <c r="CJ17" s="63">
        <f t="shared" si="13"/>
        <v>0</v>
      </c>
      <c r="CK17" s="63">
        <f t="shared" si="13"/>
        <v>0</v>
      </c>
      <c r="CL17" s="63">
        <f t="shared" si="13"/>
        <v>0</v>
      </c>
      <c r="CM17" s="63">
        <f t="shared" si="13"/>
        <v>0</v>
      </c>
      <c r="CN17" s="63">
        <f t="shared" si="13"/>
        <v>0</v>
      </c>
      <c r="CO17" s="63">
        <f t="shared" si="13"/>
        <v>0</v>
      </c>
      <c r="CP17" s="63">
        <f t="shared" si="13"/>
        <v>0</v>
      </c>
      <c r="CQ17" s="63">
        <f t="shared" si="13"/>
        <v>0</v>
      </c>
      <c r="CR17" s="63">
        <f t="shared" si="13"/>
        <v>0</v>
      </c>
      <c r="CS17" s="63">
        <f t="shared" si="13"/>
        <v>0</v>
      </c>
      <c r="CT17" s="63">
        <f t="shared" si="13"/>
        <v>0</v>
      </c>
      <c r="CU17" s="63">
        <f t="shared" si="13"/>
        <v>0</v>
      </c>
      <c r="CV17" s="63">
        <f t="shared" si="13"/>
        <v>0</v>
      </c>
      <c r="CW17" s="63">
        <f t="shared" si="13"/>
        <v>0</v>
      </c>
      <c r="CX17" s="63">
        <f t="shared" si="13"/>
        <v>0</v>
      </c>
      <c r="CY17" s="63">
        <f t="shared" si="13"/>
        <v>0</v>
      </c>
      <c r="CZ17" s="63">
        <f t="shared" si="13"/>
        <v>0</v>
      </c>
      <c r="DA17" s="63">
        <f t="shared" si="13"/>
        <v>0</v>
      </c>
      <c r="DB17" s="63">
        <f t="shared" ref="DB17:DP17" si="14">+DB106</f>
        <v>0</v>
      </c>
      <c r="DC17" s="63">
        <f t="shared" si="14"/>
        <v>0</v>
      </c>
      <c r="DD17" s="63">
        <f t="shared" si="14"/>
        <v>0</v>
      </c>
      <c r="DE17" s="63">
        <f t="shared" si="14"/>
        <v>0</v>
      </c>
      <c r="DF17" s="63">
        <f t="shared" si="14"/>
        <v>0</v>
      </c>
      <c r="DG17" s="63">
        <f t="shared" si="14"/>
        <v>0</v>
      </c>
      <c r="DH17" s="63">
        <f t="shared" si="14"/>
        <v>0</v>
      </c>
      <c r="DI17" s="63">
        <f t="shared" si="14"/>
        <v>0</v>
      </c>
      <c r="DJ17" s="63">
        <f t="shared" si="14"/>
        <v>0</v>
      </c>
      <c r="DK17" s="63">
        <f t="shared" si="14"/>
        <v>0</v>
      </c>
      <c r="DL17" s="63">
        <f t="shared" si="14"/>
        <v>0</v>
      </c>
      <c r="DM17" s="63">
        <f t="shared" si="14"/>
        <v>0</v>
      </c>
      <c r="DN17" s="63">
        <f t="shared" si="14"/>
        <v>0</v>
      </c>
      <c r="DO17" s="63">
        <f t="shared" si="14"/>
        <v>0</v>
      </c>
      <c r="DP17" s="63">
        <f t="shared" si="14"/>
        <v>0</v>
      </c>
      <c r="DQ17" s="63"/>
    </row>
    <row r="18" spans="1:125" x14ac:dyDescent="0.2">
      <c r="C18" t="s">
        <v>65</v>
      </c>
      <c r="N18" s="63">
        <f t="shared" si="10"/>
        <v>2912934.1994395768</v>
      </c>
      <c r="O18" s="63"/>
      <c r="P18" s="63"/>
      <c r="Q18" s="126"/>
      <c r="R18" s="63">
        <f t="shared" ref="R18:BV18" si="15">+R41</f>
        <v>0</v>
      </c>
      <c r="S18" s="63">
        <f t="shared" si="15"/>
        <v>20866.926728617222</v>
      </c>
      <c r="T18" s="63">
        <f t="shared" si="15"/>
        <v>22075.289012235549</v>
      </c>
      <c r="U18" s="63">
        <f t="shared" si="15"/>
        <v>23353.625155802732</v>
      </c>
      <c r="V18" s="63">
        <f t="shared" si="15"/>
        <v>24705.987206575235</v>
      </c>
      <c r="W18" s="63">
        <f t="shared" si="15"/>
        <v>25771.393741783409</v>
      </c>
      <c r="X18" s="63">
        <f t="shared" si="15"/>
        <v>26882.74424497689</v>
      </c>
      <c r="Y18" s="63">
        <f t="shared" si="15"/>
        <v>28042.019976946256</v>
      </c>
      <c r="Z18" s="63">
        <f t="shared" si="15"/>
        <v>29251.287637213056</v>
      </c>
      <c r="AA18" s="63">
        <f t="shared" si="15"/>
        <v>30512.70304843966</v>
      </c>
      <c r="AB18" s="63">
        <f t="shared" si="15"/>
        <v>32043.527968003862</v>
      </c>
      <c r="AC18" s="63">
        <f t="shared" si="15"/>
        <v>33651.154504607315</v>
      </c>
      <c r="AD18" s="63">
        <f t="shared" si="15"/>
        <v>35339.435801940366</v>
      </c>
      <c r="AE18" s="63">
        <f t="shared" si="15"/>
        <v>37112.418316241608</v>
      </c>
      <c r="AF18" s="63">
        <f t="shared" si="15"/>
        <v>38974.351514804897</v>
      </c>
      <c r="AG18" s="63">
        <f t="shared" si="15"/>
        <v>40740.934330237193</v>
      </c>
      <c r="AH18" s="63">
        <f t="shared" si="15"/>
        <v>42587.590699750173</v>
      </c>
      <c r="AI18" s="63">
        <f t="shared" si="15"/>
        <v>44517.950101683113</v>
      </c>
      <c r="AJ18" s="63">
        <f t="shared" si="15"/>
        <v>46535.806527030727</v>
      </c>
      <c r="AK18" s="63">
        <f t="shared" si="15"/>
        <v>48645.125936276221</v>
      </c>
      <c r="AL18" s="63">
        <f t="shared" si="15"/>
        <v>51064.989406204753</v>
      </c>
      <c r="AM18" s="63">
        <f t="shared" si="15"/>
        <v>53605.229565480651</v>
      </c>
      <c r="AN18" s="63">
        <f t="shared" si="15"/>
        <v>56271.834581419265</v>
      </c>
      <c r="AO18" s="63">
        <f t="shared" si="15"/>
        <v>59071.090504156869</v>
      </c>
      <c r="AP18" s="63">
        <f t="shared" si="15"/>
        <v>62009.596084903082</v>
      </c>
      <c r="AQ18" s="63">
        <f t="shared" si="15"/>
        <v>64710.374384743314</v>
      </c>
      <c r="AR18" s="63">
        <f t="shared" si="15"/>
        <v>67528.782920634447</v>
      </c>
      <c r="AS18" s="63">
        <f t="shared" si="15"/>
        <v>70469.944983308698</v>
      </c>
      <c r="AT18" s="63">
        <f t="shared" si="15"/>
        <v>73539.207004323398</v>
      </c>
      <c r="AU18" s="63">
        <f t="shared" si="15"/>
        <v>76742.148274780877</v>
      </c>
      <c r="AV18" s="63">
        <f t="shared" si="15"/>
        <v>80199.822342142434</v>
      </c>
      <c r="AW18" s="63">
        <f t="shared" si="15"/>
        <v>83813.284463720251</v>
      </c>
      <c r="AX18" s="63">
        <f t="shared" si="15"/>
        <v>87589.553785149139</v>
      </c>
      <c r="AY18" s="63">
        <f t="shared" si="15"/>
        <v>91535.96570484525</v>
      </c>
      <c r="AZ18" s="63">
        <f t="shared" si="15"/>
        <v>95660.186123008156</v>
      </c>
      <c r="BA18" s="63">
        <f t="shared" si="15"/>
        <v>100061.91967675925</v>
      </c>
      <c r="BB18" s="63">
        <f t="shared" si="15"/>
        <v>104666.19578309647</v>
      </c>
      <c r="BC18" s="63">
        <f t="shared" si="15"/>
        <v>109482.33428955424</v>
      </c>
      <c r="BD18" s="63">
        <f t="shared" si="15"/>
        <v>114520.08388964013</v>
      </c>
      <c r="BE18" s="63">
        <f t="shared" si="15"/>
        <v>119789.64185586889</v>
      </c>
      <c r="BF18" s="63">
        <f t="shared" si="15"/>
        <v>126656.21517427311</v>
      </c>
      <c r="BG18" s="63">
        <f t="shared" si="15"/>
        <v>133916.39371936084</v>
      </c>
      <c r="BH18" s="63">
        <f t="shared" si="15"/>
        <v>141592.73970190145</v>
      </c>
      <c r="BI18" s="63">
        <f t="shared" si="15"/>
        <v>149709.10864210289</v>
      </c>
      <c r="BJ18" s="63">
        <f t="shared" si="15"/>
        <v>107117.28412503307</v>
      </c>
      <c r="BK18" s="63">
        <f t="shared" si="15"/>
        <v>0</v>
      </c>
      <c r="BL18" s="63">
        <f t="shared" si="15"/>
        <v>0</v>
      </c>
      <c r="BM18" s="63">
        <f t="shared" si="15"/>
        <v>0</v>
      </c>
      <c r="BN18" s="63">
        <f t="shared" si="15"/>
        <v>0</v>
      </c>
      <c r="BO18" s="63">
        <f t="shared" si="15"/>
        <v>0</v>
      </c>
      <c r="BP18" s="63">
        <f t="shared" si="15"/>
        <v>0</v>
      </c>
      <c r="BQ18" s="63">
        <f t="shared" si="15"/>
        <v>0</v>
      </c>
      <c r="BR18" s="63">
        <f t="shared" si="15"/>
        <v>0</v>
      </c>
      <c r="BS18" s="63">
        <f t="shared" si="15"/>
        <v>0</v>
      </c>
      <c r="BT18" s="63">
        <f t="shared" si="15"/>
        <v>0</v>
      </c>
      <c r="BU18" s="63">
        <f t="shared" si="15"/>
        <v>0</v>
      </c>
      <c r="BV18" s="63">
        <f t="shared" si="15"/>
        <v>0</v>
      </c>
      <c r="BW18" s="63">
        <f t="shared" ref="BW18:DQ18" si="16">+BW41</f>
        <v>0</v>
      </c>
      <c r="BX18" s="63">
        <f t="shared" si="16"/>
        <v>0</v>
      </c>
      <c r="BY18" s="63">
        <f t="shared" si="16"/>
        <v>0</v>
      </c>
      <c r="BZ18" s="63">
        <f t="shared" si="16"/>
        <v>0</v>
      </c>
      <c r="CA18" s="63">
        <f t="shared" si="16"/>
        <v>0</v>
      </c>
      <c r="CB18" s="63">
        <f t="shared" si="16"/>
        <v>0</v>
      </c>
      <c r="CC18" s="63">
        <f t="shared" si="16"/>
        <v>0</v>
      </c>
      <c r="CD18" s="63">
        <f t="shared" si="16"/>
        <v>0</v>
      </c>
      <c r="CE18" s="63">
        <f t="shared" si="16"/>
        <v>0</v>
      </c>
      <c r="CF18" s="63">
        <f t="shared" si="16"/>
        <v>0</v>
      </c>
      <c r="CG18" s="63">
        <f t="shared" si="16"/>
        <v>0</v>
      </c>
      <c r="CH18" s="63">
        <f t="shared" si="16"/>
        <v>0</v>
      </c>
      <c r="CI18" s="63">
        <f t="shared" si="16"/>
        <v>0</v>
      </c>
      <c r="CJ18" s="63">
        <f t="shared" si="16"/>
        <v>0</v>
      </c>
      <c r="CK18" s="63">
        <f t="shared" si="16"/>
        <v>0</v>
      </c>
      <c r="CL18" s="63">
        <f t="shared" si="16"/>
        <v>0</v>
      </c>
      <c r="CM18" s="63">
        <f t="shared" si="16"/>
        <v>0</v>
      </c>
      <c r="CN18" s="63">
        <f t="shared" si="16"/>
        <v>0</v>
      </c>
      <c r="CO18" s="63">
        <f t="shared" si="16"/>
        <v>0</v>
      </c>
      <c r="CP18" s="63">
        <f t="shared" si="16"/>
        <v>0</v>
      </c>
      <c r="CQ18" s="63">
        <f t="shared" si="16"/>
        <v>0</v>
      </c>
      <c r="CR18" s="63">
        <f t="shared" si="16"/>
        <v>0</v>
      </c>
      <c r="CS18" s="63">
        <f t="shared" si="16"/>
        <v>0</v>
      </c>
      <c r="CT18" s="63">
        <f t="shared" si="16"/>
        <v>0</v>
      </c>
      <c r="CU18" s="63">
        <f t="shared" si="16"/>
        <v>0</v>
      </c>
      <c r="CV18" s="63">
        <f t="shared" si="16"/>
        <v>0</v>
      </c>
      <c r="CW18" s="63">
        <f t="shared" si="16"/>
        <v>0</v>
      </c>
      <c r="CX18" s="63">
        <f t="shared" si="16"/>
        <v>0</v>
      </c>
      <c r="CY18" s="63">
        <f t="shared" si="16"/>
        <v>0</v>
      </c>
      <c r="CZ18" s="63">
        <f t="shared" si="16"/>
        <v>0</v>
      </c>
      <c r="DA18" s="63">
        <f t="shared" si="16"/>
        <v>0</v>
      </c>
      <c r="DB18" s="63">
        <f t="shared" si="16"/>
        <v>0</v>
      </c>
      <c r="DC18" s="63">
        <f t="shared" si="16"/>
        <v>0</v>
      </c>
      <c r="DD18" s="63">
        <f t="shared" si="16"/>
        <v>0</v>
      </c>
      <c r="DE18" s="63">
        <f t="shared" si="16"/>
        <v>0</v>
      </c>
      <c r="DF18" s="63">
        <f t="shared" si="16"/>
        <v>0</v>
      </c>
      <c r="DG18" s="63">
        <f t="shared" si="16"/>
        <v>0</v>
      </c>
      <c r="DH18" s="63">
        <f t="shared" si="16"/>
        <v>0</v>
      </c>
      <c r="DI18" s="63">
        <f t="shared" si="16"/>
        <v>0</v>
      </c>
      <c r="DJ18" s="63">
        <f t="shared" si="16"/>
        <v>0</v>
      </c>
      <c r="DK18" s="63">
        <f t="shared" si="16"/>
        <v>0</v>
      </c>
      <c r="DL18" s="63">
        <f t="shared" si="16"/>
        <v>0</v>
      </c>
      <c r="DM18" s="63">
        <f t="shared" si="16"/>
        <v>0</v>
      </c>
      <c r="DN18" s="63">
        <f t="shared" si="16"/>
        <v>0</v>
      </c>
      <c r="DO18" s="63">
        <f t="shared" si="16"/>
        <v>0</v>
      </c>
      <c r="DP18" s="63">
        <f t="shared" si="16"/>
        <v>0</v>
      </c>
      <c r="DQ18" s="63">
        <f t="shared" si="16"/>
        <v>0</v>
      </c>
    </row>
    <row r="19" spans="1:125" x14ac:dyDescent="0.2">
      <c r="C19" t="s">
        <v>66</v>
      </c>
      <c r="N19" s="63">
        <f t="shared" si="10"/>
        <v>691496.72836553829</v>
      </c>
      <c r="O19" s="63"/>
      <c r="P19" s="63"/>
      <c r="Q19" s="63"/>
      <c r="R19" s="63">
        <f t="shared" ref="R19:AO19" si="17">+R49</f>
        <v>0</v>
      </c>
      <c r="S19" s="63">
        <f t="shared" si="17"/>
        <v>6893.0040000000026</v>
      </c>
      <c r="T19" s="63">
        <f t="shared" si="17"/>
        <v>4923.1641749466244</v>
      </c>
      <c r="U19" s="63">
        <f t="shared" si="17"/>
        <v>3516.2529273851965</v>
      </c>
      <c r="V19" s="63">
        <f t="shared" si="17"/>
        <v>2511.4000285149973</v>
      </c>
      <c r="W19" s="63">
        <f t="shared" si="17"/>
        <v>3207.5042996959728</v>
      </c>
      <c r="X19" s="63">
        <f t="shared" si="17"/>
        <v>4096.5532036931381</v>
      </c>
      <c r="Y19" s="63">
        <f t="shared" si="17"/>
        <v>5232.0267044627799</v>
      </c>
      <c r="Z19" s="63">
        <f t="shared" si="17"/>
        <v>6682.2282233593996</v>
      </c>
      <c r="AA19" s="63">
        <f t="shared" si="17"/>
        <v>8534.3933720700988</v>
      </c>
      <c r="AB19" s="63">
        <f t="shared" si="17"/>
        <v>7834.4943124637866</v>
      </c>
      <c r="AC19" s="63">
        <f t="shared" si="17"/>
        <v>7191.9934383267437</v>
      </c>
      <c r="AD19" s="63">
        <f t="shared" si="17"/>
        <v>6602.1835684591333</v>
      </c>
      <c r="AE19" s="63">
        <f t="shared" si="17"/>
        <v>6060.7435539836861</v>
      </c>
      <c r="AF19" s="63">
        <f t="shared" si="17"/>
        <v>5563.7066201307889</v>
      </c>
      <c r="AG19" s="63">
        <f t="shared" si="17"/>
        <v>7543.7883632894109</v>
      </c>
      <c r="AH19" s="63">
        <f t="shared" si="17"/>
        <v>10228.566449602433</v>
      </c>
      <c r="AI19" s="63">
        <f t="shared" si="17"/>
        <v>13868.837058455365</v>
      </c>
      <c r="AJ19" s="63">
        <f t="shared" si="17"/>
        <v>18804.652861346072</v>
      </c>
      <c r="AK19" s="63">
        <f t="shared" si="17"/>
        <v>25497.088742573676</v>
      </c>
      <c r="AL19" s="63">
        <f t="shared" si="17"/>
        <v>17257.519856207484</v>
      </c>
      <c r="AM19" s="63">
        <f t="shared" si="17"/>
        <v>11680.62732942951</v>
      </c>
      <c r="AN19" s="63">
        <f t="shared" si="17"/>
        <v>7905.9480125667942</v>
      </c>
      <c r="AO19" s="63">
        <f t="shared" si="17"/>
        <v>5351.0836545507345</v>
      </c>
      <c r="AP19" s="63">
        <f t="shared" ref="AP19:BU19" si="18">+AP49</f>
        <v>3621.8422170858075</v>
      </c>
      <c r="AQ19" s="63">
        <f t="shared" si="18"/>
        <v>5031.5595961266754</v>
      </c>
      <c r="AR19" s="63">
        <f t="shared" si="18"/>
        <v>6989.9764959238264</v>
      </c>
      <c r="AS19" s="63">
        <f t="shared" si="18"/>
        <v>9710.6613725056704</v>
      </c>
      <c r="AT19" s="63">
        <f t="shared" si="18"/>
        <v>13490.309208687973</v>
      </c>
      <c r="AU19" s="63">
        <f t="shared" si="18"/>
        <v>18741.096570547237</v>
      </c>
      <c r="AV19" s="63">
        <f t="shared" si="18"/>
        <v>18421.350964280813</v>
      </c>
      <c r="AW19" s="63">
        <f t="shared" si="18"/>
        <v>18107.060601913374</v>
      </c>
      <c r="AX19" s="63">
        <f t="shared" si="18"/>
        <v>17798.132410434951</v>
      </c>
      <c r="AY19" s="63">
        <f t="shared" si="18"/>
        <v>17494.474904772869</v>
      </c>
      <c r="AZ19" s="63">
        <f t="shared" si="18"/>
        <v>17195.998160699615</v>
      </c>
      <c r="BA19" s="63">
        <f t="shared" si="18"/>
        <v>19251.269063199168</v>
      </c>
      <c r="BB19" s="63">
        <f t="shared" si="18"/>
        <v>21552.186565749842</v>
      </c>
      <c r="BC19" s="63">
        <f t="shared" si="18"/>
        <v>24128.110424305614</v>
      </c>
      <c r="BD19" s="63">
        <f t="shared" si="18"/>
        <v>27011.909481734325</v>
      </c>
      <c r="BE19" s="63">
        <f t="shared" si="18"/>
        <v>30240.38107494725</v>
      </c>
      <c r="BF19" s="63">
        <f t="shared" si="18"/>
        <v>34373.648331668155</v>
      </c>
      <c r="BG19" s="63">
        <f t="shared" si="18"/>
        <v>39071.852193292965</v>
      </c>
      <c r="BH19" s="63">
        <f t="shared" si="18"/>
        <v>44412.208418623974</v>
      </c>
      <c r="BI19" s="63">
        <f t="shared" si="18"/>
        <v>50482.486646944315</v>
      </c>
      <c r="BJ19" s="63">
        <f t="shared" si="18"/>
        <v>57382.452906580089</v>
      </c>
      <c r="BK19" s="63">
        <f t="shared" si="18"/>
        <v>0</v>
      </c>
      <c r="BL19" s="63">
        <f t="shared" si="18"/>
        <v>0</v>
      </c>
      <c r="BM19" s="63">
        <f t="shared" si="18"/>
        <v>0</v>
      </c>
      <c r="BN19" s="63">
        <f t="shared" si="18"/>
        <v>0</v>
      </c>
      <c r="BO19" s="63">
        <f t="shared" si="18"/>
        <v>0</v>
      </c>
      <c r="BP19" s="63">
        <f t="shared" si="18"/>
        <v>0</v>
      </c>
      <c r="BQ19" s="63">
        <f t="shared" si="18"/>
        <v>0</v>
      </c>
      <c r="BR19" s="63">
        <f t="shared" si="18"/>
        <v>0</v>
      </c>
      <c r="BS19" s="63">
        <f t="shared" si="18"/>
        <v>0</v>
      </c>
      <c r="BT19" s="63">
        <f t="shared" si="18"/>
        <v>0</v>
      </c>
      <c r="BU19" s="63">
        <f t="shared" si="18"/>
        <v>0</v>
      </c>
      <c r="BV19" s="63">
        <f t="shared" ref="BV19:DA19" si="19">+BV49</f>
        <v>0</v>
      </c>
      <c r="BW19" s="63">
        <f t="shared" si="19"/>
        <v>0</v>
      </c>
      <c r="BX19" s="63">
        <f t="shared" si="19"/>
        <v>0</v>
      </c>
      <c r="BY19" s="63">
        <f t="shared" si="19"/>
        <v>0</v>
      </c>
      <c r="BZ19" s="63">
        <f t="shared" si="19"/>
        <v>0</v>
      </c>
      <c r="CA19" s="63">
        <f t="shared" si="19"/>
        <v>0</v>
      </c>
      <c r="CB19" s="63">
        <f t="shared" si="19"/>
        <v>0</v>
      </c>
      <c r="CC19" s="63">
        <f t="shared" si="19"/>
        <v>0</v>
      </c>
      <c r="CD19" s="63">
        <f t="shared" si="19"/>
        <v>0</v>
      </c>
      <c r="CE19" s="63">
        <f t="shared" si="19"/>
        <v>0</v>
      </c>
      <c r="CF19" s="63">
        <f t="shared" si="19"/>
        <v>0</v>
      </c>
      <c r="CG19" s="63">
        <f t="shared" si="19"/>
        <v>0</v>
      </c>
      <c r="CH19" s="63">
        <f t="shared" si="19"/>
        <v>0</v>
      </c>
      <c r="CI19" s="63">
        <f t="shared" si="19"/>
        <v>0</v>
      </c>
      <c r="CJ19" s="63">
        <f t="shared" si="19"/>
        <v>0</v>
      </c>
      <c r="CK19" s="63">
        <f t="shared" si="19"/>
        <v>0</v>
      </c>
      <c r="CL19" s="63">
        <f t="shared" si="19"/>
        <v>0</v>
      </c>
      <c r="CM19" s="63">
        <f t="shared" si="19"/>
        <v>0</v>
      </c>
      <c r="CN19" s="63">
        <f t="shared" si="19"/>
        <v>0</v>
      </c>
      <c r="CO19" s="63">
        <f t="shared" si="19"/>
        <v>0</v>
      </c>
      <c r="CP19" s="63">
        <f t="shared" si="19"/>
        <v>0</v>
      </c>
      <c r="CQ19" s="63">
        <f t="shared" si="19"/>
        <v>0</v>
      </c>
      <c r="CR19" s="63">
        <f t="shared" si="19"/>
        <v>0</v>
      </c>
      <c r="CS19" s="63">
        <f t="shared" si="19"/>
        <v>0</v>
      </c>
      <c r="CT19" s="63">
        <f t="shared" si="19"/>
        <v>0</v>
      </c>
      <c r="CU19" s="63">
        <f t="shared" si="19"/>
        <v>0</v>
      </c>
      <c r="CV19" s="63">
        <f t="shared" si="19"/>
        <v>0</v>
      </c>
      <c r="CW19" s="63">
        <f t="shared" si="19"/>
        <v>0</v>
      </c>
      <c r="CX19" s="63">
        <f t="shared" si="19"/>
        <v>0</v>
      </c>
      <c r="CY19" s="63">
        <f t="shared" si="19"/>
        <v>0</v>
      </c>
      <c r="CZ19" s="63">
        <f t="shared" si="19"/>
        <v>0</v>
      </c>
      <c r="DA19" s="63">
        <f t="shared" si="19"/>
        <v>0</v>
      </c>
      <c r="DB19" s="63">
        <f t="shared" ref="DB19:DQ19" si="20">+DB49</f>
        <v>0</v>
      </c>
      <c r="DC19" s="63">
        <f t="shared" si="20"/>
        <v>0</v>
      </c>
      <c r="DD19" s="63">
        <f t="shared" si="20"/>
        <v>0</v>
      </c>
      <c r="DE19" s="63">
        <f t="shared" si="20"/>
        <v>0</v>
      </c>
      <c r="DF19" s="63">
        <f t="shared" si="20"/>
        <v>0</v>
      </c>
      <c r="DG19" s="63">
        <f t="shared" si="20"/>
        <v>0</v>
      </c>
      <c r="DH19" s="63">
        <f t="shared" si="20"/>
        <v>0</v>
      </c>
      <c r="DI19" s="63">
        <f t="shared" si="20"/>
        <v>0</v>
      </c>
      <c r="DJ19" s="63">
        <f t="shared" si="20"/>
        <v>0</v>
      </c>
      <c r="DK19" s="63">
        <f t="shared" si="20"/>
        <v>0</v>
      </c>
      <c r="DL19" s="63">
        <f t="shared" si="20"/>
        <v>0</v>
      </c>
      <c r="DM19" s="63">
        <f t="shared" si="20"/>
        <v>0</v>
      </c>
      <c r="DN19" s="63">
        <f t="shared" si="20"/>
        <v>0</v>
      </c>
      <c r="DO19" s="63">
        <f t="shared" si="20"/>
        <v>0</v>
      </c>
      <c r="DP19" s="63">
        <f t="shared" si="20"/>
        <v>0</v>
      </c>
      <c r="DQ19" s="63">
        <f t="shared" si="20"/>
        <v>0</v>
      </c>
    </row>
    <row r="20" spans="1:125" x14ac:dyDescent="0.2">
      <c r="C20" t="s">
        <v>437</v>
      </c>
      <c r="N20" s="63">
        <f t="shared" si="10"/>
        <v>833.00000000000023</v>
      </c>
      <c r="O20" s="63"/>
      <c r="P20" s="63"/>
      <c r="Q20" s="63"/>
      <c r="R20" s="63">
        <f t="shared" ref="R20" si="21">+R56</f>
        <v>0</v>
      </c>
      <c r="S20" s="63">
        <f>+S56</f>
        <v>833.00000000000023</v>
      </c>
      <c r="T20" s="63">
        <f t="shared" ref="T20:BJ20" si="22">+T56</f>
        <v>0</v>
      </c>
      <c r="U20" s="63">
        <f t="shared" si="22"/>
        <v>0</v>
      </c>
      <c r="V20" s="63">
        <f t="shared" si="22"/>
        <v>0</v>
      </c>
      <c r="W20" s="63">
        <f t="shared" si="22"/>
        <v>0</v>
      </c>
      <c r="X20" s="63">
        <f t="shared" si="22"/>
        <v>0</v>
      </c>
      <c r="Y20" s="63">
        <f t="shared" si="22"/>
        <v>0</v>
      </c>
      <c r="Z20" s="63">
        <f t="shared" si="22"/>
        <v>0</v>
      </c>
      <c r="AA20" s="63">
        <f t="shared" si="22"/>
        <v>0</v>
      </c>
      <c r="AB20" s="63">
        <f t="shared" si="22"/>
        <v>0</v>
      </c>
      <c r="AC20" s="63">
        <f t="shared" si="22"/>
        <v>0</v>
      </c>
      <c r="AD20" s="63">
        <f t="shared" si="22"/>
        <v>0</v>
      </c>
      <c r="AE20" s="63">
        <f t="shared" si="22"/>
        <v>0</v>
      </c>
      <c r="AF20" s="63">
        <f t="shared" si="22"/>
        <v>0</v>
      </c>
      <c r="AG20" s="63">
        <f t="shared" si="22"/>
        <v>0</v>
      </c>
      <c r="AH20" s="63">
        <f t="shared" si="22"/>
        <v>0</v>
      </c>
      <c r="AI20" s="63">
        <f t="shared" si="22"/>
        <v>0</v>
      </c>
      <c r="AJ20" s="63">
        <f t="shared" si="22"/>
        <v>0</v>
      </c>
      <c r="AK20" s="63">
        <f t="shared" si="22"/>
        <v>0</v>
      </c>
      <c r="AL20" s="63">
        <f t="shared" si="22"/>
        <v>0</v>
      </c>
      <c r="AM20" s="63">
        <f t="shared" si="22"/>
        <v>0</v>
      </c>
      <c r="AN20" s="63">
        <f t="shared" si="22"/>
        <v>0</v>
      </c>
      <c r="AO20" s="63">
        <f t="shared" si="22"/>
        <v>0</v>
      </c>
      <c r="AP20" s="63">
        <f t="shared" si="22"/>
        <v>0</v>
      </c>
      <c r="AQ20" s="63">
        <f t="shared" si="22"/>
        <v>0</v>
      </c>
      <c r="AR20" s="63">
        <f t="shared" si="22"/>
        <v>0</v>
      </c>
      <c r="AS20" s="63">
        <f t="shared" si="22"/>
        <v>0</v>
      </c>
      <c r="AT20" s="63">
        <f t="shared" si="22"/>
        <v>0</v>
      </c>
      <c r="AU20" s="63">
        <f t="shared" si="22"/>
        <v>0</v>
      </c>
      <c r="AV20" s="63">
        <f t="shared" si="22"/>
        <v>0</v>
      </c>
      <c r="AW20" s="63">
        <f t="shared" si="22"/>
        <v>0</v>
      </c>
      <c r="AX20" s="63">
        <f t="shared" si="22"/>
        <v>0</v>
      </c>
      <c r="AY20" s="63">
        <f t="shared" si="22"/>
        <v>0</v>
      </c>
      <c r="AZ20" s="63">
        <f t="shared" si="22"/>
        <v>0</v>
      </c>
      <c r="BA20" s="63">
        <f t="shared" si="22"/>
        <v>0</v>
      </c>
      <c r="BB20" s="63">
        <f t="shared" si="22"/>
        <v>0</v>
      </c>
      <c r="BC20" s="63">
        <f t="shared" si="22"/>
        <v>0</v>
      </c>
      <c r="BD20" s="63">
        <f t="shared" si="22"/>
        <v>0</v>
      </c>
      <c r="BE20" s="63">
        <f t="shared" si="22"/>
        <v>0</v>
      </c>
      <c r="BF20" s="63">
        <f t="shared" si="22"/>
        <v>0</v>
      </c>
      <c r="BG20" s="63">
        <f t="shared" si="22"/>
        <v>0</v>
      </c>
      <c r="BH20" s="63">
        <f t="shared" si="22"/>
        <v>0</v>
      </c>
      <c r="BI20" s="63">
        <f t="shared" si="22"/>
        <v>0</v>
      </c>
      <c r="BJ20" s="63">
        <f t="shared" si="22"/>
        <v>0</v>
      </c>
      <c r="BK20" s="63">
        <f t="shared" ref="BK20:CD20" si="23">+BK56</f>
        <v>0</v>
      </c>
      <c r="BL20" s="63">
        <f t="shared" si="23"/>
        <v>0</v>
      </c>
      <c r="BM20" s="63">
        <f t="shared" si="23"/>
        <v>0</v>
      </c>
      <c r="BN20" s="63">
        <f t="shared" si="23"/>
        <v>0</v>
      </c>
      <c r="BO20" s="63">
        <f t="shared" si="23"/>
        <v>0</v>
      </c>
      <c r="BP20" s="63">
        <f t="shared" si="23"/>
        <v>0</v>
      </c>
      <c r="BQ20" s="63">
        <f t="shared" si="23"/>
        <v>0</v>
      </c>
      <c r="BR20" s="63">
        <f t="shared" si="23"/>
        <v>0</v>
      </c>
      <c r="BS20" s="63">
        <f t="shared" si="23"/>
        <v>0</v>
      </c>
      <c r="BT20" s="63">
        <f t="shared" si="23"/>
        <v>0</v>
      </c>
      <c r="BU20" s="63">
        <f t="shared" si="23"/>
        <v>0</v>
      </c>
      <c r="BV20" s="63">
        <f t="shared" si="23"/>
        <v>0</v>
      </c>
      <c r="BW20" s="63">
        <f t="shared" si="23"/>
        <v>0</v>
      </c>
      <c r="BX20" s="63">
        <f t="shared" si="23"/>
        <v>0</v>
      </c>
      <c r="BY20" s="63">
        <f t="shared" si="23"/>
        <v>0</v>
      </c>
      <c r="BZ20" s="63">
        <f t="shared" si="23"/>
        <v>0</v>
      </c>
      <c r="CA20" s="63">
        <f t="shared" si="23"/>
        <v>0</v>
      </c>
      <c r="CB20" s="63">
        <f t="shared" si="23"/>
        <v>0</v>
      </c>
      <c r="CC20" s="63">
        <f t="shared" si="23"/>
        <v>0</v>
      </c>
      <c r="CD20" s="63">
        <f t="shared" si="23"/>
        <v>0</v>
      </c>
      <c r="CE20" s="63">
        <f t="shared" ref="CE20:DP20" si="24">+CE56</f>
        <v>0</v>
      </c>
      <c r="CF20" s="63">
        <f t="shared" si="24"/>
        <v>0</v>
      </c>
      <c r="CG20" s="63">
        <f t="shared" si="24"/>
        <v>0</v>
      </c>
      <c r="CH20" s="63">
        <f t="shared" si="24"/>
        <v>0</v>
      </c>
      <c r="CI20" s="63">
        <f t="shared" si="24"/>
        <v>0</v>
      </c>
      <c r="CJ20" s="63">
        <f t="shared" si="24"/>
        <v>0</v>
      </c>
      <c r="CK20" s="63">
        <f t="shared" si="24"/>
        <v>0</v>
      </c>
      <c r="CL20" s="63">
        <f t="shared" si="24"/>
        <v>0</v>
      </c>
      <c r="CM20" s="63">
        <f t="shared" si="24"/>
        <v>0</v>
      </c>
      <c r="CN20" s="63">
        <f t="shared" si="24"/>
        <v>0</v>
      </c>
      <c r="CO20" s="63">
        <f t="shared" si="24"/>
        <v>0</v>
      </c>
      <c r="CP20" s="63">
        <f t="shared" si="24"/>
        <v>0</v>
      </c>
      <c r="CQ20" s="63">
        <f t="shared" si="24"/>
        <v>0</v>
      </c>
      <c r="CR20" s="63">
        <f t="shared" si="24"/>
        <v>0</v>
      </c>
      <c r="CS20" s="63">
        <f t="shared" si="24"/>
        <v>0</v>
      </c>
      <c r="CT20" s="63">
        <f t="shared" si="24"/>
        <v>0</v>
      </c>
      <c r="CU20" s="63">
        <f t="shared" si="24"/>
        <v>0</v>
      </c>
      <c r="CV20" s="63">
        <f t="shared" si="24"/>
        <v>0</v>
      </c>
      <c r="CW20" s="63">
        <f t="shared" si="24"/>
        <v>0</v>
      </c>
      <c r="CX20" s="63">
        <f t="shared" si="24"/>
        <v>0</v>
      </c>
      <c r="CY20" s="63">
        <f t="shared" si="24"/>
        <v>0</v>
      </c>
      <c r="CZ20" s="63">
        <f t="shared" si="24"/>
        <v>0</v>
      </c>
      <c r="DA20" s="63">
        <f t="shared" si="24"/>
        <v>0</v>
      </c>
      <c r="DB20" s="63">
        <f t="shared" si="24"/>
        <v>0</v>
      </c>
      <c r="DC20" s="63">
        <f t="shared" si="24"/>
        <v>0</v>
      </c>
      <c r="DD20" s="63">
        <f t="shared" si="24"/>
        <v>0</v>
      </c>
      <c r="DE20" s="63">
        <f t="shared" si="24"/>
        <v>0</v>
      </c>
      <c r="DF20" s="63">
        <f t="shared" si="24"/>
        <v>0</v>
      </c>
      <c r="DG20" s="63">
        <f t="shared" si="24"/>
        <v>0</v>
      </c>
      <c r="DH20" s="63">
        <f t="shared" si="24"/>
        <v>0</v>
      </c>
      <c r="DI20" s="63">
        <f t="shared" si="24"/>
        <v>0</v>
      </c>
      <c r="DJ20" s="63">
        <f t="shared" si="24"/>
        <v>0</v>
      </c>
      <c r="DK20" s="63">
        <f t="shared" si="24"/>
        <v>0</v>
      </c>
      <c r="DL20" s="63">
        <f t="shared" si="24"/>
        <v>0</v>
      </c>
      <c r="DM20" s="63">
        <f t="shared" si="24"/>
        <v>0</v>
      </c>
      <c r="DN20" s="63">
        <f t="shared" si="24"/>
        <v>0</v>
      </c>
      <c r="DO20" s="63">
        <f t="shared" si="24"/>
        <v>0</v>
      </c>
      <c r="DP20" s="63">
        <f t="shared" si="24"/>
        <v>0</v>
      </c>
      <c r="DQ20" s="63"/>
    </row>
    <row r="21" spans="1:125" x14ac:dyDescent="0.2">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row>
    <row r="22" spans="1:125" s="124" customFormat="1" ht="15.75" x14ac:dyDescent="0.25">
      <c r="A22" s="120"/>
      <c r="B22" s="120" t="s">
        <v>379</v>
      </c>
      <c r="C22" s="120"/>
      <c r="D22" s="120"/>
      <c r="E22" s="120"/>
      <c r="F22" s="120"/>
      <c r="G22" s="120"/>
      <c r="H22" s="120"/>
      <c r="I22" s="120"/>
      <c r="J22" s="120"/>
      <c r="K22" s="562"/>
      <c r="L22" s="120"/>
      <c r="M22" s="120"/>
      <c r="N22" s="120"/>
      <c r="O22" s="121"/>
      <c r="P22" s="122"/>
      <c r="Q22" s="122"/>
      <c r="R22" s="122"/>
      <c r="S22" s="548"/>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3"/>
      <c r="DQ22" s="122"/>
      <c r="DR22" s="122"/>
      <c r="DS22" s="122"/>
      <c r="DT22" s="122"/>
      <c r="DU22" s="122"/>
    </row>
    <row r="23" spans="1:125" x14ac:dyDescent="0.2">
      <c r="P23" s="63"/>
      <c r="S23" s="101"/>
      <c r="DQ23" s="42"/>
    </row>
    <row r="24" spans="1:125" x14ac:dyDescent="0.2">
      <c r="C24" s="135" t="s">
        <v>287</v>
      </c>
      <c r="P24" s="122"/>
      <c r="R24" s="183">
        <f>+IF(R7&lt;=2021,Inputs!$L$21,Inputs!$L$22)</f>
        <v>2.2499999999999999E-2</v>
      </c>
      <c r="S24" s="183">
        <f>+IF(S7&lt;=2021,Inputs!$L$21,Inputs!$L$22)</f>
        <v>2.2499999999999999E-2</v>
      </c>
      <c r="T24" s="183">
        <f>+IF(T7&lt;=2021,Inputs!$L$21,Inputs!$L$22)</f>
        <v>2.2499999999999999E-2</v>
      </c>
      <c r="U24" s="183">
        <f>+IF(U7&lt;=2021,Inputs!$L$21,Inputs!$L$22)</f>
        <v>2.2499999999999999E-2</v>
      </c>
      <c r="V24" s="183">
        <f>+IF(V7&lt;=2021,Inputs!$L$21,Inputs!$L$22)</f>
        <v>2.2499999999999999E-2</v>
      </c>
      <c r="W24" s="183">
        <f>+IF(W7&lt;=2021,Inputs!$L$21,Inputs!$L$22)</f>
        <v>2.3E-2</v>
      </c>
      <c r="X24" s="183">
        <f>+IF(X7&lt;=2021,Inputs!$L$21,Inputs!$L$22)</f>
        <v>2.3E-2</v>
      </c>
      <c r="Y24" s="183">
        <f>+IF(Y7&lt;=2021,Inputs!$L$21,Inputs!$L$22)</f>
        <v>2.3E-2</v>
      </c>
      <c r="Z24" s="183">
        <f>+IF(Z7&lt;=2021,Inputs!$L$21,Inputs!$L$22)</f>
        <v>2.3E-2</v>
      </c>
      <c r="AA24" s="183">
        <f>+IF(AA7&lt;=2021,Inputs!$L$21,Inputs!$L$22)</f>
        <v>2.3E-2</v>
      </c>
      <c r="AB24" s="183">
        <f>+IF(AB7&lt;=2021,Inputs!$L$21,Inputs!$L$22)</f>
        <v>2.3E-2</v>
      </c>
      <c r="AC24" s="183">
        <f>+IF(AC7&lt;=2021,Inputs!$L$21,Inputs!$L$22)</f>
        <v>2.3E-2</v>
      </c>
      <c r="AD24" s="183">
        <f>+IF(AD7&lt;=2021,Inputs!$L$21,Inputs!$L$22)</f>
        <v>2.3E-2</v>
      </c>
      <c r="AE24" s="183">
        <f>+IF(AE7&lt;=2021,Inputs!$L$21,Inputs!$L$22)</f>
        <v>2.3E-2</v>
      </c>
      <c r="AF24" s="183">
        <f>+IF(AF7&lt;=2021,Inputs!$L$21,Inputs!$L$22)</f>
        <v>2.3E-2</v>
      </c>
      <c r="AG24" s="183">
        <f>+IF(AG7&lt;=2021,Inputs!$L$21,Inputs!$L$22)</f>
        <v>2.3E-2</v>
      </c>
      <c r="AH24" s="183">
        <f>+IF(AH7&lt;=2021,Inputs!$L$21,Inputs!$L$22)</f>
        <v>2.3E-2</v>
      </c>
      <c r="AI24" s="183">
        <f>+IF(AI7&lt;=2021,Inputs!$L$21,Inputs!$L$22)</f>
        <v>2.3E-2</v>
      </c>
      <c r="AJ24" s="183">
        <f>+IF(AJ7&lt;=2021,Inputs!$L$21,Inputs!$L$22)</f>
        <v>2.3E-2</v>
      </c>
      <c r="AK24" s="183">
        <f>+IF(AK7&lt;=2021,Inputs!$L$21,Inputs!$L$22)</f>
        <v>2.3E-2</v>
      </c>
      <c r="AL24" s="183">
        <f>+IF(AL7&lt;=2021,Inputs!$L$21,Inputs!$L$22)</f>
        <v>2.3E-2</v>
      </c>
      <c r="AM24" s="183">
        <f>+IF(AM7&lt;=2021,Inputs!$L$21,Inputs!$L$22)</f>
        <v>2.3E-2</v>
      </c>
      <c r="AN24" s="183">
        <f>+IF(AN7&lt;=2021,Inputs!$L$21,Inputs!$L$22)</f>
        <v>2.3E-2</v>
      </c>
      <c r="AO24" s="183">
        <f>+IF(AO7&lt;=2021,Inputs!$L$21,Inputs!$L$22)</f>
        <v>2.3E-2</v>
      </c>
      <c r="AP24" s="183">
        <f>+IF(AP7&lt;=2021,Inputs!$L$21,Inputs!$L$22)</f>
        <v>2.3E-2</v>
      </c>
      <c r="AQ24" s="183">
        <f>+IF(AQ7&lt;=2021,Inputs!$L$21,Inputs!$L$22)</f>
        <v>2.3E-2</v>
      </c>
      <c r="AR24" s="183">
        <f>+IF(AR7&lt;=2021,Inputs!$L$21,Inputs!$L$22)</f>
        <v>2.3E-2</v>
      </c>
      <c r="AS24" s="183">
        <f>+IF(AS7&lt;=2021,Inputs!$L$21,Inputs!$L$22)</f>
        <v>2.3E-2</v>
      </c>
      <c r="AT24" s="183">
        <f>+IF(AT7&lt;=2021,Inputs!$L$21,Inputs!$L$22)</f>
        <v>2.3E-2</v>
      </c>
      <c r="AU24" s="183">
        <f>+IF(AU7&lt;=2021,Inputs!$L$21,Inputs!$L$22)</f>
        <v>2.3E-2</v>
      </c>
      <c r="AV24" s="183">
        <f>+IF(AV7&lt;=2021,Inputs!$L$21,Inputs!$L$22)</f>
        <v>2.3E-2</v>
      </c>
      <c r="AW24" s="183">
        <f>+IF(AW7&lt;=2021,Inputs!$L$21,Inputs!$L$22)</f>
        <v>2.3E-2</v>
      </c>
      <c r="AX24" s="183">
        <f>+IF(AX7&lt;=2021,Inputs!$L$21,Inputs!$L$22)</f>
        <v>2.3E-2</v>
      </c>
      <c r="AY24" s="183">
        <f>+IF(AY7&lt;=2021,Inputs!$L$21,Inputs!$L$22)</f>
        <v>2.3E-2</v>
      </c>
      <c r="AZ24" s="183">
        <f>+IF(AZ7&lt;=2021,Inputs!$L$21,Inputs!$L$22)</f>
        <v>2.3E-2</v>
      </c>
      <c r="BA24" s="183">
        <f>+IF(BA7&lt;=2021,Inputs!$L$21,Inputs!$L$22)</f>
        <v>2.3E-2</v>
      </c>
      <c r="BB24" s="183">
        <f>+IF(BB7&lt;=2021,Inputs!$L$21,Inputs!$L$22)</f>
        <v>2.3E-2</v>
      </c>
      <c r="BC24" s="183">
        <f>+IF(BC7&lt;=2021,Inputs!$L$21,Inputs!$L$22)</f>
        <v>2.3E-2</v>
      </c>
      <c r="BD24" s="183">
        <f>+IF(BD7&lt;=2021,Inputs!$L$21,Inputs!$L$22)</f>
        <v>2.3E-2</v>
      </c>
      <c r="BE24" s="183">
        <f>+IF(BE7&lt;=2021,Inputs!$L$21,Inputs!$L$22)</f>
        <v>2.3E-2</v>
      </c>
      <c r="BF24" s="183">
        <f>+IF(BF7&lt;=2021,Inputs!$L$21,Inputs!$L$22)</f>
        <v>2.3E-2</v>
      </c>
      <c r="BG24" s="183">
        <f>+IF(BG7&lt;=2021,Inputs!$L$21,Inputs!$L$22)</f>
        <v>2.3E-2</v>
      </c>
      <c r="BH24" s="183">
        <f>+IF(BH7&lt;=2021,Inputs!$L$21,Inputs!$L$22)</f>
        <v>2.3E-2</v>
      </c>
      <c r="BI24" s="183">
        <f>+IF(BI7&lt;=2021,Inputs!$L$21,Inputs!$L$22)</f>
        <v>2.3E-2</v>
      </c>
      <c r="BJ24" s="183">
        <f>+IF(BJ7&lt;=2021,Inputs!$L$21,Inputs!$L$22)</f>
        <v>2.3E-2</v>
      </c>
      <c r="BK24" s="83">
        <f>+Inputs!$L$22</f>
        <v>2.3E-2</v>
      </c>
      <c r="BL24" s="83">
        <f>+Inputs!$L$22</f>
        <v>2.3E-2</v>
      </c>
      <c r="BM24" s="83">
        <f>+Inputs!$L$22</f>
        <v>2.3E-2</v>
      </c>
      <c r="BN24" s="83">
        <f>+Inputs!$L$22</f>
        <v>2.3E-2</v>
      </c>
      <c r="BO24" s="83">
        <f>+Inputs!$L$22</f>
        <v>2.3E-2</v>
      </c>
      <c r="BP24" s="83">
        <f>+Inputs!$L$22</f>
        <v>2.3E-2</v>
      </c>
      <c r="BQ24" s="83">
        <f>+Inputs!$L$22</f>
        <v>2.3E-2</v>
      </c>
      <c r="BR24" s="83">
        <f>+Inputs!$L$22</f>
        <v>2.3E-2</v>
      </c>
      <c r="BS24" s="83">
        <f>+Inputs!$L$22</f>
        <v>2.3E-2</v>
      </c>
      <c r="BT24" s="83">
        <f>+Inputs!$L$22</f>
        <v>2.3E-2</v>
      </c>
      <c r="BU24" s="83">
        <f>+Inputs!$L$22</f>
        <v>2.3E-2</v>
      </c>
      <c r="BV24" s="83">
        <f>+Inputs!$L$22</f>
        <v>2.3E-2</v>
      </c>
      <c r="BW24" s="83">
        <f>+Inputs!$L$22</f>
        <v>2.3E-2</v>
      </c>
      <c r="BX24" s="83">
        <f>+Inputs!$L$22</f>
        <v>2.3E-2</v>
      </c>
      <c r="BY24" s="83">
        <f>+Inputs!$L$22</f>
        <v>2.3E-2</v>
      </c>
      <c r="BZ24" s="83">
        <f>+Inputs!$L$22</f>
        <v>2.3E-2</v>
      </c>
      <c r="CA24" s="83">
        <f>+Inputs!$L$22</f>
        <v>2.3E-2</v>
      </c>
      <c r="CB24" s="83">
        <f>+Inputs!$L$22</f>
        <v>2.3E-2</v>
      </c>
      <c r="CC24" s="83">
        <f>+Inputs!$L$22</f>
        <v>2.3E-2</v>
      </c>
      <c r="CD24" s="83">
        <f>+Inputs!$L$22</f>
        <v>2.3E-2</v>
      </c>
      <c r="CE24" s="83">
        <f>+Inputs!$L$22</f>
        <v>2.3E-2</v>
      </c>
      <c r="CF24" s="83">
        <f>+Inputs!$L$22</f>
        <v>2.3E-2</v>
      </c>
      <c r="CG24" s="83">
        <f>+Inputs!$L$22</f>
        <v>2.3E-2</v>
      </c>
      <c r="CH24" s="83">
        <f>+Inputs!$L$22</f>
        <v>2.3E-2</v>
      </c>
      <c r="CI24" s="83">
        <f>+Inputs!$L$22</f>
        <v>2.3E-2</v>
      </c>
      <c r="CJ24" s="83">
        <f>+Inputs!$L$22</f>
        <v>2.3E-2</v>
      </c>
      <c r="CK24" s="83">
        <f>+Inputs!$L$22</f>
        <v>2.3E-2</v>
      </c>
      <c r="CL24" s="83">
        <f>+Inputs!$L$22</f>
        <v>2.3E-2</v>
      </c>
      <c r="CM24" s="83">
        <f>+Inputs!$L$22</f>
        <v>2.3E-2</v>
      </c>
      <c r="CN24" s="83">
        <f>+Inputs!$L$22</f>
        <v>2.3E-2</v>
      </c>
      <c r="CO24" s="83">
        <f>+Inputs!$L$22</f>
        <v>2.3E-2</v>
      </c>
      <c r="CP24" s="83">
        <f>+Inputs!$L$22</f>
        <v>2.3E-2</v>
      </c>
      <c r="CQ24" s="83">
        <f>+Inputs!$L$22</f>
        <v>2.3E-2</v>
      </c>
      <c r="CR24" s="83">
        <f>+Inputs!$L$22</f>
        <v>2.3E-2</v>
      </c>
      <c r="CS24" s="83">
        <f>+Inputs!$L$22</f>
        <v>2.3E-2</v>
      </c>
      <c r="CT24" s="83">
        <f>+Inputs!$L$22</f>
        <v>2.3E-2</v>
      </c>
      <c r="CU24" s="83">
        <f>+Inputs!$L$22</f>
        <v>2.3E-2</v>
      </c>
      <c r="CV24" s="83">
        <f>+Inputs!$L$22</f>
        <v>2.3E-2</v>
      </c>
      <c r="CW24" s="83">
        <f>+Inputs!$L$22</f>
        <v>2.3E-2</v>
      </c>
      <c r="CX24" s="83">
        <f>+Inputs!$L$22</f>
        <v>2.3E-2</v>
      </c>
      <c r="CY24" s="83">
        <f>+Inputs!$L$22</f>
        <v>2.3E-2</v>
      </c>
      <c r="CZ24" s="83">
        <f>+Inputs!$L$22</f>
        <v>2.3E-2</v>
      </c>
      <c r="DA24" s="83">
        <f>+Inputs!$L$22</f>
        <v>2.3E-2</v>
      </c>
      <c r="DB24" s="83">
        <f>+Inputs!$L$22</f>
        <v>2.3E-2</v>
      </c>
      <c r="DC24" s="83">
        <f>+Inputs!$L$22</f>
        <v>2.3E-2</v>
      </c>
      <c r="DD24" s="83">
        <f>+Inputs!$L$22</f>
        <v>2.3E-2</v>
      </c>
      <c r="DE24" s="83">
        <f>+Inputs!$L$22</f>
        <v>2.3E-2</v>
      </c>
      <c r="DF24" s="83">
        <f>+Inputs!$L$22</f>
        <v>2.3E-2</v>
      </c>
      <c r="DG24" s="83">
        <f>+Inputs!$L$22</f>
        <v>2.3E-2</v>
      </c>
      <c r="DH24" s="83">
        <f>+Inputs!$L$22</f>
        <v>2.3E-2</v>
      </c>
      <c r="DI24" s="83">
        <f>+Inputs!$L$22</f>
        <v>2.3E-2</v>
      </c>
      <c r="DJ24" s="83">
        <f>+Inputs!$L$22</f>
        <v>2.3E-2</v>
      </c>
      <c r="DK24" s="83">
        <f>+Inputs!$L$22</f>
        <v>2.3E-2</v>
      </c>
      <c r="DL24" s="83">
        <f>+Inputs!$L$22</f>
        <v>2.3E-2</v>
      </c>
      <c r="DM24" s="83">
        <f>+Inputs!$L$22</f>
        <v>2.3E-2</v>
      </c>
      <c r="DN24" s="83">
        <f>+Inputs!$L$22</f>
        <v>2.3E-2</v>
      </c>
      <c r="DO24" s="83">
        <f>+Inputs!$L$22</f>
        <v>2.3E-2</v>
      </c>
      <c r="DP24" s="83">
        <f>+Inputs!$L$22</f>
        <v>2.3E-2</v>
      </c>
      <c r="DQ24" s="136"/>
    </row>
    <row r="25" spans="1:125" x14ac:dyDescent="0.2">
      <c r="C25" s="135" t="s">
        <v>288</v>
      </c>
      <c r="L25" s="137"/>
      <c r="P25" s="63"/>
      <c r="R25" s="726">
        <v>1.1726824138049796</v>
      </c>
      <c r="S25" s="725">
        <f t="shared" ref="S25:BV25" si="25">+R25*(1+S24)</f>
        <v>1.1990677681155917</v>
      </c>
      <c r="T25" s="725">
        <f t="shared" si="25"/>
        <v>1.2260467928981924</v>
      </c>
      <c r="U25" s="725">
        <f t="shared" si="25"/>
        <v>1.2536328457384016</v>
      </c>
      <c r="V25" s="725">
        <f t="shared" si="25"/>
        <v>1.2818395847675157</v>
      </c>
      <c r="W25" s="725">
        <f t="shared" si="25"/>
        <v>1.3113218952171684</v>
      </c>
      <c r="X25" s="725">
        <f t="shared" si="25"/>
        <v>1.3414822988071631</v>
      </c>
      <c r="Y25" s="725">
        <f t="shared" si="25"/>
        <v>1.3723363916797278</v>
      </c>
      <c r="Z25" s="725">
        <f t="shared" si="25"/>
        <v>1.4039001286883614</v>
      </c>
      <c r="AA25" s="725">
        <f t="shared" si="25"/>
        <v>1.4361898316481936</v>
      </c>
      <c r="AB25" s="725">
        <f t="shared" si="25"/>
        <v>1.469222197776102</v>
      </c>
      <c r="AC25" s="725">
        <f t="shared" si="25"/>
        <v>1.5030143083249521</v>
      </c>
      <c r="AD25" s="725">
        <f t="shared" si="25"/>
        <v>1.5375836374164258</v>
      </c>
      <c r="AE25" s="725">
        <f t="shared" si="25"/>
        <v>1.5729480610770035</v>
      </c>
      <c r="AF25" s="725">
        <f t="shared" si="25"/>
        <v>1.6091258664817745</v>
      </c>
      <c r="AG25" s="725">
        <f t="shared" si="25"/>
        <v>1.6461357614108552</v>
      </c>
      <c r="AH25" s="725">
        <f t="shared" si="25"/>
        <v>1.6839968839233046</v>
      </c>
      <c r="AI25" s="725">
        <f t="shared" si="25"/>
        <v>1.7227288122535405</v>
      </c>
      <c r="AJ25" s="725">
        <f t="shared" si="25"/>
        <v>1.7623515749353718</v>
      </c>
      <c r="AK25" s="725">
        <f t="shared" si="25"/>
        <v>1.802885661158885</v>
      </c>
      <c r="AL25" s="725">
        <f t="shared" si="25"/>
        <v>1.8443520313655393</v>
      </c>
      <c r="AM25" s="725">
        <f t="shared" si="25"/>
        <v>1.8867721280869465</v>
      </c>
      <c r="AN25" s="725">
        <f t="shared" si="25"/>
        <v>1.9301678870329462</v>
      </c>
      <c r="AO25" s="725">
        <f t="shared" si="25"/>
        <v>1.9745617484347038</v>
      </c>
      <c r="AP25" s="725">
        <f t="shared" si="25"/>
        <v>2.019976668648702</v>
      </c>
      <c r="AQ25" s="725">
        <f t="shared" si="25"/>
        <v>2.0664361320276221</v>
      </c>
      <c r="AR25" s="725">
        <f t="shared" si="25"/>
        <v>2.1139641630642574</v>
      </c>
      <c r="AS25" s="725">
        <f t="shared" si="25"/>
        <v>2.1625853388147349</v>
      </c>
      <c r="AT25" s="725">
        <f t="shared" si="25"/>
        <v>2.2123248016074735</v>
      </c>
      <c r="AU25" s="725">
        <f t="shared" si="25"/>
        <v>2.2632082720444453</v>
      </c>
      <c r="AV25" s="725">
        <f t="shared" si="25"/>
        <v>2.3152620623014672</v>
      </c>
      <c r="AW25" s="725">
        <f t="shared" si="25"/>
        <v>2.3685130897344009</v>
      </c>
      <c r="AX25" s="725">
        <f t="shared" si="25"/>
        <v>2.4229888907982917</v>
      </c>
      <c r="AY25" s="725">
        <f t="shared" si="25"/>
        <v>2.4787176352866522</v>
      </c>
      <c r="AZ25" s="725">
        <f t="shared" si="25"/>
        <v>2.5357281408982448</v>
      </c>
      <c r="BA25" s="725">
        <f t="shared" si="25"/>
        <v>2.5940498881389042</v>
      </c>
      <c r="BB25" s="725">
        <f t="shared" si="25"/>
        <v>2.6537130355660987</v>
      </c>
      <c r="BC25" s="725">
        <f t="shared" si="25"/>
        <v>2.7147484353841187</v>
      </c>
      <c r="BD25" s="725">
        <f t="shared" si="25"/>
        <v>2.7771876493979533</v>
      </c>
      <c r="BE25" s="725">
        <f t="shared" si="25"/>
        <v>2.841062965334106</v>
      </c>
      <c r="BF25" s="725">
        <f t="shared" si="25"/>
        <v>2.9064074135367903</v>
      </c>
      <c r="BG25" s="725">
        <f t="shared" si="25"/>
        <v>2.973254784048136</v>
      </c>
      <c r="BH25" s="725">
        <f t="shared" si="25"/>
        <v>3.041639644081243</v>
      </c>
      <c r="BI25" s="725">
        <f t="shared" si="25"/>
        <v>3.1115973558951113</v>
      </c>
      <c r="BJ25" s="725">
        <f t="shared" si="25"/>
        <v>3.1831640950806985</v>
      </c>
      <c r="BK25" s="725">
        <f t="shared" si="25"/>
        <v>3.2563768692675543</v>
      </c>
      <c r="BL25" s="725">
        <f t="shared" si="25"/>
        <v>3.3312735372607079</v>
      </c>
      <c r="BM25" s="725">
        <f t="shared" si="25"/>
        <v>3.4078928286177037</v>
      </c>
      <c r="BN25" s="725">
        <f t="shared" si="25"/>
        <v>3.4862743636759106</v>
      </c>
      <c r="BO25" s="725">
        <f t="shared" si="25"/>
        <v>3.5664586740404562</v>
      </c>
      <c r="BP25" s="725">
        <f t="shared" si="25"/>
        <v>3.6484872235433863</v>
      </c>
      <c r="BQ25" s="725">
        <f t="shared" si="25"/>
        <v>3.7324024296848837</v>
      </c>
      <c r="BR25" s="725">
        <f t="shared" si="25"/>
        <v>3.8182476855676355</v>
      </c>
      <c r="BS25" s="725">
        <f t="shared" si="25"/>
        <v>3.9060673823356908</v>
      </c>
      <c r="BT25" s="725">
        <f t="shared" si="25"/>
        <v>3.9959069321294112</v>
      </c>
      <c r="BU25" s="725">
        <f t="shared" si="25"/>
        <v>4.0878127915683873</v>
      </c>
      <c r="BV25" s="725">
        <f t="shared" si="25"/>
        <v>4.1818324857744598</v>
      </c>
      <c r="BW25" s="725">
        <f t="shared" ref="BW25:DP25" si="26">+BV25*(1+BW24)</f>
        <v>4.2780146329472721</v>
      </c>
      <c r="BX25" s="725">
        <f t="shared" si="26"/>
        <v>4.376408969505059</v>
      </c>
      <c r="BY25" s="725">
        <f t="shared" si="26"/>
        <v>4.4770663758036751</v>
      </c>
      <c r="BZ25" s="725">
        <f t="shared" si="26"/>
        <v>4.5800389024471588</v>
      </c>
      <c r="CA25" s="725">
        <f t="shared" si="26"/>
        <v>4.685379797203443</v>
      </c>
      <c r="CB25" s="725">
        <f t="shared" si="26"/>
        <v>4.7931435325391218</v>
      </c>
      <c r="CC25" s="725">
        <f t="shared" si="26"/>
        <v>4.9033858337875209</v>
      </c>
      <c r="CD25" s="725">
        <f t="shared" si="26"/>
        <v>5.0161637079646333</v>
      </c>
      <c r="CE25" s="725">
        <f t="shared" si="26"/>
        <v>5.1315354732478191</v>
      </c>
      <c r="CF25" s="725">
        <f t="shared" si="26"/>
        <v>5.2495607891325182</v>
      </c>
      <c r="CG25" s="725">
        <f t="shared" si="26"/>
        <v>5.3703006872825654</v>
      </c>
      <c r="CH25" s="725">
        <f t="shared" si="26"/>
        <v>5.4938176030900641</v>
      </c>
      <c r="CI25" s="725">
        <f t="shared" si="26"/>
        <v>5.6201754079611348</v>
      </c>
      <c r="CJ25" s="725">
        <f t="shared" si="26"/>
        <v>5.7494394423442401</v>
      </c>
      <c r="CK25" s="725">
        <f t="shared" si="26"/>
        <v>5.8816765495181569</v>
      </c>
      <c r="CL25" s="725">
        <f t="shared" si="26"/>
        <v>6.016955110157074</v>
      </c>
      <c r="CM25" s="725">
        <f t="shared" si="26"/>
        <v>6.1553450776906864</v>
      </c>
      <c r="CN25" s="725">
        <f t="shared" si="26"/>
        <v>6.2969180144775718</v>
      </c>
      <c r="CO25" s="725">
        <f t="shared" si="26"/>
        <v>6.4417471288105554</v>
      </c>
      <c r="CP25" s="725">
        <f t="shared" si="26"/>
        <v>6.5899073127731977</v>
      </c>
      <c r="CQ25" s="725">
        <f t="shared" si="26"/>
        <v>6.7414751809669804</v>
      </c>
      <c r="CR25" s="725">
        <f t="shared" si="26"/>
        <v>6.8965291101292205</v>
      </c>
      <c r="CS25" s="725">
        <f t="shared" si="26"/>
        <v>7.0551492796621922</v>
      </c>
      <c r="CT25" s="725">
        <f t="shared" si="26"/>
        <v>7.2174177130944219</v>
      </c>
      <c r="CU25" s="725">
        <f t="shared" si="26"/>
        <v>7.3834183204955925</v>
      </c>
      <c r="CV25" s="725">
        <f t="shared" si="26"/>
        <v>7.5532369418669907</v>
      </c>
      <c r="CW25" s="725">
        <f t="shared" si="26"/>
        <v>7.7269613915299304</v>
      </c>
      <c r="CX25" s="725">
        <f t="shared" si="26"/>
        <v>7.9046815035351186</v>
      </c>
      <c r="CY25" s="725">
        <f t="shared" si="26"/>
        <v>8.086489178116425</v>
      </c>
      <c r="CZ25" s="725">
        <f t="shared" si="26"/>
        <v>8.2724784292131019</v>
      </c>
      <c r="DA25" s="725">
        <f t="shared" si="26"/>
        <v>8.4627454330850025</v>
      </c>
      <c r="DB25" s="725">
        <f t="shared" si="26"/>
        <v>8.657388578045957</v>
      </c>
      <c r="DC25" s="725">
        <f t="shared" si="26"/>
        <v>8.8565085153410124</v>
      </c>
      <c r="DD25" s="725">
        <f t="shared" si="26"/>
        <v>9.0602082111938547</v>
      </c>
      <c r="DE25" s="725">
        <f t="shared" si="26"/>
        <v>9.2685930000513128</v>
      </c>
      <c r="DF25" s="725">
        <f t="shared" si="26"/>
        <v>9.4817706390524918</v>
      </c>
      <c r="DG25" s="725">
        <f t="shared" si="26"/>
        <v>9.6998513637506978</v>
      </c>
      <c r="DH25" s="725">
        <f t="shared" si="26"/>
        <v>9.9229479451169631</v>
      </c>
      <c r="DI25" s="725">
        <f t="shared" si="26"/>
        <v>10.151175747854653</v>
      </c>
      <c r="DJ25" s="725">
        <f t="shared" si="26"/>
        <v>10.384652790055309</v>
      </c>
      <c r="DK25" s="725">
        <f t="shared" si="26"/>
        <v>10.623499804226581</v>
      </c>
      <c r="DL25" s="725">
        <f t="shared" si="26"/>
        <v>10.867840299723792</v>
      </c>
      <c r="DM25" s="725">
        <f t="shared" si="26"/>
        <v>11.117800626617438</v>
      </c>
      <c r="DN25" s="725">
        <f t="shared" si="26"/>
        <v>11.373510041029638</v>
      </c>
      <c r="DO25" s="725">
        <f t="shared" si="26"/>
        <v>11.635100771973319</v>
      </c>
      <c r="DP25" s="725">
        <f t="shared" si="26"/>
        <v>11.902708089728703</v>
      </c>
      <c r="DQ25" s="42"/>
    </row>
    <row r="26" spans="1:125" x14ac:dyDescent="0.2">
      <c r="P26" s="56"/>
      <c r="S26" s="79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DQ26" s="42"/>
    </row>
    <row r="27" spans="1:125" ht="15.75" x14ac:dyDescent="0.25">
      <c r="B27" s="119"/>
      <c r="C27" s="141" t="s">
        <v>270</v>
      </c>
      <c r="DQ27" s="42"/>
    </row>
    <row r="28" spans="1:125" x14ac:dyDescent="0.2">
      <c r="C28" s="180" t="s">
        <v>436</v>
      </c>
      <c r="R28" s="176"/>
      <c r="S28" s="176"/>
      <c r="T28" s="714">
        <f>+POWER(INDEX(Inputs!$L$34:$L43,S$6+1,1)/INDEX(Inputs!$L$34:$L$43,S$6,1),1/(INDEX(Inputs!$C$34:$C$43,S$6+1,1)-INDEX(Inputs!$C$34:$C$43,S$6,1)))-1</f>
        <v>0.11484393521405112</v>
      </c>
      <c r="U28" s="714">
        <f>+POWER(INDEX(Inputs!$L$34:$L43,T$6+1,1)/INDEX(Inputs!$L$34:$L$43,T$6,1),1/(INDEX(Inputs!$C$34:$C$43,T$6+1,1)-INDEX(Inputs!$C$34:$C$43,T$6,1)))-1</f>
        <v>0.11484393521405112</v>
      </c>
      <c r="V28" s="714">
        <f>+POWER(INDEX(Inputs!$L$34:$L43,U$6+1,1)/INDEX(Inputs!$L$34:$L$43,U$6,1),1/(INDEX(Inputs!$C$34:$C$43,U$6+1,1)-INDEX(Inputs!$C$34:$C$43,U$6,1)))-1</f>
        <v>0.11484393521405112</v>
      </c>
      <c r="W28" s="714">
        <f>+POWER(INDEX(Inputs!$L$34:$L43,V$6+1,1)/INDEX(Inputs!$L$34:$L$43,V$6,1),1/(INDEX(Inputs!$C$34:$C$43,V$6+1,1)-INDEX(Inputs!$C$34:$C$43,V$6,1)))-1</f>
        <v>5.1439292969294392E-2</v>
      </c>
      <c r="X28" s="714">
        <f>+POWER(INDEX(Inputs!$L$34:$L43,W$6+1,1)/INDEX(Inputs!$L$34:$L$43,W$6,1),1/(INDEX(Inputs!$C$34:$C$43,W$6+1,1)-INDEX(Inputs!$C$34:$C$43,W$6,1)))-1</f>
        <v>5.1439292969294392E-2</v>
      </c>
      <c r="Y28" s="714">
        <f>+POWER(INDEX(Inputs!$L$34:$L43,X$6+1,1)/INDEX(Inputs!$L$34:$L$43,X$6,1),1/(INDEX(Inputs!$C$34:$C$43,X$6+1,1)-INDEX(Inputs!$C$34:$C$43,X$6,1)))-1</f>
        <v>5.1439292969294392E-2</v>
      </c>
      <c r="Z28" s="714">
        <f>+POWER(INDEX(Inputs!$L$34:$L43,Y$6+1,1)/INDEX(Inputs!$L$34:$L$43,Y$6,1),1/(INDEX(Inputs!$C$34:$C$43,Y$6+1,1)-INDEX(Inputs!$C$34:$C$43,Y$6,1)))-1</f>
        <v>5.1439292969294392E-2</v>
      </c>
      <c r="AA28" s="714">
        <f>+POWER(INDEX(Inputs!$L$34:$L43,Z$6+1,1)/INDEX(Inputs!$L$34:$L$43,Z$6,1),1/(INDEX(Inputs!$C$34:$C$43,Z$6+1,1)-INDEX(Inputs!$C$34:$C$43,Z$6,1)))-1</f>
        <v>5.1439292969294392E-2</v>
      </c>
      <c r="AB28" s="714">
        <f>+POWER(INDEX(Inputs!$L$34:$L43,AA$6+1,1)/INDEX(Inputs!$L$34:$L$43,AA$6,1),1/(INDEX(Inputs!$C$34:$C$43,AA$6+1,1)-INDEX(Inputs!$C$34:$C$43,AA$6,1)))-1</f>
        <v>5.6943375942545282E-2</v>
      </c>
      <c r="AC28" s="714">
        <f>+POWER(INDEX(Inputs!$L$34:$L43,AB$6+1,1)/INDEX(Inputs!$L$34:$L$43,AB$6,1),1/(INDEX(Inputs!$C$34:$C$43,AB$6+1,1)-INDEX(Inputs!$C$34:$C$43,AB$6,1)))-1</f>
        <v>5.6943375942545282E-2</v>
      </c>
      <c r="AD28" s="714">
        <f>+POWER(INDEX(Inputs!$L$34:$L43,AC$6+1,1)/INDEX(Inputs!$L$34:$L$43,AC$6,1),1/(INDEX(Inputs!$C$34:$C$43,AC$6+1,1)-INDEX(Inputs!$C$34:$C$43,AC$6,1)))-1</f>
        <v>5.6943375942545282E-2</v>
      </c>
      <c r="AE28" s="714">
        <f>+POWER(INDEX(Inputs!$L$34:$L43,AD$6+1,1)/INDEX(Inputs!$L$34:$L$43,AD$6,1),1/(INDEX(Inputs!$C$34:$C$43,AD$6+1,1)-INDEX(Inputs!$C$34:$C$43,AD$6,1)))-1</f>
        <v>5.6943375942545282E-2</v>
      </c>
      <c r="AF28" s="714">
        <f>+POWER(INDEX(Inputs!$L$34:$L43,AE$6+1,1)/INDEX(Inputs!$L$34:$L$43,AE$6,1),1/(INDEX(Inputs!$C$34:$C$43,AE$6+1,1)-INDEX(Inputs!$C$34:$C$43,AE$6,1)))-1</f>
        <v>5.6943375942545282E-2</v>
      </c>
      <c r="AG28" s="714">
        <f>+POWER(INDEX(Inputs!$L$34:$L43,AF$6+1,1)/INDEX(Inputs!$L$34:$L$43,AF$6,1),1/(INDEX(Inputs!$C$34:$C$43,AF$6+1,1)-INDEX(Inputs!$C$34:$C$43,AF$6,1)))-1</f>
        <v>4.7915087806309486E-2</v>
      </c>
      <c r="AH28" s="714">
        <f>+POWER(INDEX(Inputs!$L$34:$L43,AG$6+1,1)/INDEX(Inputs!$L$34:$L$43,AG$6,1),1/(INDEX(Inputs!$C$34:$C$43,AG$6+1,1)-INDEX(Inputs!$C$34:$C$43,AG$6,1)))-1</f>
        <v>4.7915087806309486E-2</v>
      </c>
      <c r="AI28" s="714">
        <f>+POWER(INDEX(Inputs!$L$34:$L43,AH$6+1,1)/INDEX(Inputs!$L$34:$L$43,AH$6,1),1/(INDEX(Inputs!$C$34:$C$43,AH$6+1,1)-INDEX(Inputs!$C$34:$C$43,AH$6,1)))-1</f>
        <v>4.7915087806309486E-2</v>
      </c>
      <c r="AJ28" s="714">
        <f>+POWER(INDEX(Inputs!$L$34:$L43,AI$6+1,1)/INDEX(Inputs!$L$34:$L$43,AI$6,1),1/(INDEX(Inputs!$C$34:$C$43,AI$6+1,1)-INDEX(Inputs!$C$34:$C$43,AI$6,1)))-1</f>
        <v>4.7915087806309486E-2</v>
      </c>
      <c r="AK28" s="714">
        <f>+POWER(INDEX(Inputs!$L$34:$L43,AJ$6+1,1)/INDEX(Inputs!$L$34:$L$43,AJ$6,1),1/(INDEX(Inputs!$C$34:$C$43,AJ$6+1,1)-INDEX(Inputs!$C$34:$C$43,AJ$6,1)))-1</f>
        <v>4.7915087806309486E-2</v>
      </c>
      <c r="AL28" s="714">
        <f>+POWER(INDEX(Inputs!$L$34:$L43,AK$6+1,1)/INDEX(Inputs!$L$34:$L$43,AK$6,1),1/(INDEX(Inputs!$C$34:$C$43,AK$6+1,1)-INDEX(Inputs!$C$34:$C$43,AK$6,1)))-1</f>
        <v>4.8591511051532033E-2</v>
      </c>
      <c r="AM28" s="714">
        <f>+POWER(INDEX(Inputs!$L$34:$L43,AL$6+1,1)/INDEX(Inputs!$L$34:$L$43,AL$6,1),1/(INDEX(Inputs!$C$34:$C$43,AL$6+1,1)-INDEX(Inputs!$C$34:$C$43,AL$6,1)))-1</f>
        <v>4.8591511051532033E-2</v>
      </c>
      <c r="AN28" s="714">
        <f>+POWER(INDEX(Inputs!$L$34:$L43,AM$6+1,1)/INDEX(Inputs!$L$34:$L$43,AM$6,1),1/(INDEX(Inputs!$C$34:$C$43,AM$6+1,1)-INDEX(Inputs!$C$34:$C$43,AM$6,1)))-1</f>
        <v>4.8591511051532033E-2</v>
      </c>
      <c r="AO28" s="714">
        <f>+POWER(INDEX(Inputs!$L$34:$L43,AN$6+1,1)/INDEX(Inputs!$L$34:$L$43,AN$6,1),1/(INDEX(Inputs!$C$34:$C$43,AN$6+1,1)-INDEX(Inputs!$C$34:$C$43,AN$6,1)))-1</f>
        <v>4.8591511051532033E-2</v>
      </c>
      <c r="AP28" s="714">
        <f>+POWER(INDEX(Inputs!$L$34:$L43,AO$6+1,1)/INDEX(Inputs!$L$34:$L$43,AO$6,1),1/(INDEX(Inputs!$C$34:$C$43,AO$6+1,1)-INDEX(Inputs!$C$34:$C$43,AO$6,1)))-1</f>
        <v>4.8591511051532033E-2</v>
      </c>
      <c r="AQ28" s="714">
        <f>+POWER(INDEX(Inputs!$L$34:$L43,AP$6+1,1)/INDEX(Inputs!$L$34:$L$43,AP$6,1),1/(INDEX(Inputs!$C$34:$C$43,AP$6+1,1)-INDEX(Inputs!$C$34:$C$43,AP$6,1)))-1</f>
        <v>3.978938989395675E-2</v>
      </c>
      <c r="AR28" s="714">
        <f>+POWER(INDEX(Inputs!$L$34:$L43,AQ$6+1,1)/INDEX(Inputs!$L$34:$L$43,AQ$6,1),1/(INDEX(Inputs!$C$34:$C$43,AQ$6+1,1)-INDEX(Inputs!$C$34:$C$43,AQ$6,1)))-1</f>
        <v>3.978938989395675E-2</v>
      </c>
      <c r="AS28" s="714">
        <f>+POWER(INDEX(Inputs!$L$34:$L43,AR$6+1,1)/INDEX(Inputs!$L$34:$L$43,AR$6,1),1/(INDEX(Inputs!$C$34:$C$43,AR$6+1,1)-INDEX(Inputs!$C$34:$C$43,AR$6,1)))-1</f>
        <v>3.978938989395675E-2</v>
      </c>
      <c r="AT28" s="714">
        <f>+POWER(INDEX(Inputs!$L$34:$L43,AS$6+1,1)/INDEX(Inputs!$L$34:$L$43,AS$6,1),1/(INDEX(Inputs!$C$34:$C$43,AS$6+1,1)-INDEX(Inputs!$C$34:$C$43,AS$6,1)))-1</f>
        <v>3.978938989395675E-2</v>
      </c>
      <c r="AU28" s="714">
        <f>+POWER(INDEX(Inputs!$L$34:$L43,AT$6+1,1)/INDEX(Inputs!$L$34:$L$43,AT$6,1),1/(INDEX(Inputs!$C$34:$C$43,AT$6+1,1)-INDEX(Inputs!$C$34:$C$43,AT$6,1)))-1</f>
        <v>3.978938989395675E-2</v>
      </c>
      <c r="AV28" s="714">
        <f>+POWER(INDEX(Inputs!$L$34:$L43,AU$6+1,1)/INDEX(Inputs!$L$34:$L$43,AU$6,1),1/(INDEX(Inputs!$C$34:$C$43,AU$6+1,1)-INDEX(Inputs!$C$34:$C$43,AU$6,1)))-1</f>
        <v>3.7898773747536696E-2</v>
      </c>
      <c r="AW28" s="714">
        <f>+POWER(INDEX(Inputs!$L$34:$L43,AV$6+1,1)/INDEX(Inputs!$L$34:$L$43,AV$6,1),1/(INDEX(Inputs!$C$34:$C$43,AV$6+1,1)-INDEX(Inputs!$C$34:$C$43,AV$6,1)))-1</f>
        <v>3.7898773747536696E-2</v>
      </c>
      <c r="AX28" s="714">
        <f>+POWER(INDEX(Inputs!$L$34:$L43,AW$6+1,1)/INDEX(Inputs!$L$34:$L$43,AW$6,1),1/(INDEX(Inputs!$C$34:$C$43,AW$6+1,1)-INDEX(Inputs!$C$34:$C$43,AW$6,1)))-1</f>
        <v>3.7898773747536696E-2</v>
      </c>
      <c r="AY28" s="714">
        <f>+POWER(INDEX(Inputs!$L$34:$L43,AX$6+1,1)/INDEX(Inputs!$L$34:$L$43,AX$6,1),1/(INDEX(Inputs!$C$34:$C$43,AX$6+1,1)-INDEX(Inputs!$C$34:$C$43,AX$6,1)))-1</f>
        <v>3.7898773747536696E-2</v>
      </c>
      <c r="AZ28" s="714">
        <f>+POWER(INDEX(Inputs!$L$34:$L43,AY$6+1,1)/INDEX(Inputs!$L$34:$L$43,AY$6,1),1/(INDEX(Inputs!$C$34:$C$43,AY$6+1,1)-INDEX(Inputs!$C$34:$C$43,AY$6,1)))-1</f>
        <v>3.7898773747536696E-2</v>
      </c>
      <c r="BA28" s="714">
        <f>+POWER(INDEX(Inputs!$L$34:$L43,AZ$6+1,1)/INDEX(Inputs!$L$34:$L$43,AZ$6,1),1/(INDEX(Inputs!$C$34:$C$43,AZ$6+1,1)-INDEX(Inputs!$C$34:$C$43,AZ$6,1)))-1</f>
        <v>3.9253818537244856E-2</v>
      </c>
      <c r="BB28" s="714">
        <f>+POWER(INDEX(Inputs!$L$34:$L43,BA$6+1,1)/INDEX(Inputs!$L$34:$L$43,BA$6,1),1/(INDEX(Inputs!$C$34:$C$43,BA$6+1,1)-INDEX(Inputs!$C$34:$C$43,BA$6,1)))-1</f>
        <v>3.9253818537244856E-2</v>
      </c>
      <c r="BC28" s="714">
        <f>+POWER(INDEX(Inputs!$L$34:$L43,BB$6+1,1)/INDEX(Inputs!$L$34:$L$43,BB$6,1),1/(INDEX(Inputs!$C$34:$C$43,BB$6+1,1)-INDEX(Inputs!$C$34:$C$43,BB$6,1)))-1</f>
        <v>3.9253818537244856E-2</v>
      </c>
      <c r="BD28" s="714">
        <f>+POWER(INDEX(Inputs!$L$34:$L43,BC$6+1,1)/INDEX(Inputs!$L$34:$L$43,BC$6,1),1/(INDEX(Inputs!$C$34:$C$43,BC$6+1,1)-INDEX(Inputs!$C$34:$C$43,BC$6,1)))-1</f>
        <v>3.9253818537244856E-2</v>
      </c>
      <c r="BE28" s="714">
        <f>+POWER(INDEX(Inputs!$L$34:$L43,BD$6+1,1)/INDEX(Inputs!$L$34:$L$43,BD$6,1),1/(INDEX(Inputs!$C$34:$C$43,BD$6+1,1)-INDEX(Inputs!$C$34:$C$43,BD$6,1)))-1</f>
        <v>3.9253818537244856E-2</v>
      </c>
      <c r="BF28" s="714">
        <f>+POWER(INDEX(Inputs!$L$34:$L43,BE$6+1,1)/INDEX(Inputs!$L$34:$L$43,BE$6,1),1/(INDEX(Inputs!$C$34:$C$43,BE$6+1,1)-INDEX(Inputs!$C$34:$C$43,BE$6,1)))-1</f>
        <v>5.224708991739635E-2</v>
      </c>
      <c r="BG28" s="714">
        <f>+POWER(INDEX(Inputs!$L$34:$L43,BF$6+1,1)/INDEX(Inputs!$L$34:$L$43,BF$6,1),1/(INDEX(Inputs!$C$34:$C$43,BF$6+1,1)-INDEX(Inputs!$C$34:$C$43,BF$6,1)))-1</f>
        <v>5.224708991739635E-2</v>
      </c>
      <c r="BH28" s="714">
        <f>+POWER(INDEX(Inputs!$L$34:$L43,BG$6+1,1)/INDEX(Inputs!$L$34:$L$43,BG$6,1),1/(INDEX(Inputs!$C$34:$C$43,BG$6+1,1)-INDEX(Inputs!$C$34:$C$43,BG$6,1)))-1</f>
        <v>5.224708991739635E-2</v>
      </c>
      <c r="BI28" s="714">
        <f>+POWER(INDEX(Inputs!$L$34:$L43,BH$6+1,1)/INDEX(Inputs!$L$34:$L$43,BH$6,1),1/(INDEX(Inputs!$C$34:$C$43,BH$6+1,1)-INDEX(Inputs!$C$34:$C$43,BH$6,1)))-1</f>
        <v>5.224708991739635E-2</v>
      </c>
      <c r="BJ28" s="714">
        <f>+POWER(INDEX(Inputs!$L$34:$L43,BI$6+1,1)/INDEX(Inputs!$L$34:$L$43,BI$6,1),1/(INDEX(Inputs!$C$34:$C$43,BI$6+1,1)-INDEX(Inputs!$C$34:$C$43,BI$6,1)))-1</f>
        <v>5.224708991739635E-2</v>
      </c>
      <c r="DQ28" s="42"/>
    </row>
    <row r="29" spans="1:125" s="61" customFormat="1" x14ac:dyDescent="0.2">
      <c r="C29" s="150" t="s">
        <v>281</v>
      </c>
      <c r="D29" s="150"/>
      <c r="E29" s="150"/>
      <c r="F29" s="150"/>
      <c r="G29" s="150"/>
      <c r="H29" s="713">
        <f>+Inputs!L14</f>
        <v>1</v>
      </c>
      <c r="I29" s="150"/>
      <c r="J29" s="150"/>
      <c r="K29" s="651" t="s">
        <v>63</v>
      </c>
      <c r="L29" s="150"/>
      <c r="M29" s="150"/>
      <c r="N29" s="29">
        <f>+SUM(Q29:BJ29)</f>
        <v>17218415.968903311</v>
      </c>
      <c r="O29" s="150"/>
      <c r="P29" s="151"/>
      <c r="Q29" s="152"/>
      <c r="R29" s="152"/>
      <c r="S29" s="152">
        <f t="shared" ref="S29:AV29" si="27">+CHOOSE($H$29,S30,S31)</f>
        <v>100816.560545667</v>
      </c>
      <c r="T29" s="152">
        <f t="shared" si="27"/>
        <v>112394.73109347705</v>
      </c>
      <c r="U29" s="152">
        <f t="shared" si="27"/>
        <v>125302.58430957703</v>
      </c>
      <c r="V29" s="152">
        <f t="shared" si="27"/>
        <v>139692.82618417928</v>
      </c>
      <c r="W29" s="152">
        <f t="shared" si="27"/>
        <v>146878.52639597599</v>
      </c>
      <c r="X29" s="152">
        <f t="shared" si="27"/>
        <v>154433.85394615683</v>
      </c>
      <c r="Y29" s="152">
        <f t="shared" si="27"/>
        <v>162377.82220367042</v>
      </c>
      <c r="Z29" s="152">
        <f t="shared" si="27"/>
        <v>170730.42257172102</v>
      </c>
      <c r="AA29" s="152">
        <f t="shared" si="27"/>
        <v>179512.67479715921</v>
      </c>
      <c r="AB29" s="152">
        <f t="shared" si="27"/>
        <v>189734.73252458574</v>
      </c>
      <c r="AC29" s="152">
        <f t="shared" si="27"/>
        <v>200538.8687280915</v>
      </c>
      <c r="AD29" s="152">
        <f t="shared" si="27"/>
        <v>211958.22892116796</v>
      </c>
      <c r="AE29" s="152">
        <f t="shared" si="27"/>
        <v>224027.84603474211</v>
      </c>
      <c r="AF29" s="152">
        <f t="shared" si="27"/>
        <v>236784.74789309705</v>
      </c>
      <c r="AG29" s="152">
        <f t="shared" si="27"/>
        <v>248130.30987958965</v>
      </c>
      <c r="AH29" s="152">
        <f t="shared" si="27"/>
        <v>260019.49546487696</v>
      </c>
      <c r="AI29" s="152">
        <f t="shared" si="27"/>
        <v>272478.35242142883</v>
      </c>
      <c r="AJ29" s="152">
        <f t="shared" si="27"/>
        <v>285534.17660302011</v>
      </c>
      <c r="AK29" s="152">
        <f t="shared" si="27"/>
        <v>299215.57174665615</v>
      </c>
      <c r="AL29" s="152">
        <f t="shared" si="27"/>
        <v>313754.90850797424</v>
      </c>
      <c r="AM29" s="152">
        <f t="shared" si="27"/>
        <v>329000.73361221189</v>
      </c>
      <c r="AN29" s="152">
        <f t="shared" si="27"/>
        <v>344987.37639549182</v>
      </c>
      <c r="AO29" s="152">
        <f t="shared" si="27"/>
        <v>361750.83430825238</v>
      </c>
      <c r="AP29" s="152">
        <f t="shared" si="27"/>
        <v>379328.85397144285</v>
      </c>
      <c r="AQ29" s="152">
        <f t="shared" si="27"/>
        <v>394422.11764014035</v>
      </c>
      <c r="AR29" s="152">
        <f t="shared" si="27"/>
        <v>410115.93306172395</v>
      </c>
      <c r="AS29" s="152">
        <f t="shared" si="27"/>
        <v>426434.19582404074</v>
      </c>
      <c r="AT29" s="152">
        <f t="shared" si="27"/>
        <v>443401.7523057994</v>
      </c>
      <c r="AU29" s="152">
        <f t="shared" si="27"/>
        <v>461044.43750795833</v>
      </c>
      <c r="AV29" s="152">
        <f t="shared" si="27"/>
        <v>478517.45633263275</v>
      </c>
      <c r="AW29" s="152">
        <f t="shared" ref="AW29:CB29" si="28">+CHOOSE($H$29,AW30,AW31)</f>
        <v>496652.68114442995</v>
      </c>
      <c r="AX29" s="152">
        <f t="shared" si="28"/>
        <v>515475.20873823017</v>
      </c>
      <c r="AY29" s="152">
        <f t="shared" si="28"/>
        <v>535011.08704666456</v>
      </c>
      <c r="AZ29" s="152">
        <f t="shared" si="28"/>
        <v>555287.35118707013</v>
      </c>
      <c r="BA29" s="152">
        <f t="shared" si="28"/>
        <v>577084.50010659476</v>
      </c>
      <c r="BB29" s="152">
        <f t="shared" si="28"/>
        <v>599737.27035443566</v>
      </c>
      <c r="BC29" s="152">
        <f t="shared" si="28"/>
        <v>623279.24833495123</v>
      </c>
      <c r="BD29" s="152">
        <f t="shared" si="28"/>
        <v>647745.33884712181</v>
      </c>
      <c r="BE29" s="152">
        <f t="shared" si="28"/>
        <v>673171.81683657318</v>
      </c>
      <c r="BF29" s="152">
        <f t="shared" si="28"/>
        <v>708343.08528069069</v>
      </c>
      <c r="BG29" s="152">
        <f t="shared" si="28"/>
        <v>745351.95014971693</v>
      </c>
      <c r="BH29" s="152">
        <f t="shared" si="28"/>
        <v>784294.42050929589</v>
      </c>
      <c r="BI29" s="152">
        <f t="shared" si="28"/>
        <v>825271.52161935729</v>
      </c>
      <c r="BJ29" s="152">
        <f t="shared" si="28"/>
        <v>868389.55701567011</v>
      </c>
      <c r="BK29" s="152">
        <f t="shared" si="28"/>
        <v>0</v>
      </c>
      <c r="BL29" s="152">
        <f t="shared" si="28"/>
        <v>0</v>
      </c>
      <c r="BM29" s="152">
        <f t="shared" si="28"/>
        <v>0</v>
      </c>
      <c r="BN29" s="152">
        <f t="shared" si="28"/>
        <v>0</v>
      </c>
      <c r="BO29" s="152">
        <f t="shared" si="28"/>
        <v>0</v>
      </c>
      <c r="BP29" s="152">
        <f t="shared" si="28"/>
        <v>0</v>
      </c>
      <c r="BQ29" s="152">
        <f t="shared" si="28"/>
        <v>0</v>
      </c>
      <c r="BR29" s="152">
        <f t="shared" si="28"/>
        <v>0</v>
      </c>
      <c r="BS29" s="152">
        <f t="shared" si="28"/>
        <v>0</v>
      </c>
      <c r="BT29" s="152">
        <f t="shared" si="28"/>
        <v>0</v>
      </c>
      <c r="BU29" s="152">
        <f t="shared" si="28"/>
        <v>0</v>
      </c>
      <c r="BV29" s="152">
        <f t="shared" si="28"/>
        <v>0</v>
      </c>
      <c r="BW29" s="152">
        <f t="shared" si="28"/>
        <v>0</v>
      </c>
      <c r="BX29" s="152">
        <f t="shared" si="28"/>
        <v>0</v>
      </c>
      <c r="BY29" s="152">
        <f t="shared" si="28"/>
        <v>0</v>
      </c>
      <c r="BZ29" s="152">
        <f t="shared" si="28"/>
        <v>0</v>
      </c>
      <c r="CA29" s="152">
        <f t="shared" si="28"/>
        <v>0</v>
      </c>
      <c r="CB29" s="152">
        <f t="shared" si="28"/>
        <v>0</v>
      </c>
      <c r="CC29" s="152">
        <f t="shared" ref="CC29:DH29" si="29">+CHOOSE($H$29,CC30,CC31)</f>
        <v>0</v>
      </c>
      <c r="CD29" s="152">
        <f t="shared" si="29"/>
        <v>0</v>
      </c>
      <c r="CE29" s="152">
        <f t="shared" si="29"/>
        <v>0</v>
      </c>
      <c r="CF29" s="152">
        <f t="shared" si="29"/>
        <v>0</v>
      </c>
      <c r="CG29" s="152">
        <f t="shared" si="29"/>
        <v>0</v>
      </c>
      <c r="CH29" s="152">
        <f t="shared" si="29"/>
        <v>0</v>
      </c>
      <c r="CI29" s="152">
        <f t="shared" si="29"/>
        <v>0</v>
      </c>
      <c r="CJ29" s="152">
        <f t="shared" si="29"/>
        <v>0</v>
      </c>
      <c r="CK29" s="152">
        <f t="shared" si="29"/>
        <v>0</v>
      </c>
      <c r="CL29" s="152">
        <f t="shared" si="29"/>
        <v>0</v>
      </c>
      <c r="CM29" s="152">
        <f t="shared" si="29"/>
        <v>0</v>
      </c>
      <c r="CN29" s="152">
        <f t="shared" si="29"/>
        <v>0</v>
      </c>
      <c r="CO29" s="152">
        <f t="shared" si="29"/>
        <v>0</v>
      </c>
      <c r="CP29" s="152">
        <f t="shared" si="29"/>
        <v>0</v>
      </c>
      <c r="CQ29" s="152">
        <f t="shared" si="29"/>
        <v>0</v>
      </c>
      <c r="CR29" s="152">
        <f t="shared" si="29"/>
        <v>0</v>
      </c>
      <c r="CS29" s="152">
        <f t="shared" si="29"/>
        <v>0</v>
      </c>
      <c r="CT29" s="152">
        <f t="shared" si="29"/>
        <v>0</v>
      </c>
      <c r="CU29" s="152">
        <f t="shared" si="29"/>
        <v>0</v>
      </c>
      <c r="CV29" s="152">
        <f t="shared" si="29"/>
        <v>0</v>
      </c>
      <c r="CW29" s="152">
        <f t="shared" si="29"/>
        <v>0</v>
      </c>
      <c r="CX29" s="152">
        <f t="shared" si="29"/>
        <v>0</v>
      </c>
      <c r="CY29" s="152">
        <f t="shared" si="29"/>
        <v>0</v>
      </c>
      <c r="CZ29" s="152">
        <f t="shared" si="29"/>
        <v>0</v>
      </c>
      <c r="DA29" s="152">
        <f t="shared" si="29"/>
        <v>0</v>
      </c>
      <c r="DB29" s="152">
        <f t="shared" si="29"/>
        <v>0</v>
      </c>
      <c r="DC29" s="152">
        <f t="shared" si="29"/>
        <v>0</v>
      </c>
      <c r="DD29" s="152">
        <f t="shared" si="29"/>
        <v>0</v>
      </c>
      <c r="DE29" s="152">
        <f t="shared" si="29"/>
        <v>0</v>
      </c>
      <c r="DF29" s="152">
        <f t="shared" si="29"/>
        <v>0</v>
      </c>
      <c r="DG29" s="152">
        <f t="shared" si="29"/>
        <v>0</v>
      </c>
      <c r="DH29" s="152">
        <f t="shared" si="29"/>
        <v>0</v>
      </c>
      <c r="DI29" s="152">
        <f t="shared" ref="DI29:DP29" si="30">+CHOOSE($H$29,DI30,DI31)</f>
        <v>0</v>
      </c>
      <c r="DJ29" s="152">
        <f t="shared" si="30"/>
        <v>0</v>
      </c>
      <c r="DK29" s="152">
        <f t="shared" si="30"/>
        <v>0</v>
      </c>
      <c r="DL29" s="152">
        <f t="shared" si="30"/>
        <v>0</v>
      </c>
      <c r="DM29" s="152">
        <f t="shared" si="30"/>
        <v>0</v>
      </c>
      <c r="DN29" s="152">
        <f t="shared" si="30"/>
        <v>0</v>
      </c>
      <c r="DO29" s="152">
        <f t="shared" si="30"/>
        <v>0</v>
      </c>
      <c r="DP29" s="152">
        <f t="shared" si="30"/>
        <v>0</v>
      </c>
      <c r="DQ29" s="39"/>
    </row>
    <row r="30" spans="1:125" s="61" customFormat="1" x14ac:dyDescent="0.2">
      <c r="C30" s="61" t="s">
        <v>466</v>
      </c>
      <c r="K30" s="636"/>
      <c r="N30" s="65"/>
      <c r="Q30" s="126"/>
      <c r="R30" s="116"/>
      <c r="S30" s="116">
        <f>+IF(S$6&lt;&gt;R$6,INDEX(Inputs!$L$34:$L$43,S$6,1),R30*(1+S28))</f>
        <v>100816.560545667</v>
      </c>
      <c r="T30" s="116">
        <f>+IF(T$6&lt;&gt;S$6,INDEX(Inputs!$L$34:$L$43,T$6,1),S30*(1+T28))</f>
        <v>112394.73109347705</v>
      </c>
      <c r="U30" s="116">
        <f>+IF(U$6&lt;&gt;T$6,INDEX(Inputs!$L$34:$L$43,U$6,1),T30*(1+U28))</f>
        <v>125302.58430957703</v>
      </c>
      <c r="V30" s="116">
        <f>+IF(V$6&lt;&gt;U$6,INDEX(Inputs!$L$34:$L$43,V$6,1),U30*(1+V28))</f>
        <v>139692.82618417928</v>
      </c>
      <c r="W30" s="116">
        <f>+IF(W$6&lt;&gt;V$6,INDEX(Inputs!$L$34:$L$43,W$6,1),V30*(1+W28))</f>
        <v>146878.52639597599</v>
      </c>
      <c r="X30" s="116">
        <f>+IF(X$6&lt;&gt;W$6,INDEX(Inputs!$L$34:$L$43,X$6,1),W30*(1+X28))</f>
        <v>154433.85394615683</v>
      </c>
      <c r="Y30" s="116">
        <f>+IF(Y$6&lt;&gt;X$6,INDEX(Inputs!$L$34:$L$43,Y$6,1),X30*(1+Y28))</f>
        <v>162377.82220367042</v>
      </c>
      <c r="Z30" s="116">
        <f>+IF(Z$6&lt;&gt;Y$6,INDEX(Inputs!$L$34:$L$43,Z$6,1),Y30*(1+Z28))</f>
        <v>170730.42257172102</v>
      </c>
      <c r="AA30" s="116">
        <f>+IF(AA$6&lt;&gt;Z$6,INDEX(Inputs!$L$34:$L$43,AA$6,1),Z30*(1+AA28))</f>
        <v>179512.67479715921</v>
      </c>
      <c r="AB30" s="116">
        <f>+IF(AB$6&lt;&gt;AA$6,INDEX(Inputs!$L$34:$L$43,AB$6,1),AA30*(1+AB28))</f>
        <v>189734.73252458574</v>
      </c>
      <c r="AC30" s="116">
        <f>+IF(AC$6&lt;&gt;AB$6,INDEX(Inputs!$L$34:$L$43,AC$6,1),AB30*(1+AC28))</f>
        <v>200538.8687280915</v>
      </c>
      <c r="AD30" s="116">
        <f>+IF(AD$6&lt;&gt;AC$6,INDEX(Inputs!$L$34:$L$43,AD$6,1),AC30*(1+AD28))</f>
        <v>211958.22892116796</v>
      </c>
      <c r="AE30" s="116">
        <f>+IF(AE$6&lt;&gt;AD$6,INDEX(Inputs!$L$34:$L$43,AE$6,1),AD30*(1+AE28))</f>
        <v>224027.84603474211</v>
      </c>
      <c r="AF30" s="116">
        <f>+IF(AF$6&lt;&gt;AE$6,INDEX(Inputs!$L$34:$L$43,AF$6,1),AE30*(1+AF28))</f>
        <v>236784.74789309705</v>
      </c>
      <c r="AG30" s="116">
        <f>+IF(AG$6&lt;&gt;AF$6,INDEX(Inputs!$L$34:$L$43,AG$6,1),AF30*(1+AG28))</f>
        <v>248130.30987958965</v>
      </c>
      <c r="AH30" s="116">
        <f>+IF(AH$6&lt;&gt;AG$6,INDEX(Inputs!$L$34:$L$43,AH$6,1),AG30*(1+AH28))</f>
        <v>260019.49546487696</v>
      </c>
      <c r="AI30" s="116">
        <f>+IF(AI$6&lt;&gt;AH$6,INDEX(Inputs!$L$34:$L$43,AI$6,1),AH30*(1+AI28))</f>
        <v>272478.35242142883</v>
      </c>
      <c r="AJ30" s="116">
        <f>+IF(AJ$6&lt;&gt;AI$6,INDEX(Inputs!$L$34:$L$43,AJ$6,1),AI30*(1+AJ28))</f>
        <v>285534.17660302011</v>
      </c>
      <c r="AK30" s="116">
        <f>+IF(AK$6&lt;&gt;AJ$6,INDEX(Inputs!$L$34:$L$43,AK$6,1),AJ30*(1+AK28))</f>
        <v>299215.57174665615</v>
      </c>
      <c r="AL30" s="116">
        <f>+IF(AL$6&lt;&gt;AK$6,INDEX(Inputs!$L$34:$L$43,AL$6,1),AK30*(1+AL28))</f>
        <v>313754.90850797424</v>
      </c>
      <c r="AM30" s="116">
        <f>+IF(AM$6&lt;&gt;AL$6,INDEX(Inputs!$L$34:$L$43,AM$6,1),AL30*(1+AM28))</f>
        <v>329000.73361221189</v>
      </c>
      <c r="AN30" s="116">
        <f>+IF(AN$6&lt;&gt;AM$6,INDEX(Inputs!$L$34:$L$43,AN$6,1),AM30*(1+AN28))</f>
        <v>344987.37639549182</v>
      </c>
      <c r="AO30" s="116">
        <f>+IF(AO$6&lt;&gt;AN$6,INDEX(Inputs!$L$34:$L$43,AO$6,1),AN30*(1+AO28))</f>
        <v>361750.83430825238</v>
      </c>
      <c r="AP30" s="116">
        <f>+IF(AP$6&lt;&gt;AO$6,INDEX(Inputs!$L$34:$L$43,AP$6,1),AO30*(1+AP28))</f>
        <v>379328.85397144285</v>
      </c>
      <c r="AQ30" s="116">
        <f>+IF(AQ$6&lt;&gt;AP$6,INDEX(Inputs!$L$34:$L$43,AQ$6,1),AP30*(1+AQ28))</f>
        <v>394422.11764014035</v>
      </c>
      <c r="AR30" s="116">
        <f>+IF(AR$6&lt;&gt;AQ$6,INDEX(Inputs!$L$34:$L$43,AR$6,1),AQ30*(1+AR28))</f>
        <v>410115.93306172395</v>
      </c>
      <c r="AS30" s="116">
        <f>+IF(AS$6&lt;&gt;AR$6,INDEX(Inputs!$L$34:$L$43,AS$6,1),AR30*(1+AS28))</f>
        <v>426434.19582404074</v>
      </c>
      <c r="AT30" s="116">
        <f>+IF(AT$6&lt;&gt;AS$6,INDEX(Inputs!$L$34:$L$43,AT$6,1),AS30*(1+AT28))</f>
        <v>443401.7523057994</v>
      </c>
      <c r="AU30" s="116">
        <f>+IF(AU$6&lt;&gt;AT$6,INDEX(Inputs!$L$34:$L$43,AU$6,1),AT30*(1+AU28))</f>
        <v>461044.43750795833</v>
      </c>
      <c r="AV30" s="116">
        <f>+IF(AV$6&lt;&gt;AU$6,INDEX(Inputs!$L$34:$L$43,AV$6,1),AU30*(1+AV28))</f>
        <v>478517.45633263275</v>
      </c>
      <c r="AW30" s="116">
        <f>+IF(AW$6&lt;&gt;AV$6,INDEX(Inputs!$L$34:$L$43,AW$6,1),AV30*(1+AW28))</f>
        <v>496652.68114442995</v>
      </c>
      <c r="AX30" s="116">
        <f>+IF(AX$6&lt;&gt;AW$6,INDEX(Inputs!$L$34:$L$43,AX$6,1),AW30*(1+AX28))</f>
        <v>515475.20873823017</v>
      </c>
      <c r="AY30" s="116">
        <f>+IF(AY$6&lt;&gt;AX$6,INDEX(Inputs!$L$34:$L$43,AY$6,1),AX30*(1+AY28))</f>
        <v>535011.08704666456</v>
      </c>
      <c r="AZ30" s="116">
        <f>+IF(AZ$6&lt;&gt;AY$6,INDEX(Inputs!$L$34:$L$43,AZ$6,1),AY30*(1+AZ28))</f>
        <v>555287.35118707013</v>
      </c>
      <c r="BA30" s="116">
        <f>+IF(BA$6&lt;&gt;AZ$6,INDEX(Inputs!$L$34:$L$43,BA$6,1),AZ30*(1+BA28))</f>
        <v>577084.50010659476</v>
      </c>
      <c r="BB30" s="116">
        <f>+IF(BB$6&lt;&gt;BA$6,INDEX(Inputs!$L$34:$L$43,BB$6,1),BA30*(1+BB28))</f>
        <v>599737.27035443566</v>
      </c>
      <c r="BC30" s="116">
        <f>+IF(BC$6&lt;&gt;BB$6,INDEX(Inputs!$L$34:$L$43,BC$6,1),BB30*(1+BC28))</f>
        <v>623279.24833495123</v>
      </c>
      <c r="BD30" s="116">
        <f>+IF(BD$6&lt;&gt;BC$6,INDEX(Inputs!$L$34:$L$43,BD$6,1),BC30*(1+BD28))</f>
        <v>647745.33884712181</v>
      </c>
      <c r="BE30" s="116">
        <f>+IF(BE$6&lt;&gt;BD$6,INDEX(Inputs!$L$34:$L$43,BE$6,1),BD30*(1+BE28))</f>
        <v>673171.81683657318</v>
      </c>
      <c r="BF30" s="116">
        <f>+IF(BF$6&lt;&gt;BE$6,INDEX(Inputs!$L$34:$L$43,BF$6,1),BE30*(1+BF28))</f>
        <v>708343.08528069069</v>
      </c>
      <c r="BG30" s="116">
        <f>+IF(BG$6&lt;&gt;BF$6,INDEX(Inputs!$L$34:$L$43,BG$6,1),BF30*(1+BG28))</f>
        <v>745351.95014971693</v>
      </c>
      <c r="BH30" s="116">
        <f>+IF(BH$6&lt;&gt;BG$6,INDEX(Inputs!$L$34:$L$43,BH$6,1),BG30*(1+BH28))</f>
        <v>784294.42050929589</v>
      </c>
      <c r="BI30" s="116">
        <f>+IF(BI$6&lt;&gt;BH$6,INDEX(Inputs!$L$34:$L$43,BI$6,1),BH30*(1+BI28))</f>
        <v>825271.52161935729</v>
      </c>
      <c r="BJ30" s="116">
        <f>+IF(BJ$6&lt;&gt;BI$6,INDEX(Inputs!$L$34:$L$43,BJ$6,1),BI30*(1+BJ28))</f>
        <v>868389.55701567011</v>
      </c>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39"/>
    </row>
    <row r="31" spans="1:125" s="61" customFormat="1" x14ac:dyDescent="0.2">
      <c r="K31" s="636"/>
      <c r="N31" s="65"/>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39"/>
    </row>
    <row r="32" spans="1:125" x14ac:dyDescent="0.2">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3"/>
    </row>
    <row r="33" spans="1:121" s="130" customFormat="1" x14ac:dyDescent="0.2">
      <c r="A33" s="61"/>
      <c r="B33" s="61"/>
      <c r="C33" s="138" t="s">
        <v>286</v>
      </c>
      <c r="D33" s="138"/>
      <c r="E33" s="138"/>
      <c r="F33" s="138"/>
      <c r="G33" s="138"/>
      <c r="H33" s="138"/>
      <c r="I33" s="138"/>
      <c r="J33" s="138"/>
      <c r="K33" s="652" t="s">
        <v>63</v>
      </c>
      <c r="L33" s="138"/>
      <c r="M33" s="138"/>
      <c r="N33" s="712">
        <f>+SUM(Q33:BJ33)</f>
        <v>39545578.786975168</v>
      </c>
      <c r="O33" s="138"/>
      <c r="P33" s="139"/>
      <c r="Q33" s="140"/>
      <c r="R33" s="129"/>
      <c r="S33" s="712">
        <f t="shared" ref="S33:AX33" si="31">+S29*S25*S12</f>
        <v>120885.88824258334</v>
      </c>
      <c r="T33" s="712">
        <f t="shared" si="31"/>
        <v>137801.19959581227</v>
      </c>
      <c r="U33" s="712">
        <f t="shared" si="31"/>
        <v>157083.43534639102</v>
      </c>
      <c r="V33" s="712">
        <f t="shared" si="31"/>
        <v>179063.79431092911</v>
      </c>
      <c r="W33" s="712">
        <f t="shared" si="31"/>
        <v>192605.02760027614</v>
      </c>
      <c r="X33" s="712">
        <f t="shared" si="31"/>
        <v>207170.28140534012</v>
      </c>
      <c r="Y33" s="712">
        <f t="shared" si="31"/>
        <v>222836.99461179745</v>
      </c>
      <c r="Z33" s="712">
        <f t="shared" si="31"/>
        <v>239688.46221945746</v>
      </c>
      <c r="AA33" s="712">
        <f t="shared" si="31"/>
        <v>257814.27819564901</v>
      </c>
      <c r="AB33" s="712">
        <f t="shared" si="31"/>
        <v>278762.48071423272</v>
      </c>
      <c r="AC33" s="712">
        <f t="shared" si="31"/>
        <v>301412.78907362081</v>
      </c>
      <c r="AD33" s="712">
        <f t="shared" si="31"/>
        <v>325903.50460495288</v>
      </c>
      <c r="AE33" s="712">
        <f t="shared" si="31"/>
        <v>352384.16604760505</v>
      </c>
      <c r="AF33" s="712">
        <f t="shared" si="31"/>
        <v>381016.46262314834</v>
      </c>
      <c r="AG33" s="712">
        <f t="shared" si="31"/>
        <v>408456.17658274976</v>
      </c>
      <c r="AH33" s="712">
        <f t="shared" si="31"/>
        <v>437872.02012216265</v>
      </c>
      <c r="AI33" s="712">
        <f t="shared" si="31"/>
        <v>469406.30843176972</v>
      </c>
      <c r="AJ33" s="712">
        <f t="shared" si="31"/>
        <v>503211.60583420709</v>
      </c>
      <c r="AK33" s="712">
        <f t="shared" si="31"/>
        <v>539451.46389750403</v>
      </c>
      <c r="AL33" s="712">
        <f t="shared" si="31"/>
        <v>578674.50285759126</v>
      </c>
      <c r="AM33" s="712">
        <f t="shared" si="31"/>
        <v>620749.41429967957</v>
      </c>
      <c r="AN33" s="712">
        <f t="shared" si="31"/>
        <v>665883.55535032612</v>
      </c>
      <c r="AO33" s="712">
        <f t="shared" si="31"/>
        <v>714299.35988941567</v>
      </c>
      <c r="AP33" s="712">
        <f t="shared" si="31"/>
        <v>766235.43476756511</v>
      </c>
      <c r="AQ33" s="712">
        <f t="shared" si="31"/>
        <v>815048.11516243534</v>
      </c>
      <c r="AR33" s="712">
        <f t="shared" si="31"/>
        <v>866970.38519414421</v>
      </c>
      <c r="AS33" s="712">
        <f t="shared" si="31"/>
        <v>922200.33985832217</v>
      </c>
      <c r="AT33" s="712">
        <f t="shared" si="31"/>
        <v>980948.69370233372</v>
      </c>
      <c r="AU33" s="712">
        <f t="shared" si="31"/>
        <v>1043439.5847480897</v>
      </c>
      <c r="AV33" s="712">
        <f t="shared" si="31"/>
        <v>1107893.3127959436</v>
      </c>
      <c r="AW33" s="712">
        <f t="shared" si="31"/>
        <v>1176328.376342268</v>
      </c>
      <c r="AX33" s="712">
        <f t="shared" si="31"/>
        <v>1248990.7042546622</v>
      </c>
      <c r="AY33" s="712">
        <f t="shared" ref="AY33:CD33" si="32">+AY29*AY25*AY12</f>
        <v>1326141.4165364497</v>
      </c>
      <c r="AZ33" s="712">
        <f t="shared" si="32"/>
        <v>1408057.7626899001</v>
      </c>
      <c r="BA33" s="712">
        <f t="shared" si="32"/>
        <v>1496985.9829482075</v>
      </c>
      <c r="BB33" s="712">
        <f t="shared" si="32"/>
        <v>1591530.6122543954</v>
      </c>
      <c r="BC33" s="712">
        <f t="shared" si="32"/>
        <v>1692046.3642246984</v>
      </c>
      <c r="BD33" s="712">
        <f t="shared" si="32"/>
        <v>1798910.355001319</v>
      </c>
      <c r="BE33" s="712">
        <f t="shared" si="32"/>
        <v>1912523.5181210623</v>
      </c>
      <c r="BF33" s="712">
        <f t="shared" si="32"/>
        <v>2058733.5943873224</v>
      </c>
      <c r="BG33" s="712">
        <f t="shared" si="32"/>
        <v>2216121.2515822537</v>
      </c>
      <c r="BH33" s="712">
        <f t="shared" si="32"/>
        <v>2385541.0020527993</v>
      </c>
      <c r="BI33" s="712">
        <f t="shared" si="32"/>
        <v>2567912.6845663274</v>
      </c>
      <c r="BJ33" s="712">
        <f t="shared" si="32"/>
        <v>1870586.1239274591</v>
      </c>
      <c r="BK33" s="712">
        <f t="shared" si="32"/>
        <v>0</v>
      </c>
      <c r="BL33" s="712">
        <f t="shared" si="32"/>
        <v>0</v>
      </c>
      <c r="BM33" s="712">
        <f t="shared" si="32"/>
        <v>0</v>
      </c>
      <c r="BN33" s="712">
        <f t="shared" si="32"/>
        <v>0</v>
      </c>
      <c r="BO33" s="712">
        <f t="shared" si="32"/>
        <v>0</v>
      </c>
      <c r="BP33" s="712">
        <f t="shared" si="32"/>
        <v>0</v>
      </c>
      <c r="BQ33" s="712">
        <f t="shared" si="32"/>
        <v>0</v>
      </c>
      <c r="BR33" s="712">
        <f t="shared" si="32"/>
        <v>0</v>
      </c>
      <c r="BS33" s="712">
        <f t="shared" si="32"/>
        <v>0</v>
      </c>
      <c r="BT33" s="712">
        <f t="shared" si="32"/>
        <v>0</v>
      </c>
      <c r="BU33" s="712">
        <f t="shared" si="32"/>
        <v>0</v>
      </c>
      <c r="BV33" s="712">
        <f t="shared" si="32"/>
        <v>0</v>
      </c>
      <c r="BW33" s="712">
        <f t="shared" si="32"/>
        <v>0</v>
      </c>
      <c r="BX33" s="712">
        <f t="shared" si="32"/>
        <v>0</v>
      </c>
      <c r="BY33" s="712">
        <f t="shared" si="32"/>
        <v>0</v>
      </c>
      <c r="BZ33" s="712">
        <f t="shared" si="32"/>
        <v>0</v>
      </c>
      <c r="CA33" s="712">
        <f t="shared" si="32"/>
        <v>0</v>
      </c>
      <c r="CB33" s="712">
        <f t="shared" si="32"/>
        <v>0</v>
      </c>
      <c r="CC33" s="712">
        <f t="shared" si="32"/>
        <v>0</v>
      </c>
      <c r="CD33" s="712">
        <f t="shared" si="32"/>
        <v>0</v>
      </c>
      <c r="CE33" s="712">
        <f t="shared" ref="CE33:DJ33" si="33">+CE29*CE25*CE12</f>
        <v>0</v>
      </c>
      <c r="CF33" s="712">
        <f t="shared" si="33"/>
        <v>0</v>
      </c>
      <c r="CG33" s="712">
        <f t="shared" si="33"/>
        <v>0</v>
      </c>
      <c r="CH33" s="712">
        <f t="shared" si="33"/>
        <v>0</v>
      </c>
      <c r="CI33" s="712">
        <f t="shared" si="33"/>
        <v>0</v>
      </c>
      <c r="CJ33" s="712">
        <f t="shared" si="33"/>
        <v>0</v>
      </c>
      <c r="CK33" s="712">
        <f t="shared" si="33"/>
        <v>0</v>
      </c>
      <c r="CL33" s="712">
        <f t="shared" si="33"/>
        <v>0</v>
      </c>
      <c r="CM33" s="712">
        <f t="shared" si="33"/>
        <v>0</v>
      </c>
      <c r="CN33" s="712">
        <f t="shared" si="33"/>
        <v>0</v>
      </c>
      <c r="CO33" s="712">
        <f t="shared" si="33"/>
        <v>0</v>
      </c>
      <c r="CP33" s="712">
        <f t="shared" si="33"/>
        <v>0</v>
      </c>
      <c r="CQ33" s="712">
        <f t="shared" si="33"/>
        <v>0</v>
      </c>
      <c r="CR33" s="712">
        <f t="shared" si="33"/>
        <v>0</v>
      </c>
      <c r="CS33" s="712">
        <f t="shared" si="33"/>
        <v>0</v>
      </c>
      <c r="CT33" s="712">
        <f t="shared" si="33"/>
        <v>0</v>
      </c>
      <c r="CU33" s="712">
        <f t="shared" si="33"/>
        <v>0</v>
      </c>
      <c r="CV33" s="712">
        <f t="shared" si="33"/>
        <v>0</v>
      </c>
      <c r="CW33" s="712">
        <f t="shared" si="33"/>
        <v>0</v>
      </c>
      <c r="CX33" s="712">
        <f t="shared" si="33"/>
        <v>0</v>
      </c>
      <c r="CY33" s="712">
        <f t="shared" si="33"/>
        <v>0</v>
      </c>
      <c r="CZ33" s="712">
        <f t="shared" si="33"/>
        <v>0</v>
      </c>
      <c r="DA33" s="712">
        <f t="shared" si="33"/>
        <v>0</v>
      </c>
      <c r="DB33" s="712">
        <f t="shared" si="33"/>
        <v>0</v>
      </c>
      <c r="DC33" s="712">
        <f t="shared" si="33"/>
        <v>0</v>
      </c>
      <c r="DD33" s="712">
        <f t="shared" si="33"/>
        <v>0</v>
      </c>
      <c r="DE33" s="712">
        <f t="shared" si="33"/>
        <v>0</v>
      </c>
      <c r="DF33" s="712">
        <f t="shared" si="33"/>
        <v>0</v>
      </c>
      <c r="DG33" s="712">
        <f t="shared" si="33"/>
        <v>0</v>
      </c>
      <c r="DH33" s="712">
        <f t="shared" si="33"/>
        <v>0</v>
      </c>
      <c r="DI33" s="712">
        <f t="shared" si="33"/>
        <v>0</v>
      </c>
      <c r="DJ33" s="712">
        <f t="shared" si="33"/>
        <v>0</v>
      </c>
      <c r="DK33" s="712">
        <f t="shared" ref="DK33:DP33" si="34">+DK29*DK25*DK12</f>
        <v>0</v>
      </c>
      <c r="DL33" s="712">
        <f t="shared" si="34"/>
        <v>0</v>
      </c>
      <c r="DM33" s="712">
        <f t="shared" si="34"/>
        <v>0</v>
      </c>
      <c r="DN33" s="712">
        <f t="shared" si="34"/>
        <v>0</v>
      </c>
      <c r="DO33" s="712">
        <f t="shared" si="34"/>
        <v>0</v>
      </c>
      <c r="DP33" s="712">
        <f t="shared" si="34"/>
        <v>0</v>
      </c>
      <c r="DQ33" s="39"/>
    </row>
    <row r="34" spans="1:121" x14ac:dyDescent="0.2">
      <c r="DQ34" s="42"/>
    </row>
    <row r="35" spans="1:121" ht="15.75" x14ac:dyDescent="0.25">
      <c r="B35" s="119"/>
      <c r="C35" s="141" t="s">
        <v>65</v>
      </c>
      <c r="DQ35" s="42"/>
    </row>
    <row r="36" spans="1:121" x14ac:dyDescent="0.2">
      <c r="C36" s="180" t="s">
        <v>436</v>
      </c>
      <c r="D36" s="180"/>
      <c r="E36" s="180"/>
      <c r="F36" s="180"/>
      <c r="G36" s="180"/>
      <c r="H36" s="180"/>
      <c r="I36" s="180"/>
      <c r="J36" s="180"/>
      <c r="K36" s="653"/>
      <c r="L36" s="180"/>
      <c r="M36" s="180"/>
      <c r="N36" s="180"/>
      <c r="O36" s="180"/>
      <c r="P36" s="180"/>
      <c r="Q36" s="180"/>
      <c r="R36" s="180"/>
      <c r="S36" s="181"/>
      <c r="T36" s="724">
        <f>+POWER(INDEX(Inputs!$L$58:$L67,S$6+1,1)/INDEX(Inputs!$L$58:$L$67,S$6,1),1/(INDEX(Inputs!$C$58:$C$67,S$6+1,1)-INDEX(Inputs!$C$58:$C$67,S$6,1)))-1</f>
        <v>3.4628864476465182E-2</v>
      </c>
      <c r="U36" s="724">
        <f>+POWER(INDEX(Inputs!$L$58:$L67,T$6+1,1)/INDEX(Inputs!$L$58:$L$67,T$6,1),1/(INDEX(Inputs!$C$58:$C$67,T$6+1,1)-INDEX(Inputs!$C$58:$C$67,T$6,1)))-1</f>
        <v>3.4628864476465182E-2</v>
      </c>
      <c r="V36" s="724">
        <f>+POWER(INDEX(Inputs!$L$58:$L67,U$6+1,1)/INDEX(Inputs!$L$58:$L$67,U$6,1),1/(INDEX(Inputs!$C$58:$C$67,U$6+1,1)-INDEX(Inputs!$C$58:$C$67,U$6,1)))-1</f>
        <v>3.4628864476465182E-2</v>
      </c>
      <c r="W36" s="724">
        <f>+POWER(INDEX(Inputs!$L$58:$L67,V$6+1,1)/INDEX(Inputs!$L$58:$L$67,V$6,1),1/(INDEX(Inputs!$C$58:$C$67,V$6+1,1)-INDEX(Inputs!$C$58:$C$67,V$6,1)))-1</f>
        <v>1.9670982243038981E-2</v>
      </c>
      <c r="X36" s="724">
        <f>+POWER(INDEX(Inputs!$L$58:$L67,W$6+1,1)/INDEX(Inputs!$L$58:$L$67,W$6,1),1/(INDEX(Inputs!$C$58:$C$67,W$6+1,1)-INDEX(Inputs!$C$58:$C$67,W$6,1)))-1</f>
        <v>1.9670982243038981E-2</v>
      </c>
      <c r="Y36" s="724">
        <f>+POWER(INDEX(Inputs!$L$58:$L67,X$6+1,1)/INDEX(Inputs!$L$58:$L$67,X$6,1),1/(INDEX(Inputs!$C$58:$C$67,X$6+1,1)-INDEX(Inputs!$C$58:$C$67,X$6,1)))-1</f>
        <v>1.9670982243038981E-2</v>
      </c>
      <c r="Z36" s="724">
        <f>+POWER(INDEX(Inputs!$L$58:$L67,Y$6+1,1)/INDEX(Inputs!$L$58:$L$67,Y$6,1),1/(INDEX(Inputs!$C$58:$C$67,Y$6+1,1)-INDEX(Inputs!$C$58:$C$67,Y$6,1)))-1</f>
        <v>1.9670982243038981E-2</v>
      </c>
      <c r="AA36" s="724">
        <f>+POWER(INDEX(Inputs!$L$58:$L67,Z$6+1,1)/INDEX(Inputs!$L$58:$L$67,Z$6,1),1/(INDEX(Inputs!$C$58:$C$67,Z$6+1,1)-INDEX(Inputs!$C$58:$C$67,Z$6,1)))-1</f>
        <v>1.9670982243038981E-2</v>
      </c>
      <c r="AB36" s="724">
        <f>+POWER(INDEX(Inputs!$L$58:$L67,AA$6+1,1)/INDEX(Inputs!$L$58:$L$67,AA$6,1),1/(INDEX(Inputs!$C$58:$C$67,AA$6+1,1)-INDEX(Inputs!$C$58:$C$67,AA$6,1)))-1</f>
        <v>2.6559223323826764E-2</v>
      </c>
      <c r="AC36" s="724">
        <f>+POWER(INDEX(Inputs!$L$58:$L67,AB$6+1,1)/INDEX(Inputs!$L$58:$L$67,AB$6,1),1/(INDEX(Inputs!$C$58:$C$67,AB$6+1,1)-INDEX(Inputs!$C$58:$C$67,AB$6,1)))-1</f>
        <v>2.6559223323826764E-2</v>
      </c>
      <c r="AD36" s="724">
        <f>+POWER(INDEX(Inputs!$L$58:$L67,AC$6+1,1)/INDEX(Inputs!$L$58:$L$67,AC$6,1),1/(INDEX(Inputs!$C$58:$C$67,AC$6+1,1)-INDEX(Inputs!$C$58:$C$67,AC$6,1)))-1</f>
        <v>2.6559223323826764E-2</v>
      </c>
      <c r="AE36" s="724">
        <f>+POWER(INDEX(Inputs!$L$58:$L67,AD$6+1,1)/INDEX(Inputs!$L$58:$L$67,AD$6,1),1/(INDEX(Inputs!$C$58:$C$67,AD$6+1,1)-INDEX(Inputs!$C$58:$C$67,AD$6,1)))-1</f>
        <v>2.6559223323826764E-2</v>
      </c>
      <c r="AF36" s="724">
        <f>+POWER(INDEX(Inputs!$L$58:$L67,AE$6+1,1)/INDEX(Inputs!$L$58:$L$67,AE$6,1),1/(INDEX(Inputs!$C$58:$C$67,AE$6+1,1)-INDEX(Inputs!$C$58:$C$67,AE$6,1)))-1</f>
        <v>2.6559223323826764E-2</v>
      </c>
      <c r="AG36" s="724">
        <f>+POWER(INDEX(Inputs!$L$58:$L67,AF$6+1,1)/INDEX(Inputs!$L$58:$L$67,AF$6,1),1/(INDEX(Inputs!$C$58:$C$67,AF$6+1,1)-INDEX(Inputs!$C$58:$C$67,AF$6,1)))-1</f>
        <v>2.1824833428803148E-2</v>
      </c>
      <c r="AH36" s="724">
        <f>+POWER(INDEX(Inputs!$L$58:$L67,AG$6+1,1)/INDEX(Inputs!$L$58:$L$67,AG$6,1),1/(INDEX(Inputs!$C$58:$C$67,AG$6+1,1)-INDEX(Inputs!$C$58:$C$67,AG$6,1)))-1</f>
        <v>2.1824833428803148E-2</v>
      </c>
      <c r="AI36" s="724">
        <f>+POWER(INDEX(Inputs!$L$58:$L67,AH$6+1,1)/INDEX(Inputs!$L$58:$L$67,AH$6,1),1/(INDEX(Inputs!$C$58:$C$67,AH$6+1,1)-INDEX(Inputs!$C$58:$C$67,AH$6,1)))-1</f>
        <v>2.1824833428803148E-2</v>
      </c>
      <c r="AJ36" s="724">
        <f>+POWER(INDEX(Inputs!$L$58:$L67,AI$6+1,1)/INDEX(Inputs!$L$58:$L$67,AI$6,1),1/(INDEX(Inputs!$C$58:$C$67,AI$6+1,1)-INDEX(Inputs!$C$58:$C$67,AI$6,1)))-1</f>
        <v>2.1824833428803148E-2</v>
      </c>
      <c r="AK36" s="724">
        <f>+POWER(INDEX(Inputs!$L$58:$L67,AJ$6+1,1)/INDEX(Inputs!$L$58:$L$67,AJ$6,1),1/(INDEX(Inputs!$C$58:$C$67,AJ$6+1,1)-INDEX(Inputs!$C$58:$C$67,AJ$6,1)))-1</f>
        <v>2.1824833428803148E-2</v>
      </c>
      <c r="AL36" s="724">
        <f>+POWER(INDEX(Inputs!$L$58:$L67,AK$6+1,1)/INDEX(Inputs!$L$58:$L$67,AK$6,1),1/(INDEX(Inputs!$C$58:$C$67,AK$6+1,1)-INDEX(Inputs!$C$58:$C$67,AK$6,1)))-1</f>
        <v>2.6143929727245441E-2</v>
      </c>
      <c r="AM36" s="724">
        <f>+POWER(INDEX(Inputs!$L$58:$L67,AL$6+1,1)/INDEX(Inputs!$L$58:$L$67,AL$6,1),1/(INDEX(Inputs!$C$58:$C$67,AL$6+1,1)-INDEX(Inputs!$C$58:$C$67,AL$6,1)))-1</f>
        <v>2.6143929727245441E-2</v>
      </c>
      <c r="AN36" s="724">
        <f>+POWER(INDEX(Inputs!$L$58:$L67,AM$6+1,1)/INDEX(Inputs!$L$58:$L$67,AM$6,1),1/(INDEX(Inputs!$C$58:$C$67,AM$6+1,1)-INDEX(Inputs!$C$58:$C$67,AM$6,1)))-1</f>
        <v>2.6143929727245441E-2</v>
      </c>
      <c r="AO36" s="724">
        <f>+POWER(INDEX(Inputs!$L$58:$L67,AN$6+1,1)/INDEX(Inputs!$L$58:$L$67,AN$6,1),1/(INDEX(Inputs!$C$58:$C$67,AN$6+1,1)-INDEX(Inputs!$C$58:$C$67,AN$6,1)))-1</f>
        <v>2.6143929727245441E-2</v>
      </c>
      <c r="AP36" s="724">
        <f>+POWER(INDEX(Inputs!$L$58:$L67,AO$6+1,1)/INDEX(Inputs!$L$58:$L$67,AO$6,1),1/(INDEX(Inputs!$C$58:$C$67,AO$6+1,1)-INDEX(Inputs!$C$58:$C$67,AO$6,1)))-1</f>
        <v>2.6143929727245441E-2</v>
      </c>
      <c r="AQ36" s="724">
        <f>+POWER(INDEX(Inputs!$L$58:$L67,AP$6+1,1)/INDEX(Inputs!$L$58:$L$67,AP$6,1),1/(INDEX(Inputs!$C$58:$C$67,AP$6+1,1)-INDEX(Inputs!$C$58:$C$67,AP$6,1)))-1</f>
        <v>2.009208132385587E-2</v>
      </c>
      <c r="AR36" s="724">
        <f>+POWER(INDEX(Inputs!$L$58:$L67,AQ$6+1,1)/INDEX(Inputs!$L$58:$L$67,AQ$6,1),1/(INDEX(Inputs!$C$58:$C$67,AQ$6+1,1)-INDEX(Inputs!$C$58:$C$67,AQ$6,1)))-1</f>
        <v>2.009208132385587E-2</v>
      </c>
      <c r="AS36" s="724">
        <f>+POWER(INDEX(Inputs!$L$58:$L67,AR$6+1,1)/INDEX(Inputs!$L$58:$L$67,AR$6,1),1/(INDEX(Inputs!$C$58:$C$67,AR$6+1,1)-INDEX(Inputs!$C$58:$C$67,AR$6,1)))-1</f>
        <v>2.009208132385587E-2</v>
      </c>
      <c r="AT36" s="724">
        <f>+POWER(INDEX(Inputs!$L$58:$L67,AS$6+1,1)/INDEX(Inputs!$L$58:$L$67,AS$6,1),1/(INDEX(Inputs!$C$58:$C$67,AS$6+1,1)-INDEX(Inputs!$C$58:$C$67,AS$6,1)))-1</f>
        <v>2.009208132385587E-2</v>
      </c>
      <c r="AU36" s="724">
        <f>+POWER(INDEX(Inputs!$L$58:$L67,AT$6+1,1)/INDEX(Inputs!$L$58:$L$67,AT$6,1),1/(INDEX(Inputs!$C$58:$C$67,AT$6+1,1)-INDEX(Inputs!$C$58:$C$67,AT$6,1)))-1</f>
        <v>2.009208132385587E-2</v>
      </c>
      <c r="AV36" s="724">
        <f>+POWER(INDEX(Inputs!$L$58:$L67,AU$6+1,1)/INDEX(Inputs!$L$58:$L$67,AU$6,1),1/(INDEX(Inputs!$C$58:$C$67,AU$6+1,1)-INDEX(Inputs!$C$58:$C$67,AU$6,1)))-1</f>
        <v>2.1559860442778467E-2</v>
      </c>
      <c r="AW36" s="724">
        <f>+POWER(INDEX(Inputs!$L$58:$L67,AV$6+1,1)/INDEX(Inputs!$L$58:$L$67,AV$6,1),1/(INDEX(Inputs!$C$58:$C$67,AV$6+1,1)-INDEX(Inputs!$C$58:$C$67,AV$6,1)))-1</f>
        <v>2.1559860442778467E-2</v>
      </c>
      <c r="AX36" s="724">
        <f>+POWER(INDEX(Inputs!$L$58:$L67,AW$6+1,1)/INDEX(Inputs!$L$58:$L$67,AW$6,1),1/(INDEX(Inputs!$C$58:$C$67,AW$6+1,1)-INDEX(Inputs!$C$58:$C$67,AW$6,1)))-1</f>
        <v>2.1559860442778467E-2</v>
      </c>
      <c r="AY36" s="724">
        <f>+POWER(INDEX(Inputs!$L$58:$L67,AX$6+1,1)/INDEX(Inputs!$L$58:$L$67,AX$6,1),1/(INDEX(Inputs!$C$58:$C$67,AX$6+1,1)-INDEX(Inputs!$C$58:$C$67,AX$6,1)))-1</f>
        <v>2.1559860442778467E-2</v>
      </c>
      <c r="AZ36" s="724">
        <f>+POWER(INDEX(Inputs!$L$58:$L67,AY$6+1,1)/INDEX(Inputs!$L$58:$L$67,AY$6,1),1/(INDEX(Inputs!$C$58:$C$67,AY$6+1,1)-INDEX(Inputs!$C$58:$C$67,AY$6,1)))-1</f>
        <v>2.1559860442778467E-2</v>
      </c>
      <c r="BA36" s="724">
        <f>+POWER(INDEX(Inputs!$L$58:$L67,AZ$6+1,1)/INDEX(Inputs!$L$58:$L$67,AZ$6,1),1/(INDEX(Inputs!$C$58:$C$67,AZ$6+1,1)-INDEX(Inputs!$C$58:$C$67,AZ$6,1)))-1</f>
        <v>2.2496841814892532E-2</v>
      </c>
      <c r="BB36" s="724">
        <f>+POWER(INDEX(Inputs!$L$58:$L67,BA$6+1,1)/INDEX(Inputs!$L$58:$L$67,BA$6,1),1/(INDEX(Inputs!$C$58:$C$67,BA$6+1,1)-INDEX(Inputs!$C$58:$C$67,BA$6,1)))-1</f>
        <v>2.2496841814892532E-2</v>
      </c>
      <c r="BC36" s="724">
        <f>+POWER(INDEX(Inputs!$L$58:$L67,BB$6+1,1)/INDEX(Inputs!$L$58:$L$67,BB$6,1),1/(INDEX(Inputs!$C$58:$C$67,BB$6+1,1)-INDEX(Inputs!$C$58:$C$67,BB$6,1)))-1</f>
        <v>2.2496841814892532E-2</v>
      </c>
      <c r="BD36" s="724">
        <f>+POWER(INDEX(Inputs!$L$58:$L67,BC$6+1,1)/INDEX(Inputs!$L$58:$L$67,BC$6,1),1/(INDEX(Inputs!$C$58:$C$67,BC$6+1,1)-INDEX(Inputs!$C$58:$C$67,BC$6,1)))-1</f>
        <v>2.2496841814892532E-2</v>
      </c>
      <c r="BE36" s="724">
        <f>+POWER(INDEX(Inputs!$L$58:$L67,BD$6+1,1)/INDEX(Inputs!$L$58:$L$67,BD$6,1),1/(INDEX(Inputs!$C$58:$C$67,BD$6+1,1)-INDEX(Inputs!$C$58:$C$67,BD$6,1)))-1</f>
        <v>2.2496841814892532E-2</v>
      </c>
      <c r="BF36" s="724">
        <f>+POWER(INDEX(Inputs!$L$58:$L67,BE$6+1,1)/INDEX(Inputs!$L$58:$L$67,BE$6,1),1/(INDEX(Inputs!$C$58:$C$67,BE$6+1,1)-INDEX(Inputs!$C$58:$C$67,BE$6,1)))-1</f>
        <v>3.3550272506999601E-2</v>
      </c>
      <c r="BG36" s="724">
        <f>+POWER(INDEX(Inputs!$L$58:$L67,BF$6+1,1)/INDEX(Inputs!$L$58:$L$67,BF$6,1),1/(INDEX(Inputs!$C$58:$C$67,BF$6+1,1)-INDEX(Inputs!$C$58:$C$67,BF$6,1)))-1</f>
        <v>3.3550272506999601E-2</v>
      </c>
      <c r="BH36" s="724">
        <f>+POWER(INDEX(Inputs!$L$58:$L67,BG$6+1,1)/INDEX(Inputs!$L$58:$L$67,BG$6,1),1/(INDEX(Inputs!$C$58:$C$67,BG$6+1,1)-INDEX(Inputs!$C$58:$C$67,BG$6,1)))-1</f>
        <v>3.3550272506999601E-2</v>
      </c>
      <c r="BI36" s="724">
        <f>+POWER(INDEX(Inputs!$L$58:$L67,BH$6+1,1)/INDEX(Inputs!$L$58:$L$67,BH$6,1),1/(INDEX(Inputs!$C$58:$C$67,BH$6+1,1)-INDEX(Inputs!$C$58:$C$67,BH$6,1)))-1</f>
        <v>3.3550272506999601E-2</v>
      </c>
      <c r="BJ36" s="724">
        <f>+POWER(INDEX(Inputs!$L$58:$L67,BI$6+1,1)/INDEX(Inputs!$L$58:$L$67,BI$6,1),1/(INDEX(Inputs!$C$58:$C$67,BI$6+1,1)-INDEX(Inputs!$C$58:$C$67,BI$6,1)))-1</f>
        <v>3.3550272506999601E-2</v>
      </c>
      <c r="DQ36" s="42"/>
    </row>
    <row r="37" spans="1:121" s="61" customFormat="1" x14ac:dyDescent="0.2">
      <c r="C37" s="150" t="s">
        <v>65</v>
      </c>
      <c r="D37" s="150"/>
      <c r="E37" s="150"/>
      <c r="F37" s="150"/>
      <c r="G37" s="150"/>
      <c r="H37" s="713">
        <f>+Inputs!L16</f>
        <v>1</v>
      </c>
      <c r="I37" s="150"/>
      <c r="J37" s="150"/>
      <c r="K37" s="651" t="s">
        <v>63</v>
      </c>
      <c r="L37" s="150"/>
      <c r="M37" s="150"/>
      <c r="N37" s="29">
        <f>+SUM(Q37:BJ37)</f>
        <v>1344227.9023223831</v>
      </c>
      <c r="O37" s="150"/>
      <c r="P37" s="151"/>
      <c r="Q37" s="152"/>
      <c r="R37" s="152"/>
      <c r="S37" s="152">
        <f t="shared" ref="S37:CD37" si="35">+CHOOSE($H$37,S38,S39)</f>
        <v>17402.625008768999</v>
      </c>
      <c r="T37" s="152">
        <f t="shared" si="35"/>
        <v>18005.258151732403</v>
      </c>
      <c r="U37" s="152">
        <f t="shared" si="35"/>
        <v>18628.759796132515</v>
      </c>
      <c r="V37" s="152">
        <f t="shared" si="35"/>
        <v>19273.852594477416</v>
      </c>
      <c r="W37" s="152">
        <f t="shared" si="35"/>
        <v>19652.988206618331</v>
      </c>
      <c r="X37" s="152">
        <f t="shared" si="35"/>
        <v>20039.581788653373</v>
      </c>
      <c r="Y37" s="152">
        <f t="shared" si="35"/>
        <v>20433.7800461759</v>
      </c>
      <c r="Z37" s="152">
        <f t="shared" si="35"/>
        <v>20835.732570622389</v>
      </c>
      <c r="AA37" s="152">
        <f t="shared" si="35"/>
        <v>21245.591896039823</v>
      </c>
      <c r="AB37" s="152">
        <f t="shared" si="35"/>
        <v>21809.858315853628</v>
      </c>
      <c r="AC37" s="152">
        <f t="shared" si="35"/>
        <v>22389.111213525404</v>
      </c>
      <c r="AD37" s="152">
        <f t="shared" si="35"/>
        <v>22983.748618267418</v>
      </c>
      <c r="AE37" s="152">
        <f t="shared" si="35"/>
        <v>23594.179130638677</v>
      </c>
      <c r="AF37" s="152">
        <f t="shared" si="35"/>
        <v>24220.822203311673</v>
      </c>
      <c r="AG37" s="152">
        <f t="shared" si="35"/>
        <v>24749.437613407608</v>
      </c>
      <c r="AH37" s="152">
        <f t="shared" si="35"/>
        <v>25289.589966776784</v>
      </c>
      <c r="AI37" s="152">
        <f t="shared" si="35"/>
        <v>25841.53105528442</v>
      </c>
      <c r="AJ37" s="152">
        <f t="shared" si="35"/>
        <v>26405.518166111247</v>
      </c>
      <c r="AK37" s="152">
        <f t="shared" si="35"/>
        <v>26981.814201687866</v>
      </c>
      <c r="AL37" s="152">
        <f t="shared" si="35"/>
        <v>27687.224856090386</v>
      </c>
      <c r="AM37" s="152">
        <f t="shared" si="35"/>
        <v>28411.077717070457</v>
      </c>
      <c r="AN37" s="152">
        <f t="shared" si="35"/>
        <v>29153.854936380856</v>
      </c>
      <c r="AO37" s="152">
        <f t="shared" si="35"/>
        <v>29916.051271115906</v>
      </c>
      <c r="AP37" s="152">
        <f t="shared" si="35"/>
        <v>30698.174413264616</v>
      </c>
      <c r="AQ37" s="152">
        <f t="shared" si="35"/>
        <v>31314.96463006984</v>
      </c>
      <c r="AR37" s="152">
        <f t="shared" si="35"/>
        <v>31944.147446070874</v>
      </c>
      <c r="AS37" s="152">
        <f t="shared" si="35"/>
        <v>32585.971854378571</v>
      </c>
      <c r="AT37" s="152">
        <f t="shared" si="35"/>
        <v>33240.691850893621</v>
      </c>
      <c r="AU37" s="152">
        <f t="shared" si="35"/>
        <v>33908.566534823003</v>
      </c>
      <c r="AV37" s="152">
        <f t="shared" si="35"/>
        <v>34639.630497128455</v>
      </c>
      <c r="AW37" s="152">
        <f t="shared" si="35"/>
        <v>35386.456096435955</v>
      </c>
      <c r="AX37" s="152">
        <f t="shared" si="35"/>
        <v>36149.383151439622</v>
      </c>
      <c r="AY37" s="152">
        <f t="shared" si="35"/>
        <v>36928.75880727719</v>
      </c>
      <c r="AZ37" s="152">
        <f t="shared" si="35"/>
        <v>37724.937693487096</v>
      </c>
      <c r="BA37" s="152">
        <f t="shared" si="35"/>
        <v>38573.629649254151</v>
      </c>
      <c r="BB37" s="152">
        <f t="shared" si="35"/>
        <v>39441.414493699667</v>
      </c>
      <c r="BC37" s="152">
        <f t="shared" si="35"/>
        <v>40328.721756520041</v>
      </c>
      <c r="BD37" s="152">
        <f t="shared" si="35"/>
        <v>41235.990630473287</v>
      </c>
      <c r="BE37" s="152">
        <f t="shared" si="35"/>
        <v>42163.67018876745</v>
      </c>
      <c r="BF37" s="152">
        <f t="shared" si="35"/>
        <v>43578.272813495852</v>
      </c>
      <c r="BG37" s="152">
        <f t="shared" si="35"/>
        <v>45040.335741773008</v>
      </c>
      <c r="BH37" s="152">
        <f t="shared" si="35"/>
        <v>46551.451279716246</v>
      </c>
      <c r="BI37" s="152">
        <f t="shared" si="35"/>
        <v>48113.265155747038</v>
      </c>
      <c r="BJ37" s="152">
        <f t="shared" si="35"/>
        <v>49727.478312923915</v>
      </c>
      <c r="BK37" s="152">
        <f t="shared" si="35"/>
        <v>0</v>
      </c>
      <c r="BL37" s="152">
        <f t="shared" si="35"/>
        <v>0</v>
      </c>
      <c r="BM37" s="152">
        <f t="shared" si="35"/>
        <v>0</v>
      </c>
      <c r="BN37" s="152">
        <f t="shared" si="35"/>
        <v>0</v>
      </c>
      <c r="BO37" s="152">
        <f t="shared" si="35"/>
        <v>0</v>
      </c>
      <c r="BP37" s="152">
        <f t="shared" si="35"/>
        <v>0</v>
      </c>
      <c r="BQ37" s="152">
        <f t="shared" si="35"/>
        <v>0</v>
      </c>
      <c r="BR37" s="152">
        <f t="shared" si="35"/>
        <v>0</v>
      </c>
      <c r="BS37" s="152">
        <f t="shared" si="35"/>
        <v>0</v>
      </c>
      <c r="BT37" s="152">
        <f t="shared" si="35"/>
        <v>0</v>
      </c>
      <c r="BU37" s="152">
        <f t="shared" si="35"/>
        <v>0</v>
      </c>
      <c r="BV37" s="152">
        <f t="shared" si="35"/>
        <v>0</v>
      </c>
      <c r="BW37" s="152">
        <f t="shared" si="35"/>
        <v>0</v>
      </c>
      <c r="BX37" s="152">
        <f t="shared" si="35"/>
        <v>0</v>
      </c>
      <c r="BY37" s="152">
        <f t="shared" si="35"/>
        <v>0</v>
      </c>
      <c r="BZ37" s="152">
        <f t="shared" si="35"/>
        <v>0</v>
      </c>
      <c r="CA37" s="152">
        <f t="shared" si="35"/>
        <v>0</v>
      </c>
      <c r="CB37" s="152">
        <f t="shared" si="35"/>
        <v>0</v>
      </c>
      <c r="CC37" s="152">
        <f t="shared" si="35"/>
        <v>0</v>
      </c>
      <c r="CD37" s="152">
        <f t="shared" si="35"/>
        <v>0</v>
      </c>
      <c r="CE37" s="152">
        <f t="shared" ref="CE37:DP37" si="36">+CHOOSE($H$37,CE38,CE39)</f>
        <v>0</v>
      </c>
      <c r="CF37" s="152">
        <f t="shared" si="36"/>
        <v>0</v>
      </c>
      <c r="CG37" s="152">
        <f t="shared" si="36"/>
        <v>0</v>
      </c>
      <c r="CH37" s="152">
        <f t="shared" si="36"/>
        <v>0</v>
      </c>
      <c r="CI37" s="152">
        <f t="shared" si="36"/>
        <v>0</v>
      </c>
      <c r="CJ37" s="152">
        <f t="shared" si="36"/>
        <v>0</v>
      </c>
      <c r="CK37" s="152">
        <f t="shared" si="36"/>
        <v>0</v>
      </c>
      <c r="CL37" s="152">
        <f t="shared" si="36"/>
        <v>0</v>
      </c>
      <c r="CM37" s="152">
        <f t="shared" si="36"/>
        <v>0</v>
      </c>
      <c r="CN37" s="152">
        <f t="shared" si="36"/>
        <v>0</v>
      </c>
      <c r="CO37" s="152">
        <f t="shared" si="36"/>
        <v>0</v>
      </c>
      <c r="CP37" s="152">
        <f t="shared" si="36"/>
        <v>0</v>
      </c>
      <c r="CQ37" s="152">
        <f t="shared" si="36"/>
        <v>0</v>
      </c>
      <c r="CR37" s="152">
        <f t="shared" si="36"/>
        <v>0</v>
      </c>
      <c r="CS37" s="152">
        <f t="shared" si="36"/>
        <v>0</v>
      </c>
      <c r="CT37" s="152">
        <f t="shared" si="36"/>
        <v>0</v>
      </c>
      <c r="CU37" s="152">
        <f t="shared" si="36"/>
        <v>0</v>
      </c>
      <c r="CV37" s="152">
        <f t="shared" si="36"/>
        <v>0</v>
      </c>
      <c r="CW37" s="152">
        <f t="shared" si="36"/>
        <v>0</v>
      </c>
      <c r="CX37" s="152">
        <f t="shared" si="36"/>
        <v>0</v>
      </c>
      <c r="CY37" s="152">
        <f t="shared" si="36"/>
        <v>0</v>
      </c>
      <c r="CZ37" s="152">
        <f t="shared" si="36"/>
        <v>0</v>
      </c>
      <c r="DA37" s="152">
        <f t="shared" si="36"/>
        <v>0</v>
      </c>
      <c r="DB37" s="152">
        <f t="shared" si="36"/>
        <v>0</v>
      </c>
      <c r="DC37" s="152">
        <f t="shared" si="36"/>
        <v>0</v>
      </c>
      <c r="DD37" s="152">
        <f t="shared" si="36"/>
        <v>0</v>
      </c>
      <c r="DE37" s="152">
        <f t="shared" si="36"/>
        <v>0</v>
      </c>
      <c r="DF37" s="152">
        <f t="shared" si="36"/>
        <v>0</v>
      </c>
      <c r="DG37" s="152">
        <f t="shared" si="36"/>
        <v>0</v>
      </c>
      <c r="DH37" s="152">
        <f t="shared" si="36"/>
        <v>0</v>
      </c>
      <c r="DI37" s="152">
        <f t="shared" si="36"/>
        <v>0</v>
      </c>
      <c r="DJ37" s="152">
        <f t="shared" si="36"/>
        <v>0</v>
      </c>
      <c r="DK37" s="152">
        <f t="shared" si="36"/>
        <v>0</v>
      </c>
      <c r="DL37" s="152">
        <f t="shared" si="36"/>
        <v>0</v>
      </c>
      <c r="DM37" s="152">
        <f t="shared" si="36"/>
        <v>0</v>
      </c>
      <c r="DN37" s="152">
        <f t="shared" si="36"/>
        <v>0</v>
      </c>
      <c r="DO37" s="152">
        <f t="shared" si="36"/>
        <v>0</v>
      </c>
      <c r="DP37" s="152">
        <f t="shared" si="36"/>
        <v>0</v>
      </c>
      <c r="DQ37" s="39"/>
    </row>
    <row r="38" spans="1:121" s="61" customFormat="1" x14ac:dyDescent="0.2">
      <c r="C38" s="61" t="s">
        <v>467</v>
      </c>
      <c r="K38" s="636"/>
      <c r="N38" s="65"/>
      <c r="Q38" s="126"/>
      <c r="R38" s="116"/>
      <c r="S38" s="116">
        <f>+IF(S$6&lt;&gt;R$6,INDEX(Inputs!$L$58:$L$67,S$6,1),R38*(1+S36))</f>
        <v>17402.625008768999</v>
      </c>
      <c r="T38" s="116">
        <f>+IF(T$6&lt;&gt;S$6,INDEX(Inputs!$L$58:$L$67,T$6,1),S38*(1+T36))</f>
        <v>18005.258151732403</v>
      </c>
      <c r="U38" s="116">
        <f>+IF(U$6&lt;&gt;T$6,INDEX(Inputs!$L$58:$L$67,U$6,1),T38*(1+U36))</f>
        <v>18628.759796132515</v>
      </c>
      <c r="V38" s="116">
        <f>+IF(V$6&lt;&gt;U$6,INDEX(Inputs!$L$58:$L$67,V$6,1),U38*(1+V36))</f>
        <v>19273.852594477416</v>
      </c>
      <c r="W38" s="116">
        <f>+IF(W$6&lt;&gt;V$6,INDEX(Inputs!$L$58:$L$67,W$6,1),V38*(1+W36))</f>
        <v>19652.988206618331</v>
      </c>
      <c r="X38" s="116">
        <f>+IF(X$6&lt;&gt;W$6,INDEX(Inputs!$L$58:$L$67,X$6,1),W38*(1+X36))</f>
        <v>20039.581788653373</v>
      </c>
      <c r="Y38" s="116">
        <f>+IF(Y$6&lt;&gt;X$6,INDEX(Inputs!$L$58:$L$67,Y$6,1),X38*(1+Y36))</f>
        <v>20433.7800461759</v>
      </c>
      <c r="Z38" s="116">
        <f>+IF(Z$6&lt;&gt;Y$6,INDEX(Inputs!$L$58:$L$67,Z$6,1),Y38*(1+Z36))</f>
        <v>20835.732570622389</v>
      </c>
      <c r="AA38" s="116">
        <f>+IF(AA$6&lt;&gt;Z$6,INDEX(Inputs!$L$58:$L$67,AA$6,1),Z38*(1+AA36))</f>
        <v>21245.591896039823</v>
      </c>
      <c r="AB38" s="116">
        <f>+IF(AB$6&lt;&gt;AA$6,INDEX(Inputs!$L$58:$L$67,AB$6,1),AA38*(1+AB36))</f>
        <v>21809.858315853628</v>
      </c>
      <c r="AC38" s="116">
        <f>+IF(AC$6&lt;&gt;AB$6,INDEX(Inputs!$L$58:$L$67,AC$6,1),AB38*(1+AC36))</f>
        <v>22389.111213525404</v>
      </c>
      <c r="AD38" s="116">
        <f>+IF(AD$6&lt;&gt;AC$6,INDEX(Inputs!$L$58:$L$67,AD$6,1),AC38*(1+AD36))</f>
        <v>22983.748618267418</v>
      </c>
      <c r="AE38" s="116">
        <f>+IF(AE$6&lt;&gt;AD$6,INDEX(Inputs!$L$58:$L$67,AE$6,1),AD38*(1+AE36))</f>
        <v>23594.179130638677</v>
      </c>
      <c r="AF38" s="116">
        <f>+IF(AF$6&lt;&gt;AE$6,INDEX(Inputs!$L$58:$L$67,AF$6,1),AE38*(1+AF36))</f>
        <v>24220.822203311673</v>
      </c>
      <c r="AG38" s="116">
        <f>+IF(AG$6&lt;&gt;AF$6,INDEX(Inputs!$L$58:$L$67,AG$6,1),AF38*(1+AG36))</f>
        <v>24749.437613407608</v>
      </c>
      <c r="AH38" s="116">
        <f>+IF(AH$6&lt;&gt;AG$6,INDEX(Inputs!$L$58:$L$67,AH$6,1),AG38*(1+AH36))</f>
        <v>25289.589966776784</v>
      </c>
      <c r="AI38" s="116">
        <f>+IF(AI$6&lt;&gt;AH$6,INDEX(Inputs!$L$58:$L$67,AI$6,1),AH38*(1+AI36))</f>
        <v>25841.53105528442</v>
      </c>
      <c r="AJ38" s="116">
        <f>+IF(AJ$6&lt;&gt;AI$6,INDEX(Inputs!$L$58:$L$67,AJ$6,1),AI38*(1+AJ36))</f>
        <v>26405.518166111247</v>
      </c>
      <c r="AK38" s="116">
        <f>+IF(AK$6&lt;&gt;AJ$6,INDEX(Inputs!$L$58:$L$67,AK$6,1),AJ38*(1+AK36))</f>
        <v>26981.814201687866</v>
      </c>
      <c r="AL38" s="116">
        <f>+IF(AL$6&lt;&gt;AK$6,INDEX(Inputs!$L$58:$L$67,AL$6,1),AK38*(1+AL36))</f>
        <v>27687.224856090386</v>
      </c>
      <c r="AM38" s="116">
        <f>+IF(AM$6&lt;&gt;AL$6,INDEX(Inputs!$L$58:$L$67,AM$6,1),AL38*(1+AM36))</f>
        <v>28411.077717070457</v>
      </c>
      <c r="AN38" s="116">
        <f>+IF(AN$6&lt;&gt;AM$6,INDEX(Inputs!$L$58:$L$67,AN$6,1),AM38*(1+AN36))</f>
        <v>29153.854936380856</v>
      </c>
      <c r="AO38" s="116">
        <f>+IF(AO$6&lt;&gt;AN$6,INDEX(Inputs!$L$58:$L$67,AO$6,1),AN38*(1+AO36))</f>
        <v>29916.051271115906</v>
      </c>
      <c r="AP38" s="116">
        <f>+IF(AP$6&lt;&gt;AO$6,INDEX(Inputs!$L$58:$L$67,AP$6,1),AO38*(1+AP36))</f>
        <v>30698.174413264616</v>
      </c>
      <c r="AQ38" s="116">
        <f>+IF(AQ$6&lt;&gt;AP$6,INDEX(Inputs!$L$58:$L$67,AQ$6,1),AP38*(1+AQ36))</f>
        <v>31314.96463006984</v>
      </c>
      <c r="AR38" s="116">
        <f>+IF(AR$6&lt;&gt;AQ$6,INDEX(Inputs!$L$58:$L$67,AR$6,1),AQ38*(1+AR36))</f>
        <v>31944.147446070874</v>
      </c>
      <c r="AS38" s="116">
        <f>+IF(AS$6&lt;&gt;AR$6,INDEX(Inputs!$L$58:$L$67,AS$6,1),AR38*(1+AS36))</f>
        <v>32585.971854378571</v>
      </c>
      <c r="AT38" s="116">
        <f>+IF(AT$6&lt;&gt;AS$6,INDEX(Inputs!$L$58:$L$67,AT$6,1),AS38*(1+AT36))</f>
        <v>33240.691850893621</v>
      </c>
      <c r="AU38" s="116">
        <f>+IF(AU$6&lt;&gt;AT$6,INDEX(Inputs!$L$58:$L$67,AU$6,1),AT38*(1+AU36))</f>
        <v>33908.566534823003</v>
      </c>
      <c r="AV38" s="116">
        <f>+IF(AV$6&lt;&gt;AU$6,INDEX(Inputs!$L$58:$L$67,AV$6,1),AU38*(1+AV36))</f>
        <v>34639.630497128455</v>
      </c>
      <c r="AW38" s="116">
        <f>+IF(AW$6&lt;&gt;AV$6,INDEX(Inputs!$L$58:$L$67,AW$6,1),AV38*(1+AW36))</f>
        <v>35386.456096435955</v>
      </c>
      <c r="AX38" s="116">
        <f>+IF(AX$6&lt;&gt;AW$6,INDEX(Inputs!$L$58:$L$67,AX$6,1),AW38*(1+AX36))</f>
        <v>36149.383151439622</v>
      </c>
      <c r="AY38" s="116">
        <f>+IF(AY$6&lt;&gt;AX$6,INDEX(Inputs!$L$58:$L$67,AY$6,1),AX38*(1+AY36))</f>
        <v>36928.75880727719</v>
      </c>
      <c r="AZ38" s="116">
        <f>+IF(AZ$6&lt;&gt;AY$6,INDEX(Inputs!$L$58:$L$67,AZ$6,1),AY38*(1+AZ36))</f>
        <v>37724.937693487096</v>
      </c>
      <c r="BA38" s="116">
        <f>+IF(BA$6&lt;&gt;AZ$6,INDEX(Inputs!$L$58:$L$67,BA$6,1),AZ38*(1+BA36))</f>
        <v>38573.629649254151</v>
      </c>
      <c r="BB38" s="116">
        <f>+IF(BB$6&lt;&gt;BA$6,INDEX(Inputs!$L$58:$L$67,BB$6,1),BA38*(1+BB36))</f>
        <v>39441.414493699667</v>
      </c>
      <c r="BC38" s="116">
        <f>+IF(BC$6&lt;&gt;BB$6,INDEX(Inputs!$L$58:$L$67,BC$6,1),BB38*(1+BC36))</f>
        <v>40328.721756520041</v>
      </c>
      <c r="BD38" s="116">
        <f>+IF(BD$6&lt;&gt;BC$6,INDEX(Inputs!$L$58:$L$67,BD$6,1),BC38*(1+BD36))</f>
        <v>41235.990630473287</v>
      </c>
      <c r="BE38" s="116">
        <f>+IF(BE$6&lt;&gt;BD$6,INDEX(Inputs!$L$58:$L$67,BE$6,1),BD38*(1+BE36))</f>
        <v>42163.67018876745</v>
      </c>
      <c r="BF38" s="116">
        <f>+IF(BF$6&lt;&gt;BE$6,INDEX(Inputs!$L$58:$L$67,BF$6,1),BE38*(1+BF36))</f>
        <v>43578.272813495852</v>
      </c>
      <c r="BG38" s="116">
        <f>+IF(BG$6&lt;&gt;BF$6,INDEX(Inputs!$L$58:$L$67,BG$6,1),BF38*(1+BG36))</f>
        <v>45040.335741773008</v>
      </c>
      <c r="BH38" s="116">
        <f>+IF(BH$6&lt;&gt;BG$6,INDEX(Inputs!$L$58:$L$67,BH$6,1),BG38*(1+BH36))</f>
        <v>46551.451279716246</v>
      </c>
      <c r="BI38" s="116">
        <f>+IF(BI$6&lt;&gt;BH$6,INDEX(Inputs!$L$58:$L$67,BI$6,1),BH38*(1+BI36))</f>
        <v>48113.265155747038</v>
      </c>
      <c r="BJ38" s="116">
        <f>+IF(BJ$6&lt;&gt;BI$6,INDEX(Inputs!$L$58:$L$67,BJ$6,1),BI38*(1+BJ36))</f>
        <v>49727.478312923915</v>
      </c>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39"/>
    </row>
    <row r="39" spans="1:121" s="61" customFormat="1" x14ac:dyDescent="0.2">
      <c r="K39" s="636"/>
      <c r="N39" s="65"/>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39"/>
    </row>
    <row r="40" spans="1:121" x14ac:dyDescent="0.2">
      <c r="L40" s="135"/>
      <c r="DQ40" s="42"/>
    </row>
    <row r="41" spans="1:121" s="130" customFormat="1" x14ac:dyDescent="0.2">
      <c r="A41" s="61"/>
      <c r="B41" s="61"/>
      <c r="C41" s="138" t="s">
        <v>396</v>
      </c>
      <c r="D41" s="138"/>
      <c r="E41" s="138"/>
      <c r="F41" s="138"/>
      <c r="G41" s="138"/>
      <c r="H41" s="138"/>
      <c r="I41" s="138"/>
      <c r="J41" s="138"/>
      <c r="K41" s="652" t="s">
        <v>63</v>
      </c>
      <c r="L41" s="138"/>
      <c r="M41" s="138"/>
      <c r="N41" s="712">
        <f>+SUM(Q41:BJ41)</f>
        <v>2912934.1994395768</v>
      </c>
      <c r="O41" s="138"/>
      <c r="P41" s="139"/>
      <c r="Q41" s="140"/>
      <c r="R41" s="129"/>
      <c r="S41" s="712">
        <f>+S37*S25*S12</f>
        <v>20866.926728617222</v>
      </c>
      <c r="T41" s="712">
        <f t="shared" ref="T41:BJ41" si="37">+T37*T25*T12</f>
        <v>22075.289012235549</v>
      </c>
      <c r="U41" s="712">
        <f t="shared" si="37"/>
        <v>23353.625155802732</v>
      </c>
      <c r="V41" s="712">
        <f t="shared" si="37"/>
        <v>24705.987206575235</v>
      </c>
      <c r="W41" s="712">
        <f t="shared" si="37"/>
        <v>25771.393741783409</v>
      </c>
      <c r="X41" s="712">
        <f t="shared" si="37"/>
        <v>26882.74424497689</v>
      </c>
      <c r="Y41" s="712">
        <f t="shared" si="37"/>
        <v>28042.019976946256</v>
      </c>
      <c r="Z41" s="712">
        <f t="shared" si="37"/>
        <v>29251.287637213056</v>
      </c>
      <c r="AA41" s="712">
        <f t="shared" si="37"/>
        <v>30512.70304843966</v>
      </c>
      <c r="AB41" s="712">
        <f t="shared" si="37"/>
        <v>32043.527968003862</v>
      </c>
      <c r="AC41" s="712">
        <f t="shared" si="37"/>
        <v>33651.154504607315</v>
      </c>
      <c r="AD41" s="712">
        <f t="shared" si="37"/>
        <v>35339.435801940366</v>
      </c>
      <c r="AE41" s="712">
        <f t="shared" si="37"/>
        <v>37112.418316241608</v>
      </c>
      <c r="AF41" s="712">
        <f t="shared" si="37"/>
        <v>38974.351514804897</v>
      </c>
      <c r="AG41" s="712">
        <f t="shared" si="37"/>
        <v>40740.934330237193</v>
      </c>
      <c r="AH41" s="712">
        <f t="shared" si="37"/>
        <v>42587.590699750173</v>
      </c>
      <c r="AI41" s="712">
        <f t="shared" si="37"/>
        <v>44517.950101683113</v>
      </c>
      <c r="AJ41" s="712">
        <f t="shared" si="37"/>
        <v>46535.806527030727</v>
      </c>
      <c r="AK41" s="712">
        <f t="shared" si="37"/>
        <v>48645.125936276221</v>
      </c>
      <c r="AL41" s="712">
        <f t="shared" si="37"/>
        <v>51064.989406204753</v>
      </c>
      <c r="AM41" s="712">
        <f t="shared" si="37"/>
        <v>53605.229565480651</v>
      </c>
      <c r="AN41" s="712">
        <f t="shared" si="37"/>
        <v>56271.834581419265</v>
      </c>
      <c r="AO41" s="712">
        <f t="shared" si="37"/>
        <v>59071.090504156869</v>
      </c>
      <c r="AP41" s="712">
        <f t="shared" si="37"/>
        <v>62009.596084903082</v>
      </c>
      <c r="AQ41" s="712">
        <f t="shared" si="37"/>
        <v>64710.374384743314</v>
      </c>
      <c r="AR41" s="712">
        <f t="shared" si="37"/>
        <v>67528.782920634447</v>
      </c>
      <c r="AS41" s="712">
        <f t="shared" si="37"/>
        <v>70469.944983308698</v>
      </c>
      <c r="AT41" s="712">
        <f t="shared" si="37"/>
        <v>73539.207004323398</v>
      </c>
      <c r="AU41" s="712">
        <f t="shared" si="37"/>
        <v>76742.148274780877</v>
      </c>
      <c r="AV41" s="712">
        <f t="shared" si="37"/>
        <v>80199.822342142434</v>
      </c>
      <c r="AW41" s="712">
        <f t="shared" si="37"/>
        <v>83813.284463720251</v>
      </c>
      <c r="AX41" s="712">
        <f t="shared" si="37"/>
        <v>87589.553785149139</v>
      </c>
      <c r="AY41" s="712">
        <f t="shared" si="37"/>
        <v>91535.96570484525</v>
      </c>
      <c r="AZ41" s="712">
        <f t="shared" si="37"/>
        <v>95660.186123008156</v>
      </c>
      <c r="BA41" s="712">
        <f t="shared" si="37"/>
        <v>100061.91967675925</v>
      </c>
      <c r="BB41" s="712">
        <f t="shared" si="37"/>
        <v>104666.19578309647</v>
      </c>
      <c r="BC41" s="712">
        <f t="shared" si="37"/>
        <v>109482.33428955424</v>
      </c>
      <c r="BD41" s="712">
        <f t="shared" si="37"/>
        <v>114520.08388964013</v>
      </c>
      <c r="BE41" s="712">
        <f t="shared" si="37"/>
        <v>119789.64185586889</v>
      </c>
      <c r="BF41" s="712">
        <f t="shared" si="37"/>
        <v>126656.21517427311</v>
      </c>
      <c r="BG41" s="712">
        <f t="shared" si="37"/>
        <v>133916.39371936084</v>
      </c>
      <c r="BH41" s="712">
        <f t="shared" si="37"/>
        <v>141592.73970190145</v>
      </c>
      <c r="BI41" s="712">
        <f t="shared" si="37"/>
        <v>149709.10864210289</v>
      </c>
      <c r="BJ41" s="712">
        <f t="shared" si="37"/>
        <v>107117.28412503307</v>
      </c>
      <c r="BK41" s="712">
        <f t="shared" ref="BK41:CD41" si="38">+BK37*BK25*BK12</f>
        <v>0</v>
      </c>
      <c r="BL41" s="712">
        <f t="shared" si="38"/>
        <v>0</v>
      </c>
      <c r="BM41" s="712">
        <f t="shared" si="38"/>
        <v>0</v>
      </c>
      <c r="BN41" s="712">
        <f t="shared" si="38"/>
        <v>0</v>
      </c>
      <c r="BO41" s="712">
        <f t="shared" si="38"/>
        <v>0</v>
      </c>
      <c r="BP41" s="712">
        <f t="shared" si="38"/>
        <v>0</v>
      </c>
      <c r="BQ41" s="712">
        <f t="shared" si="38"/>
        <v>0</v>
      </c>
      <c r="BR41" s="712">
        <f t="shared" si="38"/>
        <v>0</v>
      </c>
      <c r="BS41" s="712">
        <f t="shared" si="38"/>
        <v>0</v>
      </c>
      <c r="BT41" s="712">
        <f t="shared" si="38"/>
        <v>0</v>
      </c>
      <c r="BU41" s="712">
        <f t="shared" si="38"/>
        <v>0</v>
      </c>
      <c r="BV41" s="712">
        <f t="shared" si="38"/>
        <v>0</v>
      </c>
      <c r="BW41" s="712">
        <f t="shared" si="38"/>
        <v>0</v>
      </c>
      <c r="BX41" s="712">
        <f t="shared" si="38"/>
        <v>0</v>
      </c>
      <c r="BY41" s="712">
        <f t="shared" si="38"/>
        <v>0</v>
      </c>
      <c r="BZ41" s="712">
        <f t="shared" si="38"/>
        <v>0</v>
      </c>
      <c r="CA41" s="712">
        <f t="shared" si="38"/>
        <v>0</v>
      </c>
      <c r="CB41" s="712">
        <f t="shared" si="38"/>
        <v>0</v>
      </c>
      <c r="CC41" s="712">
        <f t="shared" si="38"/>
        <v>0</v>
      </c>
      <c r="CD41" s="712">
        <f t="shared" si="38"/>
        <v>0</v>
      </c>
      <c r="CE41" s="712">
        <f t="shared" ref="CE41:DJ41" si="39">+CE37*CE25*CE12</f>
        <v>0</v>
      </c>
      <c r="CF41" s="712">
        <f t="shared" si="39"/>
        <v>0</v>
      </c>
      <c r="CG41" s="712">
        <f t="shared" si="39"/>
        <v>0</v>
      </c>
      <c r="CH41" s="712">
        <f t="shared" si="39"/>
        <v>0</v>
      </c>
      <c r="CI41" s="712">
        <f t="shared" si="39"/>
        <v>0</v>
      </c>
      <c r="CJ41" s="712">
        <f t="shared" si="39"/>
        <v>0</v>
      </c>
      <c r="CK41" s="712">
        <f t="shared" si="39"/>
        <v>0</v>
      </c>
      <c r="CL41" s="712">
        <f t="shared" si="39"/>
        <v>0</v>
      </c>
      <c r="CM41" s="712">
        <f t="shared" si="39"/>
        <v>0</v>
      </c>
      <c r="CN41" s="712">
        <f t="shared" si="39"/>
        <v>0</v>
      </c>
      <c r="CO41" s="712">
        <f t="shared" si="39"/>
        <v>0</v>
      </c>
      <c r="CP41" s="712">
        <f t="shared" si="39"/>
        <v>0</v>
      </c>
      <c r="CQ41" s="712">
        <f t="shared" si="39"/>
        <v>0</v>
      </c>
      <c r="CR41" s="712">
        <f t="shared" si="39"/>
        <v>0</v>
      </c>
      <c r="CS41" s="712">
        <f t="shared" si="39"/>
        <v>0</v>
      </c>
      <c r="CT41" s="712">
        <f t="shared" si="39"/>
        <v>0</v>
      </c>
      <c r="CU41" s="712">
        <f t="shared" si="39"/>
        <v>0</v>
      </c>
      <c r="CV41" s="712">
        <f t="shared" si="39"/>
        <v>0</v>
      </c>
      <c r="CW41" s="712">
        <f t="shared" si="39"/>
        <v>0</v>
      </c>
      <c r="CX41" s="712">
        <f t="shared" si="39"/>
        <v>0</v>
      </c>
      <c r="CY41" s="712">
        <f t="shared" si="39"/>
        <v>0</v>
      </c>
      <c r="CZ41" s="712">
        <f t="shared" si="39"/>
        <v>0</v>
      </c>
      <c r="DA41" s="712">
        <f t="shared" si="39"/>
        <v>0</v>
      </c>
      <c r="DB41" s="712">
        <f t="shared" si="39"/>
        <v>0</v>
      </c>
      <c r="DC41" s="712">
        <f t="shared" si="39"/>
        <v>0</v>
      </c>
      <c r="DD41" s="712">
        <f t="shared" si="39"/>
        <v>0</v>
      </c>
      <c r="DE41" s="712">
        <f t="shared" si="39"/>
        <v>0</v>
      </c>
      <c r="DF41" s="712">
        <f t="shared" si="39"/>
        <v>0</v>
      </c>
      <c r="DG41" s="712">
        <f t="shared" si="39"/>
        <v>0</v>
      </c>
      <c r="DH41" s="712">
        <f t="shared" si="39"/>
        <v>0</v>
      </c>
      <c r="DI41" s="712">
        <f t="shared" si="39"/>
        <v>0</v>
      </c>
      <c r="DJ41" s="712">
        <f t="shared" si="39"/>
        <v>0</v>
      </c>
      <c r="DK41" s="712">
        <f t="shared" ref="DK41:DP41" si="40">+DK37*DK25*DK12</f>
        <v>0</v>
      </c>
      <c r="DL41" s="712">
        <f t="shared" si="40"/>
        <v>0</v>
      </c>
      <c r="DM41" s="712">
        <f t="shared" si="40"/>
        <v>0</v>
      </c>
      <c r="DN41" s="712">
        <f t="shared" si="40"/>
        <v>0</v>
      </c>
      <c r="DO41" s="712">
        <f t="shared" si="40"/>
        <v>0</v>
      </c>
      <c r="DP41" s="712">
        <f t="shared" si="40"/>
        <v>0</v>
      </c>
      <c r="DQ41" s="39"/>
    </row>
    <row r="42" spans="1:121" x14ac:dyDescent="0.2">
      <c r="DQ42" s="42"/>
    </row>
    <row r="43" spans="1:121" ht="15.75" x14ac:dyDescent="0.25">
      <c r="B43" s="119"/>
      <c r="C43" s="141" t="s">
        <v>66</v>
      </c>
      <c r="DQ43" s="42"/>
    </row>
    <row r="44" spans="1:121" x14ac:dyDescent="0.2">
      <c r="C44" s="180" t="s">
        <v>436</v>
      </c>
      <c r="R44" s="57"/>
      <c r="S44" s="181"/>
      <c r="T44" s="723">
        <f>+IFERROR(+POWER(INDEX(Inputs!$L$70:$L79,S$6+1,1)/INDEX(Inputs!$L$70:$L$79,S$6,1),1/(INDEX(Inputs!$C$70:$C$79,S$6+1,1)-INDEX(Inputs!$C$70:$C$79,S$6,1)))-1,0)</f>
        <v>-0.30149025171821275</v>
      </c>
      <c r="U44" s="723">
        <f>+IFERROR(+POWER(INDEX(Inputs!$L$70:$L79,T$6+1,1)/INDEX(Inputs!$L$70:$L$79,T$6,1),1/(INDEX(Inputs!$C$70:$C$79,T$6+1,1)-INDEX(Inputs!$C$70:$C$79,T$6,1)))-1,0)</f>
        <v>-0.30149025171821275</v>
      </c>
      <c r="V44" s="723">
        <f>+IFERROR(+POWER(INDEX(Inputs!$L$70:$L79,U$6+1,1)/INDEX(Inputs!$L$70:$L$79,U$6,1),1/(INDEX(Inputs!$C$70:$C$79,U$6+1,1)-INDEX(Inputs!$C$70:$C$79,U$6,1)))-1,0)</f>
        <v>-0.30149025171821275</v>
      </c>
      <c r="W44" s="723">
        <f>+IFERROR(+POWER(INDEX(Inputs!$L$70:$L79,V$6+1,1)/INDEX(Inputs!$L$70:$L$79,V$6,1),1/(INDEX(Inputs!$C$70:$C$79,V$6+1,1)-INDEX(Inputs!$C$70:$C$79,V$6,1)))-1,0)</f>
        <v>0.24846312283329253</v>
      </c>
      <c r="X44" s="723">
        <f>+IFERROR(+POWER(INDEX(Inputs!$L$70:$L79,W$6+1,1)/INDEX(Inputs!$L$70:$L$79,W$6,1),1/(INDEX(Inputs!$C$70:$C$79,W$6+1,1)-INDEX(Inputs!$C$70:$C$79,W$6,1)))-1,0)</f>
        <v>0.24846312283329253</v>
      </c>
      <c r="Y44" s="723">
        <f>+IFERROR(+POWER(INDEX(Inputs!$L$70:$L79,X$6+1,1)/INDEX(Inputs!$L$70:$L$79,X$6,1),1/(INDEX(Inputs!$C$70:$C$79,X$6+1,1)-INDEX(Inputs!$C$70:$C$79,X$6,1)))-1,0)</f>
        <v>0.24846312283329253</v>
      </c>
      <c r="Z44" s="723">
        <f>+IFERROR(+POWER(INDEX(Inputs!$L$70:$L79,Y$6+1,1)/INDEX(Inputs!$L$70:$L$79,Y$6,1),1/(INDEX(Inputs!$C$70:$C$79,Y$6+1,1)-INDEX(Inputs!$C$70:$C$79,Y$6,1)))-1,0)</f>
        <v>0.24846312283329253</v>
      </c>
      <c r="AA44" s="723">
        <f>+IFERROR(+POWER(INDEX(Inputs!$L$70:$L79,Z$6+1,1)/INDEX(Inputs!$L$70:$L$79,Z$6,1),1/(INDEX(Inputs!$C$70:$C$79,Z$6+1,1)-INDEX(Inputs!$C$70:$C$79,Z$6,1)))-1,0)</f>
        <v>0.24846312283329253</v>
      </c>
      <c r="AB44" s="723">
        <f>+IFERROR(+POWER(INDEX(Inputs!$L$70:$L79,AA$6+1,1)/INDEX(Inputs!$L$70:$L$79,AA$6,1),1/(INDEX(Inputs!$C$70:$C$79,AA$6+1,1)-INDEX(Inputs!$C$70:$C$79,AA$6,1)))-1,0)</f>
        <v>-0.10264832218069564</v>
      </c>
      <c r="AC44" s="723">
        <f>+IFERROR(+POWER(INDEX(Inputs!$L$70:$L79,AB$6+1,1)/INDEX(Inputs!$L$70:$L$79,AB$6,1),1/(INDEX(Inputs!$C$70:$C$79,AB$6+1,1)-INDEX(Inputs!$C$70:$C$79,AB$6,1)))-1,0)</f>
        <v>-0.10264832218069564</v>
      </c>
      <c r="AD44" s="723">
        <f>+IFERROR(+POWER(INDEX(Inputs!$L$70:$L79,AC$6+1,1)/INDEX(Inputs!$L$70:$L$79,AC$6,1),1/(INDEX(Inputs!$C$70:$C$79,AC$6+1,1)-INDEX(Inputs!$C$70:$C$79,AC$6,1)))-1,0)</f>
        <v>-0.10264832218069564</v>
      </c>
      <c r="AE44" s="723">
        <f>+IFERROR(+POWER(INDEX(Inputs!$L$70:$L79,AD$6+1,1)/INDEX(Inputs!$L$70:$L$79,AD$6,1),1/(INDEX(Inputs!$C$70:$C$79,AD$6+1,1)-INDEX(Inputs!$C$70:$C$79,AD$6,1)))-1,0)</f>
        <v>-0.10264832218069564</v>
      </c>
      <c r="AF44" s="723">
        <f>+IFERROR(+POWER(INDEX(Inputs!$L$70:$L79,AE$6+1,1)/INDEX(Inputs!$L$70:$L$79,AE$6,1),1/(INDEX(Inputs!$C$70:$C$79,AE$6+1,1)-INDEX(Inputs!$C$70:$C$79,AE$6,1)))-1,0)</f>
        <v>-0.10264832218069564</v>
      </c>
      <c r="AG44" s="723">
        <f>+IFERROR(+POWER(INDEX(Inputs!$L$70:$L79,AF$6+1,1)/INDEX(Inputs!$L$70:$L$79,AF$6,1),1/(INDEX(Inputs!$C$70:$C$79,AF$6+1,1)-INDEX(Inputs!$C$70:$C$79,AF$6,1)))-1,0)</f>
        <v>0.32540816343944545</v>
      </c>
      <c r="AH44" s="723">
        <f>+IFERROR(+POWER(INDEX(Inputs!$L$70:$L79,AG$6+1,1)/INDEX(Inputs!$L$70:$L$79,AG$6,1),1/(INDEX(Inputs!$C$70:$C$79,AG$6+1,1)-INDEX(Inputs!$C$70:$C$79,AG$6,1)))-1,0)</f>
        <v>0.32540816343944545</v>
      </c>
      <c r="AI44" s="723">
        <f>+IFERROR(+POWER(INDEX(Inputs!$L$70:$L79,AH$6+1,1)/INDEX(Inputs!$L$70:$L$79,AH$6,1),1/(INDEX(Inputs!$C$70:$C$79,AH$6+1,1)-INDEX(Inputs!$C$70:$C$79,AH$6,1)))-1,0)</f>
        <v>0.32540816343944545</v>
      </c>
      <c r="AJ44" s="723">
        <f>+IFERROR(+POWER(INDEX(Inputs!$L$70:$L79,AI$6+1,1)/INDEX(Inputs!$L$70:$L$79,AI$6,1),1/(INDEX(Inputs!$C$70:$C$79,AI$6+1,1)-INDEX(Inputs!$C$70:$C$79,AI$6,1)))-1,0)</f>
        <v>0.32540816343944545</v>
      </c>
      <c r="AK44" s="723">
        <f>+IFERROR(+POWER(INDEX(Inputs!$L$70:$L79,AJ$6+1,1)/INDEX(Inputs!$L$70:$L$79,AJ$6,1),1/(INDEX(Inputs!$C$70:$C$79,AJ$6+1,1)-INDEX(Inputs!$C$70:$C$79,AJ$6,1)))-1,0)</f>
        <v>0.32540816343944545</v>
      </c>
      <c r="AL44" s="723">
        <f>+IFERROR(+POWER(INDEX(Inputs!$L$70:$L79,AK$6+1,1)/INDEX(Inputs!$L$70:$L$79,AK$6,1),1/(INDEX(Inputs!$C$70:$C$79,AK$6+1,1)-INDEX(Inputs!$C$70:$C$79,AK$6,1)))-1,0)</f>
        <v>-0.33837462596699042</v>
      </c>
      <c r="AM44" s="723">
        <f>+IFERROR(+POWER(INDEX(Inputs!$L$70:$L79,AL$6+1,1)/INDEX(Inputs!$L$70:$L$79,AL$6,1),1/(INDEX(Inputs!$C$70:$C$79,AL$6+1,1)-INDEX(Inputs!$C$70:$C$79,AL$6,1)))-1,0)</f>
        <v>-0.33837462596699042</v>
      </c>
      <c r="AN44" s="723">
        <f>+IFERROR(+POWER(INDEX(Inputs!$L$70:$L79,AM$6+1,1)/INDEX(Inputs!$L$70:$L$79,AM$6,1),1/(INDEX(Inputs!$C$70:$C$79,AM$6+1,1)-INDEX(Inputs!$C$70:$C$79,AM$6,1)))-1,0)</f>
        <v>-0.33837462596699042</v>
      </c>
      <c r="AO44" s="723">
        <f>+IFERROR(+POWER(INDEX(Inputs!$L$70:$L79,AN$6+1,1)/INDEX(Inputs!$L$70:$L$79,AN$6,1),1/(INDEX(Inputs!$C$70:$C$79,AN$6+1,1)-INDEX(Inputs!$C$70:$C$79,AN$6,1)))-1,0)</f>
        <v>-0.33837462596699042</v>
      </c>
      <c r="AP44" s="723">
        <f>+IFERROR(+POWER(INDEX(Inputs!$L$70:$L79,AO$6+1,1)/INDEX(Inputs!$L$70:$L$79,AO$6,1),1/(INDEX(Inputs!$C$70:$C$79,AO$6+1,1)-INDEX(Inputs!$C$70:$C$79,AO$6,1)))-1,0)</f>
        <v>-0.33837462596699042</v>
      </c>
      <c r="AQ44" s="723">
        <f>+IFERROR(+POWER(INDEX(Inputs!$L$70:$L79,AP$6+1,1)/INDEX(Inputs!$L$70:$L$79,AP$6,1),1/(INDEX(Inputs!$C$70:$C$79,AP$6+1,1)-INDEX(Inputs!$C$70:$C$79,AP$6,1)))-1,0)</f>
        <v>0.3579927790984474</v>
      </c>
      <c r="AR44" s="723">
        <f>+IFERROR(+POWER(INDEX(Inputs!$L$70:$L79,AQ$6+1,1)/INDEX(Inputs!$L$70:$L$79,AQ$6,1),1/(INDEX(Inputs!$C$70:$C$79,AQ$6+1,1)-INDEX(Inputs!$C$70:$C$79,AQ$6,1)))-1,0)</f>
        <v>0.3579927790984474</v>
      </c>
      <c r="AS44" s="723">
        <f>+IFERROR(+POWER(INDEX(Inputs!$L$70:$L79,AR$6+1,1)/INDEX(Inputs!$L$70:$L$79,AR$6,1),1/(INDEX(Inputs!$C$70:$C$79,AR$6+1,1)-INDEX(Inputs!$C$70:$C$79,AR$6,1)))-1,0)</f>
        <v>0.3579927790984474</v>
      </c>
      <c r="AT44" s="723">
        <f>+IFERROR(+POWER(INDEX(Inputs!$L$70:$L79,AS$6+1,1)/INDEX(Inputs!$L$70:$L$79,AS$6,1),1/(INDEX(Inputs!$C$70:$C$79,AS$6+1,1)-INDEX(Inputs!$C$70:$C$79,AS$6,1)))-1,0)</f>
        <v>0.3579927790984474</v>
      </c>
      <c r="AU44" s="723">
        <f>+IFERROR(+POWER(INDEX(Inputs!$L$70:$L79,AT$6+1,1)/INDEX(Inputs!$L$70:$L$79,AT$6,1),1/(INDEX(Inputs!$C$70:$C$79,AT$6+1,1)-INDEX(Inputs!$C$70:$C$79,AT$6,1)))-1,0)</f>
        <v>0.3579927790984474</v>
      </c>
      <c r="AV44" s="723">
        <f>+IFERROR(+POWER(INDEX(Inputs!$L$70:$L79,AU$6+1,1)/INDEX(Inputs!$L$70:$L$79,AU$6,1),1/(INDEX(Inputs!$C$70:$C$79,AU$6+1,1)-INDEX(Inputs!$C$70:$C$79,AU$6,1)))-1,0)</f>
        <v>-3.9160508802163152E-2</v>
      </c>
      <c r="AW44" s="723">
        <f>+IFERROR(+POWER(INDEX(Inputs!$L$70:$L79,AV$6+1,1)/INDEX(Inputs!$L$70:$L$79,AV$6,1),1/(INDEX(Inputs!$C$70:$C$79,AV$6+1,1)-INDEX(Inputs!$C$70:$C$79,AV$6,1)))-1,0)</f>
        <v>-3.9160508802163152E-2</v>
      </c>
      <c r="AX44" s="723">
        <f>+IFERROR(+POWER(INDEX(Inputs!$L$70:$L79,AW$6+1,1)/INDEX(Inputs!$L$70:$L$79,AW$6,1),1/(INDEX(Inputs!$C$70:$C$79,AW$6+1,1)-INDEX(Inputs!$C$70:$C$79,AW$6,1)))-1,0)</f>
        <v>-3.9160508802163152E-2</v>
      </c>
      <c r="AY44" s="723">
        <f>+IFERROR(+POWER(INDEX(Inputs!$L$70:$L79,AX$6+1,1)/INDEX(Inputs!$L$70:$L$79,AX$6,1),1/(INDEX(Inputs!$C$70:$C$79,AX$6+1,1)-INDEX(Inputs!$C$70:$C$79,AX$6,1)))-1,0)</f>
        <v>-3.9160508802163152E-2</v>
      </c>
      <c r="AZ44" s="723">
        <f>+IFERROR(+POWER(INDEX(Inputs!$L$70:$L79,AY$6+1,1)/INDEX(Inputs!$L$70:$L$79,AY$6,1),1/(INDEX(Inputs!$C$70:$C$79,AY$6+1,1)-INDEX(Inputs!$C$70:$C$79,AY$6,1)))-1,0)</f>
        <v>-3.9160508802163152E-2</v>
      </c>
      <c r="BA44" s="723">
        <f>+IFERROR(+POWER(INDEX(Inputs!$L$70:$L79,AZ$6+1,1)/INDEX(Inputs!$L$70:$L$79,AZ$6,1),1/(INDEX(Inputs!$C$70:$C$79,AZ$6+1,1)-INDEX(Inputs!$C$70:$C$79,AZ$6,1)))-1,0)</f>
        <v>9.435024685395299E-2</v>
      </c>
      <c r="BB44" s="723">
        <f>+IFERROR(+POWER(INDEX(Inputs!$L$70:$L79,BA$6+1,1)/INDEX(Inputs!$L$70:$L$79,BA$6,1),1/(INDEX(Inputs!$C$70:$C$79,BA$6+1,1)-INDEX(Inputs!$C$70:$C$79,BA$6,1)))-1,0)</f>
        <v>9.435024685395299E-2</v>
      </c>
      <c r="BC44" s="723">
        <f>+IFERROR(+POWER(INDEX(Inputs!$L$70:$L79,BB$6+1,1)/INDEX(Inputs!$L$70:$L$79,BB$6,1),1/(INDEX(Inputs!$C$70:$C$79,BB$6+1,1)-INDEX(Inputs!$C$70:$C$79,BB$6,1)))-1,0)</f>
        <v>9.435024685395299E-2</v>
      </c>
      <c r="BD44" s="723">
        <f>+IFERROR(+POWER(INDEX(Inputs!$L$70:$L79,BC$6+1,1)/INDEX(Inputs!$L$70:$L$79,BC$6,1),1/(INDEX(Inputs!$C$70:$C$79,BC$6+1,1)-INDEX(Inputs!$C$70:$C$79,BC$6,1)))-1,0)</f>
        <v>9.435024685395299E-2</v>
      </c>
      <c r="BE44" s="723">
        <f>+IFERROR(+POWER(INDEX(Inputs!$L$70:$L79,BD$6+1,1)/INDEX(Inputs!$L$70:$L$79,BD$6,1),1/(INDEX(Inputs!$C$70:$C$79,BD$6+1,1)-INDEX(Inputs!$C$70:$C$79,BD$6,1)))-1,0)</f>
        <v>9.435024685395299E-2</v>
      </c>
      <c r="BF44" s="723">
        <f>+IFERROR(+POWER(INDEX(Inputs!$L$70:$L79,BE$6+1,1)/INDEX(Inputs!$L$70:$L$79,BE$6,1),1/(INDEX(Inputs!$C$70:$C$79,BE$6+1,1)-INDEX(Inputs!$C$70:$C$79,BE$6,1)))-1,0)</f>
        <v>0.11112453164667202</v>
      </c>
      <c r="BG44" s="723">
        <f>+IFERROR(+POWER(INDEX(Inputs!$L$70:$L79,BF$6+1,1)/INDEX(Inputs!$L$70:$L$79,BF$6,1),1/(INDEX(Inputs!$C$70:$C$79,BF$6+1,1)-INDEX(Inputs!$C$70:$C$79,BF$6,1)))-1,0)</f>
        <v>0.11112453164667202</v>
      </c>
      <c r="BH44" s="723">
        <f>+IFERROR(+POWER(INDEX(Inputs!$L$70:$L79,BG$6+1,1)/INDEX(Inputs!$L$70:$L$79,BG$6,1),1/(INDEX(Inputs!$C$70:$C$79,BG$6+1,1)-INDEX(Inputs!$C$70:$C$79,BG$6,1)))-1,0)</f>
        <v>0.11112453164667202</v>
      </c>
      <c r="BI44" s="723">
        <f>+IFERROR(+POWER(INDEX(Inputs!$L$70:$L79,BH$6+1,1)/INDEX(Inputs!$L$70:$L$79,BH$6,1),1/(INDEX(Inputs!$C$70:$C$79,BH$6+1,1)-INDEX(Inputs!$C$70:$C$79,BH$6,1)))-1,0)</f>
        <v>0.11112453164667202</v>
      </c>
      <c r="BJ44" s="723">
        <f>+IFERROR(+POWER(INDEX(Inputs!$L$70:$L79,BI$6+1,1)/INDEX(Inputs!$L$70:$L$79,BI$6,1),1/(INDEX(Inputs!$C$70:$C$79,BI$6+1,1)-INDEX(Inputs!$C$70:$C$79,BI$6,1)))-1,0)</f>
        <v>0.11112453164667202</v>
      </c>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46"/>
    </row>
    <row r="45" spans="1:121" s="61" customFormat="1" x14ac:dyDescent="0.2">
      <c r="C45" s="150" t="s">
        <v>66</v>
      </c>
      <c r="D45" s="150"/>
      <c r="E45" s="150"/>
      <c r="F45" s="150"/>
      <c r="G45" s="150"/>
      <c r="H45" s="713">
        <f>+Inputs!L17</f>
        <v>1</v>
      </c>
      <c r="I45" s="150"/>
      <c r="J45" s="150"/>
      <c r="K45" s="651" t="s">
        <v>63</v>
      </c>
      <c r="L45" s="150"/>
      <c r="M45" s="150"/>
      <c r="N45" s="29">
        <f>+SUM(Q45:BJ45)</f>
        <v>303949.00417169154</v>
      </c>
      <c r="O45" s="150"/>
      <c r="P45" s="151"/>
      <c r="Q45" s="152"/>
      <c r="R45" s="152"/>
      <c r="S45" s="152">
        <f t="shared" ref="S45:CD45" si="41">+CHOOSE($H$45,S46,S47)</f>
        <v>5748.6358847196598</v>
      </c>
      <c r="T45" s="152">
        <f t="shared" si="41"/>
        <v>4015.4782047991789</v>
      </c>
      <c r="U45" s="152">
        <f t="shared" si="41"/>
        <v>2804.8506700652774</v>
      </c>
      <c r="V45" s="152">
        <f t="shared" si="41"/>
        <v>1959.2155355152995</v>
      </c>
      <c r="W45" s="152">
        <f t="shared" si="41"/>
        <v>2446.0083457729324</v>
      </c>
      <c r="X45" s="152">
        <f t="shared" si="41"/>
        <v>3053.7512178399711</v>
      </c>
      <c r="Y45" s="152">
        <f t="shared" si="41"/>
        <v>3812.4957817804607</v>
      </c>
      <c r="Z45" s="152">
        <f t="shared" si="41"/>
        <v>4759.7603895103884</v>
      </c>
      <c r="AA45" s="152">
        <f t="shared" si="41"/>
        <v>5942.3853198263478</v>
      </c>
      <c r="AB45" s="152">
        <f t="shared" si="41"/>
        <v>5332.4094369949771</v>
      </c>
      <c r="AC45" s="152">
        <f t="shared" si="41"/>
        <v>4785.0465551069346</v>
      </c>
      <c r="AD45" s="152">
        <f t="shared" si="41"/>
        <v>4293.8695546686904</v>
      </c>
      <c r="AE45" s="152">
        <f t="shared" si="41"/>
        <v>3853.1110492191788</v>
      </c>
      <c r="AF45" s="152">
        <f t="shared" si="41"/>
        <v>3457.5956648409301</v>
      </c>
      <c r="AG45" s="152">
        <f t="shared" si="41"/>
        <v>4582.7255200530053</v>
      </c>
      <c r="AH45" s="152">
        <f t="shared" si="41"/>
        <v>6073.9818150805313</v>
      </c>
      <c r="AI45" s="152">
        <f t="shared" si="41"/>
        <v>8050.5050822904768</v>
      </c>
      <c r="AJ45" s="152">
        <f t="shared" si="41"/>
        <v>10670.205155878542</v>
      </c>
      <c r="AK45" s="152">
        <f t="shared" si="41"/>
        <v>14142.377019175075</v>
      </c>
      <c r="AL45" s="152">
        <f t="shared" si="41"/>
        <v>9356.955485027549</v>
      </c>
      <c r="AM45" s="152">
        <f t="shared" si="41"/>
        <v>6190.7991725915726</v>
      </c>
      <c r="AN45" s="152">
        <f t="shared" si="41"/>
        <v>4095.9898181291455</v>
      </c>
      <c r="AO45" s="152">
        <f t="shared" si="41"/>
        <v>2710.0107954550949</v>
      </c>
      <c r="AP45" s="152">
        <f t="shared" si="41"/>
        <v>1793.0119061764713</v>
      </c>
      <c r="AQ45" s="152">
        <f t="shared" si="41"/>
        <v>2434.8972214251908</v>
      </c>
      <c r="AR45" s="152">
        <f t="shared" si="41"/>
        <v>3306.5728445422824</v>
      </c>
      <c r="AS45" s="152">
        <f t="shared" si="41"/>
        <v>4490.3020464514329</v>
      </c>
      <c r="AT45" s="152">
        <f t="shared" si="41"/>
        <v>6097.7977550520272</v>
      </c>
      <c r="AU45" s="152">
        <f t="shared" si="41"/>
        <v>8280.7653197633754</v>
      </c>
      <c r="AV45" s="152">
        <f t="shared" si="41"/>
        <v>7956.486336570134</v>
      </c>
      <c r="AW45" s="152">
        <f t="shared" si="41"/>
        <v>7644.9062833525886</v>
      </c>
      <c r="AX45" s="152">
        <f t="shared" si="41"/>
        <v>7345.527863551647</v>
      </c>
      <c r="AY45" s="152">
        <f t="shared" si="41"/>
        <v>7057.873254994498</v>
      </c>
      <c r="AZ45" s="152">
        <f t="shared" si="41"/>
        <v>6781.4833472677337</v>
      </c>
      <c r="BA45" s="152">
        <f t="shared" si="41"/>
        <v>7421.3179751184161</v>
      </c>
      <c r="BB45" s="152">
        <f t="shared" si="41"/>
        <v>8121.5211580525174</v>
      </c>
      <c r="BC45" s="152">
        <f t="shared" si="41"/>
        <v>8887.7886841443742</v>
      </c>
      <c r="BD45" s="152">
        <f t="shared" si="41"/>
        <v>9726.3537404791659</v>
      </c>
      <c r="BE45" s="152">
        <f t="shared" si="41"/>
        <v>10644.037616882248</v>
      </c>
      <c r="BF45" s="152">
        <f t="shared" si="41"/>
        <v>11826.851311887847</v>
      </c>
      <c r="BG45" s="152">
        <f t="shared" si="41"/>
        <v>13141.104624776213</v>
      </c>
      <c r="BH45" s="152">
        <f t="shared" si="41"/>
        <v>14601.403721524386</v>
      </c>
      <c r="BI45" s="152">
        <f t="shared" si="41"/>
        <v>16223.977871462757</v>
      </c>
      <c r="BJ45" s="152">
        <f t="shared" si="41"/>
        <v>18026.85981387502</v>
      </c>
      <c r="BK45" s="152">
        <f t="shared" si="41"/>
        <v>0</v>
      </c>
      <c r="BL45" s="152">
        <f t="shared" si="41"/>
        <v>0</v>
      </c>
      <c r="BM45" s="152">
        <f t="shared" si="41"/>
        <v>0</v>
      </c>
      <c r="BN45" s="152">
        <f t="shared" si="41"/>
        <v>0</v>
      </c>
      <c r="BO45" s="152">
        <f t="shared" si="41"/>
        <v>0</v>
      </c>
      <c r="BP45" s="152">
        <f t="shared" si="41"/>
        <v>0</v>
      </c>
      <c r="BQ45" s="152">
        <f t="shared" si="41"/>
        <v>0</v>
      </c>
      <c r="BR45" s="152">
        <f t="shared" si="41"/>
        <v>0</v>
      </c>
      <c r="BS45" s="152">
        <f t="shared" si="41"/>
        <v>0</v>
      </c>
      <c r="BT45" s="152">
        <f t="shared" si="41"/>
        <v>0</v>
      </c>
      <c r="BU45" s="152">
        <f t="shared" si="41"/>
        <v>0</v>
      </c>
      <c r="BV45" s="152">
        <f t="shared" si="41"/>
        <v>0</v>
      </c>
      <c r="BW45" s="152">
        <f t="shared" si="41"/>
        <v>0</v>
      </c>
      <c r="BX45" s="152">
        <f t="shared" si="41"/>
        <v>0</v>
      </c>
      <c r="BY45" s="152">
        <f t="shared" si="41"/>
        <v>0</v>
      </c>
      <c r="BZ45" s="152">
        <f t="shared" si="41"/>
        <v>0</v>
      </c>
      <c r="CA45" s="152">
        <f t="shared" si="41"/>
        <v>0</v>
      </c>
      <c r="CB45" s="152">
        <f t="shared" si="41"/>
        <v>0</v>
      </c>
      <c r="CC45" s="152">
        <f t="shared" si="41"/>
        <v>0</v>
      </c>
      <c r="CD45" s="152">
        <f t="shared" si="41"/>
        <v>0</v>
      </c>
      <c r="CE45" s="152">
        <f t="shared" ref="CE45:DP45" si="42">+CHOOSE($H$45,CE46,CE47)</f>
        <v>0</v>
      </c>
      <c r="CF45" s="152">
        <f t="shared" si="42"/>
        <v>0</v>
      </c>
      <c r="CG45" s="152">
        <f t="shared" si="42"/>
        <v>0</v>
      </c>
      <c r="CH45" s="152">
        <f t="shared" si="42"/>
        <v>0</v>
      </c>
      <c r="CI45" s="152">
        <f t="shared" si="42"/>
        <v>0</v>
      </c>
      <c r="CJ45" s="152">
        <f t="shared" si="42"/>
        <v>0</v>
      </c>
      <c r="CK45" s="152">
        <f t="shared" si="42"/>
        <v>0</v>
      </c>
      <c r="CL45" s="152">
        <f t="shared" si="42"/>
        <v>0</v>
      </c>
      <c r="CM45" s="152">
        <f t="shared" si="42"/>
        <v>0</v>
      </c>
      <c r="CN45" s="152">
        <f t="shared" si="42"/>
        <v>0</v>
      </c>
      <c r="CO45" s="152">
        <f t="shared" si="42"/>
        <v>0</v>
      </c>
      <c r="CP45" s="152">
        <f t="shared" si="42"/>
        <v>0</v>
      </c>
      <c r="CQ45" s="152">
        <f t="shared" si="42"/>
        <v>0</v>
      </c>
      <c r="CR45" s="152">
        <f t="shared" si="42"/>
        <v>0</v>
      </c>
      <c r="CS45" s="152">
        <f t="shared" si="42"/>
        <v>0</v>
      </c>
      <c r="CT45" s="152">
        <f t="shared" si="42"/>
        <v>0</v>
      </c>
      <c r="CU45" s="152">
        <f t="shared" si="42"/>
        <v>0</v>
      </c>
      <c r="CV45" s="152">
        <f t="shared" si="42"/>
        <v>0</v>
      </c>
      <c r="CW45" s="152">
        <f t="shared" si="42"/>
        <v>0</v>
      </c>
      <c r="CX45" s="152">
        <f t="shared" si="42"/>
        <v>0</v>
      </c>
      <c r="CY45" s="152">
        <f t="shared" si="42"/>
        <v>0</v>
      </c>
      <c r="CZ45" s="152">
        <f t="shared" si="42"/>
        <v>0</v>
      </c>
      <c r="DA45" s="152">
        <f t="shared" si="42"/>
        <v>0</v>
      </c>
      <c r="DB45" s="152">
        <f t="shared" si="42"/>
        <v>0</v>
      </c>
      <c r="DC45" s="152">
        <f t="shared" si="42"/>
        <v>0</v>
      </c>
      <c r="DD45" s="152">
        <f t="shared" si="42"/>
        <v>0</v>
      </c>
      <c r="DE45" s="152">
        <f t="shared" si="42"/>
        <v>0</v>
      </c>
      <c r="DF45" s="152">
        <f t="shared" si="42"/>
        <v>0</v>
      </c>
      <c r="DG45" s="152">
        <f t="shared" si="42"/>
        <v>0</v>
      </c>
      <c r="DH45" s="152">
        <f t="shared" si="42"/>
        <v>0</v>
      </c>
      <c r="DI45" s="152">
        <f t="shared" si="42"/>
        <v>0</v>
      </c>
      <c r="DJ45" s="152">
        <f t="shared" si="42"/>
        <v>0</v>
      </c>
      <c r="DK45" s="152">
        <f t="shared" si="42"/>
        <v>0</v>
      </c>
      <c r="DL45" s="152">
        <f t="shared" si="42"/>
        <v>0</v>
      </c>
      <c r="DM45" s="152">
        <f t="shared" si="42"/>
        <v>0</v>
      </c>
      <c r="DN45" s="152">
        <f t="shared" si="42"/>
        <v>0</v>
      </c>
      <c r="DO45" s="152">
        <f t="shared" si="42"/>
        <v>0</v>
      </c>
      <c r="DP45" s="152">
        <f t="shared" si="42"/>
        <v>0</v>
      </c>
      <c r="DQ45" s="39"/>
    </row>
    <row r="46" spans="1:121" s="61" customFormat="1" x14ac:dyDescent="0.2">
      <c r="C46" s="61" t="s">
        <v>468</v>
      </c>
      <c r="K46" s="636"/>
      <c r="N46" s="65"/>
      <c r="Q46" s="126"/>
      <c r="R46" s="116"/>
      <c r="S46" s="116">
        <f>+IF(S$6&lt;&gt;R$6,INDEX(Inputs!$L$70:$L$79,S$6,1),R46*(1+S44))</f>
        <v>5748.6358847196598</v>
      </c>
      <c r="T46" s="116">
        <f>+IF(T$6&lt;&gt;S$6,INDEX(Inputs!$L$70:$L$79,T$6,1),S46*(1+T44))</f>
        <v>4015.4782047991789</v>
      </c>
      <c r="U46" s="116">
        <f>+IF(U$6&lt;&gt;T$6,INDEX(Inputs!$L$70:$L$79,U$6,1),T46*(1+U44))</f>
        <v>2804.8506700652774</v>
      </c>
      <c r="V46" s="116">
        <f>+IF(V$6&lt;&gt;U$6,INDEX(Inputs!$L$70:$L$79,V$6,1),U46*(1+V44))</f>
        <v>1959.2155355152995</v>
      </c>
      <c r="W46" s="116">
        <f>+IF(W$6&lt;&gt;V$6,INDEX(Inputs!$L$70:$L$79,W$6,1),V46*(1+W44))</f>
        <v>2446.0083457729324</v>
      </c>
      <c r="X46" s="116">
        <f>+IF(X$6&lt;&gt;W$6,INDEX(Inputs!$L$70:$L$79,X$6,1),W46*(1+X44))</f>
        <v>3053.7512178399711</v>
      </c>
      <c r="Y46" s="116">
        <f>+IF(Y$6&lt;&gt;X$6,INDEX(Inputs!$L$70:$L$79,Y$6,1),X46*(1+Y44))</f>
        <v>3812.4957817804607</v>
      </c>
      <c r="Z46" s="116">
        <f>+IF(Z$6&lt;&gt;Y$6,INDEX(Inputs!$L$70:$L$79,Z$6,1),Y46*(1+Z44))</f>
        <v>4759.7603895103884</v>
      </c>
      <c r="AA46" s="116">
        <f>+IF(AA$6&lt;&gt;Z$6,INDEX(Inputs!$L$70:$L$79,AA$6,1),Z46*(1+AA44))</f>
        <v>5942.3853198263478</v>
      </c>
      <c r="AB46" s="116">
        <f>+IF(AB$6&lt;&gt;AA$6,INDEX(Inputs!$L$70:$L$79,AB$6,1),AA46*(1+AB44))</f>
        <v>5332.4094369949771</v>
      </c>
      <c r="AC46" s="116">
        <f>+IF(AC$6&lt;&gt;AB$6,INDEX(Inputs!$L$70:$L$79,AC$6,1),AB46*(1+AC44))</f>
        <v>4785.0465551069346</v>
      </c>
      <c r="AD46" s="116">
        <f>+IF(AD$6&lt;&gt;AC$6,INDEX(Inputs!$L$70:$L$79,AD$6,1),AC46*(1+AD44))</f>
        <v>4293.8695546686904</v>
      </c>
      <c r="AE46" s="116">
        <f>+IF(AE$6&lt;&gt;AD$6,INDEX(Inputs!$L$70:$L$79,AE$6,1),AD46*(1+AE44))</f>
        <v>3853.1110492191788</v>
      </c>
      <c r="AF46" s="116">
        <f>+IF(AF$6&lt;&gt;AE$6,INDEX(Inputs!$L$70:$L$79,AF$6,1),AE46*(1+AF44))</f>
        <v>3457.5956648409301</v>
      </c>
      <c r="AG46" s="116">
        <f>+IF(AG$6&lt;&gt;AF$6,INDEX(Inputs!$L$70:$L$79,AG$6,1),AF46*(1+AG44))</f>
        <v>4582.7255200530053</v>
      </c>
      <c r="AH46" s="116">
        <f>+IF(AH$6&lt;&gt;AG$6,INDEX(Inputs!$L$70:$L$79,AH$6,1),AG46*(1+AH44))</f>
        <v>6073.9818150805313</v>
      </c>
      <c r="AI46" s="116">
        <f>+IF(AI$6&lt;&gt;AH$6,INDEX(Inputs!$L$70:$L$79,AI$6,1),AH46*(1+AI44))</f>
        <v>8050.5050822904768</v>
      </c>
      <c r="AJ46" s="116">
        <f>+IF(AJ$6&lt;&gt;AI$6,INDEX(Inputs!$L$70:$L$79,AJ$6,1),AI46*(1+AJ44))</f>
        <v>10670.205155878542</v>
      </c>
      <c r="AK46" s="116">
        <f>+IF(AK$6&lt;&gt;AJ$6,INDEX(Inputs!$L$70:$L$79,AK$6,1),AJ46*(1+AK44))</f>
        <v>14142.377019175075</v>
      </c>
      <c r="AL46" s="116">
        <f>+IF(AL$6&lt;&gt;AK$6,INDEX(Inputs!$L$70:$L$79,AL$6,1),AK46*(1+AL44))</f>
        <v>9356.955485027549</v>
      </c>
      <c r="AM46" s="116">
        <f>+IF(AM$6&lt;&gt;AL$6,INDEX(Inputs!$L$70:$L$79,AM$6,1),AL46*(1+AM44))</f>
        <v>6190.7991725915726</v>
      </c>
      <c r="AN46" s="116">
        <f>+IF(AN$6&lt;&gt;AM$6,INDEX(Inputs!$L$70:$L$79,AN$6,1),AM46*(1+AN44))</f>
        <v>4095.9898181291455</v>
      </c>
      <c r="AO46" s="116">
        <f>+IF(AO$6&lt;&gt;AN$6,INDEX(Inputs!$L$70:$L$79,AO$6,1),AN46*(1+AO44))</f>
        <v>2710.0107954550949</v>
      </c>
      <c r="AP46" s="116">
        <f>+IF(AP$6&lt;&gt;AO$6,INDEX(Inputs!$L$70:$L$79,AP$6,1),AO46*(1+AP44))</f>
        <v>1793.0119061764713</v>
      </c>
      <c r="AQ46" s="116">
        <f>+IF(AQ$6&lt;&gt;AP$6,INDEX(Inputs!$L$70:$L$79,AQ$6,1),AP46*(1+AQ44))</f>
        <v>2434.8972214251908</v>
      </c>
      <c r="AR46" s="116">
        <f>+IF(AR$6&lt;&gt;AQ$6,INDEX(Inputs!$L$70:$L$79,AR$6,1),AQ46*(1+AR44))</f>
        <v>3306.5728445422824</v>
      </c>
      <c r="AS46" s="116">
        <f>+IF(AS$6&lt;&gt;AR$6,INDEX(Inputs!$L$70:$L$79,AS$6,1),AR46*(1+AS44))</f>
        <v>4490.3020464514329</v>
      </c>
      <c r="AT46" s="116">
        <f>+IF(AT$6&lt;&gt;AS$6,INDEX(Inputs!$L$70:$L$79,AT$6,1),AS46*(1+AT44))</f>
        <v>6097.7977550520272</v>
      </c>
      <c r="AU46" s="116">
        <f>+IF(AU$6&lt;&gt;AT$6,INDEX(Inputs!$L$70:$L$79,AU$6,1),AT46*(1+AU44))</f>
        <v>8280.7653197633754</v>
      </c>
      <c r="AV46" s="116">
        <f>+IF(AV$6&lt;&gt;AU$6,INDEX(Inputs!$L$70:$L$79,AV$6,1),AU46*(1+AV44))</f>
        <v>7956.486336570134</v>
      </c>
      <c r="AW46" s="116">
        <f>+IF(AW$6&lt;&gt;AV$6,INDEX(Inputs!$L$70:$L$79,AW$6,1),AV46*(1+AW44))</f>
        <v>7644.9062833525886</v>
      </c>
      <c r="AX46" s="116">
        <f>+IF(AX$6&lt;&gt;AW$6,INDEX(Inputs!$L$70:$L$79,AX$6,1),AW46*(1+AX44))</f>
        <v>7345.527863551647</v>
      </c>
      <c r="AY46" s="116">
        <f>+IF(AY$6&lt;&gt;AX$6,INDEX(Inputs!$L$70:$L$79,AY$6,1),AX46*(1+AY44))</f>
        <v>7057.873254994498</v>
      </c>
      <c r="AZ46" s="116">
        <f>+IF(AZ$6&lt;&gt;AY$6,INDEX(Inputs!$L$70:$L$79,AZ$6,1),AY46*(1+AZ44))</f>
        <v>6781.4833472677337</v>
      </c>
      <c r="BA46" s="116">
        <f>+IF(BA$6&lt;&gt;AZ$6,INDEX(Inputs!$L$70:$L$79,BA$6,1),AZ46*(1+BA44))</f>
        <v>7421.3179751184161</v>
      </c>
      <c r="BB46" s="116">
        <f>+IF(BB$6&lt;&gt;BA$6,INDEX(Inputs!$L$70:$L$79,BB$6,1),BA46*(1+BB44))</f>
        <v>8121.5211580525174</v>
      </c>
      <c r="BC46" s="116">
        <f>+IF(BC$6&lt;&gt;BB$6,INDEX(Inputs!$L$70:$L$79,BC$6,1),BB46*(1+BC44))</f>
        <v>8887.7886841443742</v>
      </c>
      <c r="BD46" s="116">
        <f>+IF(BD$6&lt;&gt;BC$6,INDEX(Inputs!$L$70:$L$79,BD$6,1),BC46*(1+BD44))</f>
        <v>9726.3537404791659</v>
      </c>
      <c r="BE46" s="116">
        <f>+IF(BE$6&lt;&gt;BD$6,INDEX(Inputs!$L$70:$L$79,BE$6,1),BD46*(1+BE44))</f>
        <v>10644.037616882248</v>
      </c>
      <c r="BF46" s="116">
        <f>+IF(BF$6&lt;&gt;BE$6,INDEX(Inputs!$L$70:$L$79,BF$6,1),BE46*(1+BF44))</f>
        <v>11826.851311887847</v>
      </c>
      <c r="BG46" s="116">
        <f>+IF(BG$6&lt;&gt;BF$6,INDEX(Inputs!$L$70:$L$79,BG$6,1),BF46*(1+BG44))</f>
        <v>13141.104624776213</v>
      </c>
      <c r="BH46" s="116">
        <f>+IF(BH$6&lt;&gt;BG$6,INDEX(Inputs!$L$70:$L$79,BH$6,1),BG46*(1+BH44))</f>
        <v>14601.403721524386</v>
      </c>
      <c r="BI46" s="116">
        <f>+IF(BI$6&lt;&gt;BH$6,INDEX(Inputs!$L$70:$L$79,BI$6,1),BH46*(1+BI44))</f>
        <v>16223.977871462757</v>
      </c>
      <c r="BJ46" s="116">
        <f>+IF(BJ$6&lt;&gt;BI$6,INDEX(Inputs!$L$70:$L$79,BJ$6,1),BI46*(1+BJ44))</f>
        <v>18026.85981387502</v>
      </c>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39"/>
    </row>
    <row r="47" spans="1:121" s="61" customFormat="1" x14ac:dyDescent="0.2">
      <c r="K47" s="636"/>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39"/>
    </row>
    <row r="48" spans="1:121" x14ac:dyDescent="0.2">
      <c r="DQ48" s="42"/>
    </row>
    <row r="49" spans="1:125" s="130" customFormat="1" x14ac:dyDescent="0.2">
      <c r="A49" s="61"/>
      <c r="B49" s="61"/>
      <c r="C49" s="138" t="s">
        <v>381</v>
      </c>
      <c r="D49" s="138"/>
      <c r="E49" s="138"/>
      <c r="F49" s="138"/>
      <c r="G49" s="138"/>
      <c r="H49" s="138"/>
      <c r="I49" s="138"/>
      <c r="J49" s="138"/>
      <c r="K49" s="652" t="s">
        <v>63</v>
      </c>
      <c r="L49" s="138"/>
      <c r="M49" s="138"/>
      <c r="N49" s="712">
        <f>+SUM(Q49:BJ49)</f>
        <v>691496.72836553829</v>
      </c>
      <c r="O49" s="138"/>
      <c r="P49" s="139"/>
      <c r="Q49" s="140"/>
      <c r="R49" s="129"/>
      <c r="S49" s="712">
        <f t="shared" ref="S49:AW49" si="43">+S45*S25</f>
        <v>6893.0040000000026</v>
      </c>
      <c r="T49" s="712">
        <f t="shared" si="43"/>
        <v>4923.1641749466244</v>
      </c>
      <c r="U49" s="712">
        <f t="shared" si="43"/>
        <v>3516.2529273851965</v>
      </c>
      <c r="V49" s="712">
        <f t="shared" si="43"/>
        <v>2511.4000285149973</v>
      </c>
      <c r="W49" s="712">
        <f t="shared" si="43"/>
        <v>3207.5042996959728</v>
      </c>
      <c r="X49" s="712">
        <f t="shared" si="43"/>
        <v>4096.5532036931381</v>
      </c>
      <c r="Y49" s="712">
        <f t="shared" si="43"/>
        <v>5232.0267044627799</v>
      </c>
      <c r="Z49" s="712">
        <f t="shared" si="43"/>
        <v>6682.2282233593996</v>
      </c>
      <c r="AA49" s="712">
        <f t="shared" si="43"/>
        <v>8534.3933720700988</v>
      </c>
      <c r="AB49" s="712">
        <f t="shared" si="43"/>
        <v>7834.4943124637866</v>
      </c>
      <c r="AC49" s="712">
        <f t="shared" si="43"/>
        <v>7191.9934383267437</v>
      </c>
      <c r="AD49" s="712">
        <f t="shared" si="43"/>
        <v>6602.1835684591333</v>
      </c>
      <c r="AE49" s="712">
        <f t="shared" si="43"/>
        <v>6060.7435539836861</v>
      </c>
      <c r="AF49" s="712">
        <f t="shared" si="43"/>
        <v>5563.7066201307889</v>
      </c>
      <c r="AG49" s="712">
        <f t="shared" si="43"/>
        <v>7543.7883632894109</v>
      </c>
      <c r="AH49" s="712">
        <f t="shared" si="43"/>
        <v>10228.566449602433</v>
      </c>
      <c r="AI49" s="712">
        <f t="shared" si="43"/>
        <v>13868.837058455365</v>
      </c>
      <c r="AJ49" s="712">
        <f t="shared" si="43"/>
        <v>18804.652861346072</v>
      </c>
      <c r="AK49" s="712">
        <f t="shared" si="43"/>
        <v>25497.088742573676</v>
      </c>
      <c r="AL49" s="712">
        <f t="shared" si="43"/>
        <v>17257.519856207484</v>
      </c>
      <c r="AM49" s="712">
        <f t="shared" si="43"/>
        <v>11680.62732942951</v>
      </c>
      <c r="AN49" s="712">
        <f t="shared" si="43"/>
        <v>7905.9480125667942</v>
      </c>
      <c r="AO49" s="712">
        <f t="shared" si="43"/>
        <v>5351.0836545507345</v>
      </c>
      <c r="AP49" s="712">
        <f t="shared" si="43"/>
        <v>3621.8422170858075</v>
      </c>
      <c r="AQ49" s="712">
        <f t="shared" si="43"/>
        <v>5031.5595961266754</v>
      </c>
      <c r="AR49" s="712">
        <f t="shared" si="43"/>
        <v>6989.9764959238264</v>
      </c>
      <c r="AS49" s="712">
        <f t="shared" si="43"/>
        <v>9710.6613725056704</v>
      </c>
      <c r="AT49" s="712">
        <f t="shared" si="43"/>
        <v>13490.309208687973</v>
      </c>
      <c r="AU49" s="712">
        <f t="shared" si="43"/>
        <v>18741.096570547237</v>
      </c>
      <c r="AV49" s="712">
        <f t="shared" si="43"/>
        <v>18421.350964280813</v>
      </c>
      <c r="AW49" s="712">
        <f t="shared" si="43"/>
        <v>18107.060601913374</v>
      </c>
      <c r="AX49" s="712">
        <f t="shared" ref="AX49:CC49" si="44">+AX45*AX25</f>
        <v>17798.132410434951</v>
      </c>
      <c r="AY49" s="712">
        <f t="shared" si="44"/>
        <v>17494.474904772869</v>
      </c>
      <c r="AZ49" s="712">
        <f t="shared" si="44"/>
        <v>17195.998160699615</v>
      </c>
      <c r="BA49" s="712">
        <f t="shared" si="44"/>
        <v>19251.269063199168</v>
      </c>
      <c r="BB49" s="712">
        <f t="shared" si="44"/>
        <v>21552.186565749842</v>
      </c>
      <c r="BC49" s="712">
        <f t="shared" si="44"/>
        <v>24128.110424305614</v>
      </c>
      <c r="BD49" s="712">
        <f t="shared" si="44"/>
        <v>27011.909481734325</v>
      </c>
      <c r="BE49" s="712">
        <f t="shared" si="44"/>
        <v>30240.38107494725</v>
      </c>
      <c r="BF49" s="712">
        <f t="shared" si="44"/>
        <v>34373.648331668155</v>
      </c>
      <c r="BG49" s="712">
        <f t="shared" si="44"/>
        <v>39071.852193292965</v>
      </c>
      <c r="BH49" s="712">
        <f t="shared" si="44"/>
        <v>44412.208418623974</v>
      </c>
      <c r="BI49" s="712">
        <f t="shared" si="44"/>
        <v>50482.486646944315</v>
      </c>
      <c r="BJ49" s="712">
        <f t="shared" si="44"/>
        <v>57382.452906580089</v>
      </c>
      <c r="BK49" s="712">
        <f t="shared" si="44"/>
        <v>0</v>
      </c>
      <c r="BL49" s="712">
        <f t="shared" si="44"/>
        <v>0</v>
      </c>
      <c r="BM49" s="712">
        <f t="shared" si="44"/>
        <v>0</v>
      </c>
      <c r="BN49" s="712">
        <f t="shared" si="44"/>
        <v>0</v>
      </c>
      <c r="BO49" s="712">
        <f t="shared" si="44"/>
        <v>0</v>
      </c>
      <c r="BP49" s="712">
        <f t="shared" si="44"/>
        <v>0</v>
      </c>
      <c r="BQ49" s="712">
        <f t="shared" si="44"/>
        <v>0</v>
      </c>
      <c r="BR49" s="712">
        <f t="shared" si="44"/>
        <v>0</v>
      </c>
      <c r="BS49" s="712">
        <f t="shared" si="44"/>
        <v>0</v>
      </c>
      <c r="BT49" s="712">
        <f t="shared" si="44"/>
        <v>0</v>
      </c>
      <c r="BU49" s="712">
        <f t="shared" si="44"/>
        <v>0</v>
      </c>
      <c r="BV49" s="712">
        <f t="shared" si="44"/>
        <v>0</v>
      </c>
      <c r="BW49" s="712">
        <f t="shared" si="44"/>
        <v>0</v>
      </c>
      <c r="BX49" s="712">
        <f t="shared" si="44"/>
        <v>0</v>
      </c>
      <c r="BY49" s="712">
        <f t="shared" si="44"/>
        <v>0</v>
      </c>
      <c r="BZ49" s="712">
        <f t="shared" si="44"/>
        <v>0</v>
      </c>
      <c r="CA49" s="712">
        <f t="shared" si="44"/>
        <v>0</v>
      </c>
      <c r="CB49" s="712">
        <f t="shared" si="44"/>
        <v>0</v>
      </c>
      <c r="CC49" s="712">
        <f t="shared" si="44"/>
        <v>0</v>
      </c>
      <c r="CD49" s="712">
        <f t="shared" ref="CD49:DI49" si="45">+CD45*CD25</f>
        <v>0</v>
      </c>
      <c r="CE49" s="712">
        <f t="shared" si="45"/>
        <v>0</v>
      </c>
      <c r="CF49" s="712">
        <f t="shared" si="45"/>
        <v>0</v>
      </c>
      <c r="CG49" s="712">
        <f t="shared" si="45"/>
        <v>0</v>
      </c>
      <c r="CH49" s="712">
        <f t="shared" si="45"/>
        <v>0</v>
      </c>
      <c r="CI49" s="712">
        <f t="shared" si="45"/>
        <v>0</v>
      </c>
      <c r="CJ49" s="712">
        <f t="shared" si="45"/>
        <v>0</v>
      </c>
      <c r="CK49" s="712">
        <f t="shared" si="45"/>
        <v>0</v>
      </c>
      <c r="CL49" s="712">
        <f t="shared" si="45"/>
        <v>0</v>
      </c>
      <c r="CM49" s="712">
        <f t="shared" si="45"/>
        <v>0</v>
      </c>
      <c r="CN49" s="712">
        <f t="shared" si="45"/>
        <v>0</v>
      </c>
      <c r="CO49" s="712">
        <f t="shared" si="45"/>
        <v>0</v>
      </c>
      <c r="CP49" s="712">
        <f t="shared" si="45"/>
        <v>0</v>
      </c>
      <c r="CQ49" s="712">
        <f t="shared" si="45"/>
        <v>0</v>
      </c>
      <c r="CR49" s="712">
        <f t="shared" si="45"/>
        <v>0</v>
      </c>
      <c r="CS49" s="712">
        <f t="shared" si="45"/>
        <v>0</v>
      </c>
      <c r="CT49" s="712">
        <f t="shared" si="45"/>
        <v>0</v>
      </c>
      <c r="CU49" s="712">
        <f t="shared" si="45"/>
        <v>0</v>
      </c>
      <c r="CV49" s="712">
        <f t="shared" si="45"/>
        <v>0</v>
      </c>
      <c r="CW49" s="712">
        <f t="shared" si="45"/>
        <v>0</v>
      </c>
      <c r="CX49" s="712">
        <f t="shared" si="45"/>
        <v>0</v>
      </c>
      <c r="CY49" s="712">
        <f t="shared" si="45"/>
        <v>0</v>
      </c>
      <c r="CZ49" s="712">
        <f t="shared" si="45"/>
        <v>0</v>
      </c>
      <c r="DA49" s="712">
        <f t="shared" si="45"/>
        <v>0</v>
      </c>
      <c r="DB49" s="712">
        <f t="shared" si="45"/>
        <v>0</v>
      </c>
      <c r="DC49" s="712">
        <f t="shared" si="45"/>
        <v>0</v>
      </c>
      <c r="DD49" s="712">
        <f t="shared" si="45"/>
        <v>0</v>
      </c>
      <c r="DE49" s="712">
        <f t="shared" si="45"/>
        <v>0</v>
      </c>
      <c r="DF49" s="712">
        <f t="shared" si="45"/>
        <v>0</v>
      </c>
      <c r="DG49" s="712">
        <f t="shared" si="45"/>
        <v>0</v>
      </c>
      <c r="DH49" s="712">
        <f t="shared" si="45"/>
        <v>0</v>
      </c>
      <c r="DI49" s="712">
        <f t="shared" si="45"/>
        <v>0</v>
      </c>
      <c r="DJ49" s="712">
        <f t="shared" ref="DJ49:DP49" si="46">+DJ45*DJ25</f>
        <v>0</v>
      </c>
      <c r="DK49" s="712">
        <f t="shared" si="46"/>
        <v>0</v>
      </c>
      <c r="DL49" s="712">
        <f t="shared" si="46"/>
        <v>0</v>
      </c>
      <c r="DM49" s="712">
        <f t="shared" si="46"/>
        <v>0</v>
      </c>
      <c r="DN49" s="712">
        <f t="shared" si="46"/>
        <v>0</v>
      </c>
      <c r="DO49" s="712">
        <f t="shared" si="46"/>
        <v>0</v>
      </c>
      <c r="DP49" s="712">
        <f t="shared" si="46"/>
        <v>0</v>
      </c>
      <c r="DQ49" s="39"/>
    </row>
    <row r="50" spans="1:125" x14ac:dyDescent="0.2">
      <c r="DQ50" s="42"/>
    </row>
    <row r="51" spans="1:125" ht="15.75" x14ac:dyDescent="0.25">
      <c r="C51" s="141" t="s">
        <v>437</v>
      </c>
      <c r="DQ51" s="42"/>
    </row>
    <row r="52" spans="1:125" x14ac:dyDescent="0.2">
      <c r="C52" s="150" t="s">
        <v>66</v>
      </c>
      <c r="D52" s="150"/>
      <c r="E52" s="150"/>
      <c r="F52" s="150"/>
      <c r="G52" s="150"/>
      <c r="H52" s="713">
        <f>+Inputs!L18</f>
        <v>1</v>
      </c>
      <c r="I52" s="150"/>
      <c r="J52" s="150"/>
      <c r="K52" s="651" t="s">
        <v>63</v>
      </c>
      <c r="L52" s="150"/>
      <c r="M52" s="150"/>
      <c r="N52" s="29">
        <f>+SUM(Q52:BJ52)</f>
        <v>694.70635617961</v>
      </c>
      <c r="O52" s="93"/>
      <c r="P52" s="93"/>
      <c r="Q52" s="93"/>
      <c r="R52" s="182"/>
      <c r="S52" s="722">
        <f t="shared" ref="S52:AW52" si="47">+CHOOSE($H$52,S53,S54)</f>
        <v>694.70635617961</v>
      </c>
      <c r="T52" s="722">
        <f t="shared" si="47"/>
        <v>0</v>
      </c>
      <c r="U52" s="722">
        <f t="shared" si="47"/>
        <v>0</v>
      </c>
      <c r="V52" s="722">
        <f t="shared" si="47"/>
        <v>0</v>
      </c>
      <c r="W52" s="722">
        <f t="shared" si="47"/>
        <v>0</v>
      </c>
      <c r="X52" s="722">
        <f t="shared" si="47"/>
        <v>0</v>
      </c>
      <c r="Y52" s="722">
        <f t="shared" si="47"/>
        <v>0</v>
      </c>
      <c r="Z52" s="722">
        <f t="shared" si="47"/>
        <v>0</v>
      </c>
      <c r="AA52" s="722">
        <f t="shared" si="47"/>
        <v>0</v>
      </c>
      <c r="AB52" s="722">
        <f t="shared" si="47"/>
        <v>0</v>
      </c>
      <c r="AC52" s="722">
        <f t="shared" si="47"/>
        <v>0</v>
      </c>
      <c r="AD52" s="722">
        <f t="shared" si="47"/>
        <v>0</v>
      </c>
      <c r="AE52" s="722">
        <f t="shared" si="47"/>
        <v>0</v>
      </c>
      <c r="AF52" s="722">
        <f t="shared" si="47"/>
        <v>0</v>
      </c>
      <c r="AG52" s="722">
        <f t="shared" si="47"/>
        <v>0</v>
      </c>
      <c r="AH52" s="722">
        <f t="shared" si="47"/>
        <v>0</v>
      </c>
      <c r="AI52" s="722">
        <f t="shared" si="47"/>
        <v>0</v>
      </c>
      <c r="AJ52" s="722">
        <f t="shared" si="47"/>
        <v>0</v>
      </c>
      <c r="AK52" s="722">
        <f t="shared" si="47"/>
        <v>0</v>
      </c>
      <c r="AL52" s="722">
        <f t="shared" si="47"/>
        <v>0</v>
      </c>
      <c r="AM52" s="722">
        <f t="shared" si="47"/>
        <v>0</v>
      </c>
      <c r="AN52" s="722">
        <f t="shared" si="47"/>
        <v>0</v>
      </c>
      <c r="AO52" s="722">
        <f t="shared" si="47"/>
        <v>0</v>
      </c>
      <c r="AP52" s="722">
        <f t="shared" si="47"/>
        <v>0</v>
      </c>
      <c r="AQ52" s="722">
        <f t="shared" si="47"/>
        <v>0</v>
      </c>
      <c r="AR52" s="722">
        <f t="shared" si="47"/>
        <v>0</v>
      </c>
      <c r="AS52" s="722">
        <f t="shared" si="47"/>
        <v>0</v>
      </c>
      <c r="AT52" s="722">
        <f t="shared" si="47"/>
        <v>0</v>
      </c>
      <c r="AU52" s="722">
        <f t="shared" si="47"/>
        <v>0</v>
      </c>
      <c r="AV52" s="722">
        <f t="shared" si="47"/>
        <v>0</v>
      </c>
      <c r="AW52" s="722">
        <f t="shared" si="47"/>
        <v>0</v>
      </c>
      <c r="AX52" s="722">
        <f t="shared" ref="AX52:CC52" si="48">+CHOOSE($H$52,AX53,AX54)</f>
        <v>0</v>
      </c>
      <c r="AY52" s="722">
        <f t="shared" si="48"/>
        <v>0</v>
      </c>
      <c r="AZ52" s="722">
        <f t="shared" si="48"/>
        <v>0</v>
      </c>
      <c r="BA52" s="722">
        <f t="shared" si="48"/>
        <v>0</v>
      </c>
      <c r="BB52" s="722">
        <f t="shared" si="48"/>
        <v>0</v>
      </c>
      <c r="BC52" s="722">
        <f t="shared" si="48"/>
        <v>0</v>
      </c>
      <c r="BD52" s="722">
        <f t="shared" si="48"/>
        <v>0</v>
      </c>
      <c r="BE52" s="722">
        <f t="shared" si="48"/>
        <v>0</v>
      </c>
      <c r="BF52" s="722">
        <f t="shared" si="48"/>
        <v>0</v>
      </c>
      <c r="BG52" s="722">
        <f t="shared" si="48"/>
        <v>0</v>
      </c>
      <c r="BH52" s="722">
        <f t="shared" si="48"/>
        <v>0</v>
      </c>
      <c r="BI52" s="722">
        <f t="shared" si="48"/>
        <v>0</v>
      </c>
      <c r="BJ52" s="722">
        <f t="shared" si="48"/>
        <v>0</v>
      </c>
      <c r="BK52" s="722">
        <f t="shared" si="48"/>
        <v>0</v>
      </c>
      <c r="BL52" s="722">
        <f t="shared" si="48"/>
        <v>0</v>
      </c>
      <c r="BM52" s="722">
        <f t="shared" si="48"/>
        <v>0</v>
      </c>
      <c r="BN52" s="722">
        <f t="shared" si="48"/>
        <v>0</v>
      </c>
      <c r="BO52" s="722">
        <f t="shared" si="48"/>
        <v>0</v>
      </c>
      <c r="BP52" s="722">
        <f t="shared" si="48"/>
        <v>0</v>
      </c>
      <c r="BQ52" s="722">
        <f t="shared" si="48"/>
        <v>0</v>
      </c>
      <c r="BR52" s="722">
        <f t="shared" si="48"/>
        <v>0</v>
      </c>
      <c r="BS52" s="722">
        <f t="shared" si="48"/>
        <v>0</v>
      </c>
      <c r="BT52" s="722">
        <f t="shared" si="48"/>
        <v>0</v>
      </c>
      <c r="BU52" s="722">
        <f t="shared" si="48"/>
        <v>0</v>
      </c>
      <c r="BV52" s="722">
        <f t="shared" si="48"/>
        <v>0</v>
      </c>
      <c r="BW52" s="722">
        <f t="shared" si="48"/>
        <v>0</v>
      </c>
      <c r="BX52" s="722">
        <f t="shared" si="48"/>
        <v>0</v>
      </c>
      <c r="BY52" s="722">
        <f t="shared" si="48"/>
        <v>0</v>
      </c>
      <c r="BZ52" s="722">
        <f t="shared" si="48"/>
        <v>0</v>
      </c>
      <c r="CA52" s="722">
        <f t="shared" si="48"/>
        <v>0</v>
      </c>
      <c r="CB52" s="722">
        <f t="shared" si="48"/>
        <v>0</v>
      </c>
      <c r="CC52" s="722">
        <f t="shared" si="48"/>
        <v>0</v>
      </c>
      <c r="CD52" s="722">
        <f t="shared" ref="CD52:DI52" si="49">+CHOOSE($H$52,CD53,CD54)</f>
        <v>0</v>
      </c>
      <c r="CE52" s="722">
        <f t="shared" si="49"/>
        <v>0</v>
      </c>
      <c r="CF52" s="722">
        <f t="shared" si="49"/>
        <v>0</v>
      </c>
      <c r="CG52" s="722">
        <f t="shared" si="49"/>
        <v>0</v>
      </c>
      <c r="CH52" s="722">
        <f t="shared" si="49"/>
        <v>0</v>
      </c>
      <c r="CI52" s="722">
        <f t="shared" si="49"/>
        <v>0</v>
      </c>
      <c r="CJ52" s="722">
        <f t="shared" si="49"/>
        <v>0</v>
      </c>
      <c r="CK52" s="722">
        <f t="shared" si="49"/>
        <v>0</v>
      </c>
      <c r="CL52" s="722">
        <f t="shared" si="49"/>
        <v>0</v>
      </c>
      <c r="CM52" s="722">
        <f t="shared" si="49"/>
        <v>0</v>
      </c>
      <c r="CN52" s="722">
        <f t="shared" si="49"/>
        <v>0</v>
      </c>
      <c r="CO52" s="722">
        <f t="shared" si="49"/>
        <v>0</v>
      </c>
      <c r="CP52" s="722">
        <f t="shared" si="49"/>
        <v>0</v>
      </c>
      <c r="CQ52" s="722">
        <f t="shared" si="49"/>
        <v>0</v>
      </c>
      <c r="CR52" s="722">
        <f t="shared" si="49"/>
        <v>0</v>
      </c>
      <c r="CS52" s="722">
        <f t="shared" si="49"/>
        <v>0</v>
      </c>
      <c r="CT52" s="722">
        <f t="shared" si="49"/>
        <v>0</v>
      </c>
      <c r="CU52" s="722">
        <f t="shared" si="49"/>
        <v>0</v>
      </c>
      <c r="CV52" s="722">
        <f t="shared" si="49"/>
        <v>0</v>
      </c>
      <c r="CW52" s="722">
        <f t="shared" si="49"/>
        <v>0</v>
      </c>
      <c r="CX52" s="722">
        <f t="shared" si="49"/>
        <v>0</v>
      </c>
      <c r="CY52" s="722">
        <f t="shared" si="49"/>
        <v>0</v>
      </c>
      <c r="CZ52" s="722">
        <f t="shared" si="49"/>
        <v>0</v>
      </c>
      <c r="DA52" s="722">
        <f t="shared" si="49"/>
        <v>0</v>
      </c>
      <c r="DB52" s="722">
        <f t="shared" si="49"/>
        <v>0</v>
      </c>
      <c r="DC52" s="722">
        <f t="shared" si="49"/>
        <v>0</v>
      </c>
      <c r="DD52" s="722">
        <f t="shared" si="49"/>
        <v>0</v>
      </c>
      <c r="DE52" s="722">
        <f t="shared" si="49"/>
        <v>0</v>
      </c>
      <c r="DF52" s="722">
        <f t="shared" si="49"/>
        <v>0</v>
      </c>
      <c r="DG52" s="722">
        <f t="shared" si="49"/>
        <v>0</v>
      </c>
      <c r="DH52" s="722">
        <f t="shared" si="49"/>
        <v>0</v>
      </c>
      <c r="DI52" s="722">
        <f t="shared" si="49"/>
        <v>0</v>
      </c>
      <c r="DJ52" s="722">
        <f t="shared" ref="DJ52:DP52" si="50">+CHOOSE($H$52,DJ53,DJ54)</f>
        <v>0</v>
      </c>
      <c r="DK52" s="722">
        <f t="shared" si="50"/>
        <v>0</v>
      </c>
      <c r="DL52" s="722">
        <f t="shared" si="50"/>
        <v>0</v>
      </c>
      <c r="DM52" s="722">
        <f t="shared" si="50"/>
        <v>0</v>
      </c>
      <c r="DN52" s="722">
        <f t="shared" si="50"/>
        <v>0</v>
      </c>
      <c r="DO52" s="722">
        <f t="shared" si="50"/>
        <v>0</v>
      </c>
      <c r="DP52" s="722">
        <f t="shared" si="50"/>
        <v>0</v>
      </c>
      <c r="DQ52" s="42"/>
    </row>
    <row r="53" spans="1:125" x14ac:dyDescent="0.2">
      <c r="A53" s="61"/>
      <c r="B53" s="61"/>
      <c r="C53" s="61" t="s">
        <v>380</v>
      </c>
      <c r="D53" s="61"/>
      <c r="E53" s="61"/>
      <c r="F53" s="61"/>
      <c r="G53" s="61"/>
      <c r="H53" s="61"/>
      <c r="I53" s="61"/>
      <c r="J53" s="61"/>
      <c r="K53" s="636"/>
      <c r="L53" s="61"/>
      <c r="M53" s="61"/>
      <c r="N53" s="65"/>
      <c r="O53" s="61"/>
      <c r="P53" s="61"/>
      <c r="Q53" s="61"/>
      <c r="R53" s="575"/>
      <c r="S53" s="575">
        <f>+IF(S7=2018,Inputs!$L$81,0)</f>
        <v>694.70635617961</v>
      </c>
      <c r="T53" s="575">
        <f>+IF(T7=2018,Inputs!$L$81,0)</f>
        <v>0</v>
      </c>
      <c r="U53" s="575">
        <f>+IF(U7=2018,Inputs!$L$81,0)</f>
        <v>0</v>
      </c>
      <c r="V53" s="575">
        <f>+IF(V7=2018,Inputs!$L$81,0)</f>
        <v>0</v>
      </c>
      <c r="W53" s="575">
        <f>+IF(W7=2018,Inputs!$L$81,0)</f>
        <v>0</v>
      </c>
      <c r="X53" s="575">
        <f>+IF(X7=2018,Inputs!$L$81,0)</f>
        <v>0</v>
      </c>
      <c r="Y53" s="575">
        <f>+IF(Y7=2018,Inputs!$L$81,0)</f>
        <v>0</v>
      </c>
      <c r="Z53" s="575">
        <f>+IF(Z7=2018,Inputs!$L$81,0)</f>
        <v>0</v>
      </c>
      <c r="AA53" s="575">
        <f>+IF(AA7=2018,Inputs!$L$81,0)</f>
        <v>0</v>
      </c>
      <c r="AB53" s="575">
        <f>+IF(AB7=2018,Inputs!$L$81,0)</f>
        <v>0</v>
      </c>
      <c r="AC53" s="575">
        <f>+IF(AC7=2018,Inputs!$L$81,0)</f>
        <v>0</v>
      </c>
      <c r="AD53" s="575">
        <f>+IF(AD7=2018,Inputs!$L$81,0)</f>
        <v>0</v>
      </c>
      <c r="AE53" s="575">
        <f>+IF(AE7=2018,Inputs!$L$81,0)</f>
        <v>0</v>
      </c>
      <c r="AF53" s="575">
        <f>+IF(AF7=2018,Inputs!$L$81,0)</f>
        <v>0</v>
      </c>
      <c r="AG53" s="575">
        <f>+IF(AG7=2018,Inputs!$L$81,0)</f>
        <v>0</v>
      </c>
      <c r="AH53" s="575">
        <f>+IF(AH7=2018,Inputs!$L$81,0)</f>
        <v>0</v>
      </c>
      <c r="AI53" s="575">
        <f>+IF(AI7=2018,Inputs!$L$81,0)</f>
        <v>0</v>
      </c>
      <c r="AJ53" s="575">
        <f>+IF(AJ7=2018,Inputs!$L$81,0)</f>
        <v>0</v>
      </c>
      <c r="AK53" s="575">
        <f>+IF(AK7=2018,Inputs!$L$81,0)</f>
        <v>0</v>
      </c>
      <c r="AL53" s="575">
        <f>+IF(AL7=2018,Inputs!$L$81,0)</f>
        <v>0</v>
      </c>
      <c r="AM53" s="575">
        <f>+IF(AM7=2018,Inputs!$L$81,0)</f>
        <v>0</v>
      </c>
      <c r="AN53" s="575">
        <f>+IF(AN7=2018,Inputs!$L$81,0)</f>
        <v>0</v>
      </c>
      <c r="AO53" s="575">
        <f>+IF(AO7=2018,Inputs!$L$81,0)</f>
        <v>0</v>
      </c>
      <c r="AP53" s="575">
        <f>+IF(AP7=2018,Inputs!$L$81,0)</f>
        <v>0</v>
      </c>
      <c r="AQ53" s="575">
        <f>+IF(AQ7=2018,Inputs!$L$81,0)</f>
        <v>0</v>
      </c>
      <c r="AR53" s="575">
        <f>+IF(AR7=2018,Inputs!$L$81,0)</f>
        <v>0</v>
      </c>
      <c r="AS53" s="575">
        <f>+IF(AS7=2018,Inputs!$L$81,0)</f>
        <v>0</v>
      </c>
      <c r="AT53" s="575">
        <f>+IF(AT7=2018,Inputs!$L$81,0)</f>
        <v>0</v>
      </c>
      <c r="AU53" s="575">
        <f>+IF(AU7=2018,Inputs!$L$81,0)</f>
        <v>0</v>
      </c>
      <c r="AV53" s="575">
        <f>+IF(AV7=2018,Inputs!$L$81,0)</f>
        <v>0</v>
      </c>
      <c r="AW53" s="575">
        <f>+IF(AW7=2018,Inputs!$L$81,0)</f>
        <v>0</v>
      </c>
      <c r="AX53" s="575">
        <f>+IF(AX7=2018,Inputs!$L$81,0)</f>
        <v>0</v>
      </c>
      <c r="AY53" s="575">
        <f>+IF(AY7=2018,Inputs!$L$81,0)</f>
        <v>0</v>
      </c>
      <c r="AZ53" s="575">
        <f>+IF(AZ7=2018,Inputs!$L$81,0)</f>
        <v>0</v>
      </c>
      <c r="BA53" s="575">
        <f>+IF(BA7=2018,Inputs!$L$81,0)</f>
        <v>0</v>
      </c>
      <c r="BB53" s="575">
        <f>+IF(BB7=2018,Inputs!$L$81,0)</f>
        <v>0</v>
      </c>
      <c r="BC53" s="575">
        <f>+IF(BC7=2018,Inputs!$L$81,0)</f>
        <v>0</v>
      </c>
      <c r="BD53" s="575">
        <f>+IF(BD7=2018,Inputs!$L$81,0)</f>
        <v>0</v>
      </c>
      <c r="BE53" s="575">
        <f>+IF(BE7=2018,Inputs!$L$81,0)</f>
        <v>0</v>
      </c>
      <c r="BF53" s="575">
        <f>+IF(BF7=2018,Inputs!$L$81,0)</f>
        <v>0</v>
      </c>
      <c r="BG53" s="575">
        <f>+IF(BG7=2018,Inputs!$L$81,0)</f>
        <v>0</v>
      </c>
      <c r="BH53" s="575">
        <f>+IF(BH7=2018,Inputs!$L$81,0)</f>
        <v>0</v>
      </c>
      <c r="BI53" s="575">
        <f>+IF(BI7=2018,Inputs!$L$81,0)</f>
        <v>0</v>
      </c>
      <c r="BJ53" s="575">
        <f>+IF(BJ7=2018,Inputs!$L$81,0)</f>
        <v>0</v>
      </c>
      <c r="BK53" s="721">
        <f>+IF(BK7=2017,Inputs!$L$81,0)</f>
        <v>0</v>
      </c>
      <c r="BL53" s="721">
        <f>+IF(BL7=2017,Inputs!$L$81,0)</f>
        <v>0</v>
      </c>
      <c r="BM53" s="721">
        <f>+IF(BM7=2017,Inputs!$L$81,0)</f>
        <v>0</v>
      </c>
      <c r="BN53" s="721">
        <f>+IF(BN7=2017,Inputs!$L$81,0)</f>
        <v>0</v>
      </c>
      <c r="BO53" s="721">
        <f>+IF(BO7=2017,Inputs!$L$81,0)</f>
        <v>0</v>
      </c>
      <c r="BP53" s="721">
        <f>+IF(BP7=2017,Inputs!$L$81,0)</f>
        <v>0</v>
      </c>
      <c r="BQ53" s="721">
        <f>+IF(BQ7=2017,Inputs!$L$81,0)</f>
        <v>0</v>
      </c>
      <c r="BR53" s="721">
        <f>+IF(BR7=2017,Inputs!$L$81,0)</f>
        <v>0</v>
      </c>
      <c r="BS53" s="721">
        <f>+IF(BS7=2017,Inputs!$L$81,0)</f>
        <v>0</v>
      </c>
      <c r="BT53" s="721">
        <f>+IF(BT7=2017,Inputs!$L$81,0)</f>
        <v>0</v>
      </c>
      <c r="BU53" s="721">
        <f>+IF(BU7=2017,Inputs!$L$81,0)</f>
        <v>0</v>
      </c>
      <c r="BV53" s="721">
        <f>+IF(BV7=2017,Inputs!$L$81,0)</f>
        <v>0</v>
      </c>
      <c r="BW53" s="721">
        <f>+IF(BW7=2017,Inputs!$L$81,0)</f>
        <v>0</v>
      </c>
      <c r="BX53" s="721">
        <f>+IF(BX7=2017,Inputs!$L$81,0)</f>
        <v>0</v>
      </c>
      <c r="BY53" s="721">
        <f>+IF(BY7=2017,Inputs!$L$81,0)</f>
        <v>0</v>
      </c>
      <c r="BZ53" s="721">
        <f>+IF(BZ7=2017,Inputs!$L$81,0)</f>
        <v>0</v>
      </c>
      <c r="CA53" s="721">
        <f>+IF(CA7=2017,Inputs!$L$81,0)</f>
        <v>0</v>
      </c>
      <c r="CB53" s="721">
        <f>+IF(CB7=2017,Inputs!$L$81,0)</f>
        <v>0</v>
      </c>
      <c r="CC53" s="721">
        <f>+IF(CC7=2017,Inputs!$L$81,0)</f>
        <v>0</v>
      </c>
      <c r="CD53" s="721">
        <f>+IF(CD7=2017,Inputs!$L$81,0)</f>
        <v>0</v>
      </c>
      <c r="CE53" s="721">
        <f>+IF(CE7=2017,Inputs!$L$81,0)</f>
        <v>0</v>
      </c>
      <c r="CF53" s="721">
        <f>+IF(CF7=2017,Inputs!$L$81,0)</f>
        <v>0</v>
      </c>
      <c r="CG53" s="721">
        <f>+IF(CG7=2017,Inputs!$L$81,0)</f>
        <v>0</v>
      </c>
      <c r="CH53" s="721">
        <f>+IF(CH7=2017,Inputs!$L$81,0)</f>
        <v>0</v>
      </c>
      <c r="CI53" s="721">
        <f>+IF(CI7=2017,Inputs!$L$81,0)</f>
        <v>0</v>
      </c>
      <c r="CJ53" s="721">
        <f>+IF(CJ7=2017,Inputs!$L$81,0)</f>
        <v>0</v>
      </c>
      <c r="CK53" s="721">
        <f>+IF(CK7=2017,Inputs!$L$81,0)</f>
        <v>0</v>
      </c>
      <c r="CL53" s="721">
        <f>+IF(CL7=2017,Inputs!$L$81,0)</f>
        <v>0</v>
      </c>
      <c r="CM53" s="721">
        <f>+IF(CM7=2017,Inputs!$L$81,0)</f>
        <v>0</v>
      </c>
      <c r="CN53" s="721">
        <f>+IF(CN7=2017,Inputs!$L$81,0)</f>
        <v>0</v>
      </c>
      <c r="CO53" s="721">
        <f>+IF(CO7=2017,Inputs!$L$81,0)</f>
        <v>0</v>
      </c>
      <c r="CP53" s="721">
        <f>+IF(CP7=2017,Inputs!$L$81,0)</f>
        <v>0</v>
      </c>
      <c r="CQ53" s="721">
        <f>+IF(CQ7=2017,Inputs!$L$81,0)</f>
        <v>0</v>
      </c>
      <c r="CR53" s="721">
        <f>+IF(CR7=2017,Inputs!$L$81,0)</f>
        <v>0</v>
      </c>
      <c r="CS53" s="721">
        <f>+IF(CS7=2017,Inputs!$L$81,0)</f>
        <v>0</v>
      </c>
      <c r="CT53" s="721">
        <f>+IF(CT7=2017,Inputs!$L$81,0)</f>
        <v>0</v>
      </c>
      <c r="CU53" s="721">
        <f>+IF(CU7=2017,Inputs!$L$81,0)</f>
        <v>0</v>
      </c>
      <c r="CV53" s="721">
        <f>+IF(CV7=2017,Inputs!$L$81,0)</f>
        <v>0</v>
      </c>
      <c r="CW53" s="721">
        <f>+IF(CW7=2017,Inputs!$L$81,0)</f>
        <v>0</v>
      </c>
      <c r="CX53" s="721">
        <f>+IF(CX7=2017,Inputs!$L$81,0)</f>
        <v>0</v>
      </c>
      <c r="CY53" s="721">
        <f>+IF(CY7=2017,Inputs!$L$81,0)</f>
        <v>0</v>
      </c>
      <c r="CZ53" s="721">
        <f>+IF(CZ7=2017,Inputs!$L$81,0)</f>
        <v>0</v>
      </c>
      <c r="DA53" s="721">
        <f>+IF(DA7=2017,Inputs!$L$81,0)</f>
        <v>0</v>
      </c>
      <c r="DB53" s="721">
        <f>+IF(DB7=2017,Inputs!$L$81,0)</f>
        <v>0</v>
      </c>
      <c r="DC53" s="721">
        <f>+IF(DC7=2017,Inputs!$L$81,0)</f>
        <v>0</v>
      </c>
      <c r="DD53" s="721">
        <f>+IF(DD7=2017,Inputs!$L$81,0)</f>
        <v>0</v>
      </c>
      <c r="DE53" s="721">
        <f>+IF(DE7=2017,Inputs!$L$81,0)</f>
        <v>0</v>
      </c>
      <c r="DF53" s="721">
        <f>+IF(DF7=2017,Inputs!$L$81,0)</f>
        <v>0</v>
      </c>
      <c r="DG53" s="721">
        <f>+IF(DG7=2017,Inputs!$L$81,0)</f>
        <v>0</v>
      </c>
      <c r="DH53" s="721">
        <f>+IF(DH7=2017,Inputs!$L$81,0)</f>
        <v>0</v>
      </c>
      <c r="DI53" s="721">
        <f>+IF(DI7=2017,Inputs!$L$81,0)</f>
        <v>0</v>
      </c>
      <c r="DJ53" s="721">
        <f>+IF(DJ7=2017,Inputs!$L$81,0)</f>
        <v>0</v>
      </c>
      <c r="DK53" s="721">
        <f>+IF(DK7=2017,Inputs!$L$81,0)</f>
        <v>0</v>
      </c>
      <c r="DL53" s="721">
        <f>+IF(DL7=2017,Inputs!$L$81,0)</f>
        <v>0</v>
      </c>
      <c r="DM53" s="721">
        <f>+IF(DM7=2017,Inputs!$L$81,0)</f>
        <v>0</v>
      </c>
      <c r="DN53" s="721">
        <f>+IF(DN7=2017,Inputs!$L$81,0)</f>
        <v>0</v>
      </c>
      <c r="DO53" s="721">
        <f>+IF(DO7=2017,Inputs!$L$81,0)</f>
        <v>0</v>
      </c>
      <c r="DP53" s="721">
        <f>+IF(DP7=2017,Inputs!$L$81,0)</f>
        <v>0</v>
      </c>
      <c r="DQ53" s="42"/>
    </row>
    <row r="54" spans="1:125" x14ac:dyDescent="0.2">
      <c r="A54" s="61"/>
      <c r="B54" s="61"/>
      <c r="C54" s="61"/>
      <c r="D54" s="61"/>
      <c r="E54" s="61"/>
      <c r="F54" s="61"/>
      <c r="G54" s="61"/>
      <c r="H54" s="61"/>
      <c r="I54" s="61"/>
      <c r="J54" s="61"/>
      <c r="K54" s="636"/>
      <c r="L54" s="61"/>
      <c r="M54" s="61"/>
      <c r="N54" s="65"/>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42"/>
    </row>
    <row r="55" spans="1:125" x14ac:dyDescent="0.2">
      <c r="DQ55" s="42"/>
    </row>
    <row r="56" spans="1:125" s="130" customFormat="1" x14ac:dyDescent="0.2">
      <c r="A56" s="61"/>
      <c r="B56" s="61"/>
      <c r="C56" s="138" t="s">
        <v>437</v>
      </c>
      <c r="D56" s="138"/>
      <c r="E56" s="138"/>
      <c r="F56" s="138"/>
      <c r="G56" s="138"/>
      <c r="H56" s="138"/>
      <c r="I56" s="138"/>
      <c r="J56" s="138"/>
      <c r="K56" s="652"/>
      <c r="L56" s="138"/>
      <c r="M56" s="138"/>
      <c r="N56" s="129"/>
      <c r="O56" s="138"/>
      <c r="P56" s="139"/>
      <c r="Q56" s="140"/>
      <c r="R56" s="129"/>
      <c r="S56" s="712">
        <f>+S52*S25</f>
        <v>833.00000000000023</v>
      </c>
      <c r="T56" s="712">
        <f t="shared" ref="T56:BJ56" si="51">+T52*T25</f>
        <v>0</v>
      </c>
      <c r="U56" s="712">
        <f t="shared" si="51"/>
        <v>0</v>
      </c>
      <c r="V56" s="712">
        <f t="shared" si="51"/>
        <v>0</v>
      </c>
      <c r="W56" s="712">
        <f t="shared" si="51"/>
        <v>0</v>
      </c>
      <c r="X56" s="712">
        <f t="shared" si="51"/>
        <v>0</v>
      </c>
      <c r="Y56" s="712">
        <f t="shared" si="51"/>
        <v>0</v>
      </c>
      <c r="Z56" s="712">
        <f t="shared" si="51"/>
        <v>0</v>
      </c>
      <c r="AA56" s="712">
        <f t="shared" si="51"/>
        <v>0</v>
      </c>
      <c r="AB56" s="712">
        <f t="shared" si="51"/>
        <v>0</v>
      </c>
      <c r="AC56" s="712">
        <f t="shared" si="51"/>
        <v>0</v>
      </c>
      <c r="AD56" s="712">
        <f t="shared" si="51"/>
        <v>0</v>
      </c>
      <c r="AE56" s="712">
        <f t="shared" si="51"/>
        <v>0</v>
      </c>
      <c r="AF56" s="712">
        <f t="shared" si="51"/>
        <v>0</v>
      </c>
      <c r="AG56" s="712">
        <f t="shared" si="51"/>
        <v>0</v>
      </c>
      <c r="AH56" s="712">
        <f t="shared" si="51"/>
        <v>0</v>
      </c>
      <c r="AI56" s="712">
        <f t="shared" si="51"/>
        <v>0</v>
      </c>
      <c r="AJ56" s="712">
        <f t="shared" si="51"/>
        <v>0</v>
      </c>
      <c r="AK56" s="712">
        <f t="shared" si="51"/>
        <v>0</v>
      </c>
      <c r="AL56" s="712">
        <f t="shared" si="51"/>
        <v>0</v>
      </c>
      <c r="AM56" s="712">
        <f t="shared" si="51"/>
        <v>0</v>
      </c>
      <c r="AN56" s="712">
        <f t="shared" si="51"/>
        <v>0</v>
      </c>
      <c r="AO56" s="712">
        <f t="shared" si="51"/>
        <v>0</v>
      </c>
      <c r="AP56" s="712">
        <f t="shared" si="51"/>
        <v>0</v>
      </c>
      <c r="AQ56" s="712">
        <f t="shared" si="51"/>
        <v>0</v>
      </c>
      <c r="AR56" s="712">
        <f t="shared" si="51"/>
        <v>0</v>
      </c>
      <c r="AS56" s="712">
        <f t="shared" si="51"/>
        <v>0</v>
      </c>
      <c r="AT56" s="712">
        <f t="shared" si="51"/>
        <v>0</v>
      </c>
      <c r="AU56" s="712">
        <f t="shared" si="51"/>
        <v>0</v>
      </c>
      <c r="AV56" s="712">
        <f t="shared" si="51"/>
        <v>0</v>
      </c>
      <c r="AW56" s="712">
        <f t="shared" si="51"/>
        <v>0</v>
      </c>
      <c r="AX56" s="712">
        <f t="shared" si="51"/>
        <v>0</v>
      </c>
      <c r="AY56" s="712">
        <f t="shared" si="51"/>
        <v>0</v>
      </c>
      <c r="AZ56" s="712">
        <f t="shared" si="51"/>
        <v>0</v>
      </c>
      <c r="BA56" s="712">
        <f t="shared" si="51"/>
        <v>0</v>
      </c>
      <c r="BB56" s="712">
        <f t="shared" si="51"/>
        <v>0</v>
      </c>
      <c r="BC56" s="712">
        <f t="shared" si="51"/>
        <v>0</v>
      </c>
      <c r="BD56" s="712">
        <f t="shared" si="51"/>
        <v>0</v>
      </c>
      <c r="BE56" s="712">
        <f t="shared" si="51"/>
        <v>0</v>
      </c>
      <c r="BF56" s="712">
        <f t="shared" si="51"/>
        <v>0</v>
      </c>
      <c r="BG56" s="712">
        <f t="shared" si="51"/>
        <v>0</v>
      </c>
      <c r="BH56" s="712">
        <f t="shared" si="51"/>
        <v>0</v>
      </c>
      <c r="BI56" s="712">
        <f t="shared" si="51"/>
        <v>0</v>
      </c>
      <c r="BJ56" s="712">
        <f t="shared" si="51"/>
        <v>0</v>
      </c>
      <c r="BK56" s="712">
        <f t="shared" ref="BK56:CP56" si="52">+BK52*BK25</f>
        <v>0</v>
      </c>
      <c r="BL56" s="712">
        <f t="shared" si="52"/>
        <v>0</v>
      </c>
      <c r="BM56" s="712">
        <f t="shared" si="52"/>
        <v>0</v>
      </c>
      <c r="BN56" s="712">
        <f t="shared" si="52"/>
        <v>0</v>
      </c>
      <c r="BO56" s="712">
        <f t="shared" si="52"/>
        <v>0</v>
      </c>
      <c r="BP56" s="712">
        <f t="shared" si="52"/>
        <v>0</v>
      </c>
      <c r="BQ56" s="712">
        <f t="shared" si="52"/>
        <v>0</v>
      </c>
      <c r="BR56" s="712">
        <f t="shared" si="52"/>
        <v>0</v>
      </c>
      <c r="BS56" s="712">
        <f t="shared" si="52"/>
        <v>0</v>
      </c>
      <c r="BT56" s="712">
        <f t="shared" si="52"/>
        <v>0</v>
      </c>
      <c r="BU56" s="712">
        <f t="shared" si="52"/>
        <v>0</v>
      </c>
      <c r="BV56" s="712">
        <f t="shared" si="52"/>
        <v>0</v>
      </c>
      <c r="BW56" s="712">
        <f t="shared" si="52"/>
        <v>0</v>
      </c>
      <c r="BX56" s="712">
        <f t="shared" si="52"/>
        <v>0</v>
      </c>
      <c r="BY56" s="712">
        <f t="shared" si="52"/>
        <v>0</v>
      </c>
      <c r="BZ56" s="712">
        <f t="shared" si="52"/>
        <v>0</v>
      </c>
      <c r="CA56" s="712">
        <f t="shared" si="52"/>
        <v>0</v>
      </c>
      <c r="CB56" s="712">
        <f t="shared" si="52"/>
        <v>0</v>
      </c>
      <c r="CC56" s="712">
        <f t="shared" si="52"/>
        <v>0</v>
      </c>
      <c r="CD56" s="712">
        <f t="shared" si="52"/>
        <v>0</v>
      </c>
      <c r="CE56" s="712">
        <f t="shared" si="52"/>
        <v>0</v>
      </c>
      <c r="CF56" s="712">
        <f t="shared" si="52"/>
        <v>0</v>
      </c>
      <c r="CG56" s="712">
        <f t="shared" si="52"/>
        <v>0</v>
      </c>
      <c r="CH56" s="712">
        <f t="shared" si="52"/>
        <v>0</v>
      </c>
      <c r="CI56" s="712">
        <f t="shared" si="52"/>
        <v>0</v>
      </c>
      <c r="CJ56" s="712">
        <f t="shared" si="52"/>
        <v>0</v>
      </c>
      <c r="CK56" s="712">
        <f t="shared" si="52"/>
        <v>0</v>
      </c>
      <c r="CL56" s="712">
        <f t="shared" si="52"/>
        <v>0</v>
      </c>
      <c r="CM56" s="712">
        <f t="shared" si="52"/>
        <v>0</v>
      </c>
      <c r="CN56" s="712">
        <f t="shared" si="52"/>
        <v>0</v>
      </c>
      <c r="CO56" s="712">
        <f t="shared" si="52"/>
        <v>0</v>
      </c>
      <c r="CP56" s="712">
        <f t="shared" si="52"/>
        <v>0</v>
      </c>
      <c r="CQ56" s="712">
        <f t="shared" ref="CQ56:DP56" si="53">+CQ52*CQ25</f>
        <v>0</v>
      </c>
      <c r="CR56" s="712">
        <f t="shared" si="53"/>
        <v>0</v>
      </c>
      <c r="CS56" s="712">
        <f t="shared" si="53"/>
        <v>0</v>
      </c>
      <c r="CT56" s="712">
        <f t="shared" si="53"/>
        <v>0</v>
      </c>
      <c r="CU56" s="712">
        <f t="shared" si="53"/>
        <v>0</v>
      </c>
      <c r="CV56" s="712">
        <f t="shared" si="53"/>
        <v>0</v>
      </c>
      <c r="CW56" s="712">
        <f t="shared" si="53"/>
        <v>0</v>
      </c>
      <c r="CX56" s="712">
        <f t="shared" si="53"/>
        <v>0</v>
      </c>
      <c r="CY56" s="712">
        <f t="shared" si="53"/>
        <v>0</v>
      </c>
      <c r="CZ56" s="712">
        <f t="shared" si="53"/>
        <v>0</v>
      </c>
      <c r="DA56" s="712">
        <f t="shared" si="53"/>
        <v>0</v>
      </c>
      <c r="DB56" s="712">
        <f t="shared" si="53"/>
        <v>0</v>
      </c>
      <c r="DC56" s="712">
        <f t="shared" si="53"/>
        <v>0</v>
      </c>
      <c r="DD56" s="712">
        <f t="shared" si="53"/>
        <v>0</v>
      </c>
      <c r="DE56" s="712">
        <f t="shared" si="53"/>
        <v>0</v>
      </c>
      <c r="DF56" s="712">
        <f t="shared" si="53"/>
        <v>0</v>
      </c>
      <c r="DG56" s="712">
        <f t="shared" si="53"/>
        <v>0</v>
      </c>
      <c r="DH56" s="712">
        <f t="shared" si="53"/>
        <v>0</v>
      </c>
      <c r="DI56" s="712">
        <f t="shared" si="53"/>
        <v>0</v>
      </c>
      <c r="DJ56" s="712">
        <f t="shared" si="53"/>
        <v>0</v>
      </c>
      <c r="DK56" s="712">
        <f t="shared" si="53"/>
        <v>0</v>
      </c>
      <c r="DL56" s="712">
        <f t="shared" si="53"/>
        <v>0</v>
      </c>
      <c r="DM56" s="712">
        <f t="shared" si="53"/>
        <v>0</v>
      </c>
      <c r="DN56" s="712">
        <f t="shared" si="53"/>
        <v>0</v>
      </c>
      <c r="DO56" s="712">
        <f t="shared" si="53"/>
        <v>0</v>
      </c>
      <c r="DP56" s="712">
        <f t="shared" si="53"/>
        <v>0</v>
      </c>
      <c r="DQ56" s="39"/>
    </row>
    <row r="57" spans="1:125" x14ac:dyDescent="0.2">
      <c r="DQ57" s="42"/>
    </row>
    <row r="58" spans="1:125" s="124" customFormat="1" ht="15.75" x14ac:dyDescent="0.25">
      <c r="A58" s="120"/>
      <c r="B58" s="120" t="s">
        <v>276</v>
      </c>
      <c r="C58" s="120"/>
      <c r="D58" s="120"/>
      <c r="E58" s="120"/>
      <c r="F58" s="120"/>
      <c r="G58" s="120"/>
      <c r="H58" s="120"/>
      <c r="I58" s="120"/>
      <c r="J58" s="120"/>
      <c r="K58" s="562"/>
      <c r="L58" s="120"/>
      <c r="M58" s="120"/>
      <c r="N58" s="120"/>
      <c r="O58" s="121"/>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3"/>
      <c r="DQ58" s="122"/>
      <c r="DR58" s="122"/>
      <c r="DS58" s="122"/>
      <c r="DT58" s="122"/>
      <c r="DU58" s="122"/>
    </row>
    <row r="59" spans="1:125" x14ac:dyDescent="0.2">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DQ59" s="42"/>
    </row>
    <row r="60" spans="1:125" x14ac:dyDescent="0.2">
      <c r="DQ60" s="42"/>
    </row>
    <row r="61" spans="1:125" x14ac:dyDescent="0.2">
      <c r="C61" t="s">
        <v>285</v>
      </c>
      <c r="K61" s="74" t="s">
        <v>63</v>
      </c>
      <c r="N61" s="63">
        <f>+SUM(Q61:BJ61)</f>
        <v>39545578.786975168</v>
      </c>
      <c r="Q61" s="98"/>
      <c r="R61" s="98"/>
      <c r="S61" s="177">
        <f>CF!S25</f>
        <v>120885.88824258334</v>
      </c>
      <c r="T61" s="177">
        <f>CF!T25</f>
        <v>137801.19959581227</v>
      </c>
      <c r="U61" s="177">
        <f>CF!U25</f>
        <v>157083.43534639102</v>
      </c>
      <c r="V61" s="177">
        <f>CF!V25</f>
        <v>179063.79431092911</v>
      </c>
      <c r="W61" s="177">
        <f>CF!W25</f>
        <v>192605.02760027614</v>
      </c>
      <c r="X61" s="177">
        <f>CF!X25</f>
        <v>207170.28140534012</v>
      </c>
      <c r="Y61" s="177">
        <f>CF!Y25</f>
        <v>222836.99461179745</v>
      </c>
      <c r="Z61" s="177">
        <f>CF!Z25</f>
        <v>239688.46221945746</v>
      </c>
      <c r="AA61" s="177">
        <f>CF!AA25</f>
        <v>257814.27819564901</v>
      </c>
      <c r="AB61" s="177">
        <f>CF!AB25</f>
        <v>278762.48071423272</v>
      </c>
      <c r="AC61" s="177">
        <f>CF!AC25</f>
        <v>301412.78907362081</v>
      </c>
      <c r="AD61" s="177">
        <f>CF!AD25</f>
        <v>325903.50460495288</v>
      </c>
      <c r="AE61" s="177">
        <f>CF!AE25</f>
        <v>352384.16604760505</v>
      </c>
      <c r="AF61" s="177">
        <f>CF!AF25</f>
        <v>381016.46262314834</v>
      </c>
      <c r="AG61" s="177">
        <f>CF!AG25</f>
        <v>408456.17658274976</v>
      </c>
      <c r="AH61" s="177">
        <f>CF!AH25</f>
        <v>437872.02012216265</v>
      </c>
      <c r="AI61" s="177">
        <f>CF!AI25</f>
        <v>469406.30843176972</v>
      </c>
      <c r="AJ61" s="177">
        <f>CF!AJ25</f>
        <v>503211.60583420709</v>
      </c>
      <c r="AK61" s="177">
        <f>CF!AK25</f>
        <v>539451.46389750403</v>
      </c>
      <c r="AL61" s="177">
        <f>CF!AL25</f>
        <v>578674.50285759126</v>
      </c>
      <c r="AM61" s="177">
        <f>CF!AM25</f>
        <v>620749.41429967957</v>
      </c>
      <c r="AN61" s="177">
        <f>CF!AN25</f>
        <v>665883.55535032612</v>
      </c>
      <c r="AO61" s="177">
        <f>CF!AO25</f>
        <v>714299.35988941567</v>
      </c>
      <c r="AP61" s="177">
        <f>CF!AP25</f>
        <v>766235.43476756511</v>
      </c>
      <c r="AQ61" s="177">
        <f>CF!AQ25</f>
        <v>815048.11516243534</v>
      </c>
      <c r="AR61" s="177">
        <f>CF!AR25</f>
        <v>866970.38519414421</v>
      </c>
      <c r="AS61" s="177">
        <f>CF!AS25</f>
        <v>922200.33985832217</v>
      </c>
      <c r="AT61" s="177">
        <f>CF!AT25</f>
        <v>980948.69370233372</v>
      </c>
      <c r="AU61" s="177">
        <f>CF!AU25</f>
        <v>1043439.5847480897</v>
      </c>
      <c r="AV61" s="177">
        <f>CF!AV25</f>
        <v>1107893.3127959436</v>
      </c>
      <c r="AW61" s="177">
        <f>CF!AW25</f>
        <v>1176328.376342268</v>
      </c>
      <c r="AX61" s="177">
        <f>CF!AX25</f>
        <v>1248990.7042546622</v>
      </c>
      <c r="AY61" s="177">
        <f>CF!AY25</f>
        <v>1326141.4165364497</v>
      </c>
      <c r="AZ61" s="177">
        <f>CF!AZ25</f>
        <v>1408057.7626899001</v>
      </c>
      <c r="BA61" s="177">
        <f>CF!BA25</f>
        <v>1496985.9829482075</v>
      </c>
      <c r="BB61" s="177">
        <f>CF!BB25</f>
        <v>1591530.6122543954</v>
      </c>
      <c r="BC61" s="177">
        <f>CF!BC25</f>
        <v>1692046.3642246984</v>
      </c>
      <c r="BD61" s="177">
        <f>CF!BD25</f>
        <v>1798910.355001319</v>
      </c>
      <c r="BE61" s="177">
        <f>CF!BE25</f>
        <v>1912523.5181210623</v>
      </c>
      <c r="BF61" s="177">
        <f>CF!BF25</f>
        <v>2058733.5943873224</v>
      </c>
      <c r="BG61" s="177">
        <f>CF!BG25</f>
        <v>2216121.2515822537</v>
      </c>
      <c r="BH61" s="177">
        <f>CF!BH25</f>
        <v>2385541.0020527993</v>
      </c>
      <c r="BI61" s="177">
        <f>CF!BI25</f>
        <v>2567912.6845663274</v>
      </c>
      <c r="BJ61" s="177">
        <f>CF!BJ25</f>
        <v>1870586.1239274591</v>
      </c>
      <c r="BK61" s="177">
        <f>CF!BK25</f>
        <v>0</v>
      </c>
      <c r="BL61" s="177">
        <f>CF!BL25</f>
        <v>0</v>
      </c>
      <c r="BM61" s="177">
        <f>CF!BM25</f>
        <v>0</v>
      </c>
      <c r="BN61" s="177">
        <f>CF!BN25</f>
        <v>0</v>
      </c>
      <c r="BO61" s="177">
        <f>CF!BO25</f>
        <v>0</v>
      </c>
      <c r="BP61" s="177">
        <f>CF!BP25</f>
        <v>0</v>
      </c>
      <c r="BQ61" s="177">
        <f>CF!BQ25</f>
        <v>0</v>
      </c>
      <c r="BR61" s="177">
        <f>CF!BR25</f>
        <v>0</v>
      </c>
      <c r="BS61" s="177">
        <f>CF!BS25</f>
        <v>0</v>
      </c>
      <c r="BT61" s="177">
        <f>CF!BT25</f>
        <v>0</v>
      </c>
      <c r="BU61" s="177">
        <f>CF!BU25</f>
        <v>0</v>
      </c>
      <c r="BV61" s="177">
        <f>CF!BV25</f>
        <v>0</v>
      </c>
      <c r="BW61" s="177">
        <f>CF!BW25</f>
        <v>0</v>
      </c>
      <c r="BX61" s="177">
        <f>CF!BX25</f>
        <v>0</v>
      </c>
      <c r="BY61" s="177">
        <f>CF!BY25</f>
        <v>0</v>
      </c>
      <c r="BZ61" s="177">
        <f>CF!BZ25</f>
        <v>0</v>
      </c>
      <c r="CA61" s="177">
        <f>CF!CA25</f>
        <v>0</v>
      </c>
      <c r="CB61" s="177">
        <f>CF!CB25</f>
        <v>0</v>
      </c>
      <c r="CC61" s="177">
        <f>CF!CC25</f>
        <v>0</v>
      </c>
      <c r="CD61" s="177">
        <f>CF!CD25</f>
        <v>0</v>
      </c>
      <c r="CE61" s="177">
        <f>CF!CE25</f>
        <v>0</v>
      </c>
      <c r="CF61" s="177">
        <f>CF!CF25</f>
        <v>0</v>
      </c>
      <c r="CG61" s="177">
        <f>CF!CG25</f>
        <v>0</v>
      </c>
      <c r="CH61" s="177">
        <f>CF!CH25</f>
        <v>0</v>
      </c>
      <c r="CI61" s="177">
        <f>CF!CI25</f>
        <v>0</v>
      </c>
      <c r="CJ61" s="177">
        <f>CF!CJ25</f>
        <v>0</v>
      </c>
      <c r="CK61" s="177">
        <f>CF!CK25</f>
        <v>0</v>
      </c>
      <c r="CL61" s="177">
        <f>CF!CL25</f>
        <v>0</v>
      </c>
      <c r="CM61" s="177">
        <f>CF!CM25</f>
        <v>0</v>
      </c>
      <c r="CN61" s="177">
        <f>CF!CN25</f>
        <v>0</v>
      </c>
      <c r="CO61" s="177">
        <f>CF!CO25</f>
        <v>0</v>
      </c>
      <c r="CP61" s="177">
        <f>CF!CP25</f>
        <v>0</v>
      </c>
      <c r="CQ61" s="177">
        <f>CF!CQ25</f>
        <v>0</v>
      </c>
      <c r="CR61" s="177">
        <f>CF!CR25</f>
        <v>0</v>
      </c>
      <c r="CS61" s="177">
        <f>CF!CS25</f>
        <v>0</v>
      </c>
      <c r="CT61" s="177">
        <f>CF!CT25</f>
        <v>0</v>
      </c>
      <c r="CU61" s="177">
        <f>CF!CU25</f>
        <v>0</v>
      </c>
      <c r="CV61" s="177">
        <f>CF!CV25</f>
        <v>0</v>
      </c>
      <c r="CW61" s="177">
        <f>CF!CW25</f>
        <v>0</v>
      </c>
      <c r="CX61" s="177">
        <f>CF!CX25</f>
        <v>0</v>
      </c>
      <c r="CY61" s="177">
        <f>CF!CY25</f>
        <v>0</v>
      </c>
      <c r="CZ61" s="177">
        <f>CF!CZ25</f>
        <v>0</v>
      </c>
      <c r="DA61" s="177">
        <f>CF!DA25</f>
        <v>0</v>
      </c>
      <c r="DB61" s="177">
        <f>CF!DB25</f>
        <v>0</v>
      </c>
      <c r="DC61" s="177">
        <f>CF!DC25</f>
        <v>0</v>
      </c>
      <c r="DD61" s="177">
        <f>CF!DD25</f>
        <v>0</v>
      </c>
      <c r="DE61" s="177">
        <f>CF!DE25</f>
        <v>0</v>
      </c>
      <c r="DF61" s="177">
        <f>CF!DF25</f>
        <v>0</v>
      </c>
      <c r="DG61" s="177">
        <f>CF!DG25</f>
        <v>0</v>
      </c>
      <c r="DH61" s="177">
        <f>CF!DH25</f>
        <v>0</v>
      </c>
      <c r="DI61" s="177">
        <f>CF!DI25</f>
        <v>0</v>
      </c>
      <c r="DJ61" s="177">
        <f>CF!DJ25</f>
        <v>0</v>
      </c>
      <c r="DK61" s="177">
        <f>CF!DK25</f>
        <v>0</v>
      </c>
      <c r="DL61" s="177">
        <f>CF!DL25</f>
        <v>0</v>
      </c>
      <c r="DM61" s="177">
        <f>CF!DM25</f>
        <v>0</v>
      </c>
      <c r="DN61" s="177">
        <f>CF!DN25</f>
        <v>0</v>
      </c>
      <c r="DO61" s="177">
        <f>CF!DO25</f>
        <v>0</v>
      </c>
      <c r="DP61" s="177">
        <f>CF!DP25</f>
        <v>0</v>
      </c>
      <c r="DQ61" s="42"/>
    </row>
    <row r="62" spans="1:125" x14ac:dyDescent="0.2">
      <c r="C62" t="s">
        <v>290</v>
      </c>
      <c r="K62" s="74"/>
      <c r="N62" s="69"/>
      <c r="Q62" s="86"/>
      <c r="R62" s="98"/>
      <c r="S62" s="177">
        <f t="shared" ref="S62:CD62" si="54">+R62+S61</f>
        <v>120885.88824258334</v>
      </c>
      <c r="T62" s="177">
        <f t="shared" si="54"/>
        <v>258687.08783839562</v>
      </c>
      <c r="U62" s="177">
        <f t="shared" si="54"/>
        <v>415770.52318478667</v>
      </c>
      <c r="V62" s="177">
        <f t="shared" si="54"/>
        <v>594834.3174957158</v>
      </c>
      <c r="W62" s="177">
        <f t="shared" si="54"/>
        <v>787439.34509599197</v>
      </c>
      <c r="X62" s="177">
        <f t="shared" si="54"/>
        <v>994609.62650133204</v>
      </c>
      <c r="Y62" s="177">
        <f t="shared" si="54"/>
        <v>1217446.6211131294</v>
      </c>
      <c r="Z62" s="177">
        <f t="shared" si="54"/>
        <v>1457135.0833325868</v>
      </c>
      <c r="AA62" s="177">
        <f t="shared" si="54"/>
        <v>1714949.3615282357</v>
      </c>
      <c r="AB62" s="177">
        <f t="shared" si="54"/>
        <v>1993711.8422424684</v>
      </c>
      <c r="AC62" s="177">
        <f t="shared" si="54"/>
        <v>2295124.6313160891</v>
      </c>
      <c r="AD62" s="177">
        <f t="shared" si="54"/>
        <v>2621028.1359210419</v>
      </c>
      <c r="AE62" s="177">
        <f t="shared" si="54"/>
        <v>2973412.3019686472</v>
      </c>
      <c r="AF62" s="177">
        <f t="shared" si="54"/>
        <v>3354428.7645917954</v>
      </c>
      <c r="AG62" s="177">
        <f t="shared" si="54"/>
        <v>3762884.9411745453</v>
      </c>
      <c r="AH62" s="177">
        <f t="shared" si="54"/>
        <v>4200756.9612967083</v>
      </c>
      <c r="AI62" s="177">
        <f t="shared" si="54"/>
        <v>4670163.269728478</v>
      </c>
      <c r="AJ62" s="177">
        <f t="shared" si="54"/>
        <v>5173374.8755626855</v>
      </c>
      <c r="AK62" s="177">
        <f t="shared" si="54"/>
        <v>5712826.3394601895</v>
      </c>
      <c r="AL62" s="177">
        <f t="shared" si="54"/>
        <v>6291500.8423177805</v>
      </c>
      <c r="AM62" s="177">
        <f t="shared" si="54"/>
        <v>6912250.2566174604</v>
      </c>
      <c r="AN62" s="177">
        <f t="shared" si="54"/>
        <v>7578133.8119677864</v>
      </c>
      <c r="AO62" s="177">
        <f t="shared" si="54"/>
        <v>8292433.1718572024</v>
      </c>
      <c r="AP62" s="177">
        <f t="shared" si="54"/>
        <v>9058668.6066247672</v>
      </c>
      <c r="AQ62" s="177">
        <f t="shared" si="54"/>
        <v>9873716.7217872031</v>
      </c>
      <c r="AR62" s="177">
        <f t="shared" si="54"/>
        <v>10740687.106981348</v>
      </c>
      <c r="AS62" s="177">
        <f t="shared" si="54"/>
        <v>11662887.44683967</v>
      </c>
      <c r="AT62" s="177">
        <f t="shared" si="54"/>
        <v>12643836.140542004</v>
      </c>
      <c r="AU62" s="177">
        <f t="shared" si="54"/>
        <v>13687275.725290094</v>
      </c>
      <c r="AV62" s="177">
        <f t="shared" si="54"/>
        <v>14795169.038086038</v>
      </c>
      <c r="AW62" s="177">
        <f t="shared" si="54"/>
        <v>15971497.414428307</v>
      </c>
      <c r="AX62" s="177">
        <f t="shared" si="54"/>
        <v>17220488.118682969</v>
      </c>
      <c r="AY62" s="177">
        <f t="shared" si="54"/>
        <v>18546629.53521942</v>
      </c>
      <c r="AZ62" s="177">
        <f t="shared" si="54"/>
        <v>19954687.297909319</v>
      </c>
      <c r="BA62" s="177">
        <f t="shared" si="54"/>
        <v>21451673.280857526</v>
      </c>
      <c r="BB62" s="177">
        <f t="shared" si="54"/>
        <v>23043203.893111922</v>
      </c>
      <c r="BC62" s="177">
        <f t="shared" si="54"/>
        <v>24735250.25733662</v>
      </c>
      <c r="BD62" s="177">
        <f t="shared" si="54"/>
        <v>26534160.612337939</v>
      </c>
      <c r="BE62" s="177">
        <f t="shared" si="54"/>
        <v>28446684.130459003</v>
      </c>
      <c r="BF62" s="177">
        <f t="shared" si="54"/>
        <v>30505417.724846326</v>
      </c>
      <c r="BG62" s="177">
        <f t="shared" si="54"/>
        <v>32721538.97642858</v>
      </c>
      <c r="BH62" s="177">
        <f t="shared" si="54"/>
        <v>35107079.978481382</v>
      </c>
      <c r="BI62" s="177">
        <f t="shared" si="54"/>
        <v>37674992.663047709</v>
      </c>
      <c r="BJ62" s="177">
        <f t="shared" si="54"/>
        <v>39545578.786975168</v>
      </c>
      <c r="BK62" s="177">
        <f t="shared" si="54"/>
        <v>39545578.786975168</v>
      </c>
      <c r="BL62" s="177">
        <f t="shared" si="54"/>
        <v>39545578.786975168</v>
      </c>
      <c r="BM62" s="177">
        <f t="shared" si="54"/>
        <v>39545578.786975168</v>
      </c>
      <c r="BN62" s="177">
        <f t="shared" si="54"/>
        <v>39545578.786975168</v>
      </c>
      <c r="BO62" s="177">
        <f t="shared" si="54"/>
        <v>39545578.786975168</v>
      </c>
      <c r="BP62" s="177">
        <f t="shared" si="54"/>
        <v>39545578.786975168</v>
      </c>
      <c r="BQ62" s="177">
        <f t="shared" si="54"/>
        <v>39545578.786975168</v>
      </c>
      <c r="BR62" s="177">
        <f t="shared" si="54"/>
        <v>39545578.786975168</v>
      </c>
      <c r="BS62" s="177">
        <f t="shared" si="54"/>
        <v>39545578.786975168</v>
      </c>
      <c r="BT62" s="177">
        <f t="shared" si="54"/>
        <v>39545578.786975168</v>
      </c>
      <c r="BU62" s="177">
        <f t="shared" si="54"/>
        <v>39545578.786975168</v>
      </c>
      <c r="BV62" s="177">
        <f t="shared" si="54"/>
        <v>39545578.786975168</v>
      </c>
      <c r="BW62" s="177">
        <f t="shared" si="54"/>
        <v>39545578.786975168</v>
      </c>
      <c r="BX62" s="177">
        <f t="shared" si="54"/>
        <v>39545578.786975168</v>
      </c>
      <c r="BY62" s="177">
        <f t="shared" si="54"/>
        <v>39545578.786975168</v>
      </c>
      <c r="BZ62" s="177">
        <f t="shared" si="54"/>
        <v>39545578.786975168</v>
      </c>
      <c r="CA62" s="177">
        <f t="shared" si="54"/>
        <v>39545578.786975168</v>
      </c>
      <c r="CB62" s="177">
        <f t="shared" si="54"/>
        <v>39545578.786975168</v>
      </c>
      <c r="CC62" s="177">
        <f t="shared" si="54"/>
        <v>39545578.786975168</v>
      </c>
      <c r="CD62" s="177">
        <f t="shared" si="54"/>
        <v>39545578.786975168</v>
      </c>
      <c r="CE62" s="177">
        <f t="shared" ref="CE62:DP62" si="55">+CD62+CE61</f>
        <v>39545578.786975168</v>
      </c>
      <c r="CF62" s="177">
        <f t="shared" si="55"/>
        <v>39545578.786975168</v>
      </c>
      <c r="CG62" s="177">
        <f t="shared" si="55"/>
        <v>39545578.786975168</v>
      </c>
      <c r="CH62" s="177">
        <f t="shared" si="55"/>
        <v>39545578.786975168</v>
      </c>
      <c r="CI62" s="177">
        <f t="shared" si="55"/>
        <v>39545578.786975168</v>
      </c>
      <c r="CJ62" s="177">
        <f t="shared" si="55"/>
        <v>39545578.786975168</v>
      </c>
      <c r="CK62" s="177">
        <f t="shared" si="55"/>
        <v>39545578.786975168</v>
      </c>
      <c r="CL62" s="177">
        <f t="shared" si="55"/>
        <v>39545578.786975168</v>
      </c>
      <c r="CM62" s="177">
        <f t="shared" si="55"/>
        <v>39545578.786975168</v>
      </c>
      <c r="CN62" s="177">
        <f t="shared" si="55"/>
        <v>39545578.786975168</v>
      </c>
      <c r="CO62" s="177">
        <f t="shared" si="55"/>
        <v>39545578.786975168</v>
      </c>
      <c r="CP62" s="177">
        <f t="shared" si="55"/>
        <v>39545578.786975168</v>
      </c>
      <c r="CQ62" s="177">
        <f t="shared" si="55"/>
        <v>39545578.786975168</v>
      </c>
      <c r="CR62" s="177">
        <f t="shared" si="55"/>
        <v>39545578.786975168</v>
      </c>
      <c r="CS62" s="177">
        <f t="shared" si="55"/>
        <v>39545578.786975168</v>
      </c>
      <c r="CT62" s="177">
        <f t="shared" si="55"/>
        <v>39545578.786975168</v>
      </c>
      <c r="CU62" s="177">
        <f t="shared" si="55"/>
        <v>39545578.786975168</v>
      </c>
      <c r="CV62" s="177">
        <f t="shared" si="55"/>
        <v>39545578.786975168</v>
      </c>
      <c r="CW62" s="177">
        <f t="shared" si="55"/>
        <v>39545578.786975168</v>
      </c>
      <c r="CX62" s="177">
        <f t="shared" si="55"/>
        <v>39545578.786975168</v>
      </c>
      <c r="CY62" s="177">
        <f t="shared" si="55"/>
        <v>39545578.786975168</v>
      </c>
      <c r="CZ62" s="177">
        <f t="shared" si="55"/>
        <v>39545578.786975168</v>
      </c>
      <c r="DA62" s="177">
        <f t="shared" si="55"/>
        <v>39545578.786975168</v>
      </c>
      <c r="DB62" s="177">
        <f t="shared" si="55"/>
        <v>39545578.786975168</v>
      </c>
      <c r="DC62" s="177">
        <f t="shared" si="55"/>
        <v>39545578.786975168</v>
      </c>
      <c r="DD62" s="177">
        <f t="shared" si="55"/>
        <v>39545578.786975168</v>
      </c>
      <c r="DE62" s="177">
        <f t="shared" si="55"/>
        <v>39545578.786975168</v>
      </c>
      <c r="DF62" s="177">
        <f t="shared" si="55"/>
        <v>39545578.786975168</v>
      </c>
      <c r="DG62" s="177">
        <f t="shared" si="55"/>
        <v>39545578.786975168</v>
      </c>
      <c r="DH62" s="177">
        <f t="shared" si="55"/>
        <v>39545578.786975168</v>
      </c>
      <c r="DI62" s="177">
        <f t="shared" si="55"/>
        <v>39545578.786975168</v>
      </c>
      <c r="DJ62" s="177">
        <f t="shared" si="55"/>
        <v>39545578.786975168</v>
      </c>
      <c r="DK62" s="177">
        <f t="shared" si="55"/>
        <v>39545578.786975168</v>
      </c>
      <c r="DL62" s="177">
        <f t="shared" si="55"/>
        <v>39545578.786975168</v>
      </c>
      <c r="DM62" s="177">
        <f t="shared" si="55"/>
        <v>39545578.786975168</v>
      </c>
      <c r="DN62" s="177">
        <f t="shared" si="55"/>
        <v>39545578.786975168</v>
      </c>
      <c r="DO62" s="177">
        <f t="shared" si="55"/>
        <v>39545578.786975168</v>
      </c>
      <c r="DP62" s="177">
        <f t="shared" si="55"/>
        <v>39545578.786975168</v>
      </c>
      <c r="DQ62" s="42"/>
    </row>
    <row r="63" spans="1:125" x14ac:dyDescent="0.2">
      <c r="K63" s="74"/>
      <c r="N63" s="69"/>
      <c r="DQ63" s="42"/>
    </row>
    <row r="64" spans="1:125" x14ac:dyDescent="0.2">
      <c r="C64" s="97" t="s">
        <v>291</v>
      </c>
      <c r="D64" s="96"/>
      <c r="E64" s="96"/>
      <c r="F64" s="96"/>
      <c r="G64" s="96"/>
      <c r="H64" s="96"/>
      <c r="I64" s="96"/>
      <c r="J64" s="96"/>
      <c r="K64" s="654" t="s">
        <v>63</v>
      </c>
      <c r="L64" s="96"/>
      <c r="M64" s="96"/>
      <c r="N64" s="95"/>
      <c r="O64" s="96"/>
      <c r="P64" s="96"/>
      <c r="Q64" s="87"/>
      <c r="R64" s="87"/>
      <c r="S64" s="720">
        <v>0</v>
      </c>
      <c r="T64" s="720">
        <v>0</v>
      </c>
      <c r="U64" s="720">
        <v>0</v>
      </c>
      <c r="V64" s="720">
        <v>0</v>
      </c>
      <c r="W64" s="720">
        <v>0</v>
      </c>
      <c r="X64" s="720">
        <v>0</v>
      </c>
      <c r="Y64" s="720">
        <v>0</v>
      </c>
      <c r="Z64" s="720">
        <v>0</v>
      </c>
      <c r="AA64" s="720">
        <v>0</v>
      </c>
      <c r="AB64" s="720">
        <v>0</v>
      </c>
      <c r="AC64" s="720">
        <v>0</v>
      </c>
      <c r="AD64" s="720">
        <v>0</v>
      </c>
      <c r="AE64" s="720">
        <v>0</v>
      </c>
      <c r="AF64" s="720">
        <v>0</v>
      </c>
      <c r="AG64" s="720">
        <v>0</v>
      </c>
      <c r="AH64" s="720">
        <v>0</v>
      </c>
      <c r="AI64" s="720">
        <v>0</v>
      </c>
      <c r="AJ64" s="720">
        <v>0</v>
      </c>
      <c r="AK64" s="720">
        <v>0</v>
      </c>
      <c r="AL64" s="720">
        <v>0</v>
      </c>
      <c r="AM64" s="720">
        <v>0</v>
      </c>
      <c r="AN64" s="720">
        <v>0</v>
      </c>
      <c r="AO64" s="720">
        <v>0</v>
      </c>
      <c r="AP64" s="720">
        <v>0</v>
      </c>
      <c r="AQ64" s="720">
        <v>0</v>
      </c>
      <c r="AR64" s="720">
        <v>0</v>
      </c>
      <c r="AS64" s="720">
        <v>0</v>
      </c>
      <c r="AT64" s="720">
        <v>0</v>
      </c>
      <c r="AU64" s="720">
        <v>0</v>
      </c>
      <c r="AV64" s="720">
        <v>0</v>
      </c>
      <c r="AW64" s="720">
        <v>0</v>
      </c>
      <c r="AX64" s="720">
        <v>0</v>
      </c>
      <c r="AY64" s="720">
        <v>0</v>
      </c>
      <c r="AZ64" s="720">
        <v>0</v>
      </c>
      <c r="BA64" s="720">
        <v>0</v>
      </c>
      <c r="BB64" s="720">
        <v>0</v>
      </c>
      <c r="BC64" s="720">
        <v>0</v>
      </c>
      <c r="BD64" s="720">
        <v>0</v>
      </c>
      <c r="BE64" s="720">
        <v>0</v>
      </c>
      <c r="BF64" s="720">
        <v>0</v>
      </c>
      <c r="BG64" s="720">
        <v>0</v>
      </c>
      <c r="BH64" s="720">
        <v>0</v>
      </c>
      <c r="BI64" s="720">
        <v>0</v>
      </c>
      <c r="BJ64" s="720">
        <v>0</v>
      </c>
      <c r="BK64" s="720">
        <v>0</v>
      </c>
      <c r="BL64" s="720">
        <v>0</v>
      </c>
      <c r="BM64" s="720">
        <v>0</v>
      </c>
      <c r="BN64" s="720">
        <v>0</v>
      </c>
      <c r="BO64" s="720">
        <v>0</v>
      </c>
      <c r="BP64" s="720">
        <v>0</v>
      </c>
      <c r="BQ64" s="720">
        <v>0</v>
      </c>
      <c r="BR64" s="720">
        <v>0</v>
      </c>
      <c r="BS64" s="720">
        <v>0</v>
      </c>
      <c r="BT64" s="720">
        <v>0</v>
      </c>
      <c r="BU64" s="720">
        <v>0</v>
      </c>
      <c r="BV64" s="720">
        <v>0</v>
      </c>
      <c r="BW64" s="720">
        <v>0</v>
      </c>
      <c r="BX64" s="720">
        <v>0</v>
      </c>
      <c r="BY64" s="720">
        <v>0</v>
      </c>
      <c r="BZ64" s="720">
        <v>0</v>
      </c>
      <c r="CA64" s="720">
        <v>0</v>
      </c>
      <c r="CB64" s="720">
        <v>0</v>
      </c>
      <c r="CC64" s="720">
        <v>0</v>
      </c>
      <c r="CD64" s="720">
        <v>0</v>
      </c>
      <c r="CE64" s="720">
        <v>0</v>
      </c>
      <c r="CF64" s="720">
        <v>0</v>
      </c>
      <c r="CG64" s="720">
        <v>0</v>
      </c>
      <c r="CH64" s="720">
        <v>0</v>
      </c>
      <c r="CI64" s="720">
        <v>0</v>
      </c>
      <c r="CJ64" s="720">
        <v>0</v>
      </c>
      <c r="CK64" s="720">
        <v>0</v>
      </c>
      <c r="CL64" s="720">
        <v>0</v>
      </c>
      <c r="CM64" s="720">
        <v>0</v>
      </c>
      <c r="CN64" s="720">
        <v>0</v>
      </c>
      <c r="CO64" s="720">
        <v>0</v>
      </c>
      <c r="CP64" s="720">
        <v>0</v>
      </c>
      <c r="CQ64" s="720">
        <v>0</v>
      </c>
      <c r="CR64" s="720">
        <v>0</v>
      </c>
      <c r="CS64" s="720">
        <v>0</v>
      </c>
      <c r="CT64" s="720">
        <v>0</v>
      </c>
      <c r="CU64" s="720">
        <v>0</v>
      </c>
      <c r="CV64" s="720">
        <v>0</v>
      </c>
      <c r="CW64" s="720">
        <v>0</v>
      </c>
      <c r="CX64" s="720">
        <v>0</v>
      </c>
      <c r="CY64" s="720">
        <v>0</v>
      </c>
      <c r="CZ64" s="720">
        <v>0</v>
      </c>
      <c r="DA64" s="720">
        <v>0</v>
      </c>
      <c r="DB64" s="720">
        <v>0</v>
      </c>
      <c r="DC64" s="720">
        <v>0</v>
      </c>
      <c r="DD64" s="720">
        <v>0</v>
      </c>
      <c r="DE64" s="720">
        <v>0</v>
      </c>
      <c r="DF64" s="720">
        <v>0</v>
      </c>
      <c r="DG64" s="720">
        <v>0</v>
      </c>
      <c r="DH64" s="720">
        <v>0</v>
      </c>
      <c r="DI64" s="720">
        <v>0</v>
      </c>
      <c r="DJ64" s="720">
        <v>0</v>
      </c>
      <c r="DK64" s="720">
        <v>0</v>
      </c>
      <c r="DL64" s="720">
        <v>0</v>
      </c>
      <c r="DM64" s="720">
        <v>0</v>
      </c>
      <c r="DN64" s="720">
        <v>0</v>
      </c>
      <c r="DO64" s="720">
        <v>0</v>
      </c>
      <c r="DP64" s="720">
        <v>0</v>
      </c>
      <c r="DQ64" s="42"/>
    </row>
    <row r="65" spans="3:121" x14ac:dyDescent="0.2">
      <c r="C65" s="94" t="s">
        <v>292</v>
      </c>
      <c r="D65" s="93"/>
      <c r="E65" s="93"/>
      <c r="F65" s="93"/>
      <c r="G65" s="93"/>
      <c r="H65" s="93"/>
      <c r="I65" s="93"/>
      <c r="J65" s="93"/>
      <c r="K65" s="655" t="s">
        <v>63</v>
      </c>
      <c r="L65" s="93"/>
      <c r="M65" s="93"/>
      <c r="N65" s="113">
        <f>+SUM(Q65:BJ65)</f>
        <v>725209488.31822884</v>
      </c>
      <c r="O65" s="93"/>
      <c r="P65" s="93"/>
      <c r="Q65" s="88"/>
      <c r="R65" s="88"/>
      <c r="S65" s="718">
        <v>761056.68352324551</v>
      </c>
      <c r="T65" s="718">
        <v>968232.87842986744</v>
      </c>
      <c r="U65" s="718">
        <v>1191047.4448314779</v>
      </c>
      <c r="V65" s="718">
        <v>1430696.7844394539</v>
      </c>
      <c r="W65" s="718">
        <v>1688469.6318416409</v>
      </c>
      <c r="X65" s="718">
        <v>1955903.5087212545</v>
      </c>
      <c r="Y65" s="718">
        <v>2233853.487053453</v>
      </c>
      <c r="Z65" s="718">
        <v>2533360.967069712</v>
      </c>
      <c r="AA65" s="718">
        <v>2856125.3244472467</v>
      </c>
      <c r="AB65" s="718">
        <v>3203981.5574100656</v>
      </c>
      <c r="AC65" s="718">
        <v>3578043.1120157009</v>
      </c>
      <c r="AD65" s="718">
        <v>3981948.7908301651</v>
      </c>
      <c r="AE65" s="718">
        <v>4418608.2472037058</v>
      </c>
      <c r="AF65" s="718">
        <v>4888617.3496184163</v>
      </c>
      <c r="AG65" s="718">
        <v>5394523.1604929334</v>
      </c>
      <c r="AH65" s="718">
        <v>5939067.2728551971</v>
      </c>
      <c r="AI65" s="718">
        <v>6525200.6675197529</v>
      </c>
      <c r="AJ65" s="718">
        <v>7156099.7049744893</v>
      </c>
      <c r="AK65" s="718">
        <v>7835183.3386396682</v>
      </c>
      <c r="AL65" s="718">
        <v>8566131.6427809447</v>
      </c>
      <c r="AM65" s="718">
        <v>9352905.7554824091</v>
      </c>
      <c r="AN65" s="718">
        <v>10199769.344754154</v>
      </c>
      <c r="AO65" s="718">
        <v>11111311.714102991</v>
      </c>
      <c r="AP65" s="718">
        <v>12092472.672779499</v>
      </c>
      <c r="AQ65" s="718">
        <v>13148569.305477651</v>
      </c>
      <c r="AR65" s="718">
        <v>14285324.786556784</v>
      </c>
      <c r="AS65" s="718">
        <v>15508899.394935243</v>
      </c>
      <c r="AT65" s="718">
        <v>16825923.897730913</v>
      </c>
      <c r="AU65" s="718">
        <v>18243535.483560488</v>
      </c>
      <c r="AV65" s="718">
        <v>19769416.440226346</v>
      </c>
      <c r="AW65" s="718">
        <v>21411835.78639232</v>
      </c>
      <c r="AX65" s="718">
        <v>23179694.082857698</v>
      </c>
      <c r="AY65" s="718">
        <v>25082571.666269723</v>
      </c>
      <c r="AZ65" s="718">
        <v>27130780.566661589</v>
      </c>
      <c r="BA65" s="718">
        <v>29335420.390166245</v>
      </c>
      <c r="BB65" s="718">
        <v>31708438.469744332</v>
      </c>
      <c r="BC65" s="718">
        <v>34262694.609893642</v>
      </c>
      <c r="BD65" s="718">
        <v>37012030.776203185</v>
      </c>
      <c r="BE65" s="718">
        <v>39971346.107411832</v>
      </c>
      <c r="BF65" s="718">
        <v>43156677.656475127</v>
      </c>
      <c r="BG65" s="718">
        <v>46585287.298190467</v>
      </c>
      <c r="BH65" s="718">
        <v>49576143.519219264</v>
      </c>
      <c r="BI65" s="718">
        <v>49576143.519219264</v>
      </c>
      <c r="BJ65" s="718">
        <v>49576143.519219264</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8">
        <v>0</v>
      </c>
      <c r="CA65" s="718">
        <v>0</v>
      </c>
      <c r="CB65" s="718">
        <v>0</v>
      </c>
      <c r="CC65" s="718">
        <v>0</v>
      </c>
      <c r="CD65" s="718">
        <v>0</v>
      </c>
      <c r="CE65" s="718">
        <v>0</v>
      </c>
      <c r="CF65" s="718">
        <v>0</v>
      </c>
      <c r="CG65" s="718">
        <v>0</v>
      </c>
      <c r="CH65" s="718">
        <v>0</v>
      </c>
      <c r="CI65" s="718">
        <v>0</v>
      </c>
      <c r="CJ65" s="718">
        <v>0</v>
      </c>
      <c r="CK65" s="718">
        <v>0</v>
      </c>
      <c r="CL65" s="718">
        <v>0</v>
      </c>
      <c r="CM65" s="718">
        <v>0</v>
      </c>
      <c r="CN65" s="718">
        <v>0</v>
      </c>
      <c r="CO65" s="718">
        <v>0</v>
      </c>
      <c r="CP65" s="718">
        <v>0</v>
      </c>
      <c r="CQ65" s="718">
        <v>0</v>
      </c>
      <c r="CR65" s="718">
        <v>0</v>
      </c>
      <c r="CS65" s="718">
        <v>0</v>
      </c>
      <c r="CT65" s="718">
        <v>0</v>
      </c>
      <c r="CU65" s="718">
        <v>0</v>
      </c>
      <c r="CV65" s="718">
        <v>0</v>
      </c>
      <c r="CW65" s="718">
        <v>0</v>
      </c>
      <c r="CX65" s="718">
        <v>0</v>
      </c>
      <c r="CY65" s="718">
        <v>0</v>
      </c>
      <c r="CZ65" s="718">
        <v>0</v>
      </c>
      <c r="DA65" s="718">
        <v>0</v>
      </c>
      <c r="DB65" s="718">
        <v>0</v>
      </c>
      <c r="DC65" s="718">
        <v>0</v>
      </c>
      <c r="DD65" s="718">
        <v>0</v>
      </c>
      <c r="DE65" s="718">
        <v>0</v>
      </c>
      <c r="DF65" s="718">
        <v>0</v>
      </c>
      <c r="DG65" s="718">
        <v>0</v>
      </c>
      <c r="DH65" s="718">
        <v>0</v>
      </c>
      <c r="DI65" s="718">
        <v>0</v>
      </c>
      <c r="DJ65" s="718">
        <v>0</v>
      </c>
      <c r="DK65" s="718">
        <v>0</v>
      </c>
      <c r="DL65" s="718">
        <v>0</v>
      </c>
      <c r="DM65" s="718">
        <v>0</v>
      </c>
      <c r="DN65" s="718">
        <v>0</v>
      </c>
      <c r="DO65" s="718">
        <v>0</v>
      </c>
      <c r="DP65" s="718">
        <v>0</v>
      </c>
      <c r="DQ65" s="42"/>
    </row>
    <row r="66" spans="3:121" x14ac:dyDescent="0.2">
      <c r="K66" s="74"/>
      <c r="N66" s="53"/>
      <c r="DQ66" s="42"/>
    </row>
    <row r="67" spans="3:121" x14ac:dyDescent="0.2">
      <c r="C67" s="97" t="s">
        <v>293</v>
      </c>
      <c r="D67" s="96"/>
      <c r="E67" s="96"/>
      <c r="F67" s="96"/>
      <c r="G67" s="96"/>
      <c r="H67" s="96"/>
      <c r="I67" s="96"/>
      <c r="J67" s="96"/>
      <c r="K67" s="654" t="s">
        <v>63</v>
      </c>
      <c r="L67" s="96"/>
      <c r="M67" s="96"/>
      <c r="N67" s="114"/>
      <c r="O67" s="96"/>
      <c r="P67" s="96"/>
      <c r="Q67" s="111"/>
      <c r="R67" s="111"/>
      <c r="S67" s="719">
        <f t="shared" ref="S67:AO67" si="56">S65</f>
        <v>761056.68352324551</v>
      </c>
      <c r="T67" s="719">
        <f t="shared" si="56"/>
        <v>968232.87842986744</v>
      </c>
      <c r="U67" s="719">
        <f t="shared" si="56"/>
        <v>1191047.4448314779</v>
      </c>
      <c r="V67" s="719">
        <f t="shared" si="56"/>
        <v>1430696.7844394539</v>
      </c>
      <c r="W67" s="719">
        <f t="shared" si="56"/>
        <v>1688469.6318416409</v>
      </c>
      <c r="X67" s="719">
        <f t="shared" si="56"/>
        <v>1955903.5087212545</v>
      </c>
      <c r="Y67" s="719">
        <f t="shared" si="56"/>
        <v>2233853.487053453</v>
      </c>
      <c r="Z67" s="719">
        <f t="shared" si="56"/>
        <v>2533360.967069712</v>
      </c>
      <c r="AA67" s="719">
        <f t="shared" si="56"/>
        <v>2856125.3244472467</v>
      </c>
      <c r="AB67" s="719">
        <f t="shared" si="56"/>
        <v>3203981.5574100656</v>
      </c>
      <c r="AC67" s="719">
        <f t="shared" si="56"/>
        <v>3578043.1120157009</v>
      </c>
      <c r="AD67" s="719">
        <f t="shared" si="56"/>
        <v>3981948.7908301651</v>
      </c>
      <c r="AE67" s="719">
        <f t="shared" si="56"/>
        <v>4418608.2472037058</v>
      </c>
      <c r="AF67" s="719">
        <f t="shared" si="56"/>
        <v>4888617.3496184163</v>
      </c>
      <c r="AG67" s="719">
        <f t="shared" si="56"/>
        <v>5394523.1604929334</v>
      </c>
      <c r="AH67" s="719">
        <f t="shared" si="56"/>
        <v>5939067.2728551971</v>
      </c>
      <c r="AI67" s="719">
        <f t="shared" si="56"/>
        <v>6525200.6675197529</v>
      </c>
      <c r="AJ67" s="719">
        <f t="shared" si="56"/>
        <v>7156099.7049744893</v>
      </c>
      <c r="AK67" s="719">
        <f t="shared" si="56"/>
        <v>7835183.3386396682</v>
      </c>
      <c r="AL67" s="719">
        <f t="shared" si="56"/>
        <v>8566131.6427809447</v>
      </c>
      <c r="AM67" s="719">
        <f t="shared" si="56"/>
        <v>9352905.7554824091</v>
      </c>
      <c r="AN67" s="719">
        <f t="shared" si="56"/>
        <v>10199769.344754154</v>
      </c>
      <c r="AO67" s="719">
        <f t="shared" si="56"/>
        <v>11111311.714102991</v>
      </c>
      <c r="AP67" s="719">
        <f t="shared" ref="AP67:BU67" si="57">AP65</f>
        <v>12092472.672779499</v>
      </c>
      <c r="AQ67" s="719">
        <f t="shared" si="57"/>
        <v>13148569.305477651</v>
      </c>
      <c r="AR67" s="719">
        <f t="shared" si="57"/>
        <v>14285324.786556784</v>
      </c>
      <c r="AS67" s="719">
        <f t="shared" si="57"/>
        <v>15508899.394935243</v>
      </c>
      <c r="AT67" s="719">
        <f t="shared" si="57"/>
        <v>16825923.897730913</v>
      </c>
      <c r="AU67" s="719">
        <f t="shared" si="57"/>
        <v>18243535.483560488</v>
      </c>
      <c r="AV67" s="719">
        <f t="shared" si="57"/>
        <v>19769416.440226346</v>
      </c>
      <c r="AW67" s="719">
        <f t="shared" si="57"/>
        <v>21411835.78639232</v>
      </c>
      <c r="AX67" s="719">
        <f t="shared" si="57"/>
        <v>23179694.082857698</v>
      </c>
      <c r="AY67" s="719">
        <f t="shared" si="57"/>
        <v>25082571.666269723</v>
      </c>
      <c r="AZ67" s="719">
        <f t="shared" si="57"/>
        <v>27130780.566661589</v>
      </c>
      <c r="BA67" s="719">
        <f t="shared" si="57"/>
        <v>29335420.390166245</v>
      </c>
      <c r="BB67" s="719">
        <f t="shared" si="57"/>
        <v>31708438.469744332</v>
      </c>
      <c r="BC67" s="719">
        <f t="shared" si="57"/>
        <v>34262694.609893642</v>
      </c>
      <c r="BD67" s="719">
        <f t="shared" si="57"/>
        <v>37012030.776203185</v>
      </c>
      <c r="BE67" s="719">
        <f t="shared" si="57"/>
        <v>39971346.107411832</v>
      </c>
      <c r="BF67" s="719">
        <f t="shared" si="57"/>
        <v>43156677.656475127</v>
      </c>
      <c r="BG67" s="719">
        <f t="shared" si="57"/>
        <v>46585287.298190467</v>
      </c>
      <c r="BH67" s="719">
        <f t="shared" si="57"/>
        <v>49576143.519219264</v>
      </c>
      <c r="BI67" s="719">
        <f t="shared" si="57"/>
        <v>49576143.519219264</v>
      </c>
      <c r="BJ67" s="719">
        <f t="shared" si="57"/>
        <v>49576143.519219264</v>
      </c>
      <c r="BK67" s="719">
        <f t="shared" si="57"/>
        <v>0</v>
      </c>
      <c r="BL67" s="719">
        <f t="shared" si="57"/>
        <v>0</v>
      </c>
      <c r="BM67" s="719">
        <f t="shared" si="57"/>
        <v>0</v>
      </c>
      <c r="BN67" s="719">
        <f t="shared" si="57"/>
        <v>0</v>
      </c>
      <c r="BO67" s="719">
        <f t="shared" si="57"/>
        <v>0</v>
      </c>
      <c r="BP67" s="719">
        <f t="shared" si="57"/>
        <v>0</v>
      </c>
      <c r="BQ67" s="719">
        <f t="shared" si="57"/>
        <v>0</v>
      </c>
      <c r="BR67" s="719">
        <f t="shared" si="57"/>
        <v>0</v>
      </c>
      <c r="BS67" s="719">
        <f t="shared" si="57"/>
        <v>0</v>
      </c>
      <c r="BT67" s="719">
        <f t="shared" si="57"/>
        <v>0</v>
      </c>
      <c r="BU67" s="719">
        <f t="shared" si="57"/>
        <v>0</v>
      </c>
      <c r="BV67" s="719">
        <f t="shared" ref="BV67:DA67" si="58">BV65</f>
        <v>0</v>
      </c>
      <c r="BW67" s="719">
        <f t="shared" si="58"/>
        <v>0</v>
      </c>
      <c r="BX67" s="719">
        <f t="shared" si="58"/>
        <v>0</v>
      </c>
      <c r="BY67" s="719">
        <f t="shared" si="58"/>
        <v>0</v>
      </c>
      <c r="BZ67" s="719">
        <f t="shared" si="58"/>
        <v>0</v>
      </c>
      <c r="CA67" s="719">
        <f t="shared" si="58"/>
        <v>0</v>
      </c>
      <c r="CB67" s="719">
        <f t="shared" si="58"/>
        <v>0</v>
      </c>
      <c r="CC67" s="719">
        <f t="shared" si="58"/>
        <v>0</v>
      </c>
      <c r="CD67" s="719">
        <f t="shared" si="58"/>
        <v>0</v>
      </c>
      <c r="CE67" s="719">
        <f t="shared" si="58"/>
        <v>0</v>
      </c>
      <c r="CF67" s="719">
        <f t="shared" si="58"/>
        <v>0</v>
      </c>
      <c r="CG67" s="719">
        <f t="shared" si="58"/>
        <v>0</v>
      </c>
      <c r="CH67" s="719">
        <f t="shared" si="58"/>
        <v>0</v>
      </c>
      <c r="CI67" s="719">
        <f t="shared" si="58"/>
        <v>0</v>
      </c>
      <c r="CJ67" s="719">
        <f t="shared" si="58"/>
        <v>0</v>
      </c>
      <c r="CK67" s="719">
        <f t="shared" si="58"/>
        <v>0</v>
      </c>
      <c r="CL67" s="719">
        <f t="shared" si="58"/>
        <v>0</v>
      </c>
      <c r="CM67" s="719">
        <f t="shared" si="58"/>
        <v>0</v>
      </c>
      <c r="CN67" s="719">
        <f t="shared" si="58"/>
        <v>0</v>
      </c>
      <c r="CO67" s="719">
        <f t="shared" si="58"/>
        <v>0</v>
      </c>
      <c r="CP67" s="719">
        <f t="shared" si="58"/>
        <v>0</v>
      </c>
      <c r="CQ67" s="719">
        <f t="shared" si="58"/>
        <v>0</v>
      </c>
      <c r="CR67" s="719">
        <f t="shared" si="58"/>
        <v>0</v>
      </c>
      <c r="CS67" s="719">
        <f t="shared" si="58"/>
        <v>0</v>
      </c>
      <c r="CT67" s="719">
        <f t="shared" si="58"/>
        <v>0</v>
      </c>
      <c r="CU67" s="719">
        <f t="shared" si="58"/>
        <v>0</v>
      </c>
      <c r="CV67" s="719">
        <f t="shared" si="58"/>
        <v>0</v>
      </c>
      <c r="CW67" s="719">
        <f t="shared" si="58"/>
        <v>0</v>
      </c>
      <c r="CX67" s="719">
        <f t="shared" si="58"/>
        <v>0</v>
      </c>
      <c r="CY67" s="719">
        <f t="shared" si="58"/>
        <v>0</v>
      </c>
      <c r="CZ67" s="719">
        <f t="shared" si="58"/>
        <v>0</v>
      </c>
      <c r="DA67" s="719">
        <f t="shared" si="58"/>
        <v>0</v>
      </c>
      <c r="DB67" s="719">
        <f t="shared" ref="DB67:DP67" si="59">DB65</f>
        <v>0</v>
      </c>
      <c r="DC67" s="719">
        <f t="shared" si="59"/>
        <v>0</v>
      </c>
      <c r="DD67" s="719">
        <f t="shared" si="59"/>
        <v>0</v>
      </c>
      <c r="DE67" s="719">
        <f t="shared" si="59"/>
        <v>0</v>
      </c>
      <c r="DF67" s="719">
        <f t="shared" si="59"/>
        <v>0</v>
      </c>
      <c r="DG67" s="719">
        <f t="shared" si="59"/>
        <v>0</v>
      </c>
      <c r="DH67" s="719">
        <f t="shared" si="59"/>
        <v>0</v>
      </c>
      <c r="DI67" s="719">
        <f t="shared" si="59"/>
        <v>0</v>
      </c>
      <c r="DJ67" s="719">
        <f t="shared" si="59"/>
        <v>0</v>
      </c>
      <c r="DK67" s="719">
        <f t="shared" si="59"/>
        <v>0</v>
      </c>
      <c r="DL67" s="719">
        <f t="shared" si="59"/>
        <v>0</v>
      </c>
      <c r="DM67" s="719">
        <f t="shared" si="59"/>
        <v>0</v>
      </c>
      <c r="DN67" s="719">
        <f t="shared" si="59"/>
        <v>0</v>
      </c>
      <c r="DO67" s="719">
        <f t="shared" si="59"/>
        <v>0</v>
      </c>
      <c r="DP67" s="719">
        <f t="shared" si="59"/>
        <v>0</v>
      </c>
      <c r="DQ67" s="42"/>
    </row>
    <row r="68" spans="3:121" x14ac:dyDescent="0.2">
      <c r="C68" s="94" t="s">
        <v>294</v>
      </c>
      <c r="D68" s="93"/>
      <c r="E68" s="93"/>
      <c r="F68" s="93"/>
      <c r="G68" s="93"/>
      <c r="H68" s="93"/>
      <c r="I68" s="93"/>
      <c r="J68" s="93"/>
      <c r="K68" s="655" t="s">
        <v>63</v>
      </c>
      <c r="L68" s="93"/>
      <c r="M68" s="93"/>
      <c r="N68" s="113">
        <f>+SUM(Q68:BJ68)</f>
        <v>891801407.60649586</v>
      </c>
      <c r="O68" s="93"/>
      <c r="P68" s="93"/>
      <c r="Q68" s="88"/>
      <c r="R68" s="88"/>
      <c r="S68" s="718">
        <v>935883.2621016904</v>
      </c>
      <c r="T68" s="718">
        <v>1190651.0570856533</v>
      </c>
      <c r="U68" s="718">
        <v>1464649.6011656406</v>
      </c>
      <c r="V68" s="718">
        <v>1759350.1281678162</v>
      </c>
      <c r="W68" s="718">
        <v>2076337.4150952185</v>
      </c>
      <c r="X68" s="718">
        <v>2405205.0205039419</v>
      </c>
      <c r="Y68" s="718">
        <v>2747004.439725108</v>
      </c>
      <c r="Z68" s="718">
        <v>3115313.4546644818</v>
      </c>
      <c r="AA68" s="718">
        <v>3512221.8140710867</v>
      </c>
      <c r="AB68" s="718">
        <v>3939986.0438529346</v>
      </c>
      <c r="AC68" s="718">
        <v>4399975.3659760859</v>
      </c>
      <c r="AD68" s="718">
        <v>4896664.4726538183</v>
      </c>
      <c r="AE68" s="718">
        <v>5433631.4099475741</v>
      </c>
      <c r="AF68" s="718">
        <v>6011608.9266142836</v>
      </c>
      <c r="AG68" s="718">
        <v>6633729.1849970911</v>
      </c>
      <c r="AH68" s="718">
        <v>7303363.5647604726</v>
      </c>
      <c r="AI68" s="718">
        <v>8024140.9329926604</v>
      </c>
      <c r="AJ68" s="718">
        <v>8799967.3096779399</v>
      </c>
      <c r="AK68" s="718">
        <v>9635047.0351094883</v>
      </c>
      <c r="AL68" s="718">
        <v>10533905.553952705</v>
      </c>
      <c r="AM68" s="718">
        <v>11501413.939429907</v>
      </c>
      <c r="AN68" s="718">
        <v>12542815.290527269</v>
      </c>
      <c r="AO68" s="718">
        <v>13663753.145275164</v>
      </c>
      <c r="AP68" s="718">
        <v>14870302.064078458</v>
      </c>
      <c r="AQ68" s="718">
        <v>16169000.548833266</v>
      </c>
      <c r="AR68" s="718">
        <v>17566886.476224665</v>
      </c>
      <c r="AS68" s="718">
        <v>19071535.237224679</v>
      </c>
      <c r="AT68" s="718">
        <v>20691100.789475195</v>
      </c>
      <c r="AU68" s="718">
        <v>22434359.84502596</v>
      </c>
      <c r="AV68" s="718">
        <v>24310759.432888821</v>
      </c>
      <c r="AW68" s="718">
        <v>26330468.094158053</v>
      </c>
      <c r="AX68" s="718">
        <v>28504430.987132266</v>
      </c>
      <c r="AY68" s="718">
        <v>30844429.201062191</v>
      </c>
      <c r="AZ68" s="718">
        <v>33363143.599956118</v>
      </c>
      <c r="BA68" s="718">
        <v>36074223.542423785</v>
      </c>
      <c r="BB68" s="718">
        <v>38992360.849963762</v>
      </c>
      <c r="BC68" s="718">
        <v>42133369.424541496</v>
      </c>
      <c r="BD68" s="718">
        <v>45514270.946919814</v>
      </c>
      <c r="BE68" s="718">
        <v>49153387.120156199</v>
      </c>
      <c r="BF68" s="718">
        <v>53070438.958150782</v>
      </c>
      <c r="BG68" s="718">
        <v>57286653.657307088</v>
      </c>
      <c r="BH68" s="718">
        <v>60964556.154208392</v>
      </c>
      <c r="BI68" s="718">
        <v>60964556.154208392</v>
      </c>
      <c r="BJ68" s="718">
        <v>60964556.154208392</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8">
        <v>0</v>
      </c>
      <c r="CA68" s="718">
        <v>0</v>
      </c>
      <c r="CB68" s="718">
        <v>0</v>
      </c>
      <c r="CC68" s="718">
        <v>0</v>
      </c>
      <c r="CD68" s="718">
        <v>0</v>
      </c>
      <c r="CE68" s="718">
        <v>0</v>
      </c>
      <c r="CF68" s="718">
        <v>0</v>
      </c>
      <c r="CG68" s="718">
        <v>0</v>
      </c>
      <c r="CH68" s="718">
        <v>0</v>
      </c>
      <c r="CI68" s="718">
        <v>0</v>
      </c>
      <c r="CJ68" s="718">
        <v>0</v>
      </c>
      <c r="CK68" s="718">
        <v>0</v>
      </c>
      <c r="CL68" s="718">
        <v>0</v>
      </c>
      <c r="CM68" s="718">
        <v>0</v>
      </c>
      <c r="CN68" s="718">
        <v>0</v>
      </c>
      <c r="CO68" s="718">
        <v>0</v>
      </c>
      <c r="CP68" s="718">
        <v>0</v>
      </c>
      <c r="CQ68" s="718">
        <v>0</v>
      </c>
      <c r="CR68" s="718">
        <v>0</v>
      </c>
      <c r="CS68" s="718">
        <v>0</v>
      </c>
      <c r="CT68" s="718">
        <v>0</v>
      </c>
      <c r="CU68" s="718">
        <v>0</v>
      </c>
      <c r="CV68" s="718">
        <v>0</v>
      </c>
      <c r="CW68" s="718">
        <v>0</v>
      </c>
      <c r="CX68" s="718">
        <v>0</v>
      </c>
      <c r="CY68" s="718">
        <v>0</v>
      </c>
      <c r="CZ68" s="718">
        <v>0</v>
      </c>
      <c r="DA68" s="718">
        <v>0</v>
      </c>
      <c r="DB68" s="718">
        <v>0</v>
      </c>
      <c r="DC68" s="718">
        <v>0</v>
      </c>
      <c r="DD68" s="718">
        <v>0</v>
      </c>
      <c r="DE68" s="718">
        <v>0</v>
      </c>
      <c r="DF68" s="718">
        <v>0</v>
      </c>
      <c r="DG68" s="718">
        <v>0</v>
      </c>
      <c r="DH68" s="718">
        <v>0</v>
      </c>
      <c r="DI68" s="718">
        <v>0</v>
      </c>
      <c r="DJ68" s="718">
        <v>0</v>
      </c>
      <c r="DK68" s="718">
        <v>0</v>
      </c>
      <c r="DL68" s="718">
        <v>0</v>
      </c>
      <c r="DM68" s="718">
        <v>0</v>
      </c>
      <c r="DN68" s="718">
        <v>0</v>
      </c>
      <c r="DO68" s="718">
        <v>0</v>
      </c>
      <c r="DP68" s="718">
        <v>0</v>
      </c>
      <c r="DQ68" s="42"/>
    </row>
    <row r="69" spans="3:121" x14ac:dyDescent="0.2">
      <c r="K69" s="74"/>
      <c r="N69" s="53"/>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42"/>
    </row>
    <row r="70" spans="3:121" x14ac:dyDescent="0.2">
      <c r="C70" s="97" t="s">
        <v>295</v>
      </c>
      <c r="D70" s="96"/>
      <c r="E70" s="96"/>
      <c r="F70" s="96"/>
      <c r="G70" s="96"/>
      <c r="H70" s="96"/>
      <c r="I70" s="96"/>
      <c r="J70" s="96"/>
      <c r="K70" s="654" t="s">
        <v>63</v>
      </c>
      <c r="L70" s="96"/>
      <c r="M70" s="96"/>
      <c r="N70" s="114"/>
      <c r="O70" s="96"/>
      <c r="P70" s="96"/>
      <c r="Q70" s="111"/>
      <c r="R70" s="111"/>
      <c r="S70" s="719">
        <f t="shared" ref="S70:AO70" si="60">S68</f>
        <v>935883.2621016904</v>
      </c>
      <c r="T70" s="719">
        <f t="shared" si="60"/>
        <v>1190651.0570856533</v>
      </c>
      <c r="U70" s="719">
        <f t="shared" si="60"/>
        <v>1464649.6011656406</v>
      </c>
      <c r="V70" s="719">
        <f t="shared" si="60"/>
        <v>1759350.1281678162</v>
      </c>
      <c r="W70" s="719">
        <f t="shared" si="60"/>
        <v>2076337.4150952185</v>
      </c>
      <c r="X70" s="719">
        <f t="shared" si="60"/>
        <v>2405205.0205039419</v>
      </c>
      <c r="Y70" s="719">
        <f t="shared" si="60"/>
        <v>2747004.439725108</v>
      </c>
      <c r="Z70" s="719">
        <f t="shared" si="60"/>
        <v>3115313.4546644818</v>
      </c>
      <c r="AA70" s="719">
        <f t="shared" si="60"/>
        <v>3512221.8140710867</v>
      </c>
      <c r="AB70" s="719">
        <f t="shared" si="60"/>
        <v>3939986.0438529346</v>
      </c>
      <c r="AC70" s="719">
        <f t="shared" si="60"/>
        <v>4399975.3659760859</v>
      </c>
      <c r="AD70" s="719">
        <f t="shared" si="60"/>
        <v>4896664.4726538183</v>
      </c>
      <c r="AE70" s="719">
        <f t="shared" si="60"/>
        <v>5433631.4099475741</v>
      </c>
      <c r="AF70" s="719">
        <f t="shared" si="60"/>
        <v>6011608.9266142836</v>
      </c>
      <c r="AG70" s="719">
        <f t="shared" si="60"/>
        <v>6633729.1849970911</v>
      </c>
      <c r="AH70" s="719">
        <f t="shared" si="60"/>
        <v>7303363.5647604726</v>
      </c>
      <c r="AI70" s="719">
        <f t="shared" si="60"/>
        <v>8024140.9329926604</v>
      </c>
      <c r="AJ70" s="719">
        <f t="shared" si="60"/>
        <v>8799967.3096779399</v>
      </c>
      <c r="AK70" s="719">
        <f t="shared" si="60"/>
        <v>9635047.0351094883</v>
      </c>
      <c r="AL70" s="719">
        <f t="shared" si="60"/>
        <v>10533905.553952705</v>
      </c>
      <c r="AM70" s="719">
        <f t="shared" si="60"/>
        <v>11501413.939429907</v>
      </c>
      <c r="AN70" s="719">
        <f t="shared" si="60"/>
        <v>12542815.290527269</v>
      </c>
      <c r="AO70" s="719">
        <f t="shared" si="60"/>
        <v>13663753.145275164</v>
      </c>
      <c r="AP70" s="719">
        <f t="shared" ref="AP70:BU70" si="61">AP68</f>
        <v>14870302.064078458</v>
      </c>
      <c r="AQ70" s="719">
        <f t="shared" si="61"/>
        <v>16169000.548833266</v>
      </c>
      <c r="AR70" s="719">
        <f t="shared" si="61"/>
        <v>17566886.476224665</v>
      </c>
      <c r="AS70" s="719">
        <f t="shared" si="61"/>
        <v>19071535.237224679</v>
      </c>
      <c r="AT70" s="719">
        <f t="shared" si="61"/>
        <v>20691100.789475195</v>
      </c>
      <c r="AU70" s="719">
        <f t="shared" si="61"/>
        <v>22434359.84502596</v>
      </c>
      <c r="AV70" s="719">
        <f t="shared" si="61"/>
        <v>24310759.432888821</v>
      </c>
      <c r="AW70" s="719">
        <f t="shared" si="61"/>
        <v>26330468.094158053</v>
      </c>
      <c r="AX70" s="719">
        <f t="shared" si="61"/>
        <v>28504430.987132266</v>
      </c>
      <c r="AY70" s="719">
        <f t="shared" si="61"/>
        <v>30844429.201062191</v>
      </c>
      <c r="AZ70" s="719">
        <f t="shared" si="61"/>
        <v>33363143.599956118</v>
      </c>
      <c r="BA70" s="719">
        <f t="shared" si="61"/>
        <v>36074223.542423785</v>
      </c>
      <c r="BB70" s="719">
        <f t="shared" si="61"/>
        <v>38992360.849963762</v>
      </c>
      <c r="BC70" s="719">
        <f t="shared" si="61"/>
        <v>42133369.424541496</v>
      </c>
      <c r="BD70" s="719">
        <f t="shared" si="61"/>
        <v>45514270.946919814</v>
      </c>
      <c r="BE70" s="719">
        <f t="shared" si="61"/>
        <v>49153387.120156199</v>
      </c>
      <c r="BF70" s="719">
        <f t="shared" si="61"/>
        <v>53070438.958150782</v>
      </c>
      <c r="BG70" s="719">
        <f t="shared" si="61"/>
        <v>57286653.657307088</v>
      </c>
      <c r="BH70" s="719">
        <f t="shared" si="61"/>
        <v>60964556.154208392</v>
      </c>
      <c r="BI70" s="719">
        <f t="shared" si="61"/>
        <v>60964556.154208392</v>
      </c>
      <c r="BJ70" s="719">
        <f t="shared" si="61"/>
        <v>60964556.154208392</v>
      </c>
      <c r="BK70" s="719">
        <f t="shared" si="61"/>
        <v>0</v>
      </c>
      <c r="BL70" s="719">
        <f t="shared" si="61"/>
        <v>0</v>
      </c>
      <c r="BM70" s="719">
        <f t="shared" si="61"/>
        <v>0</v>
      </c>
      <c r="BN70" s="719">
        <f t="shared" si="61"/>
        <v>0</v>
      </c>
      <c r="BO70" s="719">
        <f t="shared" si="61"/>
        <v>0</v>
      </c>
      <c r="BP70" s="719">
        <f t="shared" si="61"/>
        <v>0</v>
      </c>
      <c r="BQ70" s="719">
        <f t="shared" si="61"/>
        <v>0</v>
      </c>
      <c r="BR70" s="719">
        <f t="shared" si="61"/>
        <v>0</v>
      </c>
      <c r="BS70" s="719">
        <f t="shared" si="61"/>
        <v>0</v>
      </c>
      <c r="BT70" s="719">
        <f t="shared" si="61"/>
        <v>0</v>
      </c>
      <c r="BU70" s="719">
        <f t="shared" si="61"/>
        <v>0</v>
      </c>
      <c r="BV70" s="719">
        <f t="shared" ref="BV70:DA70" si="62">BV68</f>
        <v>0</v>
      </c>
      <c r="BW70" s="719">
        <f t="shared" si="62"/>
        <v>0</v>
      </c>
      <c r="BX70" s="719">
        <f t="shared" si="62"/>
        <v>0</v>
      </c>
      <c r="BY70" s="719">
        <f t="shared" si="62"/>
        <v>0</v>
      </c>
      <c r="BZ70" s="719">
        <f t="shared" si="62"/>
        <v>0</v>
      </c>
      <c r="CA70" s="719">
        <f t="shared" si="62"/>
        <v>0</v>
      </c>
      <c r="CB70" s="719">
        <f t="shared" si="62"/>
        <v>0</v>
      </c>
      <c r="CC70" s="719">
        <f t="shared" si="62"/>
        <v>0</v>
      </c>
      <c r="CD70" s="719">
        <f t="shared" si="62"/>
        <v>0</v>
      </c>
      <c r="CE70" s="719">
        <f t="shared" si="62"/>
        <v>0</v>
      </c>
      <c r="CF70" s="719">
        <f t="shared" si="62"/>
        <v>0</v>
      </c>
      <c r="CG70" s="719">
        <f t="shared" si="62"/>
        <v>0</v>
      </c>
      <c r="CH70" s="719">
        <f t="shared" si="62"/>
        <v>0</v>
      </c>
      <c r="CI70" s="719">
        <f t="shared" si="62"/>
        <v>0</v>
      </c>
      <c r="CJ70" s="719">
        <f t="shared" si="62"/>
        <v>0</v>
      </c>
      <c r="CK70" s="719">
        <f t="shared" si="62"/>
        <v>0</v>
      </c>
      <c r="CL70" s="719">
        <f t="shared" si="62"/>
        <v>0</v>
      </c>
      <c r="CM70" s="719">
        <f t="shared" si="62"/>
        <v>0</v>
      </c>
      <c r="CN70" s="719">
        <f t="shared" si="62"/>
        <v>0</v>
      </c>
      <c r="CO70" s="719">
        <f t="shared" si="62"/>
        <v>0</v>
      </c>
      <c r="CP70" s="719">
        <f t="shared" si="62"/>
        <v>0</v>
      </c>
      <c r="CQ70" s="719">
        <f t="shared" si="62"/>
        <v>0</v>
      </c>
      <c r="CR70" s="719">
        <f t="shared" si="62"/>
        <v>0</v>
      </c>
      <c r="CS70" s="719">
        <f t="shared" si="62"/>
        <v>0</v>
      </c>
      <c r="CT70" s="719">
        <f t="shared" si="62"/>
        <v>0</v>
      </c>
      <c r="CU70" s="719">
        <f t="shared" si="62"/>
        <v>0</v>
      </c>
      <c r="CV70" s="719">
        <f t="shared" si="62"/>
        <v>0</v>
      </c>
      <c r="CW70" s="719">
        <f t="shared" si="62"/>
        <v>0</v>
      </c>
      <c r="CX70" s="719">
        <f t="shared" si="62"/>
        <v>0</v>
      </c>
      <c r="CY70" s="719">
        <f t="shared" si="62"/>
        <v>0</v>
      </c>
      <c r="CZ70" s="719">
        <f t="shared" si="62"/>
        <v>0</v>
      </c>
      <c r="DA70" s="719">
        <f t="shared" si="62"/>
        <v>0</v>
      </c>
      <c r="DB70" s="719">
        <f t="shared" ref="DB70:DP70" si="63">DB68</f>
        <v>0</v>
      </c>
      <c r="DC70" s="719">
        <f t="shared" si="63"/>
        <v>0</v>
      </c>
      <c r="DD70" s="719">
        <f t="shared" si="63"/>
        <v>0</v>
      </c>
      <c r="DE70" s="719">
        <f t="shared" si="63"/>
        <v>0</v>
      </c>
      <c r="DF70" s="719">
        <f t="shared" si="63"/>
        <v>0</v>
      </c>
      <c r="DG70" s="719">
        <f t="shared" si="63"/>
        <v>0</v>
      </c>
      <c r="DH70" s="719">
        <f t="shared" si="63"/>
        <v>0</v>
      </c>
      <c r="DI70" s="719">
        <f t="shared" si="63"/>
        <v>0</v>
      </c>
      <c r="DJ70" s="719">
        <f t="shared" si="63"/>
        <v>0</v>
      </c>
      <c r="DK70" s="719">
        <f t="shared" si="63"/>
        <v>0</v>
      </c>
      <c r="DL70" s="719">
        <f t="shared" si="63"/>
        <v>0</v>
      </c>
      <c r="DM70" s="719">
        <f t="shared" si="63"/>
        <v>0</v>
      </c>
      <c r="DN70" s="719">
        <f t="shared" si="63"/>
        <v>0</v>
      </c>
      <c r="DO70" s="719">
        <f t="shared" si="63"/>
        <v>0</v>
      </c>
      <c r="DP70" s="719">
        <f t="shared" si="63"/>
        <v>0</v>
      </c>
      <c r="DQ70" s="42"/>
    </row>
    <row r="71" spans="3:121" x14ac:dyDescent="0.2">
      <c r="C71" s="94" t="s">
        <v>296</v>
      </c>
      <c r="D71" s="93"/>
      <c r="E71" s="93"/>
      <c r="F71" s="93"/>
      <c r="G71" s="93"/>
      <c r="H71" s="93"/>
      <c r="I71" s="93"/>
      <c r="J71" s="93"/>
      <c r="K71" s="655" t="s">
        <v>63</v>
      </c>
      <c r="L71" s="93"/>
      <c r="M71" s="93"/>
      <c r="N71" s="113">
        <f>+SUM(Q71:BJ71)</f>
        <v>1086156276.5710487</v>
      </c>
      <c r="O71" s="93"/>
      <c r="P71" s="93"/>
      <c r="Q71" s="88"/>
      <c r="R71" s="88"/>
      <c r="S71" s="718">
        <v>1139845.1164119183</v>
      </c>
      <c r="T71" s="718">
        <v>1450135.7677046533</v>
      </c>
      <c r="U71" s="718">
        <v>1783848.2241836686</v>
      </c>
      <c r="V71" s="718">
        <v>2142774.3532321751</v>
      </c>
      <c r="W71" s="718">
        <v>2528844.3104589595</v>
      </c>
      <c r="X71" s="718">
        <v>2929383.7250964278</v>
      </c>
      <c r="Y71" s="718">
        <v>3345673.2502630223</v>
      </c>
      <c r="Z71" s="718">
        <v>3794249.7437311937</v>
      </c>
      <c r="AA71" s="718">
        <v>4277658.3839463312</v>
      </c>
      <c r="AB71" s="718">
        <v>4798647.4731171187</v>
      </c>
      <c r="AC71" s="718">
        <v>5358884.634797154</v>
      </c>
      <c r="AD71" s="718">
        <v>5963819.7538954755</v>
      </c>
      <c r="AE71" s="718">
        <v>6617810.6584602883</v>
      </c>
      <c r="AF71" s="718">
        <v>7321749.7889550198</v>
      </c>
      <c r="AG71" s="718">
        <v>8079451.9159768336</v>
      </c>
      <c r="AH71" s="718">
        <v>8895023.1613058038</v>
      </c>
      <c r="AI71" s="718">
        <v>9772883.2497047614</v>
      </c>
      <c r="AJ71" s="718">
        <v>10717789.460189143</v>
      </c>
      <c r="AK71" s="718">
        <v>11734862.406563014</v>
      </c>
      <c r="AL71" s="718">
        <v>12829613.786930542</v>
      </c>
      <c r="AM71" s="718">
        <v>14007976.252562437</v>
      </c>
      <c r="AN71" s="718">
        <v>15276335.557982009</v>
      </c>
      <c r="AO71" s="718">
        <v>16641565.166497871</v>
      </c>
      <c r="AP71" s="718">
        <v>18111063.498716768</v>
      </c>
      <c r="AQ71" s="718">
        <v>19692794.025892794</v>
      </c>
      <c r="AR71" s="718">
        <v>21395328.425385989</v>
      </c>
      <c r="AS71" s="718">
        <v>23227893.032097328</v>
      </c>
      <c r="AT71" s="718">
        <v>25200418.837608673</v>
      </c>
      <c r="AU71" s="718">
        <v>27323595.307981841</v>
      </c>
      <c r="AV71" s="718">
        <v>29608928.311864991</v>
      </c>
      <c r="AW71" s="718">
        <v>32068802.472828932</v>
      </c>
      <c r="AX71" s="718">
        <v>34716548.28383173</v>
      </c>
      <c r="AY71" s="718">
        <v>37566514.347516738</v>
      </c>
      <c r="AZ71" s="718">
        <v>40634145.133827001</v>
      </c>
      <c r="BA71" s="718">
        <v>43936064.676318295</v>
      </c>
      <c r="BB71" s="718">
        <v>47490166.660735928</v>
      </c>
      <c r="BC71" s="718">
        <v>51315711.394061193</v>
      </c>
      <c r="BD71" s="718">
        <v>55433430.179519944</v>
      </c>
      <c r="BE71" s="718">
        <v>59865637.663179815</v>
      </c>
      <c r="BF71" s="718">
        <v>64636352.760962293</v>
      </c>
      <c r="BG71" s="718">
        <v>69771428.821394369</v>
      </c>
      <c r="BH71" s="718">
        <v>74250875.531786159</v>
      </c>
      <c r="BI71" s="718">
        <v>74250875.531786159</v>
      </c>
      <c r="BJ71" s="718">
        <v>74250875.531786159</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8">
        <v>0</v>
      </c>
      <c r="CA71" s="718">
        <v>0</v>
      </c>
      <c r="CB71" s="718">
        <v>0</v>
      </c>
      <c r="CC71" s="718">
        <v>0</v>
      </c>
      <c r="CD71" s="718">
        <v>0</v>
      </c>
      <c r="CE71" s="718">
        <v>0</v>
      </c>
      <c r="CF71" s="718">
        <v>0</v>
      </c>
      <c r="CG71" s="718">
        <v>0</v>
      </c>
      <c r="CH71" s="718">
        <v>0</v>
      </c>
      <c r="CI71" s="718">
        <v>0</v>
      </c>
      <c r="CJ71" s="718">
        <v>0</v>
      </c>
      <c r="CK71" s="718">
        <v>0</v>
      </c>
      <c r="CL71" s="718">
        <v>0</v>
      </c>
      <c r="CM71" s="718">
        <v>0</v>
      </c>
      <c r="CN71" s="718">
        <v>0</v>
      </c>
      <c r="CO71" s="718">
        <v>0</v>
      </c>
      <c r="CP71" s="718">
        <v>0</v>
      </c>
      <c r="CQ71" s="718">
        <v>0</v>
      </c>
      <c r="CR71" s="718">
        <v>0</v>
      </c>
      <c r="CS71" s="718">
        <v>0</v>
      </c>
      <c r="CT71" s="718">
        <v>0</v>
      </c>
      <c r="CU71" s="718">
        <v>0</v>
      </c>
      <c r="CV71" s="718">
        <v>0</v>
      </c>
      <c r="CW71" s="718">
        <v>0</v>
      </c>
      <c r="CX71" s="718">
        <v>0</v>
      </c>
      <c r="CY71" s="718">
        <v>0</v>
      </c>
      <c r="CZ71" s="718">
        <v>0</v>
      </c>
      <c r="DA71" s="718">
        <v>0</v>
      </c>
      <c r="DB71" s="718">
        <v>0</v>
      </c>
      <c r="DC71" s="718">
        <v>0</v>
      </c>
      <c r="DD71" s="718">
        <v>0</v>
      </c>
      <c r="DE71" s="718">
        <v>0</v>
      </c>
      <c r="DF71" s="718">
        <v>0</v>
      </c>
      <c r="DG71" s="718">
        <v>0</v>
      </c>
      <c r="DH71" s="718">
        <v>0</v>
      </c>
      <c r="DI71" s="718">
        <v>0</v>
      </c>
      <c r="DJ71" s="718">
        <v>0</v>
      </c>
      <c r="DK71" s="718">
        <v>0</v>
      </c>
      <c r="DL71" s="718">
        <v>0</v>
      </c>
      <c r="DM71" s="718">
        <v>0</v>
      </c>
      <c r="DN71" s="718">
        <v>0</v>
      </c>
      <c r="DO71" s="718">
        <v>0</v>
      </c>
      <c r="DP71" s="718">
        <v>0</v>
      </c>
      <c r="DQ71" s="42"/>
    </row>
    <row r="72" spans="3:121" x14ac:dyDescent="0.2">
      <c r="K72" s="74"/>
      <c r="N72" s="53"/>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42"/>
    </row>
    <row r="73" spans="3:121" x14ac:dyDescent="0.2">
      <c r="C73" s="97" t="s">
        <v>297</v>
      </c>
      <c r="D73" s="96"/>
      <c r="E73" s="96"/>
      <c r="F73" s="96"/>
      <c r="G73" s="96"/>
      <c r="H73" s="96"/>
      <c r="I73" s="96"/>
      <c r="J73" s="96"/>
      <c r="K73" s="654" t="s">
        <v>63</v>
      </c>
      <c r="L73" s="96"/>
      <c r="M73" s="96"/>
      <c r="N73" s="114"/>
      <c r="O73" s="96"/>
      <c r="P73" s="96"/>
      <c r="Q73" s="111"/>
      <c r="R73" s="111"/>
      <c r="S73" s="719">
        <f t="shared" ref="S73:AO73" si="64">S71</f>
        <v>1139845.1164119183</v>
      </c>
      <c r="T73" s="719">
        <f t="shared" si="64"/>
        <v>1450135.7677046533</v>
      </c>
      <c r="U73" s="719">
        <f t="shared" si="64"/>
        <v>1783848.2241836686</v>
      </c>
      <c r="V73" s="719">
        <f t="shared" si="64"/>
        <v>2142774.3532321751</v>
      </c>
      <c r="W73" s="719">
        <f t="shared" si="64"/>
        <v>2528844.3104589595</v>
      </c>
      <c r="X73" s="719">
        <f t="shared" si="64"/>
        <v>2929383.7250964278</v>
      </c>
      <c r="Y73" s="719">
        <f t="shared" si="64"/>
        <v>3345673.2502630223</v>
      </c>
      <c r="Z73" s="719">
        <f t="shared" si="64"/>
        <v>3794249.7437311937</v>
      </c>
      <c r="AA73" s="719">
        <f t="shared" si="64"/>
        <v>4277658.3839463312</v>
      </c>
      <c r="AB73" s="719">
        <f t="shared" si="64"/>
        <v>4798647.4731171187</v>
      </c>
      <c r="AC73" s="719">
        <f t="shared" si="64"/>
        <v>5358884.634797154</v>
      </c>
      <c r="AD73" s="719">
        <f t="shared" si="64"/>
        <v>5963819.7538954755</v>
      </c>
      <c r="AE73" s="719">
        <f t="shared" si="64"/>
        <v>6617810.6584602883</v>
      </c>
      <c r="AF73" s="719">
        <f t="shared" si="64"/>
        <v>7321749.7889550198</v>
      </c>
      <c r="AG73" s="719">
        <f t="shared" si="64"/>
        <v>8079451.9159768336</v>
      </c>
      <c r="AH73" s="719">
        <f t="shared" si="64"/>
        <v>8895023.1613058038</v>
      </c>
      <c r="AI73" s="719">
        <f t="shared" si="64"/>
        <v>9772883.2497047614</v>
      </c>
      <c r="AJ73" s="719">
        <f t="shared" si="64"/>
        <v>10717789.460189143</v>
      </c>
      <c r="AK73" s="719">
        <f t="shared" si="64"/>
        <v>11734862.406563014</v>
      </c>
      <c r="AL73" s="719">
        <f t="shared" si="64"/>
        <v>12829613.786930542</v>
      </c>
      <c r="AM73" s="719">
        <f t="shared" si="64"/>
        <v>14007976.252562437</v>
      </c>
      <c r="AN73" s="719">
        <f t="shared" si="64"/>
        <v>15276335.557982009</v>
      </c>
      <c r="AO73" s="719">
        <f t="shared" si="64"/>
        <v>16641565.166497871</v>
      </c>
      <c r="AP73" s="719">
        <f t="shared" ref="AP73:BU73" si="65">AP71</f>
        <v>18111063.498716768</v>
      </c>
      <c r="AQ73" s="719">
        <f t="shared" si="65"/>
        <v>19692794.025892794</v>
      </c>
      <c r="AR73" s="719">
        <f t="shared" si="65"/>
        <v>21395328.425385989</v>
      </c>
      <c r="AS73" s="719">
        <f t="shared" si="65"/>
        <v>23227893.032097328</v>
      </c>
      <c r="AT73" s="719">
        <f t="shared" si="65"/>
        <v>25200418.837608673</v>
      </c>
      <c r="AU73" s="719">
        <f t="shared" si="65"/>
        <v>27323595.307981841</v>
      </c>
      <c r="AV73" s="719">
        <f t="shared" si="65"/>
        <v>29608928.311864991</v>
      </c>
      <c r="AW73" s="719">
        <f t="shared" si="65"/>
        <v>32068802.472828932</v>
      </c>
      <c r="AX73" s="719">
        <f t="shared" si="65"/>
        <v>34716548.28383173</v>
      </c>
      <c r="AY73" s="719">
        <f t="shared" si="65"/>
        <v>37566514.347516738</v>
      </c>
      <c r="AZ73" s="719">
        <f t="shared" si="65"/>
        <v>40634145.133827001</v>
      </c>
      <c r="BA73" s="719">
        <f t="shared" si="65"/>
        <v>43936064.676318295</v>
      </c>
      <c r="BB73" s="719">
        <f t="shared" si="65"/>
        <v>47490166.660735928</v>
      </c>
      <c r="BC73" s="719">
        <f t="shared" si="65"/>
        <v>51315711.394061193</v>
      </c>
      <c r="BD73" s="719">
        <f t="shared" si="65"/>
        <v>55433430.179519944</v>
      </c>
      <c r="BE73" s="719">
        <f t="shared" si="65"/>
        <v>59865637.663179815</v>
      </c>
      <c r="BF73" s="719">
        <f t="shared" si="65"/>
        <v>64636352.760962293</v>
      </c>
      <c r="BG73" s="719">
        <f t="shared" si="65"/>
        <v>69771428.821394369</v>
      </c>
      <c r="BH73" s="719">
        <f t="shared" si="65"/>
        <v>74250875.531786159</v>
      </c>
      <c r="BI73" s="719">
        <f t="shared" si="65"/>
        <v>74250875.531786159</v>
      </c>
      <c r="BJ73" s="719">
        <f t="shared" si="65"/>
        <v>74250875.531786159</v>
      </c>
      <c r="BK73" s="719">
        <f t="shared" si="65"/>
        <v>0</v>
      </c>
      <c r="BL73" s="719">
        <f t="shared" si="65"/>
        <v>0</v>
      </c>
      <c r="BM73" s="719">
        <f t="shared" si="65"/>
        <v>0</v>
      </c>
      <c r="BN73" s="719">
        <f t="shared" si="65"/>
        <v>0</v>
      </c>
      <c r="BO73" s="719">
        <f t="shared" si="65"/>
        <v>0</v>
      </c>
      <c r="BP73" s="719">
        <f t="shared" si="65"/>
        <v>0</v>
      </c>
      <c r="BQ73" s="719">
        <f t="shared" si="65"/>
        <v>0</v>
      </c>
      <c r="BR73" s="719">
        <f t="shared" si="65"/>
        <v>0</v>
      </c>
      <c r="BS73" s="719">
        <f t="shared" si="65"/>
        <v>0</v>
      </c>
      <c r="BT73" s="719">
        <f t="shared" si="65"/>
        <v>0</v>
      </c>
      <c r="BU73" s="719">
        <f t="shared" si="65"/>
        <v>0</v>
      </c>
      <c r="BV73" s="719">
        <f t="shared" ref="BV73:DA73" si="66">BV71</f>
        <v>0</v>
      </c>
      <c r="BW73" s="719">
        <f t="shared" si="66"/>
        <v>0</v>
      </c>
      <c r="BX73" s="719">
        <f t="shared" si="66"/>
        <v>0</v>
      </c>
      <c r="BY73" s="719">
        <f t="shared" si="66"/>
        <v>0</v>
      </c>
      <c r="BZ73" s="719">
        <f t="shared" si="66"/>
        <v>0</v>
      </c>
      <c r="CA73" s="719">
        <f t="shared" si="66"/>
        <v>0</v>
      </c>
      <c r="CB73" s="719">
        <f t="shared" si="66"/>
        <v>0</v>
      </c>
      <c r="CC73" s="719">
        <f t="shared" si="66"/>
        <v>0</v>
      </c>
      <c r="CD73" s="719">
        <f t="shared" si="66"/>
        <v>0</v>
      </c>
      <c r="CE73" s="719">
        <f t="shared" si="66"/>
        <v>0</v>
      </c>
      <c r="CF73" s="719">
        <f t="shared" si="66"/>
        <v>0</v>
      </c>
      <c r="CG73" s="719">
        <f t="shared" si="66"/>
        <v>0</v>
      </c>
      <c r="CH73" s="719">
        <f t="shared" si="66"/>
        <v>0</v>
      </c>
      <c r="CI73" s="719">
        <f t="shared" si="66"/>
        <v>0</v>
      </c>
      <c r="CJ73" s="719">
        <f t="shared" si="66"/>
        <v>0</v>
      </c>
      <c r="CK73" s="719">
        <f t="shared" si="66"/>
        <v>0</v>
      </c>
      <c r="CL73" s="719">
        <f t="shared" si="66"/>
        <v>0</v>
      </c>
      <c r="CM73" s="719">
        <f t="shared" si="66"/>
        <v>0</v>
      </c>
      <c r="CN73" s="719">
        <f t="shared" si="66"/>
        <v>0</v>
      </c>
      <c r="CO73" s="719">
        <f t="shared" si="66"/>
        <v>0</v>
      </c>
      <c r="CP73" s="719">
        <f t="shared" si="66"/>
        <v>0</v>
      </c>
      <c r="CQ73" s="719">
        <f t="shared" si="66"/>
        <v>0</v>
      </c>
      <c r="CR73" s="719">
        <f t="shared" si="66"/>
        <v>0</v>
      </c>
      <c r="CS73" s="719">
        <f t="shared" si="66"/>
        <v>0</v>
      </c>
      <c r="CT73" s="719">
        <f t="shared" si="66"/>
        <v>0</v>
      </c>
      <c r="CU73" s="719">
        <f t="shared" si="66"/>
        <v>0</v>
      </c>
      <c r="CV73" s="719">
        <f t="shared" si="66"/>
        <v>0</v>
      </c>
      <c r="CW73" s="719">
        <f t="shared" si="66"/>
        <v>0</v>
      </c>
      <c r="CX73" s="719">
        <f t="shared" si="66"/>
        <v>0</v>
      </c>
      <c r="CY73" s="719">
        <f t="shared" si="66"/>
        <v>0</v>
      </c>
      <c r="CZ73" s="719">
        <f t="shared" si="66"/>
        <v>0</v>
      </c>
      <c r="DA73" s="719">
        <f t="shared" si="66"/>
        <v>0</v>
      </c>
      <c r="DB73" s="719">
        <f t="shared" ref="DB73:DP73" si="67">DB71</f>
        <v>0</v>
      </c>
      <c r="DC73" s="719">
        <f t="shared" si="67"/>
        <v>0</v>
      </c>
      <c r="DD73" s="719">
        <f t="shared" si="67"/>
        <v>0</v>
      </c>
      <c r="DE73" s="719">
        <f t="shared" si="67"/>
        <v>0</v>
      </c>
      <c r="DF73" s="719">
        <f t="shared" si="67"/>
        <v>0</v>
      </c>
      <c r="DG73" s="719">
        <f t="shared" si="67"/>
        <v>0</v>
      </c>
      <c r="DH73" s="719">
        <f t="shared" si="67"/>
        <v>0</v>
      </c>
      <c r="DI73" s="719">
        <f t="shared" si="67"/>
        <v>0</v>
      </c>
      <c r="DJ73" s="719">
        <f t="shared" si="67"/>
        <v>0</v>
      </c>
      <c r="DK73" s="719">
        <f t="shared" si="67"/>
        <v>0</v>
      </c>
      <c r="DL73" s="719">
        <f t="shared" si="67"/>
        <v>0</v>
      </c>
      <c r="DM73" s="719">
        <f t="shared" si="67"/>
        <v>0</v>
      </c>
      <c r="DN73" s="719">
        <f t="shared" si="67"/>
        <v>0</v>
      </c>
      <c r="DO73" s="719">
        <f t="shared" si="67"/>
        <v>0</v>
      </c>
      <c r="DP73" s="719">
        <f t="shared" si="67"/>
        <v>0</v>
      </c>
      <c r="DQ73" s="42"/>
    </row>
    <row r="74" spans="3:121" x14ac:dyDescent="0.2">
      <c r="C74" s="94" t="s">
        <v>298</v>
      </c>
      <c r="D74" s="93"/>
      <c r="E74" s="93"/>
      <c r="F74" s="93"/>
      <c r="G74" s="93"/>
      <c r="H74" s="93"/>
      <c r="I74" s="93"/>
      <c r="J74" s="93"/>
      <c r="K74" s="655" t="s">
        <v>63</v>
      </c>
      <c r="L74" s="93"/>
      <c r="M74" s="93"/>
      <c r="N74" s="113">
        <f>+SUM(Q74:BJ74)</f>
        <v>1230225898.4816554</v>
      </c>
      <c r="O74" s="93"/>
      <c r="P74" s="93"/>
      <c r="Q74" s="88"/>
      <c r="R74" s="88"/>
      <c r="S74" s="718">
        <v>1291036.1176521296</v>
      </c>
      <c r="T74" s="718">
        <v>1642484.2504034881</v>
      </c>
      <c r="U74" s="718">
        <v>2020460.896547338</v>
      </c>
      <c r="V74" s="718">
        <v>2426995.5998141915</v>
      </c>
      <c r="W74" s="718">
        <v>2864274.5349463467</v>
      </c>
      <c r="X74" s="718">
        <v>3317942.1810104107</v>
      </c>
      <c r="Y74" s="718">
        <v>3789449.0591397253</v>
      </c>
      <c r="Z74" s="718">
        <v>4297525.5041397037</v>
      </c>
      <c r="AA74" s="718">
        <v>4845054.2912677517</v>
      </c>
      <c r="AB74" s="718">
        <v>5435148.2622271376</v>
      </c>
      <c r="AC74" s="718">
        <v>6069696.2370051937</v>
      </c>
      <c r="AD74" s="718">
        <v>6754870.9825448235</v>
      </c>
      <c r="AE74" s="718">
        <v>7495608.3566426188</v>
      </c>
      <c r="AF74" s="718">
        <v>8292919.174587911</v>
      </c>
      <c r="AG74" s="718">
        <v>9151124.2046592887</v>
      </c>
      <c r="AH74" s="718">
        <v>10074874.211636303</v>
      </c>
      <c r="AI74" s="718">
        <v>11069175.160116021</v>
      </c>
      <c r="AJ74" s="718">
        <v>12139415.342720173</v>
      </c>
      <c r="AK74" s="718">
        <v>13291394.580205465</v>
      </c>
      <c r="AL74" s="718">
        <v>14531355.651717607</v>
      </c>
      <c r="AM74" s="718">
        <v>15866018.125515159</v>
      </c>
      <c r="AN74" s="718">
        <v>17302614.77349788</v>
      </c>
      <c r="AO74" s="718">
        <v>18848930.766876318</v>
      </c>
      <c r="AP74" s="718">
        <v>20513345.865390945</v>
      </c>
      <c r="AQ74" s="718">
        <v>22304879.828711648</v>
      </c>
      <c r="AR74" s="718">
        <v>24233241.296109967</v>
      </c>
      <c r="AS74" s="718">
        <v>26308880.399291698</v>
      </c>
      <c r="AT74" s="718">
        <v>28543045.39350808</v>
      </c>
      <c r="AU74" s="718">
        <v>30947843.613839574</v>
      </c>
      <c r="AV74" s="718">
        <v>33536307.086985119</v>
      </c>
      <c r="AW74" s="718">
        <v>36322463.154118724</v>
      </c>
      <c r="AX74" s="718">
        <v>39321410.487531185</v>
      </c>
      <c r="AY74" s="718">
        <v>42549400.913004518</v>
      </c>
      <c r="AZ74" s="718">
        <v>46023927.481329024</v>
      </c>
      <c r="BA74" s="718">
        <v>49763819.266238093</v>
      </c>
      <c r="BB74" s="718">
        <v>53789343.402487569</v>
      </c>
      <c r="BC74" s="718">
        <v>58122314.917041987</v>
      </c>
      <c r="BD74" s="718">
        <v>62786214.948562376</v>
      </c>
      <c r="BE74" s="718">
        <v>67806317.995847866</v>
      </c>
      <c r="BF74" s="718">
        <v>73209828.884812966</v>
      </c>
      <c r="BG74" s="718">
        <v>79026030.196248695</v>
      </c>
      <c r="BH74" s="718">
        <v>84099638.361907497</v>
      </c>
      <c r="BI74" s="718">
        <v>84099638.361907497</v>
      </c>
      <c r="BJ74" s="718">
        <v>84099638.361907497</v>
      </c>
      <c r="BK74" s="718">
        <v>0</v>
      </c>
      <c r="BL74" s="718">
        <v>0</v>
      </c>
      <c r="BM74" s="718">
        <v>0</v>
      </c>
      <c r="BN74" s="718">
        <v>0</v>
      </c>
      <c r="BO74" s="718">
        <v>0</v>
      </c>
      <c r="BP74" s="718">
        <v>0</v>
      </c>
      <c r="BQ74" s="718">
        <v>0</v>
      </c>
      <c r="BR74" s="718">
        <v>0</v>
      </c>
      <c r="BS74" s="718">
        <v>0</v>
      </c>
      <c r="BT74" s="718">
        <v>0</v>
      </c>
      <c r="BU74" s="718">
        <v>0</v>
      </c>
      <c r="BV74" s="718">
        <v>0</v>
      </c>
      <c r="BW74" s="718">
        <v>0</v>
      </c>
      <c r="BX74" s="718">
        <v>0</v>
      </c>
      <c r="BY74" s="718">
        <v>0</v>
      </c>
      <c r="BZ74" s="718">
        <v>0</v>
      </c>
      <c r="CA74" s="718">
        <v>0</v>
      </c>
      <c r="CB74" s="718">
        <v>0</v>
      </c>
      <c r="CC74" s="718">
        <v>0</v>
      </c>
      <c r="CD74" s="718">
        <v>0</v>
      </c>
      <c r="CE74" s="718">
        <v>0</v>
      </c>
      <c r="CF74" s="718">
        <v>0</v>
      </c>
      <c r="CG74" s="718">
        <v>0</v>
      </c>
      <c r="CH74" s="718">
        <v>0</v>
      </c>
      <c r="CI74" s="718">
        <v>0</v>
      </c>
      <c r="CJ74" s="718">
        <v>0</v>
      </c>
      <c r="CK74" s="718">
        <v>0</v>
      </c>
      <c r="CL74" s="718">
        <v>0</v>
      </c>
      <c r="CM74" s="718">
        <v>0</v>
      </c>
      <c r="CN74" s="718">
        <v>0</v>
      </c>
      <c r="CO74" s="718">
        <v>0</v>
      </c>
      <c r="CP74" s="718">
        <v>0</v>
      </c>
      <c r="CQ74" s="718">
        <v>0</v>
      </c>
      <c r="CR74" s="718">
        <v>0</v>
      </c>
      <c r="CS74" s="718">
        <v>0</v>
      </c>
      <c r="CT74" s="718">
        <v>0</v>
      </c>
      <c r="CU74" s="718">
        <v>0</v>
      </c>
      <c r="CV74" s="718">
        <v>0</v>
      </c>
      <c r="CW74" s="718">
        <v>0</v>
      </c>
      <c r="CX74" s="718">
        <v>0</v>
      </c>
      <c r="CY74" s="718">
        <v>0</v>
      </c>
      <c r="CZ74" s="718">
        <v>0</v>
      </c>
      <c r="DA74" s="718">
        <v>0</v>
      </c>
      <c r="DB74" s="718">
        <v>0</v>
      </c>
      <c r="DC74" s="718">
        <v>0</v>
      </c>
      <c r="DD74" s="718">
        <v>0</v>
      </c>
      <c r="DE74" s="718">
        <v>0</v>
      </c>
      <c r="DF74" s="718">
        <v>0</v>
      </c>
      <c r="DG74" s="718">
        <v>0</v>
      </c>
      <c r="DH74" s="718">
        <v>0</v>
      </c>
      <c r="DI74" s="718">
        <v>0</v>
      </c>
      <c r="DJ74" s="718">
        <v>0</v>
      </c>
      <c r="DK74" s="718">
        <v>0</v>
      </c>
      <c r="DL74" s="718">
        <v>0</v>
      </c>
      <c r="DM74" s="718">
        <v>0</v>
      </c>
      <c r="DN74" s="718">
        <v>0</v>
      </c>
      <c r="DO74" s="718">
        <v>0</v>
      </c>
      <c r="DP74" s="718">
        <v>0</v>
      </c>
      <c r="DQ74" s="42"/>
    </row>
    <row r="75" spans="3:121" x14ac:dyDescent="0.2">
      <c r="K75" s="74"/>
      <c r="N75" s="53"/>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42"/>
    </row>
    <row r="76" spans="3:121" x14ac:dyDescent="0.2">
      <c r="C76" s="99" t="s">
        <v>299</v>
      </c>
      <c r="D76" s="91"/>
      <c r="E76" s="91"/>
      <c r="F76" s="91"/>
      <c r="G76" s="91"/>
      <c r="H76" s="91"/>
      <c r="I76" s="91"/>
      <c r="J76" s="91"/>
      <c r="K76" s="656" t="s">
        <v>63</v>
      </c>
      <c r="L76" s="91"/>
      <c r="M76" s="91"/>
      <c r="N76" s="115">
        <f>+SUM(Q76:BJ76)</f>
        <v>1230225898.4816554</v>
      </c>
      <c r="O76" s="91"/>
      <c r="P76" s="91"/>
      <c r="Q76" s="112"/>
      <c r="R76" s="112"/>
      <c r="S76" s="717">
        <f t="shared" ref="S76:AO76" si="68">S74</f>
        <v>1291036.1176521296</v>
      </c>
      <c r="T76" s="717">
        <f t="shared" si="68"/>
        <v>1642484.2504034881</v>
      </c>
      <c r="U76" s="717">
        <f t="shared" si="68"/>
        <v>2020460.896547338</v>
      </c>
      <c r="V76" s="717">
        <f t="shared" si="68"/>
        <v>2426995.5998141915</v>
      </c>
      <c r="W76" s="717">
        <f t="shared" si="68"/>
        <v>2864274.5349463467</v>
      </c>
      <c r="X76" s="717">
        <f t="shared" si="68"/>
        <v>3317942.1810104107</v>
      </c>
      <c r="Y76" s="717">
        <f t="shared" si="68"/>
        <v>3789449.0591397253</v>
      </c>
      <c r="Z76" s="717">
        <f t="shared" si="68"/>
        <v>4297525.5041397037</v>
      </c>
      <c r="AA76" s="717">
        <f t="shared" si="68"/>
        <v>4845054.2912677517</v>
      </c>
      <c r="AB76" s="717">
        <f t="shared" si="68"/>
        <v>5435148.2622271376</v>
      </c>
      <c r="AC76" s="717">
        <f t="shared" si="68"/>
        <v>6069696.2370051937</v>
      </c>
      <c r="AD76" s="717">
        <f t="shared" si="68"/>
        <v>6754870.9825448235</v>
      </c>
      <c r="AE76" s="717">
        <f t="shared" si="68"/>
        <v>7495608.3566426188</v>
      </c>
      <c r="AF76" s="717">
        <f t="shared" si="68"/>
        <v>8292919.174587911</v>
      </c>
      <c r="AG76" s="717">
        <f t="shared" si="68"/>
        <v>9151124.2046592887</v>
      </c>
      <c r="AH76" s="717">
        <f t="shared" si="68"/>
        <v>10074874.211636303</v>
      </c>
      <c r="AI76" s="717">
        <f t="shared" si="68"/>
        <v>11069175.160116021</v>
      </c>
      <c r="AJ76" s="717">
        <f t="shared" si="68"/>
        <v>12139415.342720173</v>
      </c>
      <c r="AK76" s="717">
        <f t="shared" si="68"/>
        <v>13291394.580205465</v>
      </c>
      <c r="AL76" s="717">
        <f t="shared" si="68"/>
        <v>14531355.651717607</v>
      </c>
      <c r="AM76" s="717">
        <f t="shared" si="68"/>
        <v>15866018.125515159</v>
      </c>
      <c r="AN76" s="717">
        <f t="shared" si="68"/>
        <v>17302614.77349788</v>
      </c>
      <c r="AO76" s="717">
        <f t="shared" si="68"/>
        <v>18848930.766876318</v>
      </c>
      <c r="AP76" s="717">
        <f t="shared" ref="AP76:BU76" si="69">AP74</f>
        <v>20513345.865390945</v>
      </c>
      <c r="AQ76" s="717">
        <f t="shared" si="69"/>
        <v>22304879.828711648</v>
      </c>
      <c r="AR76" s="717">
        <f t="shared" si="69"/>
        <v>24233241.296109967</v>
      </c>
      <c r="AS76" s="717">
        <f t="shared" si="69"/>
        <v>26308880.399291698</v>
      </c>
      <c r="AT76" s="717">
        <f t="shared" si="69"/>
        <v>28543045.39350808</v>
      </c>
      <c r="AU76" s="717">
        <f t="shared" si="69"/>
        <v>30947843.613839574</v>
      </c>
      <c r="AV76" s="717">
        <f t="shared" si="69"/>
        <v>33536307.086985119</v>
      </c>
      <c r="AW76" s="717">
        <f t="shared" si="69"/>
        <v>36322463.154118724</v>
      </c>
      <c r="AX76" s="717">
        <f t="shared" si="69"/>
        <v>39321410.487531185</v>
      </c>
      <c r="AY76" s="717">
        <f t="shared" si="69"/>
        <v>42549400.913004518</v>
      </c>
      <c r="AZ76" s="717">
        <f t="shared" si="69"/>
        <v>46023927.481329024</v>
      </c>
      <c r="BA76" s="717">
        <f t="shared" si="69"/>
        <v>49763819.266238093</v>
      </c>
      <c r="BB76" s="717">
        <f t="shared" si="69"/>
        <v>53789343.402487569</v>
      </c>
      <c r="BC76" s="717">
        <f t="shared" si="69"/>
        <v>58122314.917041987</v>
      </c>
      <c r="BD76" s="717">
        <f t="shared" si="69"/>
        <v>62786214.948562376</v>
      </c>
      <c r="BE76" s="717">
        <f t="shared" si="69"/>
        <v>67806317.995847866</v>
      </c>
      <c r="BF76" s="717">
        <f t="shared" si="69"/>
        <v>73209828.884812966</v>
      </c>
      <c r="BG76" s="717">
        <f t="shared" si="69"/>
        <v>79026030.196248695</v>
      </c>
      <c r="BH76" s="717">
        <f t="shared" si="69"/>
        <v>84099638.361907497</v>
      </c>
      <c r="BI76" s="717">
        <f t="shared" si="69"/>
        <v>84099638.361907497</v>
      </c>
      <c r="BJ76" s="717">
        <f t="shared" si="69"/>
        <v>84099638.361907497</v>
      </c>
      <c r="BK76" s="717">
        <f t="shared" si="69"/>
        <v>0</v>
      </c>
      <c r="BL76" s="717">
        <f t="shared" si="69"/>
        <v>0</v>
      </c>
      <c r="BM76" s="717">
        <f t="shared" si="69"/>
        <v>0</v>
      </c>
      <c r="BN76" s="717">
        <f t="shared" si="69"/>
        <v>0</v>
      </c>
      <c r="BO76" s="717">
        <f t="shared" si="69"/>
        <v>0</v>
      </c>
      <c r="BP76" s="717">
        <f t="shared" si="69"/>
        <v>0</v>
      </c>
      <c r="BQ76" s="717">
        <f t="shared" si="69"/>
        <v>0</v>
      </c>
      <c r="BR76" s="717">
        <f t="shared" si="69"/>
        <v>0</v>
      </c>
      <c r="BS76" s="717">
        <f t="shared" si="69"/>
        <v>0</v>
      </c>
      <c r="BT76" s="717">
        <f t="shared" si="69"/>
        <v>0</v>
      </c>
      <c r="BU76" s="717">
        <f t="shared" si="69"/>
        <v>0</v>
      </c>
      <c r="BV76" s="717">
        <f t="shared" ref="BV76:DA76" si="70">BV74</f>
        <v>0</v>
      </c>
      <c r="BW76" s="717">
        <f t="shared" si="70"/>
        <v>0</v>
      </c>
      <c r="BX76" s="717">
        <f t="shared" si="70"/>
        <v>0</v>
      </c>
      <c r="BY76" s="717">
        <f t="shared" si="70"/>
        <v>0</v>
      </c>
      <c r="BZ76" s="717">
        <f t="shared" si="70"/>
        <v>0</v>
      </c>
      <c r="CA76" s="717">
        <f t="shared" si="70"/>
        <v>0</v>
      </c>
      <c r="CB76" s="717">
        <f t="shared" si="70"/>
        <v>0</v>
      </c>
      <c r="CC76" s="717">
        <f t="shared" si="70"/>
        <v>0</v>
      </c>
      <c r="CD76" s="717">
        <f t="shared" si="70"/>
        <v>0</v>
      </c>
      <c r="CE76" s="717">
        <f t="shared" si="70"/>
        <v>0</v>
      </c>
      <c r="CF76" s="717">
        <f t="shared" si="70"/>
        <v>0</v>
      </c>
      <c r="CG76" s="717">
        <f t="shared" si="70"/>
        <v>0</v>
      </c>
      <c r="CH76" s="717">
        <f t="shared" si="70"/>
        <v>0</v>
      </c>
      <c r="CI76" s="717">
        <f t="shared" si="70"/>
        <v>0</v>
      </c>
      <c r="CJ76" s="717">
        <f t="shared" si="70"/>
        <v>0</v>
      </c>
      <c r="CK76" s="717">
        <f t="shared" si="70"/>
        <v>0</v>
      </c>
      <c r="CL76" s="717">
        <f t="shared" si="70"/>
        <v>0</v>
      </c>
      <c r="CM76" s="717">
        <f t="shared" si="70"/>
        <v>0</v>
      </c>
      <c r="CN76" s="717">
        <f t="shared" si="70"/>
        <v>0</v>
      </c>
      <c r="CO76" s="717">
        <f t="shared" si="70"/>
        <v>0</v>
      </c>
      <c r="CP76" s="717">
        <f t="shared" si="70"/>
        <v>0</v>
      </c>
      <c r="CQ76" s="717">
        <f t="shared" si="70"/>
        <v>0</v>
      </c>
      <c r="CR76" s="717">
        <f t="shared" si="70"/>
        <v>0</v>
      </c>
      <c r="CS76" s="717">
        <f t="shared" si="70"/>
        <v>0</v>
      </c>
      <c r="CT76" s="717">
        <f t="shared" si="70"/>
        <v>0</v>
      </c>
      <c r="CU76" s="717">
        <f t="shared" si="70"/>
        <v>0</v>
      </c>
      <c r="CV76" s="717">
        <f t="shared" si="70"/>
        <v>0</v>
      </c>
      <c r="CW76" s="717">
        <f t="shared" si="70"/>
        <v>0</v>
      </c>
      <c r="CX76" s="717">
        <f t="shared" si="70"/>
        <v>0</v>
      </c>
      <c r="CY76" s="717">
        <f t="shared" si="70"/>
        <v>0</v>
      </c>
      <c r="CZ76" s="717">
        <f t="shared" si="70"/>
        <v>0</v>
      </c>
      <c r="DA76" s="717">
        <f t="shared" si="70"/>
        <v>0</v>
      </c>
      <c r="DB76" s="717">
        <f t="shared" ref="DB76:DP76" si="71">DB74</f>
        <v>0</v>
      </c>
      <c r="DC76" s="717">
        <f t="shared" si="71"/>
        <v>0</v>
      </c>
      <c r="DD76" s="717">
        <f t="shared" si="71"/>
        <v>0</v>
      </c>
      <c r="DE76" s="717">
        <f t="shared" si="71"/>
        <v>0</v>
      </c>
      <c r="DF76" s="717">
        <f t="shared" si="71"/>
        <v>0</v>
      </c>
      <c r="DG76" s="717">
        <f t="shared" si="71"/>
        <v>0</v>
      </c>
      <c r="DH76" s="717">
        <f t="shared" si="71"/>
        <v>0</v>
      </c>
      <c r="DI76" s="717">
        <f t="shared" si="71"/>
        <v>0</v>
      </c>
      <c r="DJ76" s="717">
        <f t="shared" si="71"/>
        <v>0</v>
      </c>
      <c r="DK76" s="717">
        <f t="shared" si="71"/>
        <v>0</v>
      </c>
      <c r="DL76" s="717">
        <f t="shared" si="71"/>
        <v>0</v>
      </c>
      <c r="DM76" s="717">
        <f t="shared" si="71"/>
        <v>0</v>
      </c>
      <c r="DN76" s="717">
        <f t="shared" si="71"/>
        <v>0</v>
      </c>
      <c r="DO76" s="717">
        <f t="shared" si="71"/>
        <v>0</v>
      </c>
      <c r="DP76" s="717">
        <f t="shared" si="71"/>
        <v>0</v>
      </c>
      <c r="DQ76" s="42"/>
    </row>
    <row r="77" spans="3:121" x14ac:dyDescent="0.2">
      <c r="K77" s="74"/>
      <c r="N77" s="69"/>
      <c r="DQ77" s="42"/>
    </row>
    <row r="78" spans="3:121" x14ac:dyDescent="0.2">
      <c r="K78" s="74"/>
      <c r="N78" s="69"/>
      <c r="DQ78" s="42"/>
    </row>
    <row r="79" spans="3:121" x14ac:dyDescent="0.2">
      <c r="C79" s="55" t="s">
        <v>300</v>
      </c>
      <c r="K79" s="74"/>
      <c r="N79" s="69"/>
      <c r="DQ79" s="42"/>
    </row>
    <row r="80" spans="3:121" x14ac:dyDescent="0.2">
      <c r="C80" t="s">
        <v>301</v>
      </c>
      <c r="K80" s="74" t="s">
        <v>20</v>
      </c>
      <c r="N80" s="716">
        <v>0</v>
      </c>
      <c r="DQ80" s="42"/>
    </row>
    <row r="81" spans="3:121" x14ac:dyDescent="0.2">
      <c r="C81" s="93" t="s">
        <v>302</v>
      </c>
      <c r="D81" s="93"/>
      <c r="E81" s="93"/>
      <c r="F81" s="93"/>
      <c r="G81" s="93"/>
      <c r="H81" s="93"/>
      <c r="I81" s="93"/>
      <c r="J81" s="93"/>
      <c r="K81" s="655" t="s">
        <v>63</v>
      </c>
      <c r="L81" s="93"/>
      <c r="M81" s="93"/>
      <c r="N81" s="92"/>
      <c r="O81" s="93"/>
      <c r="P81" s="93"/>
      <c r="Q81" s="90"/>
      <c r="R81" s="90"/>
      <c r="S81" s="572">
        <f t="shared" ref="S81:AO81" si="72">MAX(MIN(S$62-S64,S65-S64),0)</f>
        <v>120885.88824258334</v>
      </c>
      <c r="T81" s="572">
        <f t="shared" si="72"/>
        <v>258687.08783839562</v>
      </c>
      <c r="U81" s="572">
        <f t="shared" si="72"/>
        <v>415770.52318478667</v>
      </c>
      <c r="V81" s="572">
        <f t="shared" si="72"/>
        <v>594834.3174957158</v>
      </c>
      <c r="W81" s="572">
        <f t="shared" si="72"/>
        <v>787439.34509599197</v>
      </c>
      <c r="X81" s="572">
        <f t="shared" si="72"/>
        <v>994609.62650133204</v>
      </c>
      <c r="Y81" s="572">
        <f t="shared" si="72"/>
        <v>1217446.6211131294</v>
      </c>
      <c r="Z81" s="572">
        <f t="shared" si="72"/>
        <v>1457135.0833325868</v>
      </c>
      <c r="AA81" s="572">
        <f t="shared" si="72"/>
        <v>1714949.3615282357</v>
      </c>
      <c r="AB81" s="572">
        <f t="shared" si="72"/>
        <v>1993711.8422424684</v>
      </c>
      <c r="AC81" s="572">
        <f t="shared" si="72"/>
        <v>2295124.6313160891</v>
      </c>
      <c r="AD81" s="572">
        <f t="shared" si="72"/>
        <v>2621028.1359210419</v>
      </c>
      <c r="AE81" s="572">
        <f t="shared" si="72"/>
        <v>2973412.3019686472</v>
      </c>
      <c r="AF81" s="572">
        <f t="shared" si="72"/>
        <v>3354428.7645917954</v>
      </c>
      <c r="AG81" s="572">
        <f t="shared" si="72"/>
        <v>3762884.9411745453</v>
      </c>
      <c r="AH81" s="572">
        <f t="shared" si="72"/>
        <v>4200756.9612967083</v>
      </c>
      <c r="AI81" s="572">
        <f t="shared" si="72"/>
        <v>4670163.269728478</v>
      </c>
      <c r="AJ81" s="572">
        <f t="shared" si="72"/>
        <v>5173374.8755626855</v>
      </c>
      <c r="AK81" s="572">
        <f t="shared" si="72"/>
        <v>5712826.3394601895</v>
      </c>
      <c r="AL81" s="572">
        <f t="shared" si="72"/>
        <v>6291500.8423177805</v>
      </c>
      <c r="AM81" s="572">
        <f t="shared" si="72"/>
        <v>6912250.2566174604</v>
      </c>
      <c r="AN81" s="572">
        <f t="shared" si="72"/>
        <v>7578133.8119677864</v>
      </c>
      <c r="AO81" s="572">
        <f t="shared" si="72"/>
        <v>8292433.1718572024</v>
      </c>
      <c r="AP81" s="572">
        <f t="shared" ref="AP81:BU81" si="73">MAX(MIN(AP$62-AP64,AP65-AP64),0)</f>
        <v>9058668.6066247672</v>
      </c>
      <c r="AQ81" s="572">
        <f t="shared" si="73"/>
        <v>9873716.7217872031</v>
      </c>
      <c r="AR81" s="572">
        <f t="shared" si="73"/>
        <v>10740687.106981348</v>
      </c>
      <c r="AS81" s="572">
        <f t="shared" si="73"/>
        <v>11662887.44683967</v>
      </c>
      <c r="AT81" s="572">
        <f t="shared" si="73"/>
        <v>12643836.140542004</v>
      </c>
      <c r="AU81" s="572">
        <f t="shared" si="73"/>
        <v>13687275.725290094</v>
      </c>
      <c r="AV81" s="572">
        <f t="shared" si="73"/>
        <v>14795169.038086038</v>
      </c>
      <c r="AW81" s="572">
        <f t="shared" si="73"/>
        <v>15971497.414428307</v>
      </c>
      <c r="AX81" s="572">
        <f t="shared" si="73"/>
        <v>17220488.118682969</v>
      </c>
      <c r="AY81" s="572">
        <f t="shared" si="73"/>
        <v>18546629.53521942</v>
      </c>
      <c r="AZ81" s="572">
        <f t="shared" si="73"/>
        <v>19954687.297909319</v>
      </c>
      <c r="BA81" s="572">
        <f t="shared" si="73"/>
        <v>21451673.280857526</v>
      </c>
      <c r="BB81" s="572">
        <f t="shared" si="73"/>
        <v>23043203.893111922</v>
      </c>
      <c r="BC81" s="572">
        <f t="shared" si="73"/>
        <v>24735250.25733662</v>
      </c>
      <c r="BD81" s="572">
        <f t="shared" si="73"/>
        <v>26534160.612337939</v>
      </c>
      <c r="BE81" s="572">
        <f t="shared" si="73"/>
        <v>28446684.130459003</v>
      </c>
      <c r="BF81" s="572">
        <f t="shared" si="73"/>
        <v>30505417.724846326</v>
      </c>
      <c r="BG81" s="572">
        <f t="shared" si="73"/>
        <v>32721538.97642858</v>
      </c>
      <c r="BH81" s="572">
        <f t="shared" si="73"/>
        <v>35107079.978481382</v>
      </c>
      <c r="BI81" s="572">
        <f t="shared" si="73"/>
        <v>37674992.663047709</v>
      </c>
      <c r="BJ81" s="572">
        <f t="shared" si="73"/>
        <v>39545578.786975168</v>
      </c>
      <c r="BK81" s="572">
        <f t="shared" si="73"/>
        <v>0</v>
      </c>
      <c r="BL81" s="572">
        <f t="shared" si="73"/>
        <v>0</v>
      </c>
      <c r="BM81" s="572">
        <f t="shared" si="73"/>
        <v>0</v>
      </c>
      <c r="BN81" s="572">
        <f t="shared" si="73"/>
        <v>0</v>
      </c>
      <c r="BO81" s="572">
        <f t="shared" si="73"/>
        <v>0</v>
      </c>
      <c r="BP81" s="572">
        <f t="shared" si="73"/>
        <v>0</v>
      </c>
      <c r="BQ81" s="572">
        <f t="shared" si="73"/>
        <v>0</v>
      </c>
      <c r="BR81" s="572">
        <f t="shared" si="73"/>
        <v>0</v>
      </c>
      <c r="BS81" s="572">
        <f t="shared" si="73"/>
        <v>0</v>
      </c>
      <c r="BT81" s="572">
        <f t="shared" si="73"/>
        <v>0</v>
      </c>
      <c r="BU81" s="572">
        <f t="shared" si="73"/>
        <v>0</v>
      </c>
      <c r="BV81" s="572">
        <f t="shared" ref="BV81:DA81" si="74">MAX(MIN(BV$62-BV64,BV65-BV64),0)</f>
        <v>0</v>
      </c>
      <c r="BW81" s="572">
        <f t="shared" si="74"/>
        <v>0</v>
      </c>
      <c r="BX81" s="572">
        <f t="shared" si="74"/>
        <v>0</v>
      </c>
      <c r="BY81" s="572">
        <f t="shared" si="74"/>
        <v>0</v>
      </c>
      <c r="BZ81" s="572">
        <f t="shared" si="74"/>
        <v>0</v>
      </c>
      <c r="CA81" s="572">
        <f t="shared" si="74"/>
        <v>0</v>
      </c>
      <c r="CB81" s="572">
        <f t="shared" si="74"/>
        <v>0</v>
      </c>
      <c r="CC81" s="572">
        <f t="shared" si="74"/>
        <v>0</v>
      </c>
      <c r="CD81" s="572">
        <f t="shared" si="74"/>
        <v>0</v>
      </c>
      <c r="CE81" s="572">
        <f t="shared" si="74"/>
        <v>0</v>
      </c>
      <c r="CF81" s="572">
        <f t="shared" si="74"/>
        <v>0</v>
      </c>
      <c r="CG81" s="572">
        <f t="shared" si="74"/>
        <v>0</v>
      </c>
      <c r="CH81" s="572">
        <f t="shared" si="74"/>
        <v>0</v>
      </c>
      <c r="CI81" s="572">
        <f t="shared" si="74"/>
        <v>0</v>
      </c>
      <c r="CJ81" s="572">
        <f t="shared" si="74"/>
        <v>0</v>
      </c>
      <c r="CK81" s="572">
        <f t="shared" si="74"/>
        <v>0</v>
      </c>
      <c r="CL81" s="572">
        <f t="shared" si="74"/>
        <v>0</v>
      </c>
      <c r="CM81" s="572">
        <f t="shared" si="74"/>
        <v>0</v>
      </c>
      <c r="CN81" s="572">
        <f t="shared" si="74"/>
        <v>0</v>
      </c>
      <c r="CO81" s="572">
        <f t="shared" si="74"/>
        <v>0</v>
      </c>
      <c r="CP81" s="572">
        <f t="shared" si="74"/>
        <v>0</v>
      </c>
      <c r="CQ81" s="572">
        <f t="shared" si="74"/>
        <v>0</v>
      </c>
      <c r="CR81" s="572">
        <f t="shared" si="74"/>
        <v>0</v>
      </c>
      <c r="CS81" s="572">
        <f t="shared" si="74"/>
        <v>0</v>
      </c>
      <c r="CT81" s="572">
        <f t="shared" si="74"/>
        <v>0</v>
      </c>
      <c r="CU81" s="572">
        <f t="shared" si="74"/>
        <v>0</v>
      </c>
      <c r="CV81" s="572">
        <f t="shared" si="74"/>
        <v>0</v>
      </c>
      <c r="CW81" s="572">
        <f t="shared" si="74"/>
        <v>0</v>
      </c>
      <c r="CX81" s="572">
        <f t="shared" si="74"/>
        <v>0</v>
      </c>
      <c r="CY81" s="572">
        <f t="shared" si="74"/>
        <v>0</v>
      </c>
      <c r="CZ81" s="572">
        <f t="shared" si="74"/>
        <v>0</v>
      </c>
      <c r="DA81" s="572">
        <f t="shared" si="74"/>
        <v>0</v>
      </c>
      <c r="DB81" s="572">
        <f t="shared" ref="DB81:DP81" si="75">MAX(MIN(DB$62-DB64,DB65-DB64),0)</f>
        <v>0</v>
      </c>
      <c r="DC81" s="572">
        <f t="shared" si="75"/>
        <v>0</v>
      </c>
      <c r="DD81" s="572">
        <f t="shared" si="75"/>
        <v>0</v>
      </c>
      <c r="DE81" s="572">
        <f t="shared" si="75"/>
        <v>0</v>
      </c>
      <c r="DF81" s="572">
        <f t="shared" si="75"/>
        <v>0</v>
      </c>
      <c r="DG81" s="572">
        <f t="shared" si="75"/>
        <v>0</v>
      </c>
      <c r="DH81" s="572">
        <f t="shared" si="75"/>
        <v>0</v>
      </c>
      <c r="DI81" s="572">
        <f t="shared" si="75"/>
        <v>0</v>
      </c>
      <c r="DJ81" s="572">
        <f t="shared" si="75"/>
        <v>0</v>
      </c>
      <c r="DK81" s="572">
        <f t="shared" si="75"/>
        <v>0</v>
      </c>
      <c r="DL81" s="572">
        <f t="shared" si="75"/>
        <v>0</v>
      </c>
      <c r="DM81" s="572">
        <f t="shared" si="75"/>
        <v>0</v>
      </c>
      <c r="DN81" s="572">
        <f t="shared" si="75"/>
        <v>0</v>
      </c>
      <c r="DO81" s="572">
        <f t="shared" si="75"/>
        <v>0</v>
      </c>
      <c r="DP81" s="572">
        <f t="shared" si="75"/>
        <v>0</v>
      </c>
      <c r="DQ81" s="42"/>
    </row>
    <row r="82" spans="3:121" x14ac:dyDescent="0.2">
      <c r="C82" t="s">
        <v>303</v>
      </c>
      <c r="K82" s="74" t="s">
        <v>63</v>
      </c>
      <c r="N82" s="63">
        <f>SUM(Q82:DP82)</f>
        <v>0</v>
      </c>
      <c r="Q82" s="98"/>
      <c r="R82" s="98"/>
      <c r="S82" s="177">
        <f>MAX((S81*$N$80-SUM($P82:R$82)),0)*CF!S$13</f>
        <v>0</v>
      </c>
      <c r="T82" s="177">
        <f>MAX((T81*$N$80-SUM($P82:S$82)),0)*CF!T$13</f>
        <v>0</v>
      </c>
      <c r="U82" s="177">
        <f>MAX((U81*$N$80-SUM($P82:T$82)),0)*CF!U$13</f>
        <v>0</v>
      </c>
      <c r="V82" s="177">
        <f>MAX((V81*$N$80-SUM($P82:U$82)),0)*CF!V$13</f>
        <v>0</v>
      </c>
      <c r="W82" s="177">
        <f>MAX((W81*$N$80-SUM($P82:V$82)),0)*CF!W$13</f>
        <v>0</v>
      </c>
      <c r="X82" s="177">
        <f>MAX((X81*$N$80-SUM($P82:W$82)),0)*CF!X$13</f>
        <v>0</v>
      </c>
      <c r="Y82" s="177">
        <f>MAX((Y81*$N$80-SUM($P82:X$82)),0)*CF!Y$13</f>
        <v>0</v>
      </c>
      <c r="Z82" s="177">
        <f>MAX((Z81*$N$80-SUM($P82:Y$82)),0)*CF!Z$13</f>
        <v>0</v>
      </c>
      <c r="AA82" s="177">
        <f>MAX((AA81*$N$80-SUM($P82:Z$82)),0)*CF!AA$13</f>
        <v>0</v>
      </c>
      <c r="AB82" s="177">
        <f>MAX((AB81*$N$80-SUM($P82:AA$82)),0)*CF!AB$13</f>
        <v>0</v>
      </c>
      <c r="AC82" s="177">
        <f>MAX((AC81*$N$80-SUM($P82:AB$82)),0)*CF!AC$13</f>
        <v>0</v>
      </c>
      <c r="AD82" s="177">
        <f>MAX((AD81*$N$80-SUM($P82:AC$82)),0)*CF!AD$13</f>
        <v>0</v>
      </c>
      <c r="AE82" s="177">
        <f>MAX((AE81*$N$80-SUM($P82:AD$82)),0)*CF!AE$13</f>
        <v>0</v>
      </c>
      <c r="AF82" s="177">
        <f>MAX((AF81*$N$80-SUM($P82:AE$82)),0)*CF!AF$13</f>
        <v>0</v>
      </c>
      <c r="AG82" s="177">
        <f>MAX((AG81*$N$80-SUM($P82:AF$82)),0)*CF!AG$13</f>
        <v>0</v>
      </c>
      <c r="AH82" s="177">
        <f>MAX((AH81*$N$80-SUM($P82:AG$82)),0)*CF!AH$13</f>
        <v>0</v>
      </c>
      <c r="AI82" s="177">
        <f>MAX((AI81*$N$80-SUM($P82:AH$82)),0)*CF!AI$13</f>
        <v>0</v>
      </c>
      <c r="AJ82" s="177">
        <f>MAX((AJ81*$N$80-SUM($P82:AI$82)),0)*CF!AJ$13</f>
        <v>0</v>
      </c>
      <c r="AK82" s="177">
        <f>MAX((AK81*$N$80-SUM($P82:AJ$82)),0)*CF!AK$13</f>
        <v>0</v>
      </c>
      <c r="AL82" s="177">
        <f>MAX((AL81*$N$80-SUM($P82:AK$82)),0)*CF!AL$13</f>
        <v>0</v>
      </c>
      <c r="AM82" s="177">
        <f>MAX((AM81*$N$80-SUM($P82:AL$82)),0)*CF!AM$13</f>
        <v>0</v>
      </c>
      <c r="AN82" s="177">
        <f>MAX((AN81*$N$80-SUM($P82:AM$82)),0)*CF!AN$13</f>
        <v>0</v>
      </c>
      <c r="AO82" s="177">
        <f>MAX((AO81*$N$80-SUM($P82:AN$82)),0)*CF!AO$13</f>
        <v>0</v>
      </c>
      <c r="AP82" s="177">
        <f>MAX((AP81*$N$80-SUM($P82:AO$82)),0)*CF!AP$13</f>
        <v>0</v>
      </c>
      <c r="AQ82" s="177">
        <f>MAX((AQ81*$N$80-SUM($P82:AP$82)),0)*CF!AQ$13</f>
        <v>0</v>
      </c>
      <c r="AR82" s="177">
        <f>MAX((AR81*$N$80-SUM($P82:AQ$82)),0)*CF!AR$13</f>
        <v>0</v>
      </c>
      <c r="AS82" s="177">
        <f>MAX((AS81*$N$80-SUM($P82:AR$82)),0)*CF!AS$13</f>
        <v>0</v>
      </c>
      <c r="AT82" s="177">
        <f>MAX((AT81*$N$80-SUM($P82:AS$82)),0)*CF!AT$13</f>
        <v>0</v>
      </c>
      <c r="AU82" s="177">
        <f>MAX((AU81*$N$80-SUM($P82:AT$82)),0)*CF!AU$13</f>
        <v>0</v>
      </c>
      <c r="AV82" s="177">
        <f>MAX((AV81*$N$80-SUM($P82:AU$82)),0)*CF!AV$13</f>
        <v>0</v>
      </c>
      <c r="AW82" s="177">
        <f>MAX((AW81*$N$80-SUM($P82:AV$82)),0)*CF!AW$13</f>
        <v>0</v>
      </c>
      <c r="AX82" s="177">
        <f>MAX((AX81*$N$80-SUM($P82:AW$82)),0)*CF!AX$13</f>
        <v>0</v>
      </c>
      <c r="AY82" s="177">
        <f>MAX((AY81*$N$80-SUM($P82:AX$82)),0)*CF!AY$13</f>
        <v>0</v>
      </c>
      <c r="AZ82" s="177">
        <f>MAX((AZ81*$N$80-SUM($P82:AY$82)),0)*CF!AZ$13</f>
        <v>0</v>
      </c>
      <c r="BA82" s="177">
        <f>MAX((BA81*$N$80-SUM($P82:AZ$82)),0)*CF!BA$13</f>
        <v>0</v>
      </c>
      <c r="BB82" s="177">
        <f>MAX((BB81*$N$80-SUM($P82:BA$82)),0)*CF!BB$13</f>
        <v>0</v>
      </c>
      <c r="BC82" s="177">
        <f>MAX((BC81*$N$80-SUM($P82:BB$82)),0)*CF!BC$13</f>
        <v>0</v>
      </c>
      <c r="BD82" s="177">
        <f>MAX((BD81*$N$80-SUM($P82:BC$82)),0)*CF!BD$13</f>
        <v>0</v>
      </c>
      <c r="BE82" s="177">
        <f>MAX((BE81*$N$80-SUM($P82:BD$82)),0)*CF!BE$13</f>
        <v>0</v>
      </c>
      <c r="BF82" s="177">
        <f>MAX((BF81*$N$80-SUM($P82:BE$82)),0)*CF!BF$13</f>
        <v>0</v>
      </c>
      <c r="BG82" s="177">
        <f>MAX((BG81*$N$80-SUM($P82:BF$82)),0)*CF!BG$13</f>
        <v>0</v>
      </c>
      <c r="BH82" s="177">
        <f>MAX((BH81*$N$80-SUM($P82:BG$82)),0)*CF!BH$13</f>
        <v>0</v>
      </c>
      <c r="BI82" s="177">
        <f>MAX((BI81*$N$80-SUM($P82:BH$82)),0)*CF!BI$13</f>
        <v>0</v>
      </c>
      <c r="BJ82" s="177">
        <f>MAX((BJ81*$N$80-SUM($P82:BI$82)),0)*CF!BJ$13</f>
        <v>0</v>
      </c>
      <c r="BK82" s="177">
        <f>MAX((BK81*$N$80-SUM($P82:BJ$82)),0)*CF!BK$13</f>
        <v>0</v>
      </c>
      <c r="BL82" s="177">
        <f>MAX((BL81*$N$80-SUM($P82:BK$82)),0)*CF!BL$13</f>
        <v>0</v>
      </c>
      <c r="BM82" s="177">
        <f>MAX((BM81*$N$80-SUM($P82:BL$82)),0)*CF!BM$13</f>
        <v>0</v>
      </c>
      <c r="BN82" s="177">
        <f>MAX((BN81*$N$80-SUM($P82:BM$82)),0)*CF!BN$13</f>
        <v>0</v>
      </c>
      <c r="BO82" s="177">
        <f>MAX((BO81*$N$80-SUM($P82:BN$82)),0)*CF!BO$13</f>
        <v>0</v>
      </c>
      <c r="BP82" s="177">
        <f>MAX((BP81*$N$80-SUM($P82:BO$82)),0)*CF!BP$13</f>
        <v>0</v>
      </c>
      <c r="BQ82" s="177">
        <f>MAX((BQ81*$N$80-SUM($P82:BP$82)),0)*CF!BQ$13</f>
        <v>0</v>
      </c>
      <c r="BR82" s="177">
        <f>MAX((BR81*$N$80-SUM($P82:BQ$82)),0)*CF!BR$13</f>
        <v>0</v>
      </c>
      <c r="BS82" s="177">
        <f>MAX((BS81*$N$80-SUM($P82:BR$82)),0)*CF!BS$13</f>
        <v>0</v>
      </c>
      <c r="BT82" s="177">
        <f>MAX((BT81*$N$80-SUM($P82:BS$82)),0)*CF!BT$13</f>
        <v>0</v>
      </c>
      <c r="BU82" s="177">
        <f>MAX((BU81*$N$80-SUM($P82:BT$82)),0)*CF!BU$13</f>
        <v>0</v>
      </c>
      <c r="BV82" s="177">
        <f>MAX((BV81*$N$80-SUM($P82:BU$82)),0)*CF!BV$13</f>
        <v>0</v>
      </c>
      <c r="BW82" s="177">
        <f>MAX((BW81*$N$80-SUM($P82:BV$82)),0)*CF!BW$13</f>
        <v>0</v>
      </c>
      <c r="BX82" s="177">
        <f>MAX((BX81*$N$80-SUM($P82:BW$82)),0)*CF!BX$13</f>
        <v>0</v>
      </c>
      <c r="BY82" s="177">
        <f>MAX((BY81*$N$80-SUM($P82:BX$82)),0)*CF!BY$13</f>
        <v>0</v>
      </c>
      <c r="BZ82" s="177">
        <f>MAX((BZ81*$N$80-SUM($P82:BY$82)),0)*CF!BZ$13</f>
        <v>0</v>
      </c>
      <c r="CA82" s="177">
        <f>MAX((CA81*$N$80-SUM($P82:BZ$82)),0)*CF!CA$13</f>
        <v>0</v>
      </c>
      <c r="CB82" s="177">
        <f>MAX((CB81*$N$80-SUM($P82:CA$82)),0)*CF!CB$13</f>
        <v>0</v>
      </c>
      <c r="CC82" s="177">
        <f>MAX((CC81*$N$80-SUM($P82:CB$82)),0)*CF!CC$13</f>
        <v>0</v>
      </c>
      <c r="CD82" s="177">
        <f>MAX((CD81*$N$80-SUM($P82:CC$82)),0)*CF!CD$13</f>
        <v>0</v>
      </c>
      <c r="CE82" s="177">
        <f>MAX((CE81*$N$80-SUM($P82:CD$82)),0)*CF!CE$13</f>
        <v>0</v>
      </c>
      <c r="CF82" s="177">
        <f>MAX((CF81*$N$80-SUM($P82:CE$82)),0)*CF!CF$13</f>
        <v>0</v>
      </c>
      <c r="CG82" s="177">
        <f>MAX((CG81*$N$80-SUM($P82:CF$82)),0)*CF!CG$13</f>
        <v>0</v>
      </c>
      <c r="CH82" s="177">
        <f>MAX((CH81*$N$80-SUM($P82:CG$82)),0)*CF!CH$13</f>
        <v>0</v>
      </c>
      <c r="CI82" s="177">
        <f>MAX((CI81*$N$80-SUM($P82:CH$82)),0)*CF!CI$13</f>
        <v>0</v>
      </c>
      <c r="CJ82" s="177">
        <f>MAX((CJ81*$N$80-SUM($P82:CI$82)),0)*CF!CJ$13</f>
        <v>0</v>
      </c>
      <c r="CK82" s="177">
        <f>MAX((CK81*$N$80-SUM($P82:CJ$82)),0)*CF!CK$13</f>
        <v>0</v>
      </c>
      <c r="CL82" s="177">
        <f>MAX((CL81*$N$80-SUM($P82:CK$82)),0)*CF!CL$13</f>
        <v>0</v>
      </c>
      <c r="CM82" s="177">
        <f>MAX((CM81*$N$80-SUM($P82:CL$82)),0)*CF!CM$13</f>
        <v>0</v>
      </c>
      <c r="CN82" s="177">
        <f>MAX((CN81*$N$80-SUM($P82:CM$82)),0)*CF!CN$13</f>
        <v>0</v>
      </c>
      <c r="CO82" s="177">
        <f>MAX((CO81*$N$80-SUM($P82:CN$82)),0)*CF!CO$13</f>
        <v>0</v>
      </c>
      <c r="CP82" s="177">
        <f>MAX((CP81*$N$80-SUM($P82:CO$82)),0)*CF!CP$13</f>
        <v>0</v>
      </c>
      <c r="CQ82" s="177">
        <f>MAX((CQ81*$N$80-SUM($P82:CP$82)),0)*CF!CQ$13</f>
        <v>0</v>
      </c>
      <c r="CR82" s="177">
        <f>MAX((CR81*$N$80-SUM($P82:CQ$82)),0)*CF!CR$13</f>
        <v>0</v>
      </c>
      <c r="CS82" s="177">
        <f>MAX((CS81*$N$80-SUM($P82:CR$82)),0)*CF!CS$13</f>
        <v>0</v>
      </c>
      <c r="CT82" s="177">
        <f>MAX((CT81*$N$80-SUM($P82:CS$82)),0)*CF!CT$13</f>
        <v>0</v>
      </c>
      <c r="CU82" s="177">
        <f>MAX((CU81*$N$80-SUM($P82:CT$82)),0)*CF!CU$13</f>
        <v>0</v>
      </c>
      <c r="CV82" s="177">
        <f>MAX((CV81*$N$80-SUM($P82:CU$82)),0)*CF!CV$13</f>
        <v>0</v>
      </c>
      <c r="CW82" s="177">
        <f>MAX((CW81*$N$80-SUM($P82:CV$82)),0)*CF!CW$13</f>
        <v>0</v>
      </c>
      <c r="CX82" s="177">
        <f>MAX((CX81*$N$80-SUM($P82:CW$82)),0)*CF!CX$13</f>
        <v>0</v>
      </c>
      <c r="CY82" s="177">
        <f>MAX((CY81*$N$80-SUM($P82:CX$82)),0)*CF!CY$13</f>
        <v>0</v>
      </c>
      <c r="CZ82" s="177">
        <f>MAX((CZ81*$N$80-SUM($P82:CY$82)),0)*CF!CZ$13</f>
        <v>0</v>
      </c>
      <c r="DA82" s="177">
        <f>MAX((DA81*$N$80-SUM($P82:CZ$82)),0)*CF!DA$13</f>
        <v>0</v>
      </c>
      <c r="DB82" s="177">
        <f>MAX((DB81*$N$80-SUM($P82:DA$82)),0)*CF!DB$13</f>
        <v>0</v>
      </c>
      <c r="DC82" s="177">
        <f>MAX((DC81*$N$80-SUM($P82:DB$82)),0)*CF!DC$13</f>
        <v>0</v>
      </c>
      <c r="DD82" s="177">
        <f>MAX((DD81*$N$80-SUM($P82:DC$82)),0)*CF!DD$13</f>
        <v>0</v>
      </c>
      <c r="DE82" s="177">
        <f>MAX((DE81*$N$80-SUM($P82:DD$82)),0)*CF!DE$13</f>
        <v>0</v>
      </c>
      <c r="DF82" s="177">
        <f>MAX((DF81*$N$80-SUM($P82:DE$82)),0)*CF!DF$13</f>
        <v>0</v>
      </c>
      <c r="DG82" s="177">
        <f>MAX((DG81*$N$80-SUM($P82:DF$82)),0)*CF!DG$13</f>
        <v>0</v>
      </c>
      <c r="DH82" s="177">
        <f>MAX((DH81*$N$80-SUM($P82:DG$82)),0)*CF!DH$13</f>
        <v>0</v>
      </c>
      <c r="DI82" s="177">
        <f>MAX((DI81*$N$80-SUM($P82:DH$82)),0)*CF!DI$13</f>
        <v>0</v>
      </c>
      <c r="DJ82" s="177">
        <f>MAX((DJ81*$N$80-SUM($P82:DI$82)),0)*CF!DJ$13</f>
        <v>0</v>
      </c>
      <c r="DK82" s="177">
        <f>MAX((DK81*$N$80-SUM($P82:DJ$82)),0)*CF!DK$13</f>
        <v>0</v>
      </c>
      <c r="DL82" s="177">
        <f>MAX((DL81*$N$80-SUM($P82:DK$82)),0)*CF!DL$13</f>
        <v>0</v>
      </c>
      <c r="DM82" s="177">
        <f>MAX((DM81*$N$80-SUM($P82:DL$82)),0)*CF!DM$13</f>
        <v>0</v>
      </c>
      <c r="DN82" s="177">
        <f>MAX((DN81*$N$80-SUM($P82:DM$82)),0)*CF!DN$13</f>
        <v>0</v>
      </c>
      <c r="DO82" s="177">
        <f>MAX((DO81*$N$80-SUM($P82:DN$82)),0)*CF!DO$13</f>
        <v>0</v>
      </c>
      <c r="DP82" s="177">
        <f>MAX((DP81*$N$80-SUM($P82:DO$82)),0)*CF!DP$13</f>
        <v>0</v>
      </c>
      <c r="DQ82" s="42"/>
    </row>
    <row r="83" spans="3:121" x14ac:dyDescent="0.2">
      <c r="K83" s="74"/>
      <c r="N83" s="69"/>
      <c r="DQ83" s="42"/>
    </row>
    <row r="84" spans="3:121" x14ac:dyDescent="0.2">
      <c r="C84" s="55" t="s">
        <v>304</v>
      </c>
      <c r="K84" s="74"/>
      <c r="N84" s="69"/>
      <c r="DQ84" s="42"/>
    </row>
    <row r="85" spans="3:121" x14ac:dyDescent="0.2">
      <c r="C85" t="s">
        <v>301</v>
      </c>
      <c r="K85" s="74" t="s">
        <v>20</v>
      </c>
      <c r="N85" s="716">
        <v>0.125</v>
      </c>
      <c r="DQ85" s="42"/>
    </row>
    <row r="86" spans="3:121" x14ac:dyDescent="0.2">
      <c r="C86" s="93" t="s">
        <v>305</v>
      </c>
      <c r="D86" s="93"/>
      <c r="E86" s="93"/>
      <c r="F86" s="93"/>
      <c r="G86" s="93"/>
      <c r="H86" s="93"/>
      <c r="I86" s="93"/>
      <c r="J86" s="93"/>
      <c r="K86" s="655" t="s">
        <v>63</v>
      </c>
      <c r="L86" s="93"/>
      <c r="M86" s="93"/>
      <c r="N86" s="92"/>
      <c r="O86" s="93"/>
      <c r="P86" s="93"/>
      <c r="Q86" s="90"/>
      <c r="R86" s="90"/>
      <c r="S86" s="572">
        <f t="shared" ref="S86:AO86" si="76">MAX(MIN(S$62-S67,S68-S67),0)</f>
        <v>0</v>
      </c>
      <c r="T86" s="572">
        <f t="shared" si="76"/>
        <v>0</v>
      </c>
      <c r="U86" s="572">
        <f t="shared" si="76"/>
        <v>0</v>
      </c>
      <c r="V86" s="572">
        <f t="shared" si="76"/>
        <v>0</v>
      </c>
      <c r="W86" s="572">
        <f t="shared" si="76"/>
        <v>0</v>
      </c>
      <c r="X86" s="572">
        <f t="shared" si="76"/>
        <v>0</v>
      </c>
      <c r="Y86" s="572">
        <f t="shared" si="76"/>
        <v>0</v>
      </c>
      <c r="Z86" s="572">
        <f t="shared" si="76"/>
        <v>0</v>
      </c>
      <c r="AA86" s="572">
        <f t="shared" si="76"/>
        <v>0</v>
      </c>
      <c r="AB86" s="572">
        <f t="shared" si="76"/>
        <v>0</v>
      </c>
      <c r="AC86" s="572">
        <f t="shared" si="76"/>
        <v>0</v>
      </c>
      <c r="AD86" s="572">
        <f t="shared" si="76"/>
        <v>0</v>
      </c>
      <c r="AE86" s="572">
        <f t="shared" si="76"/>
        <v>0</v>
      </c>
      <c r="AF86" s="572">
        <f t="shared" si="76"/>
        <v>0</v>
      </c>
      <c r="AG86" s="572">
        <f t="shared" si="76"/>
        <v>0</v>
      </c>
      <c r="AH86" s="572">
        <f t="shared" si="76"/>
        <v>0</v>
      </c>
      <c r="AI86" s="572">
        <f t="shared" si="76"/>
        <v>0</v>
      </c>
      <c r="AJ86" s="572">
        <f t="shared" si="76"/>
        <v>0</v>
      </c>
      <c r="AK86" s="572">
        <f t="shared" si="76"/>
        <v>0</v>
      </c>
      <c r="AL86" s="572">
        <f t="shared" si="76"/>
        <v>0</v>
      </c>
      <c r="AM86" s="572">
        <f t="shared" si="76"/>
        <v>0</v>
      </c>
      <c r="AN86" s="572">
        <f t="shared" si="76"/>
        <v>0</v>
      </c>
      <c r="AO86" s="572">
        <f t="shared" si="76"/>
        <v>0</v>
      </c>
      <c r="AP86" s="572">
        <f t="shared" ref="AP86:BU86" si="77">MAX(MIN(AP$62-AP67,AP68-AP67),0)</f>
        <v>0</v>
      </c>
      <c r="AQ86" s="572">
        <f t="shared" si="77"/>
        <v>0</v>
      </c>
      <c r="AR86" s="572">
        <f t="shared" si="77"/>
        <v>0</v>
      </c>
      <c r="AS86" s="572">
        <f t="shared" si="77"/>
        <v>0</v>
      </c>
      <c r="AT86" s="572">
        <f t="shared" si="77"/>
        <v>0</v>
      </c>
      <c r="AU86" s="572">
        <f t="shared" si="77"/>
        <v>0</v>
      </c>
      <c r="AV86" s="572">
        <f t="shared" si="77"/>
        <v>0</v>
      </c>
      <c r="AW86" s="572">
        <f t="shared" si="77"/>
        <v>0</v>
      </c>
      <c r="AX86" s="572">
        <f t="shared" si="77"/>
        <v>0</v>
      </c>
      <c r="AY86" s="572">
        <f t="shared" si="77"/>
        <v>0</v>
      </c>
      <c r="AZ86" s="572">
        <f t="shared" si="77"/>
        <v>0</v>
      </c>
      <c r="BA86" s="572">
        <f t="shared" si="77"/>
        <v>0</v>
      </c>
      <c r="BB86" s="572">
        <f t="shared" si="77"/>
        <v>0</v>
      </c>
      <c r="BC86" s="572">
        <f t="shared" si="77"/>
        <v>0</v>
      </c>
      <c r="BD86" s="572">
        <f t="shared" si="77"/>
        <v>0</v>
      </c>
      <c r="BE86" s="572">
        <f t="shared" si="77"/>
        <v>0</v>
      </c>
      <c r="BF86" s="572">
        <f t="shared" si="77"/>
        <v>0</v>
      </c>
      <c r="BG86" s="572">
        <f t="shared" si="77"/>
        <v>0</v>
      </c>
      <c r="BH86" s="572">
        <f t="shared" si="77"/>
        <v>0</v>
      </c>
      <c r="BI86" s="572">
        <f t="shared" si="77"/>
        <v>0</v>
      </c>
      <c r="BJ86" s="572">
        <f t="shared" si="77"/>
        <v>0</v>
      </c>
      <c r="BK86" s="572">
        <f t="shared" si="77"/>
        <v>0</v>
      </c>
      <c r="BL86" s="572">
        <f t="shared" si="77"/>
        <v>0</v>
      </c>
      <c r="BM86" s="572">
        <f t="shared" si="77"/>
        <v>0</v>
      </c>
      <c r="BN86" s="572">
        <f t="shared" si="77"/>
        <v>0</v>
      </c>
      <c r="BO86" s="572">
        <f t="shared" si="77"/>
        <v>0</v>
      </c>
      <c r="BP86" s="572">
        <f t="shared" si="77"/>
        <v>0</v>
      </c>
      <c r="BQ86" s="572">
        <f t="shared" si="77"/>
        <v>0</v>
      </c>
      <c r="BR86" s="572">
        <f t="shared" si="77"/>
        <v>0</v>
      </c>
      <c r="BS86" s="572">
        <f t="shared" si="77"/>
        <v>0</v>
      </c>
      <c r="BT86" s="572">
        <f t="shared" si="77"/>
        <v>0</v>
      </c>
      <c r="BU86" s="572">
        <f t="shared" si="77"/>
        <v>0</v>
      </c>
      <c r="BV86" s="572">
        <f t="shared" ref="BV86:DA86" si="78">MAX(MIN(BV$62-BV67,BV68-BV67),0)</f>
        <v>0</v>
      </c>
      <c r="BW86" s="572">
        <f t="shared" si="78"/>
        <v>0</v>
      </c>
      <c r="BX86" s="572">
        <f t="shared" si="78"/>
        <v>0</v>
      </c>
      <c r="BY86" s="572">
        <f t="shared" si="78"/>
        <v>0</v>
      </c>
      <c r="BZ86" s="572">
        <f t="shared" si="78"/>
        <v>0</v>
      </c>
      <c r="CA86" s="572">
        <f t="shared" si="78"/>
        <v>0</v>
      </c>
      <c r="CB86" s="572">
        <f t="shared" si="78"/>
        <v>0</v>
      </c>
      <c r="CC86" s="572">
        <f t="shared" si="78"/>
        <v>0</v>
      </c>
      <c r="CD86" s="572">
        <f t="shared" si="78"/>
        <v>0</v>
      </c>
      <c r="CE86" s="572">
        <f t="shared" si="78"/>
        <v>0</v>
      </c>
      <c r="CF86" s="572">
        <f t="shared" si="78"/>
        <v>0</v>
      </c>
      <c r="CG86" s="572">
        <f t="shared" si="78"/>
        <v>0</v>
      </c>
      <c r="CH86" s="572">
        <f t="shared" si="78"/>
        <v>0</v>
      </c>
      <c r="CI86" s="572">
        <f t="shared" si="78"/>
        <v>0</v>
      </c>
      <c r="CJ86" s="572">
        <f t="shared" si="78"/>
        <v>0</v>
      </c>
      <c r="CK86" s="572">
        <f t="shared" si="78"/>
        <v>0</v>
      </c>
      <c r="CL86" s="572">
        <f t="shared" si="78"/>
        <v>0</v>
      </c>
      <c r="CM86" s="572">
        <f t="shared" si="78"/>
        <v>0</v>
      </c>
      <c r="CN86" s="572">
        <f t="shared" si="78"/>
        <v>0</v>
      </c>
      <c r="CO86" s="572">
        <f t="shared" si="78"/>
        <v>0</v>
      </c>
      <c r="CP86" s="572">
        <f t="shared" si="78"/>
        <v>0</v>
      </c>
      <c r="CQ86" s="572">
        <f t="shared" si="78"/>
        <v>0</v>
      </c>
      <c r="CR86" s="572">
        <f t="shared" si="78"/>
        <v>0</v>
      </c>
      <c r="CS86" s="572">
        <f t="shared" si="78"/>
        <v>0</v>
      </c>
      <c r="CT86" s="572">
        <f t="shared" si="78"/>
        <v>0</v>
      </c>
      <c r="CU86" s="572">
        <f t="shared" si="78"/>
        <v>0</v>
      </c>
      <c r="CV86" s="572">
        <f t="shared" si="78"/>
        <v>0</v>
      </c>
      <c r="CW86" s="572">
        <f t="shared" si="78"/>
        <v>0</v>
      </c>
      <c r="CX86" s="572">
        <f t="shared" si="78"/>
        <v>0</v>
      </c>
      <c r="CY86" s="572">
        <f t="shared" si="78"/>
        <v>0</v>
      </c>
      <c r="CZ86" s="572">
        <f t="shared" si="78"/>
        <v>0</v>
      </c>
      <c r="DA86" s="572">
        <f t="shared" si="78"/>
        <v>0</v>
      </c>
      <c r="DB86" s="572">
        <f t="shared" ref="DB86:DP86" si="79">MAX(MIN(DB$62-DB67,DB68-DB67),0)</f>
        <v>0</v>
      </c>
      <c r="DC86" s="572">
        <f t="shared" si="79"/>
        <v>0</v>
      </c>
      <c r="DD86" s="572">
        <f t="shared" si="79"/>
        <v>0</v>
      </c>
      <c r="DE86" s="572">
        <f t="shared" si="79"/>
        <v>0</v>
      </c>
      <c r="DF86" s="572">
        <f t="shared" si="79"/>
        <v>0</v>
      </c>
      <c r="DG86" s="572">
        <f t="shared" si="79"/>
        <v>0</v>
      </c>
      <c r="DH86" s="572">
        <f t="shared" si="79"/>
        <v>0</v>
      </c>
      <c r="DI86" s="572">
        <f t="shared" si="79"/>
        <v>0</v>
      </c>
      <c r="DJ86" s="572">
        <f t="shared" si="79"/>
        <v>0</v>
      </c>
      <c r="DK86" s="572">
        <f t="shared" si="79"/>
        <v>0</v>
      </c>
      <c r="DL86" s="572">
        <f t="shared" si="79"/>
        <v>0</v>
      </c>
      <c r="DM86" s="572">
        <f t="shared" si="79"/>
        <v>0</v>
      </c>
      <c r="DN86" s="572">
        <f t="shared" si="79"/>
        <v>0</v>
      </c>
      <c r="DO86" s="572">
        <f t="shared" si="79"/>
        <v>0</v>
      </c>
      <c r="DP86" s="572">
        <f t="shared" si="79"/>
        <v>0</v>
      </c>
      <c r="DQ86" s="42"/>
    </row>
    <row r="87" spans="3:121" x14ac:dyDescent="0.2">
      <c r="C87" t="s">
        <v>306</v>
      </c>
      <c r="K87" s="74" t="s">
        <v>63</v>
      </c>
      <c r="N87" s="63">
        <f>SUM(Q87:DP87)</f>
        <v>0</v>
      </c>
      <c r="Q87" s="98"/>
      <c r="R87" s="98"/>
      <c r="S87" s="177">
        <f>MAX((S86*$N$85-SUM($P$87:R87)),0)*CF!S$13</f>
        <v>0</v>
      </c>
      <c r="T87" s="177">
        <f>MAX((T86*$N$85-SUM($P$87:S87)),0)*CF!T$13</f>
        <v>0</v>
      </c>
      <c r="U87" s="177">
        <f>MAX((U86*$N$85-SUM($P$87:T87)),0)*CF!U$13</f>
        <v>0</v>
      </c>
      <c r="V87" s="177">
        <f>MAX((V86*$N$85-SUM($P$87:U87)),0)*CF!V$13</f>
        <v>0</v>
      </c>
      <c r="W87" s="177">
        <f>MAX((W86*$N$85-SUM($P$87:V87)),0)*CF!W$13</f>
        <v>0</v>
      </c>
      <c r="X87" s="177">
        <f>MAX((X86*$N$85-SUM($P$87:W87)),0)*CF!X$13</f>
        <v>0</v>
      </c>
      <c r="Y87" s="177">
        <f>MAX((Y86*$N$85-SUM($P$87:X87)),0)*CF!Y$13</f>
        <v>0</v>
      </c>
      <c r="Z87" s="177">
        <f>MAX((Z86*$N$85-SUM($P$87:Y87)),0)*CF!Z$13</f>
        <v>0</v>
      </c>
      <c r="AA87" s="177">
        <f>MAX((AA86*$N$85-SUM($P$87:Z87)),0)*CF!AA$13</f>
        <v>0</v>
      </c>
      <c r="AB87" s="177">
        <f>MAX((AB86*$N$85-SUM($P$87:AA87)),0)*CF!AB$13</f>
        <v>0</v>
      </c>
      <c r="AC87" s="177">
        <f>MAX((AC86*$N$85-SUM($P$87:AB87)),0)*CF!AC$13</f>
        <v>0</v>
      </c>
      <c r="AD87" s="177">
        <f>MAX((AD86*$N$85-SUM($P$87:AC87)),0)*CF!AD$13</f>
        <v>0</v>
      </c>
      <c r="AE87" s="177">
        <f>MAX((AE86*$N$85-SUM($P$87:AD87)),0)*CF!AE$13</f>
        <v>0</v>
      </c>
      <c r="AF87" s="177">
        <f>MAX((AF86*$N$85-SUM($P$87:AE87)),0)*CF!AF$13</f>
        <v>0</v>
      </c>
      <c r="AG87" s="177">
        <f>MAX((AG86*$N$85-SUM($P$87:AF87)),0)*CF!AG$13</f>
        <v>0</v>
      </c>
      <c r="AH87" s="177">
        <f>MAX((AH86*$N$85-SUM($P$87:AG87)),0)*CF!AH$13</f>
        <v>0</v>
      </c>
      <c r="AI87" s="177">
        <f>MAX((AI86*$N$85-SUM($P$87:AH87)),0)*CF!AI$13</f>
        <v>0</v>
      </c>
      <c r="AJ87" s="177">
        <f>MAX((AJ86*$N$85-SUM($P$87:AI87)),0)*CF!AJ$13</f>
        <v>0</v>
      </c>
      <c r="AK87" s="177">
        <f>MAX((AK86*$N$85-SUM($P$87:AJ87)),0)*CF!AK$13</f>
        <v>0</v>
      </c>
      <c r="AL87" s="177">
        <f>MAX((AL86*$N$85-SUM($P$87:AK87)),0)*CF!AL$13</f>
        <v>0</v>
      </c>
      <c r="AM87" s="177">
        <f>MAX((AM86*$N$85-SUM($P$87:AL87)),0)*CF!AM$13</f>
        <v>0</v>
      </c>
      <c r="AN87" s="177">
        <f>MAX((AN86*$N$85-SUM($P$87:AM87)),0)*CF!AN$13</f>
        <v>0</v>
      </c>
      <c r="AO87" s="177">
        <f>MAX((AO86*$N$85-SUM($P$87:AN87)),0)*CF!AO$13</f>
        <v>0</v>
      </c>
      <c r="AP87" s="177">
        <f>MAX((AP86*$N$85-SUM($P$87:AO87)),0)*CF!AP$13</f>
        <v>0</v>
      </c>
      <c r="AQ87" s="177">
        <f>MAX((AQ86*$N$85-SUM($P$87:AP87)),0)*CF!AQ$13</f>
        <v>0</v>
      </c>
      <c r="AR87" s="177">
        <f>MAX((AR86*$N$85-SUM($P$87:AQ87)),0)*CF!AR$13</f>
        <v>0</v>
      </c>
      <c r="AS87" s="177">
        <f>MAX((AS86*$N$85-SUM($P$87:AR87)),0)*CF!AS$13</f>
        <v>0</v>
      </c>
      <c r="AT87" s="177">
        <f>MAX((AT86*$N$85-SUM($P$87:AS87)),0)*CF!AT$13</f>
        <v>0</v>
      </c>
      <c r="AU87" s="177">
        <f>MAX((AU86*$N$85-SUM($P$87:AT87)),0)*CF!AU$13</f>
        <v>0</v>
      </c>
      <c r="AV87" s="177">
        <f>MAX((AV86*$N$85-SUM($P$87:AU87)),0)*CF!AV$13</f>
        <v>0</v>
      </c>
      <c r="AW87" s="177">
        <f>MAX((AW86*$N$85-SUM($P$87:AV87)),0)*CF!AW$13</f>
        <v>0</v>
      </c>
      <c r="AX87" s="177">
        <f>MAX((AX86*$N$85-SUM($P$87:AW87)),0)*CF!AX$13</f>
        <v>0</v>
      </c>
      <c r="AY87" s="177">
        <f>MAX((AY86*$N$85-SUM($P$87:AX87)),0)*CF!AY$13</f>
        <v>0</v>
      </c>
      <c r="AZ87" s="177">
        <f>MAX((AZ86*$N$85-SUM($P$87:AY87)),0)*CF!AZ$13</f>
        <v>0</v>
      </c>
      <c r="BA87" s="177">
        <f>MAX((BA86*$N$85-SUM($P$87:AZ87)),0)*CF!BA$13</f>
        <v>0</v>
      </c>
      <c r="BB87" s="177">
        <f>MAX((BB86*$N$85-SUM($P$87:BA87)),0)*CF!BB$13</f>
        <v>0</v>
      </c>
      <c r="BC87" s="177">
        <f>MAX((BC86*$N$85-SUM($P$87:BB87)),0)*CF!BC$13</f>
        <v>0</v>
      </c>
      <c r="BD87" s="177">
        <f>MAX((BD86*$N$85-SUM($P$87:BC87)),0)*CF!BD$13</f>
        <v>0</v>
      </c>
      <c r="BE87" s="177">
        <f>MAX((BE86*$N$85-SUM($P$87:BD87)),0)*CF!BE$13</f>
        <v>0</v>
      </c>
      <c r="BF87" s="177">
        <f>MAX((BF86*$N$85-SUM($P$87:BE87)),0)*CF!BF$13</f>
        <v>0</v>
      </c>
      <c r="BG87" s="177">
        <f>MAX((BG86*$N$85-SUM($P$87:BF87)),0)*CF!BG$13</f>
        <v>0</v>
      </c>
      <c r="BH87" s="177">
        <f>MAX((BH86*$N$85-SUM($P$87:BG87)),0)*CF!BH$13</f>
        <v>0</v>
      </c>
      <c r="BI87" s="177">
        <f>MAX((BI86*$N$85-SUM($P$87:BH87)),0)*CF!BI$13</f>
        <v>0</v>
      </c>
      <c r="BJ87" s="177">
        <f>MAX((BJ86*$N$85-SUM($P$87:BI87)),0)*CF!BJ$13</f>
        <v>0</v>
      </c>
      <c r="BK87" s="177">
        <f>MAX((BK86*$N$85-SUM($P$87:BJ87)),0)*CF!BK$13</f>
        <v>0</v>
      </c>
      <c r="BL87" s="177">
        <f>MAX((BL86*$N$85-SUM($P$87:BK87)),0)*CF!BL$13</f>
        <v>0</v>
      </c>
      <c r="BM87" s="177">
        <f>MAX((BM86*$N$85-SUM($P$87:BL87)),0)*CF!BM$13</f>
        <v>0</v>
      </c>
      <c r="BN87" s="177">
        <f>MAX((BN86*$N$85-SUM($P$87:BM87)),0)*CF!BN$13</f>
        <v>0</v>
      </c>
      <c r="BO87" s="177">
        <f>MAX((BO86*$N$85-SUM($P$87:BN87)),0)*CF!BO$13</f>
        <v>0</v>
      </c>
      <c r="BP87" s="177">
        <f>MAX((BP86*$N$85-SUM($P$87:BO87)),0)*CF!BP$13</f>
        <v>0</v>
      </c>
      <c r="BQ87" s="177">
        <f>MAX((BQ86*$N$85-SUM($P$87:BP87)),0)*CF!BQ$13</f>
        <v>0</v>
      </c>
      <c r="BR87" s="177">
        <f>MAX((BR86*$N$85-SUM($P$87:BQ87)),0)*CF!BR$13</f>
        <v>0</v>
      </c>
      <c r="BS87" s="177">
        <f>MAX((BS86*$N$85-SUM($P$87:BR87)),0)*CF!BS$13</f>
        <v>0</v>
      </c>
      <c r="BT87" s="177">
        <f>MAX((BT86*$N$85-SUM($P$87:BS87)),0)*CF!BT$13</f>
        <v>0</v>
      </c>
      <c r="BU87" s="177">
        <f>MAX((BU86*$N$85-SUM($P$87:BT87)),0)*CF!BU$13</f>
        <v>0</v>
      </c>
      <c r="BV87" s="177">
        <f>MAX((BV86*$N$85-SUM($P$87:BU87)),0)*CF!BV$13</f>
        <v>0</v>
      </c>
      <c r="BW87" s="177">
        <f>MAX((BW86*$N$85-SUM($P$87:BV87)),0)*CF!BW$13</f>
        <v>0</v>
      </c>
      <c r="BX87" s="177">
        <f>MAX((BX86*$N$85-SUM($P$87:BW87)),0)*CF!BX$13</f>
        <v>0</v>
      </c>
      <c r="BY87" s="177">
        <f>MAX((BY86*$N$85-SUM($P$87:BX87)),0)*CF!BY$13</f>
        <v>0</v>
      </c>
      <c r="BZ87" s="177">
        <f>MAX((BZ86*$N$85-SUM($P$87:BY87)),0)*CF!BZ$13</f>
        <v>0</v>
      </c>
      <c r="CA87" s="177">
        <f>MAX((CA86*$N$85-SUM($P$87:BZ87)),0)*CF!CA$13</f>
        <v>0</v>
      </c>
      <c r="CB87" s="177">
        <f>MAX((CB86*$N$85-SUM($P$87:CA87)),0)*CF!CB$13</f>
        <v>0</v>
      </c>
      <c r="CC87" s="177">
        <f>MAX((CC86*$N$85-SUM($P$87:CB87)),0)*CF!CC$13</f>
        <v>0</v>
      </c>
      <c r="CD87" s="177">
        <f>MAX((CD86*$N$85-SUM($P$87:CC87)),0)*CF!CD$13</f>
        <v>0</v>
      </c>
      <c r="CE87" s="177">
        <f>MAX((CE86*$N$85-SUM($P$87:CD87)),0)*CF!CE$13</f>
        <v>0</v>
      </c>
      <c r="CF87" s="177">
        <f>MAX((CF86*$N$85-SUM($P$87:CE87)),0)*CF!CF$13</f>
        <v>0</v>
      </c>
      <c r="CG87" s="177">
        <f>MAX((CG86*$N$85-SUM($P$87:CF87)),0)*CF!CG$13</f>
        <v>0</v>
      </c>
      <c r="CH87" s="177">
        <f>MAX((CH86*$N$85-SUM($P$87:CG87)),0)*CF!CH$13</f>
        <v>0</v>
      </c>
      <c r="CI87" s="177">
        <f>MAX((CI86*$N$85-SUM($P$87:CH87)),0)*CF!CI$13</f>
        <v>0</v>
      </c>
      <c r="CJ87" s="177">
        <f>MAX((CJ86*$N$85-SUM($P$87:CI87)),0)*CF!CJ$13</f>
        <v>0</v>
      </c>
      <c r="CK87" s="177">
        <f>MAX((CK86*$N$85-SUM($P$87:CJ87)),0)*CF!CK$13</f>
        <v>0</v>
      </c>
      <c r="CL87" s="177">
        <f>MAX((CL86*$N$85-SUM($P$87:CK87)),0)*CF!CL$13</f>
        <v>0</v>
      </c>
      <c r="CM87" s="177">
        <f>MAX((CM86*$N$85-SUM($P$87:CL87)),0)*CF!CM$13</f>
        <v>0</v>
      </c>
      <c r="CN87" s="177">
        <f>MAX((CN86*$N$85-SUM($P$87:CM87)),0)*CF!CN$13</f>
        <v>0</v>
      </c>
      <c r="CO87" s="177">
        <f>MAX((CO86*$N$85-SUM($P$87:CN87)),0)*CF!CO$13</f>
        <v>0</v>
      </c>
      <c r="CP87" s="177">
        <f>MAX((CP86*$N$85-SUM($P$87:CO87)),0)*CF!CP$13</f>
        <v>0</v>
      </c>
      <c r="CQ87" s="177">
        <f>MAX((CQ86*$N$85-SUM($P$87:CP87)),0)*CF!CQ$13</f>
        <v>0</v>
      </c>
      <c r="CR87" s="177">
        <f>MAX((CR86*$N$85-SUM($P$87:CQ87)),0)*CF!CR$13</f>
        <v>0</v>
      </c>
      <c r="CS87" s="177">
        <f>MAX((CS86*$N$85-SUM($P$87:CR87)),0)*CF!CS$13</f>
        <v>0</v>
      </c>
      <c r="CT87" s="177">
        <f>MAX((CT86*$N$85-SUM($P$87:CS87)),0)*CF!CT$13</f>
        <v>0</v>
      </c>
      <c r="CU87" s="177">
        <f>MAX((CU86*$N$85-SUM($P$87:CT87)),0)*CF!CU$13</f>
        <v>0</v>
      </c>
      <c r="CV87" s="177">
        <f>MAX((CV86*$N$85-SUM($P$87:CU87)),0)*CF!CV$13</f>
        <v>0</v>
      </c>
      <c r="CW87" s="177">
        <f>MAX((CW86*$N$85-SUM($P$87:CV87)),0)*CF!CW$13</f>
        <v>0</v>
      </c>
      <c r="CX87" s="177">
        <f>MAX((CX86*$N$85-SUM($P$87:CW87)),0)*CF!CX$13</f>
        <v>0</v>
      </c>
      <c r="CY87" s="177">
        <f>MAX((CY86*$N$85-SUM($P$87:CX87)),0)*CF!CY$13</f>
        <v>0</v>
      </c>
      <c r="CZ87" s="177">
        <f>MAX((CZ86*$N$85-SUM($P$87:CY87)),0)*CF!CZ$13</f>
        <v>0</v>
      </c>
      <c r="DA87" s="177">
        <f>MAX((DA86*$N$85-SUM($P$87:CZ87)),0)*CF!DA$13</f>
        <v>0</v>
      </c>
      <c r="DB87" s="177">
        <f>MAX((DB86*$N$85-SUM($P$87:DA87)),0)*CF!DB$13</f>
        <v>0</v>
      </c>
      <c r="DC87" s="177">
        <f>MAX((DC86*$N$85-SUM($P$87:DB87)),0)*CF!DC$13</f>
        <v>0</v>
      </c>
      <c r="DD87" s="177">
        <f>MAX((DD86*$N$85-SUM($P$87:DC87)),0)*CF!DD$13</f>
        <v>0</v>
      </c>
      <c r="DE87" s="177">
        <f>MAX((DE86*$N$85-SUM($P$87:DD87)),0)*CF!DE$13</f>
        <v>0</v>
      </c>
      <c r="DF87" s="177">
        <f>MAX((DF86*$N$85-SUM($P$87:DE87)),0)*CF!DF$13</f>
        <v>0</v>
      </c>
      <c r="DG87" s="177">
        <f>MAX((DG86*$N$85-SUM($P$87:DF87)),0)*CF!DG$13</f>
        <v>0</v>
      </c>
      <c r="DH87" s="177">
        <f>MAX((DH86*$N$85-SUM($P$87:DG87)),0)*CF!DH$13</f>
        <v>0</v>
      </c>
      <c r="DI87" s="177">
        <f>MAX((DI86*$N$85-SUM($P$87:DH87)),0)*CF!DI$13</f>
        <v>0</v>
      </c>
      <c r="DJ87" s="177">
        <f>MAX((DJ86*$N$85-SUM($P$87:DI87)),0)*CF!DJ$13</f>
        <v>0</v>
      </c>
      <c r="DK87" s="177">
        <f>MAX((DK86*$N$85-SUM($P$87:DJ87)),0)*CF!DK$13</f>
        <v>0</v>
      </c>
      <c r="DL87" s="177">
        <f>MAX((DL86*$N$85-SUM($P$87:DK87)),0)*CF!DL$13</f>
        <v>0</v>
      </c>
      <c r="DM87" s="177">
        <f>MAX((DM86*$N$85-SUM($P$87:DL87)),0)*CF!DM$13</f>
        <v>0</v>
      </c>
      <c r="DN87" s="177">
        <f>MAX((DN86*$N$85-SUM($P$87:DM87)),0)*CF!DN$13</f>
        <v>0</v>
      </c>
      <c r="DO87" s="177">
        <f>MAX((DO86*$N$85-SUM($P$87:DN87)),0)*CF!DO$13</f>
        <v>0</v>
      </c>
      <c r="DP87" s="177">
        <f>MAX((DP86*$N$85-SUM($P$87:DO87)),0)*CF!DP$13</f>
        <v>0</v>
      </c>
      <c r="DQ87" s="42"/>
    </row>
    <row r="88" spans="3:121" x14ac:dyDescent="0.2">
      <c r="K88" s="74"/>
      <c r="N88" s="69"/>
      <c r="DQ88" s="42"/>
    </row>
    <row r="89" spans="3:121" x14ac:dyDescent="0.2">
      <c r="C89" s="55" t="s">
        <v>307</v>
      </c>
      <c r="K89" s="74"/>
      <c r="N89" s="69"/>
      <c r="DQ89" s="42"/>
    </row>
    <row r="90" spans="3:121" x14ac:dyDescent="0.2">
      <c r="C90" t="s">
        <v>301</v>
      </c>
      <c r="K90" s="74" t="s">
        <v>20</v>
      </c>
      <c r="N90" s="716">
        <v>0.25</v>
      </c>
      <c r="DQ90" s="42"/>
    </row>
    <row r="91" spans="3:121" x14ac:dyDescent="0.2">
      <c r="C91" s="93" t="s">
        <v>308</v>
      </c>
      <c r="D91" s="93"/>
      <c r="E91" s="93"/>
      <c r="F91" s="93"/>
      <c r="G91" s="93"/>
      <c r="H91" s="93"/>
      <c r="I91" s="93"/>
      <c r="J91" s="93"/>
      <c r="K91" s="655" t="s">
        <v>63</v>
      </c>
      <c r="L91" s="93"/>
      <c r="M91" s="93"/>
      <c r="N91" s="92"/>
      <c r="O91" s="93"/>
      <c r="P91" s="93"/>
      <c r="Q91" s="90"/>
      <c r="R91" s="90"/>
      <c r="S91" s="572">
        <f t="shared" ref="S91:AO91" si="80">MAX(MIN(S$62-S70,S71-S70),0)</f>
        <v>0</v>
      </c>
      <c r="T91" s="572">
        <f t="shared" si="80"/>
        <v>0</v>
      </c>
      <c r="U91" s="572">
        <f t="shared" si="80"/>
        <v>0</v>
      </c>
      <c r="V91" s="572">
        <f t="shared" si="80"/>
        <v>0</v>
      </c>
      <c r="W91" s="572">
        <f t="shared" si="80"/>
        <v>0</v>
      </c>
      <c r="X91" s="572">
        <f t="shared" si="80"/>
        <v>0</v>
      </c>
      <c r="Y91" s="572">
        <f t="shared" si="80"/>
        <v>0</v>
      </c>
      <c r="Z91" s="572">
        <f t="shared" si="80"/>
        <v>0</v>
      </c>
      <c r="AA91" s="572">
        <f t="shared" si="80"/>
        <v>0</v>
      </c>
      <c r="AB91" s="572">
        <f t="shared" si="80"/>
        <v>0</v>
      </c>
      <c r="AC91" s="572">
        <f t="shared" si="80"/>
        <v>0</v>
      </c>
      <c r="AD91" s="572">
        <f t="shared" si="80"/>
        <v>0</v>
      </c>
      <c r="AE91" s="572">
        <f t="shared" si="80"/>
        <v>0</v>
      </c>
      <c r="AF91" s="572">
        <f t="shared" si="80"/>
        <v>0</v>
      </c>
      <c r="AG91" s="572">
        <f t="shared" si="80"/>
        <v>0</v>
      </c>
      <c r="AH91" s="572">
        <f t="shared" si="80"/>
        <v>0</v>
      </c>
      <c r="AI91" s="572">
        <f t="shared" si="80"/>
        <v>0</v>
      </c>
      <c r="AJ91" s="572">
        <f t="shared" si="80"/>
        <v>0</v>
      </c>
      <c r="AK91" s="572">
        <f t="shared" si="80"/>
        <v>0</v>
      </c>
      <c r="AL91" s="572">
        <f t="shared" si="80"/>
        <v>0</v>
      </c>
      <c r="AM91" s="572">
        <f t="shared" si="80"/>
        <v>0</v>
      </c>
      <c r="AN91" s="572">
        <f t="shared" si="80"/>
        <v>0</v>
      </c>
      <c r="AO91" s="572">
        <f t="shared" si="80"/>
        <v>0</v>
      </c>
      <c r="AP91" s="572">
        <f t="shared" ref="AP91:BU91" si="81">MAX(MIN(AP$62-AP70,AP71-AP70),0)</f>
        <v>0</v>
      </c>
      <c r="AQ91" s="572">
        <f t="shared" si="81"/>
        <v>0</v>
      </c>
      <c r="AR91" s="572">
        <f t="shared" si="81"/>
        <v>0</v>
      </c>
      <c r="AS91" s="572">
        <f t="shared" si="81"/>
        <v>0</v>
      </c>
      <c r="AT91" s="572">
        <f t="shared" si="81"/>
        <v>0</v>
      </c>
      <c r="AU91" s="572">
        <f t="shared" si="81"/>
        <v>0</v>
      </c>
      <c r="AV91" s="572">
        <f t="shared" si="81"/>
        <v>0</v>
      </c>
      <c r="AW91" s="572">
        <f t="shared" si="81"/>
        <v>0</v>
      </c>
      <c r="AX91" s="572">
        <f t="shared" si="81"/>
        <v>0</v>
      </c>
      <c r="AY91" s="572">
        <f t="shared" si="81"/>
        <v>0</v>
      </c>
      <c r="AZ91" s="572">
        <f t="shared" si="81"/>
        <v>0</v>
      </c>
      <c r="BA91" s="572">
        <f t="shared" si="81"/>
        <v>0</v>
      </c>
      <c r="BB91" s="572">
        <f t="shared" si="81"/>
        <v>0</v>
      </c>
      <c r="BC91" s="572">
        <f t="shared" si="81"/>
        <v>0</v>
      </c>
      <c r="BD91" s="572">
        <f t="shared" si="81"/>
        <v>0</v>
      </c>
      <c r="BE91" s="572">
        <f t="shared" si="81"/>
        <v>0</v>
      </c>
      <c r="BF91" s="572">
        <f t="shared" si="81"/>
        <v>0</v>
      </c>
      <c r="BG91" s="572">
        <f t="shared" si="81"/>
        <v>0</v>
      </c>
      <c r="BH91" s="572">
        <f t="shared" si="81"/>
        <v>0</v>
      </c>
      <c r="BI91" s="572">
        <f t="shared" si="81"/>
        <v>0</v>
      </c>
      <c r="BJ91" s="572">
        <f t="shared" si="81"/>
        <v>0</v>
      </c>
      <c r="BK91" s="572">
        <f t="shared" si="81"/>
        <v>0</v>
      </c>
      <c r="BL91" s="572">
        <f t="shared" si="81"/>
        <v>0</v>
      </c>
      <c r="BM91" s="572">
        <f t="shared" si="81"/>
        <v>0</v>
      </c>
      <c r="BN91" s="572">
        <f t="shared" si="81"/>
        <v>0</v>
      </c>
      <c r="BO91" s="572">
        <f t="shared" si="81"/>
        <v>0</v>
      </c>
      <c r="BP91" s="572">
        <f t="shared" si="81"/>
        <v>0</v>
      </c>
      <c r="BQ91" s="572">
        <f t="shared" si="81"/>
        <v>0</v>
      </c>
      <c r="BR91" s="572">
        <f t="shared" si="81"/>
        <v>0</v>
      </c>
      <c r="BS91" s="572">
        <f t="shared" si="81"/>
        <v>0</v>
      </c>
      <c r="BT91" s="572">
        <f t="shared" si="81"/>
        <v>0</v>
      </c>
      <c r="BU91" s="572">
        <f t="shared" si="81"/>
        <v>0</v>
      </c>
      <c r="BV91" s="572">
        <f t="shared" ref="BV91:DA91" si="82">MAX(MIN(BV$62-BV70,BV71-BV70),0)</f>
        <v>0</v>
      </c>
      <c r="BW91" s="572">
        <f t="shared" si="82"/>
        <v>0</v>
      </c>
      <c r="BX91" s="572">
        <f t="shared" si="82"/>
        <v>0</v>
      </c>
      <c r="BY91" s="572">
        <f t="shared" si="82"/>
        <v>0</v>
      </c>
      <c r="BZ91" s="572">
        <f t="shared" si="82"/>
        <v>0</v>
      </c>
      <c r="CA91" s="572">
        <f t="shared" si="82"/>
        <v>0</v>
      </c>
      <c r="CB91" s="572">
        <f t="shared" si="82"/>
        <v>0</v>
      </c>
      <c r="CC91" s="572">
        <f t="shared" si="82"/>
        <v>0</v>
      </c>
      <c r="CD91" s="572">
        <f t="shared" si="82"/>
        <v>0</v>
      </c>
      <c r="CE91" s="572">
        <f t="shared" si="82"/>
        <v>0</v>
      </c>
      <c r="CF91" s="572">
        <f t="shared" si="82"/>
        <v>0</v>
      </c>
      <c r="CG91" s="572">
        <f t="shared" si="82"/>
        <v>0</v>
      </c>
      <c r="CH91" s="572">
        <f t="shared" si="82"/>
        <v>0</v>
      </c>
      <c r="CI91" s="572">
        <f t="shared" si="82"/>
        <v>0</v>
      </c>
      <c r="CJ91" s="572">
        <f t="shared" si="82"/>
        <v>0</v>
      </c>
      <c r="CK91" s="572">
        <f t="shared" si="82"/>
        <v>0</v>
      </c>
      <c r="CL91" s="572">
        <f t="shared" si="82"/>
        <v>0</v>
      </c>
      <c r="CM91" s="572">
        <f t="shared" si="82"/>
        <v>0</v>
      </c>
      <c r="CN91" s="572">
        <f t="shared" si="82"/>
        <v>0</v>
      </c>
      <c r="CO91" s="572">
        <f t="shared" si="82"/>
        <v>0</v>
      </c>
      <c r="CP91" s="572">
        <f t="shared" si="82"/>
        <v>0</v>
      </c>
      <c r="CQ91" s="572">
        <f t="shared" si="82"/>
        <v>0</v>
      </c>
      <c r="CR91" s="572">
        <f t="shared" si="82"/>
        <v>0</v>
      </c>
      <c r="CS91" s="572">
        <f t="shared" si="82"/>
        <v>0</v>
      </c>
      <c r="CT91" s="572">
        <f t="shared" si="82"/>
        <v>0</v>
      </c>
      <c r="CU91" s="572">
        <f t="shared" si="82"/>
        <v>0</v>
      </c>
      <c r="CV91" s="572">
        <f t="shared" si="82"/>
        <v>0</v>
      </c>
      <c r="CW91" s="572">
        <f t="shared" si="82"/>
        <v>0</v>
      </c>
      <c r="CX91" s="572">
        <f t="shared" si="82"/>
        <v>0</v>
      </c>
      <c r="CY91" s="572">
        <f t="shared" si="82"/>
        <v>0</v>
      </c>
      <c r="CZ91" s="572">
        <f t="shared" si="82"/>
        <v>0</v>
      </c>
      <c r="DA91" s="572">
        <f t="shared" si="82"/>
        <v>0</v>
      </c>
      <c r="DB91" s="572">
        <f t="shared" ref="DB91:DP91" si="83">MAX(MIN(DB$62-DB70,DB71-DB70),0)</f>
        <v>0</v>
      </c>
      <c r="DC91" s="572">
        <f t="shared" si="83"/>
        <v>0</v>
      </c>
      <c r="DD91" s="572">
        <f t="shared" si="83"/>
        <v>0</v>
      </c>
      <c r="DE91" s="572">
        <f t="shared" si="83"/>
        <v>0</v>
      </c>
      <c r="DF91" s="572">
        <f t="shared" si="83"/>
        <v>0</v>
      </c>
      <c r="DG91" s="572">
        <f t="shared" si="83"/>
        <v>0</v>
      </c>
      <c r="DH91" s="572">
        <f t="shared" si="83"/>
        <v>0</v>
      </c>
      <c r="DI91" s="572">
        <f t="shared" si="83"/>
        <v>0</v>
      </c>
      <c r="DJ91" s="572">
        <f t="shared" si="83"/>
        <v>0</v>
      </c>
      <c r="DK91" s="572">
        <f t="shared" si="83"/>
        <v>0</v>
      </c>
      <c r="DL91" s="572">
        <f t="shared" si="83"/>
        <v>0</v>
      </c>
      <c r="DM91" s="572">
        <f t="shared" si="83"/>
        <v>0</v>
      </c>
      <c r="DN91" s="572">
        <f t="shared" si="83"/>
        <v>0</v>
      </c>
      <c r="DO91" s="572">
        <f t="shared" si="83"/>
        <v>0</v>
      </c>
      <c r="DP91" s="572">
        <f t="shared" si="83"/>
        <v>0</v>
      </c>
      <c r="DQ91" s="42"/>
    </row>
    <row r="92" spans="3:121" x14ac:dyDescent="0.2">
      <c r="C92" t="s">
        <v>309</v>
      </c>
      <c r="K92" s="74" t="s">
        <v>63</v>
      </c>
      <c r="N92" s="63">
        <f>SUM(Q92:DP92)</f>
        <v>0</v>
      </c>
      <c r="Q92" s="98"/>
      <c r="R92" s="98"/>
      <c r="S92" s="177">
        <f>MAX((S91*$N$90-SUM($P$92:R92)),0)*CF!S$13</f>
        <v>0</v>
      </c>
      <c r="T92" s="177">
        <f>MAX((T91*$N$90-SUM($P$92:S92)),0)*CF!T$13</f>
        <v>0</v>
      </c>
      <c r="U92" s="177">
        <f>MAX((U91*$N$90-SUM($P$92:T92)),0)*CF!U$13</f>
        <v>0</v>
      </c>
      <c r="V92" s="177">
        <f>MAX((V91*$N$90-SUM($P$92:U92)),0)*CF!V$13</f>
        <v>0</v>
      </c>
      <c r="W92" s="177">
        <f>MAX((W91*$N$90-SUM($P$92:V92)),0)*CF!W$13</f>
        <v>0</v>
      </c>
      <c r="X92" s="177">
        <f>MAX((X91*$N$90-SUM($P$92:W92)),0)*CF!X$13</f>
        <v>0</v>
      </c>
      <c r="Y92" s="177">
        <f>MAX((Y91*$N$90-SUM($P$92:X92)),0)*CF!Y$13</f>
        <v>0</v>
      </c>
      <c r="Z92" s="177">
        <f>MAX((Z91*$N$90-SUM($P$92:Y92)),0)*CF!Z$13</f>
        <v>0</v>
      </c>
      <c r="AA92" s="177">
        <f>MAX((AA91*$N$90-SUM($P$92:Z92)),0)*CF!AA$13</f>
        <v>0</v>
      </c>
      <c r="AB92" s="177">
        <f>MAX((AB91*$N$90-SUM($P$92:AA92)),0)*CF!AB$13</f>
        <v>0</v>
      </c>
      <c r="AC92" s="177">
        <f>MAX((AC91*$N$90-SUM($P$92:AB92)),0)*CF!AC$13</f>
        <v>0</v>
      </c>
      <c r="AD92" s="177">
        <f>MAX((AD91*$N$90-SUM($P$92:AC92)),0)*CF!AD$13</f>
        <v>0</v>
      </c>
      <c r="AE92" s="177">
        <f>MAX((AE91*$N$90-SUM($P$92:AD92)),0)*CF!AE$13</f>
        <v>0</v>
      </c>
      <c r="AF92" s="177">
        <f>MAX((AF91*$N$90-SUM($P$92:AE92)),0)*CF!AF$13</f>
        <v>0</v>
      </c>
      <c r="AG92" s="177">
        <f>MAX((AG91*$N$90-SUM($P$92:AF92)),0)*CF!AG$13</f>
        <v>0</v>
      </c>
      <c r="AH92" s="177">
        <f>MAX((AH91*$N$90-SUM($P$92:AG92)),0)*CF!AH$13</f>
        <v>0</v>
      </c>
      <c r="AI92" s="177">
        <f>MAX((AI91*$N$90-SUM($P$92:AH92)),0)*CF!AI$13</f>
        <v>0</v>
      </c>
      <c r="AJ92" s="177">
        <f>MAX((AJ91*$N$90-SUM($P$92:AI92)),0)*CF!AJ$13</f>
        <v>0</v>
      </c>
      <c r="AK92" s="177">
        <f>MAX((AK91*$N$90-SUM($P$92:AJ92)),0)*CF!AK$13</f>
        <v>0</v>
      </c>
      <c r="AL92" s="177">
        <f>MAX((AL91*$N$90-SUM($P$92:AK92)),0)*CF!AL$13</f>
        <v>0</v>
      </c>
      <c r="AM92" s="177">
        <f>MAX((AM91*$N$90-SUM($P$92:AL92)),0)*CF!AM$13</f>
        <v>0</v>
      </c>
      <c r="AN92" s="177">
        <f>MAX((AN91*$N$90-SUM($P$92:AM92)),0)*CF!AN$13</f>
        <v>0</v>
      </c>
      <c r="AO92" s="177">
        <f>MAX((AO91*$N$90-SUM($P$92:AN92)),0)*CF!AO$13</f>
        <v>0</v>
      </c>
      <c r="AP92" s="177">
        <f>MAX((AP91*$N$90-SUM($P$92:AO92)),0)*CF!AP$13</f>
        <v>0</v>
      </c>
      <c r="AQ92" s="177">
        <f>MAX((AQ91*$N$90-SUM($P$92:AP92)),0)*CF!AQ$13</f>
        <v>0</v>
      </c>
      <c r="AR92" s="177">
        <f>MAX((AR91*$N$90-SUM($P$92:AQ92)),0)*CF!AR$13</f>
        <v>0</v>
      </c>
      <c r="AS92" s="177">
        <f>MAX((AS91*$N$90-SUM($P$92:AR92)),0)*CF!AS$13</f>
        <v>0</v>
      </c>
      <c r="AT92" s="177">
        <f>MAX((AT91*$N$90-SUM($P$92:AS92)),0)*CF!AT$13</f>
        <v>0</v>
      </c>
      <c r="AU92" s="177">
        <f>MAX((AU91*$N$90-SUM($P$92:AT92)),0)*CF!AU$13</f>
        <v>0</v>
      </c>
      <c r="AV92" s="177">
        <f>MAX((AV91*$N$90-SUM($P$92:AU92)),0)*CF!AV$13</f>
        <v>0</v>
      </c>
      <c r="AW92" s="177">
        <f>MAX((AW91*$N$90-SUM($P$92:AV92)),0)*CF!AW$13</f>
        <v>0</v>
      </c>
      <c r="AX92" s="177">
        <f>MAX((AX91*$N$90-SUM($P$92:AW92)),0)*CF!AX$13</f>
        <v>0</v>
      </c>
      <c r="AY92" s="177">
        <f>MAX((AY91*$N$90-SUM($P$92:AX92)),0)*CF!AY$13</f>
        <v>0</v>
      </c>
      <c r="AZ92" s="177">
        <f>MAX((AZ91*$N$90-SUM($P$92:AY92)),0)*CF!AZ$13</f>
        <v>0</v>
      </c>
      <c r="BA92" s="177">
        <f>MAX((BA91*$N$90-SUM($P$92:AZ92)),0)*CF!BA$13</f>
        <v>0</v>
      </c>
      <c r="BB92" s="177">
        <f>MAX((BB91*$N$90-SUM($P$92:BA92)),0)*CF!BB$13</f>
        <v>0</v>
      </c>
      <c r="BC92" s="177">
        <f>MAX((BC91*$N$90-SUM($P$92:BB92)),0)*CF!BC$13</f>
        <v>0</v>
      </c>
      <c r="BD92" s="177">
        <f>MAX((BD91*$N$90-SUM($P$92:BC92)),0)*CF!BD$13</f>
        <v>0</v>
      </c>
      <c r="BE92" s="177">
        <f>MAX((BE91*$N$90-SUM($P$92:BD92)),0)*CF!BE$13</f>
        <v>0</v>
      </c>
      <c r="BF92" s="177">
        <f>MAX((BF91*$N$90-SUM($P$92:BE92)),0)*CF!BF$13</f>
        <v>0</v>
      </c>
      <c r="BG92" s="177">
        <f>MAX((BG91*$N$90-SUM($P$92:BF92)),0)*CF!BG$13</f>
        <v>0</v>
      </c>
      <c r="BH92" s="177">
        <f>MAX((BH91*$N$90-SUM($P$92:BG92)),0)*CF!BH$13</f>
        <v>0</v>
      </c>
      <c r="BI92" s="177">
        <f>MAX((BI91*$N$90-SUM($P$92:BH92)),0)*CF!BI$13</f>
        <v>0</v>
      </c>
      <c r="BJ92" s="177">
        <f>MAX((BJ91*$N$90-SUM($P$92:BI92)),0)*CF!BJ$13</f>
        <v>0</v>
      </c>
      <c r="BK92" s="177">
        <f>MAX((BK91*$N$90-SUM($P$92:BJ92)),0)*CF!BK$13</f>
        <v>0</v>
      </c>
      <c r="BL92" s="177">
        <f>MAX((BL91*$N$90-SUM($P$92:BK92)),0)*CF!BL$13</f>
        <v>0</v>
      </c>
      <c r="BM92" s="177">
        <f>MAX((BM91*$N$90-SUM($P$92:BL92)),0)*CF!BM$13</f>
        <v>0</v>
      </c>
      <c r="BN92" s="177">
        <f>MAX((BN91*$N$90-SUM($P$92:BM92)),0)*CF!BN$13</f>
        <v>0</v>
      </c>
      <c r="BO92" s="177">
        <f>MAX((BO91*$N$90-SUM($P$92:BN92)),0)*CF!BO$13</f>
        <v>0</v>
      </c>
      <c r="BP92" s="177">
        <f>MAX((BP91*$N$90-SUM($P$92:BO92)),0)*CF!BP$13</f>
        <v>0</v>
      </c>
      <c r="BQ92" s="177">
        <f>MAX((BQ91*$N$90-SUM($P$92:BP92)),0)*CF!BQ$13</f>
        <v>0</v>
      </c>
      <c r="BR92" s="177">
        <f>MAX((BR91*$N$90-SUM($P$92:BQ92)),0)*CF!BR$13</f>
        <v>0</v>
      </c>
      <c r="BS92" s="177">
        <f>MAX((BS91*$N$90-SUM($P$92:BR92)),0)*CF!BS$13</f>
        <v>0</v>
      </c>
      <c r="BT92" s="177">
        <f>MAX((BT91*$N$90-SUM($P$92:BS92)),0)*CF!BT$13</f>
        <v>0</v>
      </c>
      <c r="BU92" s="177">
        <f>MAX((BU91*$N$90-SUM($P$92:BT92)),0)*CF!BU$13</f>
        <v>0</v>
      </c>
      <c r="BV92" s="177">
        <f>MAX((BV91*$N$90-SUM($P$92:BU92)),0)*CF!BV$13</f>
        <v>0</v>
      </c>
      <c r="BW92" s="177">
        <f>MAX((BW91*$N$90-SUM($P$92:BV92)),0)*CF!BW$13</f>
        <v>0</v>
      </c>
      <c r="BX92" s="177">
        <f>MAX((BX91*$N$90-SUM($P$92:BW92)),0)*CF!BX$13</f>
        <v>0</v>
      </c>
      <c r="BY92" s="177">
        <f>MAX((BY91*$N$90-SUM($P$92:BX92)),0)*CF!BY$13</f>
        <v>0</v>
      </c>
      <c r="BZ92" s="177">
        <f>MAX((BZ91*$N$90-SUM($P$92:BY92)),0)*CF!BZ$13</f>
        <v>0</v>
      </c>
      <c r="CA92" s="177">
        <f>MAX((CA91*$N$90-SUM($P$92:BZ92)),0)*CF!CA$13</f>
        <v>0</v>
      </c>
      <c r="CB92" s="177">
        <f>MAX((CB91*$N$90-SUM($P$92:CA92)),0)*CF!CB$13</f>
        <v>0</v>
      </c>
      <c r="CC92" s="177">
        <f>MAX((CC91*$N$90-SUM($P$92:CB92)),0)*CF!CC$13</f>
        <v>0</v>
      </c>
      <c r="CD92" s="177">
        <f>MAX((CD91*$N$90-SUM($P$92:CC92)),0)*CF!CD$13</f>
        <v>0</v>
      </c>
      <c r="CE92" s="177">
        <f>MAX((CE91*$N$90-SUM($P$92:CD92)),0)*CF!CE$13</f>
        <v>0</v>
      </c>
      <c r="CF92" s="177">
        <f>MAX((CF91*$N$90-SUM($P$92:CE92)),0)*CF!CF$13</f>
        <v>0</v>
      </c>
      <c r="CG92" s="177">
        <f>MAX((CG91*$N$90-SUM($P$92:CF92)),0)*CF!CG$13</f>
        <v>0</v>
      </c>
      <c r="CH92" s="177">
        <f>MAX((CH91*$N$90-SUM($P$92:CG92)),0)*CF!CH$13</f>
        <v>0</v>
      </c>
      <c r="CI92" s="177">
        <f>MAX((CI91*$N$90-SUM($P$92:CH92)),0)*CF!CI$13</f>
        <v>0</v>
      </c>
      <c r="CJ92" s="177">
        <f>MAX((CJ91*$N$90-SUM($P$92:CI92)),0)*CF!CJ$13</f>
        <v>0</v>
      </c>
      <c r="CK92" s="177">
        <f>MAX((CK91*$N$90-SUM($P$92:CJ92)),0)*CF!CK$13</f>
        <v>0</v>
      </c>
      <c r="CL92" s="177">
        <f>MAX((CL91*$N$90-SUM($P$92:CK92)),0)*CF!CL$13</f>
        <v>0</v>
      </c>
      <c r="CM92" s="177">
        <f>MAX((CM91*$N$90-SUM($P$92:CL92)),0)*CF!CM$13</f>
        <v>0</v>
      </c>
      <c r="CN92" s="177">
        <f>MAX((CN91*$N$90-SUM($P$92:CM92)),0)*CF!CN$13</f>
        <v>0</v>
      </c>
      <c r="CO92" s="177">
        <f>MAX((CO91*$N$90-SUM($P$92:CN92)),0)*CF!CO$13</f>
        <v>0</v>
      </c>
      <c r="CP92" s="177">
        <f>MAX((CP91*$N$90-SUM($P$92:CO92)),0)*CF!CP$13</f>
        <v>0</v>
      </c>
      <c r="CQ92" s="177">
        <f>MAX((CQ91*$N$90-SUM($P$92:CP92)),0)*CF!CQ$13</f>
        <v>0</v>
      </c>
      <c r="CR92" s="177">
        <f>MAX((CR91*$N$90-SUM($P$92:CQ92)),0)*CF!CR$13</f>
        <v>0</v>
      </c>
      <c r="CS92" s="177">
        <f>MAX((CS91*$N$90-SUM($P$92:CR92)),0)*CF!CS$13</f>
        <v>0</v>
      </c>
      <c r="CT92" s="177">
        <f>MAX((CT91*$N$90-SUM($P$92:CS92)),0)*CF!CT$13</f>
        <v>0</v>
      </c>
      <c r="CU92" s="177">
        <f>MAX((CU91*$N$90-SUM($P$92:CT92)),0)*CF!CU$13</f>
        <v>0</v>
      </c>
      <c r="CV92" s="177">
        <f>MAX((CV91*$N$90-SUM($P$92:CU92)),0)*CF!CV$13</f>
        <v>0</v>
      </c>
      <c r="CW92" s="177">
        <f>MAX((CW91*$N$90-SUM($P$92:CV92)),0)*CF!CW$13</f>
        <v>0</v>
      </c>
      <c r="CX92" s="177">
        <f>MAX((CX91*$N$90-SUM($P$92:CW92)),0)*CF!CX$13</f>
        <v>0</v>
      </c>
      <c r="CY92" s="177">
        <f>MAX((CY91*$N$90-SUM($P$92:CX92)),0)*CF!CY$13</f>
        <v>0</v>
      </c>
      <c r="CZ92" s="177">
        <f>MAX((CZ91*$N$90-SUM($P$92:CY92)),0)*CF!CZ$13</f>
        <v>0</v>
      </c>
      <c r="DA92" s="177">
        <f>MAX((DA91*$N$90-SUM($P$92:CZ92)),0)*CF!DA$13</f>
        <v>0</v>
      </c>
      <c r="DB92" s="177">
        <f>MAX((DB91*$N$90-SUM($P$92:DA92)),0)*CF!DB$13</f>
        <v>0</v>
      </c>
      <c r="DC92" s="177">
        <f>MAX((DC91*$N$90-SUM($P$92:DB92)),0)*CF!DC$13</f>
        <v>0</v>
      </c>
      <c r="DD92" s="177">
        <f>MAX((DD91*$N$90-SUM($P$92:DC92)),0)*CF!DD$13</f>
        <v>0</v>
      </c>
      <c r="DE92" s="177">
        <f>MAX((DE91*$N$90-SUM($P$92:DD92)),0)*CF!DE$13</f>
        <v>0</v>
      </c>
      <c r="DF92" s="177">
        <f>MAX((DF91*$N$90-SUM($P$92:DE92)),0)*CF!DF$13</f>
        <v>0</v>
      </c>
      <c r="DG92" s="177">
        <f>MAX((DG91*$N$90-SUM($P$92:DF92)),0)*CF!DG$13</f>
        <v>0</v>
      </c>
      <c r="DH92" s="177">
        <f>MAX((DH91*$N$90-SUM($P$92:DG92)),0)*CF!DH$13</f>
        <v>0</v>
      </c>
      <c r="DI92" s="177">
        <f>MAX((DI91*$N$90-SUM($P$92:DH92)),0)*CF!DI$13</f>
        <v>0</v>
      </c>
      <c r="DJ92" s="177">
        <f>MAX((DJ91*$N$90-SUM($P$92:DI92)),0)*CF!DJ$13</f>
        <v>0</v>
      </c>
      <c r="DK92" s="177">
        <f>MAX((DK91*$N$90-SUM($P$92:DJ92)),0)*CF!DK$13</f>
        <v>0</v>
      </c>
      <c r="DL92" s="177">
        <f>MAX((DL91*$N$90-SUM($P$92:DK92)),0)*CF!DL$13</f>
        <v>0</v>
      </c>
      <c r="DM92" s="177">
        <f>MAX((DM91*$N$90-SUM($P$92:DL92)),0)*CF!DM$13</f>
        <v>0</v>
      </c>
      <c r="DN92" s="177">
        <f>MAX((DN91*$N$90-SUM($P$92:DM92)),0)*CF!DN$13</f>
        <v>0</v>
      </c>
      <c r="DO92" s="177">
        <f>MAX((DO91*$N$90-SUM($P$92:DN92)),0)*CF!DO$13</f>
        <v>0</v>
      </c>
      <c r="DP92" s="177">
        <f>MAX((DP91*$N$90-SUM($P$92:DO92)),0)*CF!DP$13</f>
        <v>0</v>
      </c>
      <c r="DQ92" s="42"/>
    </row>
    <row r="93" spans="3:121" x14ac:dyDescent="0.2">
      <c r="K93" s="74"/>
      <c r="N93" s="69"/>
      <c r="DQ93" s="42"/>
    </row>
    <row r="94" spans="3:121" x14ac:dyDescent="0.2">
      <c r="C94" s="55" t="s">
        <v>310</v>
      </c>
      <c r="K94" s="74"/>
      <c r="N94" s="69"/>
      <c r="DQ94" s="42"/>
    </row>
    <row r="95" spans="3:121" x14ac:dyDescent="0.2">
      <c r="C95" t="s">
        <v>301</v>
      </c>
      <c r="K95" s="74" t="s">
        <v>20</v>
      </c>
      <c r="N95" s="716">
        <v>0.5</v>
      </c>
      <c r="DQ95" s="42"/>
    </row>
    <row r="96" spans="3:121" x14ac:dyDescent="0.2">
      <c r="C96" s="93" t="s">
        <v>311</v>
      </c>
      <c r="D96" s="93"/>
      <c r="E96" s="93"/>
      <c r="F96" s="93"/>
      <c r="G96" s="93"/>
      <c r="H96" s="93"/>
      <c r="I96" s="93"/>
      <c r="J96" s="93"/>
      <c r="K96" s="655" t="s">
        <v>63</v>
      </c>
      <c r="L96" s="93"/>
      <c r="M96" s="93"/>
      <c r="N96" s="92"/>
      <c r="O96" s="93"/>
      <c r="P96" s="93"/>
      <c r="Q96" s="90"/>
      <c r="R96" s="90"/>
      <c r="S96" s="572">
        <f t="shared" ref="S96:AO96" si="84">MAX(MIN(S$62-S73,S74-S73),0)</f>
        <v>0</v>
      </c>
      <c r="T96" s="572">
        <f t="shared" si="84"/>
        <v>0</v>
      </c>
      <c r="U96" s="572">
        <f t="shared" si="84"/>
        <v>0</v>
      </c>
      <c r="V96" s="572">
        <f t="shared" si="84"/>
        <v>0</v>
      </c>
      <c r="W96" s="572">
        <f t="shared" si="84"/>
        <v>0</v>
      </c>
      <c r="X96" s="572">
        <f t="shared" si="84"/>
        <v>0</v>
      </c>
      <c r="Y96" s="572">
        <f t="shared" si="84"/>
        <v>0</v>
      </c>
      <c r="Z96" s="572">
        <f t="shared" si="84"/>
        <v>0</v>
      </c>
      <c r="AA96" s="572">
        <f t="shared" si="84"/>
        <v>0</v>
      </c>
      <c r="AB96" s="572">
        <f t="shared" si="84"/>
        <v>0</v>
      </c>
      <c r="AC96" s="572">
        <f t="shared" si="84"/>
        <v>0</v>
      </c>
      <c r="AD96" s="572">
        <f t="shared" si="84"/>
        <v>0</v>
      </c>
      <c r="AE96" s="572">
        <f t="shared" si="84"/>
        <v>0</v>
      </c>
      <c r="AF96" s="572">
        <f t="shared" si="84"/>
        <v>0</v>
      </c>
      <c r="AG96" s="572">
        <f t="shared" si="84"/>
        <v>0</v>
      </c>
      <c r="AH96" s="572">
        <f t="shared" si="84"/>
        <v>0</v>
      </c>
      <c r="AI96" s="572">
        <f t="shared" si="84"/>
        <v>0</v>
      </c>
      <c r="AJ96" s="572">
        <f t="shared" si="84"/>
        <v>0</v>
      </c>
      <c r="AK96" s="572">
        <f t="shared" si="84"/>
        <v>0</v>
      </c>
      <c r="AL96" s="572">
        <f t="shared" si="84"/>
        <v>0</v>
      </c>
      <c r="AM96" s="572">
        <f t="shared" si="84"/>
        <v>0</v>
      </c>
      <c r="AN96" s="572">
        <f t="shared" si="84"/>
        <v>0</v>
      </c>
      <c r="AO96" s="572">
        <f t="shared" si="84"/>
        <v>0</v>
      </c>
      <c r="AP96" s="572">
        <f t="shared" ref="AP96:BU96" si="85">MAX(MIN(AP$62-AP73,AP74-AP73),0)</f>
        <v>0</v>
      </c>
      <c r="AQ96" s="572">
        <f t="shared" si="85"/>
        <v>0</v>
      </c>
      <c r="AR96" s="572">
        <f t="shared" si="85"/>
        <v>0</v>
      </c>
      <c r="AS96" s="572">
        <f t="shared" si="85"/>
        <v>0</v>
      </c>
      <c r="AT96" s="572">
        <f t="shared" si="85"/>
        <v>0</v>
      </c>
      <c r="AU96" s="572">
        <f t="shared" si="85"/>
        <v>0</v>
      </c>
      <c r="AV96" s="572">
        <f t="shared" si="85"/>
        <v>0</v>
      </c>
      <c r="AW96" s="572">
        <f t="shared" si="85"/>
        <v>0</v>
      </c>
      <c r="AX96" s="572">
        <f t="shared" si="85"/>
        <v>0</v>
      </c>
      <c r="AY96" s="572">
        <f t="shared" si="85"/>
        <v>0</v>
      </c>
      <c r="AZ96" s="572">
        <f t="shared" si="85"/>
        <v>0</v>
      </c>
      <c r="BA96" s="572">
        <f t="shared" si="85"/>
        <v>0</v>
      </c>
      <c r="BB96" s="572">
        <f t="shared" si="85"/>
        <v>0</v>
      </c>
      <c r="BC96" s="572">
        <f t="shared" si="85"/>
        <v>0</v>
      </c>
      <c r="BD96" s="572">
        <f t="shared" si="85"/>
        <v>0</v>
      </c>
      <c r="BE96" s="572">
        <f t="shared" si="85"/>
        <v>0</v>
      </c>
      <c r="BF96" s="572">
        <f t="shared" si="85"/>
        <v>0</v>
      </c>
      <c r="BG96" s="572">
        <f t="shared" si="85"/>
        <v>0</v>
      </c>
      <c r="BH96" s="572">
        <f t="shared" si="85"/>
        <v>0</v>
      </c>
      <c r="BI96" s="572">
        <f t="shared" si="85"/>
        <v>0</v>
      </c>
      <c r="BJ96" s="572">
        <f t="shared" si="85"/>
        <v>0</v>
      </c>
      <c r="BK96" s="572">
        <f t="shared" si="85"/>
        <v>0</v>
      </c>
      <c r="BL96" s="572">
        <f t="shared" si="85"/>
        <v>0</v>
      </c>
      <c r="BM96" s="572">
        <f t="shared" si="85"/>
        <v>0</v>
      </c>
      <c r="BN96" s="572">
        <f t="shared" si="85"/>
        <v>0</v>
      </c>
      <c r="BO96" s="572">
        <f t="shared" si="85"/>
        <v>0</v>
      </c>
      <c r="BP96" s="572">
        <f t="shared" si="85"/>
        <v>0</v>
      </c>
      <c r="BQ96" s="572">
        <f t="shared" si="85"/>
        <v>0</v>
      </c>
      <c r="BR96" s="572">
        <f t="shared" si="85"/>
        <v>0</v>
      </c>
      <c r="BS96" s="572">
        <f t="shared" si="85"/>
        <v>0</v>
      </c>
      <c r="BT96" s="572">
        <f t="shared" si="85"/>
        <v>0</v>
      </c>
      <c r="BU96" s="572">
        <f t="shared" si="85"/>
        <v>0</v>
      </c>
      <c r="BV96" s="572">
        <f t="shared" ref="BV96:DA96" si="86">MAX(MIN(BV$62-BV73,BV74-BV73),0)</f>
        <v>0</v>
      </c>
      <c r="BW96" s="572">
        <f t="shared" si="86"/>
        <v>0</v>
      </c>
      <c r="BX96" s="572">
        <f t="shared" si="86"/>
        <v>0</v>
      </c>
      <c r="BY96" s="572">
        <f t="shared" si="86"/>
        <v>0</v>
      </c>
      <c r="BZ96" s="572">
        <f t="shared" si="86"/>
        <v>0</v>
      </c>
      <c r="CA96" s="572">
        <f t="shared" si="86"/>
        <v>0</v>
      </c>
      <c r="CB96" s="572">
        <f t="shared" si="86"/>
        <v>0</v>
      </c>
      <c r="CC96" s="572">
        <f t="shared" si="86"/>
        <v>0</v>
      </c>
      <c r="CD96" s="572">
        <f t="shared" si="86"/>
        <v>0</v>
      </c>
      <c r="CE96" s="572">
        <f t="shared" si="86"/>
        <v>0</v>
      </c>
      <c r="CF96" s="572">
        <f t="shared" si="86"/>
        <v>0</v>
      </c>
      <c r="CG96" s="572">
        <f t="shared" si="86"/>
        <v>0</v>
      </c>
      <c r="CH96" s="572">
        <f t="shared" si="86"/>
        <v>0</v>
      </c>
      <c r="CI96" s="572">
        <f t="shared" si="86"/>
        <v>0</v>
      </c>
      <c r="CJ96" s="572">
        <f t="shared" si="86"/>
        <v>0</v>
      </c>
      <c r="CK96" s="572">
        <f t="shared" si="86"/>
        <v>0</v>
      </c>
      <c r="CL96" s="572">
        <f t="shared" si="86"/>
        <v>0</v>
      </c>
      <c r="CM96" s="572">
        <f t="shared" si="86"/>
        <v>0</v>
      </c>
      <c r="CN96" s="572">
        <f t="shared" si="86"/>
        <v>0</v>
      </c>
      <c r="CO96" s="572">
        <f t="shared" si="86"/>
        <v>0</v>
      </c>
      <c r="CP96" s="572">
        <f t="shared" si="86"/>
        <v>0</v>
      </c>
      <c r="CQ96" s="572">
        <f t="shared" si="86"/>
        <v>0</v>
      </c>
      <c r="CR96" s="572">
        <f t="shared" si="86"/>
        <v>0</v>
      </c>
      <c r="CS96" s="572">
        <f t="shared" si="86"/>
        <v>0</v>
      </c>
      <c r="CT96" s="572">
        <f t="shared" si="86"/>
        <v>0</v>
      </c>
      <c r="CU96" s="572">
        <f t="shared" si="86"/>
        <v>0</v>
      </c>
      <c r="CV96" s="572">
        <f t="shared" si="86"/>
        <v>0</v>
      </c>
      <c r="CW96" s="572">
        <f t="shared" si="86"/>
        <v>0</v>
      </c>
      <c r="CX96" s="572">
        <f t="shared" si="86"/>
        <v>0</v>
      </c>
      <c r="CY96" s="572">
        <f t="shared" si="86"/>
        <v>0</v>
      </c>
      <c r="CZ96" s="572">
        <f t="shared" si="86"/>
        <v>0</v>
      </c>
      <c r="DA96" s="572">
        <f t="shared" si="86"/>
        <v>0</v>
      </c>
      <c r="DB96" s="572">
        <f t="shared" ref="DB96:DP96" si="87">MAX(MIN(DB$62-DB73,DB74-DB73),0)</f>
        <v>0</v>
      </c>
      <c r="DC96" s="572">
        <f t="shared" si="87"/>
        <v>0</v>
      </c>
      <c r="DD96" s="572">
        <f t="shared" si="87"/>
        <v>0</v>
      </c>
      <c r="DE96" s="572">
        <f t="shared" si="87"/>
        <v>0</v>
      </c>
      <c r="DF96" s="572">
        <f t="shared" si="87"/>
        <v>0</v>
      </c>
      <c r="DG96" s="572">
        <f t="shared" si="87"/>
        <v>0</v>
      </c>
      <c r="DH96" s="572">
        <f t="shared" si="87"/>
        <v>0</v>
      </c>
      <c r="DI96" s="572">
        <f t="shared" si="87"/>
        <v>0</v>
      </c>
      <c r="DJ96" s="572">
        <f t="shared" si="87"/>
        <v>0</v>
      </c>
      <c r="DK96" s="572">
        <f t="shared" si="87"/>
        <v>0</v>
      </c>
      <c r="DL96" s="572">
        <f t="shared" si="87"/>
        <v>0</v>
      </c>
      <c r="DM96" s="572">
        <f t="shared" si="87"/>
        <v>0</v>
      </c>
      <c r="DN96" s="572">
        <f t="shared" si="87"/>
        <v>0</v>
      </c>
      <c r="DO96" s="572">
        <f t="shared" si="87"/>
        <v>0</v>
      </c>
      <c r="DP96" s="572">
        <f t="shared" si="87"/>
        <v>0</v>
      </c>
      <c r="DQ96" s="42"/>
    </row>
    <row r="97" spans="1:121" x14ac:dyDescent="0.2">
      <c r="C97" t="s">
        <v>312</v>
      </c>
      <c r="K97" s="74" t="s">
        <v>63</v>
      </c>
      <c r="N97" s="63">
        <f>SUM(Q97:DP97)</f>
        <v>0</v>
      </c>
      <c r="Q97" s="98"/>
      <c r="R97" s="98"/>
      <c r="S97" s="177">
        <f>MAX((S96*$N$95-SUM($P$97:R97)),0)*CF!S$13</f>
        <v>0</v>
      </c>
      <c r="T97" s="177">
        <f>MAX((T96*$N$95-SUM($P$97:S97)),0)*CF!T$13</f>
        <v>0</v>
      </c>
      <c r="U97" s="177">
        <f>MAX((U96*$N$95-SUM($P$97:T97)),0)*CF!U$13</f>
        <v>0</v>
      </c>
      <c r="V97" s="177">
        <f>MAX((V96*$N$95-SUM($P$97:U97)),0)*CF!V$13</f>
        <v>0</v>
      </c>
      <c r="W97" s="177">
        <f>MAX((W96*$N$95-SUM($P$97:V97)),0)*CF!W$13</f>
        <v>0</v>
      </c>
      <c r="X97" s="177">
        <f>MAX((X96*$N$95-SUM($P$97:W97)),0)*CF!X$13</f>
        <v>0</v>
      </c>
      <c r="Y97" s="177">
        <f>MAX((Y96*$N$95-SUM($P$97:X97)),0)*CF!Y$13</f>
        <v>0</v>
      </c>
      <c r="Z97" s="177">
        <f>MAX((Z96*$N$95-SUM($P$97:Y97)),0)*CF!Z$13</f>
        <v>0</v>
      </c>
      <c r="AA97" s="177">
        <f>MAX((AA96*$N$95-SUM($P$97:Z97)),0)*CF!AA$13</f>
        <v>0</v>
      </c>
      <c r="AB97" s="177">
        <f>MAX((AB96*$N$95-SUM($P$97:AA97)),0)*CF!AB$13</f>
        <v>0</v>
      </c>
      <c r="AC97" s="177">
        <f>MAX((AC96*$N$95-SUM($P$97:AB97)),0)*CF!AC$13</f>
        <v>0</v>
      </c>
      <c r="AD97" s="177">
        <f>MAX((AD96*$N$95-SUM($P$97:AC97)),0)*CF!AD$13</f>
        <v>0</v>
      </c>
      <c r="AE97" s="177">
        <f>MAX((AE96*$N$95-SUM($P$97:AD97)),0)*CF!AE$13</f>
        <v>0</v>
      </c>
      <c r="AF97" s="177">
        <f>MAX((AF96*$N$95-SUM($P$97:AE97)),0)*CF!AF$13</f>
        <v>0</v>
      </c>
      <c r="AG97" s="177">
        <f>MAX((AG96*$N$95-SUM($P$97:AF97)),0)*CF!AG$13</f>
        <v>0</v>
      </c>
      <c r="AH97" s="177">
        <f>MAX((AH96*$N$95-SUM($P$97:AG97)),0)*CF!AH$13</f>
        <v>0</v>
      </c>
      <c r="AI97" s="177">
        <f>MAX((AI96*$N$95-SUM($P$97:AH97)),0)*CF!AI$13</f>
        <v>0</v>
      </c>
      <c r="AJ97" s="177">
        <f>MAX((AJ96*$N$95-SUM($P$97:AI97)),0)*CF!AJ$13</f>
        <v>0</v>
      </c>
      <c r="AK97" s="177">
        <f>MAX((AK96*$N$95-SUM($P$97:AJ97)),0)*CF!AK$13</f>
        <v>0</v>
      </c>
      <c r="AL97" s="177">
        <f>MAX((AL96*$N$95-SUM($P$97:AK97)),0)*CF!AL$13</f>
        <v>0</v>
      </c>
      <c r="AM97" s="177">
        <f>MAX((AM96*$N$95-SUM($P$97:AL97)),0)*CF!AM$13</f>
        <v>0</v>
      </c>
      <c r="AN97" s="177">
        <f>MAX((AN96*$N$95-SUM($P$97:AM97)),0)*CF!AN$13</f>
        <v>0</v>
      </c>
      <c r="AO97" s="177">
        <f>MAX((AO96*$N$95-SUM($P$97:AN97)),0)*CF!AO$13</f>
        <v>0</v>
      </c>
      <c r="AP97" s="177">
        <f>MAX((AP96*$N$95-SUM($P$97:AO97)),0)*CF!AP$13</f>
        <v>0</v>
      </c>
      <c r="AQ97" s="177">
        <f>MAX((AQ96*$N$95-SUM($P$97:AP97)),0)*CF!AQ$13</f>
        <v>0</v>
      </c>
      <c r="AR97" s="177">
        <f>MAX((AR96*$N$95-SUM($P$97:AQ97)),0)*CF!AR$13</f>
        <v>0</v>
      </c>
      <c r="AS97" s="177">
        <f>MAX((AS96*$N$95-SUM($P$97:AR97)),0)*CF!AS$13</f>
        <v>0</v>
      </c>
      <c r="AT97" s="177">
        <f>MAX((AT96*$N$95-SUM($P$97:AS97)),0)*CF!AT$13</f>
        <v>0</v>
      </c>
      <c r="AU97" s="177">
        <f>MAX((AU96*$N$95-SUM($P$97:AT97)),0)*CF!AU$13</f>
        <v>0</v>
      </c>
      <c r="AV97" s="177">
        <f>MAX((AV96*$N$95-SUM($P$97:AU97)),0)*CF!AV$13</f>
        <v>0</v>
      </c>
      <c r="AW97" s="177">
        <f>MAX((AW96*$N$95-SUM($P$97:AV97)),0)*CF!AW$13</f>
        <v>0</v>
      </c>
      <c r="AX97" s="177">
        <f>MAX((AX96*$N$95-SUM($P$97:AW97)),0)*CF!AX$13</f>
        <v>0</v>
      </c>
      <c r="AY97" s="177">
        <f>MAX((AY96*$N$95-SUM($P$97:AX97)),0)*CF!AY$13</f>
        <v>0</v>
      </c>
      <c r="AZ97" s="177">
        <f>MAX((AZ96*$N$95-SUM($P$97:AY97)),0)*CF!AZ$13</f>
        <v>0</v>
      </c>
      <c r="BA97" s="177">
        <f>MAX((BA96*$N$95-SUM($P$97:AZ97)),0)*CF!BA$13</f>
        <v>0</v>
      </c>
      <c r="BB97" s="177">
        <f>MAX((BB96*$N$95-SUM($P$97:BA97)),0)*CF!BB$13</f>
        <v>0</v>
      </c>
      <c r="BC97" s="177">
        <f>MAX((BC96*$N$95-SUM($P$97:BB97)),0)*CF!BC$13</f>
        <v>0</v>
      </c>
      <c r="BD97" s="177">
        <f>MAX((BD96*$N$95-SUM($P$97:BC97)),0)*CF!BD$13</f>
        <v>0</v>
      </c>
      <c r="BE97" s="177">
        <f>MAX((BE96*$N$95-SUM($P$97:BD97)),0)*CF!BE$13</f>
        <v>0</v>
      </c>
      <c r="BF97" s="177">
        <f>MAX((BF96*$N$95-SUM($P$97:BE97)),0)*CF!BF$13</f>
        <v>0</v>
      </c>
      <c r="BG97" s="177">
        <f>MAX((BG96*$N$95-SUM($P$97:BF97)),0)*CF!BG$13</f>
        <v>0</v>
      </c>
      <c r="BH97" s="177">
        <f>MAX((BH96*$N$95-SUM($P$97:BG97)),0)*CF!BH$13</f>
        <v>0</v>
      </c>
      <c r="BI97" s="177">
        <f>MAX((BI96*$N$95-SUM($P$97:BH97)),0)*CF!BI$13</f>
        <v>0</v>
      </c>
      <c r="BJ97" s="177">
        <f>MAX((BJ96*$N$95-SUM($P$97:BI97)),0)*CF!BJ$13</f>
        <v>0</v>
      </c>
      <c r="BK97" s="177">
        <f>MAX((BK96*$N$95-SUM($P$97:BJ97)),0)*CF!BK$13</f>
        <v>0</v>
      </c>
      <c r="BL97" s="177">
        <f>MAX((BL96*$N$95-SUM($P$97:BK97)),0)*CF!BL$13</f>
        <v>0</v>
      </c>
      <c r="BM97" s="177">
        <f>MAX((BM96*$N$95-SUM($P$97:BL97)),0)*CF!BM$13</f>
        <v>0</v>
      </c>
      <c r="BN97" s="177">
        <f>MAX((BN96*$N$95-SUM($P$97:BM97)),0)*CF!BN$13</f>
        <v>0</v>
      </c>
      <c r="BO97" s="177">
        <f>MAX((BO96*$N$95-SUM($P$97:BN97)),0)*CF!BO$13</f>
        <v>0</v>
      </c>
      <c r="BP97" s="177">
        <f>MAX((BP96*$N$95-SUM($P$97:BO97)),0)*CF!BP$13</f>
        <v>0</v>
      </c>
      <c r="BQ97" s="177">
        <f>MAX((BQ96*$N$95-SUM($P$97:BP97)),0)*CF!BQ$13</f>
        <v>0</v>
      </c>
      <c r="BR97" s="177">
        <f>MAX((BR96*$N$95-SUM($P$97:BQ97)),0)*CF!BR$13</f>
        <v>0</v>
      </c>
      <c r="BS97" s="177">
        <f>MAX((BS96*$N$95-SUM($P$97:BR97)),0)*CF!BS$13</f>
        <v>0</v>
      </c>
      <c r="BT97" s="177">
        <f>MAX((BT96*$N$95-SUM($P$97:BS97)),0)*CF!BT$13</f>
        <v>0</v>
      </c>
      <c r="BU97" s="177">
        <f>MAX((BU96*$N$95-SUM($P$97:BT97)),0)*CF!BU$13</f>
        <v>0</v>
      </c>
      <c r="BV97" s="177">
        <f>MAX((BV96*$N$95-SUM($P$97:BU97)),0)*CF!BV$13</f>
        <v>0</v>
      </c>
      <c r="BW97" s="177">
        <f>MAX((BW96*$N$95-SUM($P$97:BV97)),0)*CF!BW$13</f>
        <v>0</v>
      </c>
      <c r="BX97" s="177">
        <f>MAX((BX96*$N$95-SUM($P$97:BW97)),0)*CF!BX$13</f>
        <v>0</v>
      </c>
      <c r="BY97" s="177">
        <f>MAX((BY96*$N$95-SUM($P$97:BX97)),0)*CF!BY$13</f>
        <v>0</v>
      </c>
      <c r="BZ97" s="177">
        <f>MAX((BZ96*$N$95-SUM($P$97:BY97)),0)*CF!BZ$13</f>
        <v>0</v>
      </c>
      <c r="CA97" s="177">
        <f>MAX((CA96*$N$95-SUM($P$97:BZ97)),0)*CF!CA$13</f>
        <v>0</v>
      </c>
      <c r="CB97" s="177">
        <f>MAX((CB96*$N$95-SUM($P$97:CA97)),0)*CF!CB$13</f>
        <v>0</v>
      </c>
      <c r="CC97" s="177">
        <f>MAX((CC96*$N$95-SUM($P$97:CB97)),0)*CF!CC$13</f>
        <v>0</v>
      </c>
      <c r="CD97" s="177">
        <f>MAX((CD96*$N$95-SUM($P$97:CC97)),0)*CF!CD$13</f>
        <v>0</v>
      </c>
      <c r="CE97" s="177">
        <f>MAX((CE96*$N$95-SUM($P$97:CD97)),0)*CF!CE$13</f>
        <v>0</v>
      </c>
      <c r="CF97" s="177">
        <f>MAX((CF96*$N$95-SUM($P$97:CE97)),0)*CF!CF$13</f>
        <v>0</v>
      </c>
      <c r="CG97" s="177">
        <f>MAX((CG96*$N$95-SUM($P$97:CF97)),0)*CF!CG$13</f>
        <v>0</v>
      </c>
      <c r="CH97" s="177">
        <f>MAX((CH96*$N$95-SUM($P$97:CG97)),0)*CF!CH$13</f>
        <v>0</v>
      </c>
      <c r="CI97" s="177">
        <f>MAX((CI96*$N$95-SUM($P$97:CH97)),0)*CF!CI$13</f>
        <v>0</v>
      </c>
      <c r="CJ97" s="177">
        <f>MAX((CJ96*$N$95-SUM($P$97:CI97)),0)*CF!CJ$13</f>
        <v>0</v>
      </c>
      <c r="CK97" s="177">
        <f>MAX((CK96*$N$95-SUM($P$97:CJ97)),0)*CF!CK$13</f>
        <v>0</v>
      </c>
      <c r="CL97" s="177">
        <f>MAX((CL96*$N$95-SUM($P$97:CK97)),0)*CF!CL$13</f>
        <v>0</v>
      </c>
      <c r="CM97" s="177">
        <f>MAX((CM96*$N$95-SUM($P$97:CL97)),0)*CF!CM$13</f>
        <v>0</v>
      </c>
      <c r="CN97" s="177">
        <f>MAX((CN96*$N$95-SUM($P$97:CM97)),0)*CF!CN$13</f>
        <v>0</v>
      </c>
      <c r="CO97" s="177">
        <f>MAX((CO96*$N$95-SUM($P$97:CN97)),0)*CF!CO$13</f>
        <v>0</v>
      </c>
      <c r="CP97" s="177">
        <f>MAX((CP96*$N$95-SUM($P$97:CO97)),0)*CF!CP$13</f>
        <v>0</v>
      </c>
      <c r="CQ97" s="177">
        <f>MAX((CQ96*$N$95-SUM($P$97:CP97)),0)*CF!CQ$13</f>
        <v>0</v>
      </c>
      <c r="CR97" s="177">
        <f>MAX((CR96*$N$95-SUM($P$97:CQ97)),0)*CF!CR$13</f>
        <v>0</v>
      </c>
      <c r="CS97" s="177">
        <f>MAX((CS96*$N$95-SUM($P$97:CR97)),0)*CF!CS$13</f>
        <v>0</v>
      </c>
      <c r="CT97" s="177">
        <f>MAX((CT96*$N$95-SUM($P$97:CS97)),0)*CF!CT$13</f>
        <v>0</v>
      </c>
      <c r="CU97" s="177">
        <f>MAX((CU96*$N$95-SUM($P$97:CT97)),0)*CF!CU$13</f>
        <v>0</v>
      </c>
      <c r="CV97" s="177">
        <f>MAX((CV96*$N$95-SUM($P$97:CU97)),0)*CF!CV$13</f>
        <v>0</v>
      </c>
      <c r="CW97" s="177">
        <f>MAX((CW96*$N$95-SUM($P$97:CV97)),0)*CF!CW$13</f>
        <v>0</v>
      </c>
      <c r="CX97" s="177">
        <f>MAX((CX96*$N$95-SUM($P$97:CW97)),0)*CF!CX$13</f>
        <v>0</v>
      </c>
      <c r="CY97" s="177">
        <f>MAX((CY96*$N$95-SUM($P$97:CX97)),0)*CF!CY$13</f>
        <v>0</v>
      </c>
      <c r="CZ97" s="177">
        <f>MAX((CZ96*$N$95-SUM($P$97:CY97)),0)*CF!CZ$13</f>
        <v>0</v>
      </c>
      <c r="DA97" s="177">
        <f>MAX((DA96*$N$95-SUM($P$97:CZ97)),0)*CF!DA$13</f>
        <v>0</v>
      </c>
      <c r="DB97" s="177">
        <f>MAX((DB96*$N$95-SUM($P$97:DA97)),0)*CF!DB$13</f>
        <v>0</v>
      </c>
      <c r="DC97" s="177">
        <f>MAX((DC96*$N$95-SUM($P$97:DB97)),0)*CF!DC$13</f>
        <v>0</v>
      </c>
      <c r="DD97" s="177">
        <f>MAX((DD96*$N$95-SUM($P$97:DC97)),0)*CF!DD$13</f>
        <v>0</v>
      </c>
      <c r="DE97" s="177">
        <f>MAX((DE96*$N$95-SUM($P$97:DD97)),0)*CF!DE$13</f>
        <v>0</v>
      </c>
      <c r="DF97" s="177">
        <f>MAX((DF96*$N$95-SUM($P$97:DE97)),0)*CF!DF$13</f>
        <v>0</v>
      </c>
      <c r="DG97" s="177">
        <f>MAX((DG96*$N$95-SUM($P$97:DF97)),0)*CF!DG$13</f>
        <v>0</v>
      </c>
      <c r="DH97" s="177">
        <f>MAX((DH96*$N$95-SUM($P$97:DG97)),0)*CF!DH$13</f>
        <v>0</v>
      </c>
      <c r="DI97" s="177">
        <f>MAX((DI96*$N$95-SUM($P$97:DH97)),0)*CF!DI$13</f>
        <v>0</v>
      </c>
      <c r="DJ97" s="177">
        <f>MAX((DJ96*$N$95-SUM($P$97:DI97)),0)*CF!DJ$13</f>
        <v>0</v>
      </c>
      <c r="DK97" s="177">
        <f>MAX((DK96*$N$95-SUM($P$97:DJ97)),0)*CF!DK$13</f>
        <v>0</v>
      </c>
      <c r="DL97" s="177">
        <f>MAX((DL96*$N$95-SUM($P$97:DK97)),0)*CF!DL$13</f>
        <v>0</v>
      </c>
      <c r="DM97" s="177">
        <f>MAX((DM96*$N$95-SUM($P$97:DL97)),0)*CF!DM$13</f>
        <v>0</v>
      </c>
      <c r="DN97" s="177">
        <f>MAX((DN96*$N$95-SUM($P$97:DM97)),0)*CF!DN$13</f>
        <v>0</v>
      </c>
      <c r="DO97" s="177">
        <f>MAX((DO96*$N$95-SUM($P$97:DN97)),0)*CF!DO$13</f>
        <v>0</v>
      </c>
      <c r="DP97" s="177">
        <f>MAX((DP96*$N$95-SUM($P$97:DO97)),0)*CF!DP$13</f>
        <v>0</v>
      </c>
      <c r="DQ97" s="42"/>
    </row>
    <row r="98" spans="1:121" x14ac:dyDescent="0.2">
      <c r="K98" s="74"/>
      <c r="N98" s="69"/>
      <c r="DQ98" s="42"/>
    </row>
    <row r="99" spans="1:121" x14ac:dyDescent="0.2">
      <c r="C99" s="55" t="s">
        <v>313</v>
      </c>
      <c r="K99" s="74"/>
      <c r="N99" s="69"/>
      <c r="DQ99" s="42"/>
    </row>
    <row r="100" spans="1:121" x14ac:dyDescent="0.2">
      <c r="C100" t="s">
        <v>301</v>
      </c>
      <c r="K100" s="74" t="s">
        <v>20</v>
      </c>
      <c r="N100" s="716">
        <v>0.75</v>
      </c>
      <c r="DQ100" s="42"/>
    </row>
    <row r="101" spans="1:121" x14ac:dyDescent="0.2">
      <c r="C101" s="93" t="s">
        <v>311</v>
      </c>
      <c r="D101" s="93"/>
      <c r="E101" s="93"/>
      <c r="F101" s="93"/>
      <c r="G101" s="93"/>
      <c r="H101" s="93"/>
      <c r="I101" s="93"/>
      <c r="J101" s="93"/>
      <c r="K101" s="655" t="s">
        <v>63</v>
      </c>
      <c r="L101" s="93"/>
      <c r="M101" s="93"/>
      <c r="N101" s="92"/>
      <c r="O101" s="93"/>
      <c r="P101" s="93"/>
      <c r="Q101" s="90"/>
      <c r="R101" s="90"/>
      <c r="S101" s="572">
        <f>(MAX(S$62-S$76,0))*CF!S$13</f>
        <v>0</v>
      </c>
      <c r="T101" s="572">
        <f>(MAX(T$62-T$76,0))*CF!T$13</f>
        <v>0</v>
      </c>
      <c r="U101" s="572">
        <f>(MAX(U$62-U$76,0))*CF!U$13</f>
        <v>0</v>
      </c>
      <c r="V101" s="572">
        <f>(MAX(V$62-V$76,0))*CF!V$13</f>
        <v>0</v>
      </c>
      <c r="W101" s="572">
        <f>(MAX(W$62-W$76,0))*CF!W$13</f>
        <v>0</v>
      </c>
      <c r="X101" s="572">
        <f>(MAX(X$62-X$76,0))*CF!X$13</f>
        <v>0</v>
      </c>
      <c r="Y101" s="572">
        <f>(MAX(Y$62-Y$76,0))*CF!Y$13</f>
        <v>0</v>
      </c>
      <c r="Z101" s="572">
        <f>(MAX(Z$62-Z$76,0))*CF!Z$13</f>
        <v>0</v>
      </c>
      <c r="AA101" s="572">
        <f>(MAX(AA$62-AA$76,0))*CF!AA$13</f>
        <v>0</v>
      </c>
      <c r="AB101" s="572">
        <f>(MAX(AB$62-AB$76,0))*CF!AB$13</f>
        <v>0</v>
      </c>
      <c r="AC101" s="572">
        <f>(MAX(AC$62-AC$76,0))*CF!AC$13</f>
        <v>0</v>
      </c>
      <c r="AD101" s="572">
        <f>(MAX(AD$62-AD$76,0))*CF!AD$13</f>
        <v>0</v>
      </c>
      <c r="AE101" s="572">
        <f>(MAX(AE$62-AE$76,0))*CF!AE$13</f>
        <v>0</v>
      </c>
      <c r="AF101" s="572">
        <f>(MAX(AF$62-AF$76,0))*CF!AF$13</f>
        <v>0</v>
      </c>
      <c r="AG101" s="572">
        <f>(MAX(AG$62-AG$76,0))*CF!AG$13</f>
        <v>0</v>
      </c>
      <c r="AH101" s="572">
        <f>(MAX(AH$62-AH$76,0))*CF!AH$13</f>
        <v>0</v>
      </c>
      <c r="AI101" s="572">
        <f>(MAX(AI$62-AI$76,0))*CF!AI$13</f>
        <v>0</v>
      </c>
      <c r="AJ101" s="572">
        <f>(MAX(AJ$62-AJ$76,0))*CF!AJ$13</f>
        <v>0</v>
      </c>
      <c r="AK101" s="572">
        <f>(MAX(AK$62-AK$76,0))*CF!AK$13</f>
        <v>0</v>
      </c>
      <c r="AL101" s="572">
        <f>(MAX(AL$62-AL$76,0))*CF!AL$13</f>
        <v>0</v>
      </c>
      <c r="AM101" s="572">
        <f>(MAX(AM$62-AM$76,0))*CF!AM$13</f>
        <v>0</v>
      </c>
      <c r="AN101" s="572">
        <f>(MAX(AN$62-AN$76,0))*CF!AN$13</f>
        <v>0</v>
      </c>
      <c r="AO101" s="572">
        <f>(MAX(AO$62-AO$76,0))*CF!AO$13</f>
        <v>0</v>
      </c>
      <c r="AP101" s="572">
        <f>(MAX(AP$62-AP$76,0))*CF!AP$13</f>
        <v>0</v>
      </c>
      <c r="AQ101" s="572">
        <f>(MAX(AQ$62-AQ$76,0))*CF!AQ$13</f>
        <v>0</v>
      </c>
      <c r="AR101" s="572">
        <f>(MAX(AR$62-AR$76,0))*CF!AR$13</f>
        <v>0</v>
      </c>
      <c r="AS101" s="572">
        <f>(MAX(AS$62-AS$76,0))*CF!AS$13</f>
        <v>0</v>
      </c>
      <c r="AT101" s="572">
        <f>(MAX(AT$62-AT$76,0))*CF!AT$13</f>
        <v>0</v>
      </c>
      <c r="AU101" s="572">
        <f>(MAX(AU$62-AU$76,0))*CF!AU$13</f>
        <v>0</v>
      </c>
      <c r="AV101" s="572">
        <f>(MAX(AV$62-AV$76,0))*CF!AV$13</f>
        <v>0</v>
      </c>
      <c r="AW101" s="572">
        <f>(MAX(AW$62-AW$76,0))*CF!AW$13</f>
        <v>0</v>
      </c>
      <c r="AX101" s="572">
        <f>(MAX(AX$62-AX$76,0))*CF!AX$13</f>
        <v>0</v>
      </c>
      <c r="AY101" s="572">
        <f>(MAX(AY$62-AY$76,0))*CF!AY$13</f>
        <v>0</v>
      </c>
      <c r="AZ101" s="572">
        <f>(MAX(AZ$62-AZ$76,0))*CF!AZ$13</f>
        <v>0</v>
      </c>
      <c r="BA101" s="572">
        <f>(MAX(BA$62-BA$76,0))*CF!BA$13</f>
        <v>0</v>
      </c>
      <c r="BB101" s="572">
        <f>(MAX(BB$62-BB$76,0))*CF!BB$13</f>
        <v>0</v>
      </c>
      <c r="BC101" s="572">
        <f>(MAX(BC$62-BC$76,0))*CF!BC$13</f>
        <v>0</v>
      </c>
      <c r="BD101" s="572">
        <f>(MAX(BD$62-BD$76,0))*CF!BD$13</f>
        <v>0</v>
      </c>
      <c r="BE101" s="572">
        <f>(MAX(BE$62-BE$76,0))*CF!BE$13</f>
        <v>0</v>
      </c>
      <c r="BF101" s="572">
        <f>(MAX(BF$62-BF$76,0))*CF!BF$13</f>
        <v>0</v>
      </c>
      <c r="BG101" s="572">
        <f>(MAX(BG$62-BG$76,0))*CF!BG$13</f>
        <v>0</v>
      </c>
      <c r="BH101" s="572">
        <f>(MAX(BH$62-BH$76,0))*CF!BH$13</f>
        <v>0</v>
      </c>
      <c r="BI101" s="572">
        <f>(MAX(BI$62-BI$76,0))*CF!BI$13</f>
        <v>0</v>
      </c>
      <c r="BJ101" s="572">
        <f>(MAX(BJ$62-BJ$76,0))*CF!BJ$13</f>
        <v>0</v>
      </c>
      <c r="BK101" s="572">
        <f>(MAX(BK$62-BK$76,0))*CF!BK$13</f>
        <v>0</v>
      </c>
      <c r="BL101" s="572">
        <f>(MAX(BL$62-BL$76,0))*CF!BL$13</f>
        <v>0</v>
      </c>
      <c r="BM101" s="572">
        <f>(MAX(BM$62-BM$76,0))*CF!BM$13</f>
        <v>0</v>
      </c>
      <c r="BN101" s="572">
        <f>(MAX(BN$62-BN$76,0))*CF!BN$13</f>
        <v>0</v>
      </c>
      <c r="BO101" s="572">
        <f>(MAX(BO$62-BO$76,0))*CF!BO$13</f>
        <v>0</v>
      </c>
      <c r="BP101" s="572">
        <f>(MAX(BP$62-BP$76,0))*CF!BP$13</f>
        <v>0</v>
      </c>
      <c r="BQ101" s="572">
        <f>(MAX(BQ$62-BQ$76,0))*CF!BQ$13</f>
        <v>0</v>
      </c>
      <c r="BR101" s="572">
        <f>(MAX(BR$62-BR$76,0))*CF!BR$13</f>
        <v>0</v>
      </c>
      <c r="BS101" s="572">
        <f>(MAX(BS$62-BS$76,0))*CF!BS$13</f>
        <v>0</v>
      </c>
      <c r="BT101" s="572">
        <f>(MAX(BT$62-BT$76,0))*CF!BT$13</f>
        <v>0</v>
      </c>
      <c r="BU101" s="572">
        <f>(MAX(BU$62-BU$76,0))*CF!BU$13</f>
        <v>0</v>
      </c>
      <c r="BV101" s="572">
        <f>(MAX(BV$62-BV$76,0))*CF!BV$13</f>
        <v>0</v>
      </c>
      <c r="BW101" s="572">
        <f>(MAX(BW$62-BW$76,0))*CF!BW$13</f>
        <v>0</v>
      </c>
      <c r="BX101" s="572">
        <f>(MAX(BX$62-BX$76,0))*CF!BX$13</f>
        <v>0</v>
      </c>
      <c r="BY101" s="572">
        <f>(MAX(BY$62-BY$76,0))*CF!BY$13</f>
        <v>0</v>
      </c>
      <c r="BZ101" s="572">
        <f>(MAX(BZ$62-BZ$76,0))*CF!BZ$13</f>
        <v>0</v>
      </c>
      <c r="CA101" s="572">
        <f>(MAX(CA$62-CA$76,0))*CF!CA$13</f>
        <v>0</v>
      </c>
      <c r="CB101" s="572">
        <f>(MAX(CB$62-CB$76,0))*CF!CB$13</f>
        <v>0</v>
      </c>
      <c r="CC101" s="572">
        <f>(MAX(CC$62-CC$76,0))*CF!CC$13</f>
        <v>0</v>
      </c>
      <c r="CD101" s="572">
        <f>(MAX(CD$62-CD$76,0))*CF!CD$13</f>
        <v>0</v>
      </c>
      <c r="CE101" s="572">
        <f>(MAX(CE$62-CE$76,0))*CF!CE$13</f>
        <v>0</v>
      </c>
      <c r="CF101" s="572">
        <f>(MAX(CF$62-CF$76,0))*CF!CF$13</f>
        <v>0</v>
      </c>
      <c r="CG101" s="572">
        <f>(MAX(CG$62-CG$76,0))*CF!CG$13</f>
        <v>0</v>
      </c>
      <c r="CH101" s="572">
        <f>(MAX(CH$62-CH$76,0))*CF!CH$13</f>
        <v>0</v>
      </c>
      <c r="CI101" s="572">
        <f>(MAX(CI$62-CI$76,0))*CF!CI$13</f>
        <v>0</v>
      </c>
      <c r="CJ101" s="572">
        <f>(MAX(CJ$62-CJ$76,0))*CF!CJ$13</f>
        <v>0</v>
      </c>
      <c r="CK101" s="572">
        <f>(MAX(CK$62-CK$76,0))*CF!CK$13</f>
        <v>0</v>
      </c>
      <c r="CL101" s="572">
        <f>(MAX(CL$62-CL$76,0))*CF!CL$13</f>
        <v>0</v>
      </c>
      <c r="CM101" s="572">
        <f>(MAX(CM$62-CM$76,0))*CF!CM$13</f>
        <v>0</v>
      </c>
      <c r="CN101" s="572">
        <f>(MAX(CN$62-CN$76,0))*CF!CN$13</f>
        <v>0</v>
      </c>
      <c r="CO101" s="572">
        <f>(MAX(CO$62-CO$76,0))*CF!CO$13</f>
        <v>0</v>
      </c>
      <c r="CP101" s="572">
        <f>(MAX(CP$62-CP$76,0))*CF!CP$13</f>
        <v>0</v>
      </c>
      <c r="CQ101" s="572">
        <f>(MAX(CQ$62-CQ$76,0))*CF!CQ$13</f>
        <v>0</v>
      </c>
      <c r="CR101" s="572">
        <f>(MAX(CR$62-CR$76,0))*CF!CR$13</f>
        <v>0</v>
      </c>
      <c r="CS101" s="572">
        <f>(MAX(CS$62-CS$76,0))*CF!CS$13</f>
        <v>0</v>
      </c>
      <c r="CT101" s="572">
        <f>(MAX(CT$62-CT$76,0))*CF!CT$13</f>
        <v>0</v>
      </c>
      <c r="CU101" s="572">
        <f>(MAX(CU$62-CU$76,0))*CF!CU$13</f>
        <v>0</v>
      </c>
      <c r="CV101" s="572">
        <f>(MAX(CV$62-CV$76,0))*CF!CV$13</f>
        <v>0</v>
      </c>
      <c r="CW101" s="572">
        <f>(MAX(CW$62-CW$76,0))*CF!CW$13</f>
        <v>0</v>
      </c>
      <c r="CX101" s="572">
        <f>(MAX(CX$62-CX$76,0))*CF!CX$13</f>
        <v>0</v>
      </c>
      <c r="CY101" s="572">
        <f>(MAX(CY$62-CY$76,0))*CF!CY$13</f>
        <v>0</v>
      </c>
      <c r="CZ101" s="572">
        <f>(MAX(CZ$62-CZ$76,0))*CF!CZ$13</f>
        <v>0</v>
      </c>
      <c r="DA101" s="572">
        <f>(MAX(DA$62-DA$76,0))*CF!DA$13</f>
        <v>0</v>
      </c>
      <c r="DB101" s="572">
        <f>(MAX(DB$62-DB$76,0))*CF!DB$13</f>
        <v>0</v>
      </c>
      <c r="DC101" s="572">
        <f>(MAX(DC$62-DC$76,0))*CF!DC$13</f>
        <v>0</v>
      </c>
      <c r="DD101" s="572">
        <f>(MAX(DD$62-DD$76,0))*CF!DD$13</f>
        <v>0</v>
      </c>
      <c r="DE101" s="572">
        <f>(MAX(DE$62-DE$76,0))*CF!DE$13</f>
        <v>0</v>
      </c>
      <c r="DF101" s="572">
        <f>(MAX(DF$62-DF$76,0))*CF!DF$13</f>
        <v>0</v>
      </c>
      <c r="DG101" s="572">
        <f>(MAX(DG$62-DG$76,0))*CF!DG$13</f>
        <v>0</v>
      </c>
      <c r="DH101" s="572">
        <f>(MAX(DH$62-DH$76,0))*CF!DH$13</f>
        <v>0</v>
      </c>
      <c r="DI101" s="572">
        <f>(MAX(DI$62-DI$76,0))*CF!DI$13</f>
        <v>0</v>
      </c>
      <c r="DJ101" s="572">
        <f>(MAX(DJ$62-DJ$76,0))*CF!DJ$13</f>
        <v>0</v>
      </c>
      <c r="DK101" s="572">
        <f>(MAX(DK$62-DK$76,0))*CF!DK$13</f>
        <v>0</v>
      </c>
      <c r="DL101" s="572">
        <f>(MAX(DL$62-DL$76,0))*CF!DL$13</f>
        <v>0</v>
      </c>
      <c r="DM101" s="572">
        <f>(MAX(DM$62-DM$76,0))*CF!DM$13</f>
        <v>0</v>
      </c>
      <c r="DN101" s="572">
        <f>(MAX(DN$62-DN$76,0))*CF!DN$13</f>
        <v>0</v>
      </c>
      <c r="DO101" s="572">
        <f>(MAX(DO$62-DO$76,0))*CF!DO$13</f>
        <v>0</v>
      </c>
      <c r="DP101" s="572">
        <f>(MAX(DP$62-DP$76,0))*CF!DP$13</f>
        <v>0</v>
      </c>
      <c r="DQ101" s="42"/>
    </row>
    <row r="102" spans="1:121" x14ac:dyDescent="0.2">
      <c r="C102" s="39" t="s">
        <v>312</v>
      </c>
      <c r="D102" s="39"/>
      <c r="E102" s="39"/>
      <c r="F102" s="39"/>
      <c r="G102" s="39"/>
      <c r="H102" s="39"/>
      <c r="I102" s="39"/>
      <c r="J102" s="39"/>
      <c r="K102" s="144" t="s">
        <v>63</v>
      </c>
      <c r="N102" s="63">
        <f>SUM(Q102:DP102)</f>
        <v>0</v>
      </c>
      <c r="O102" s="39"/>
      <c r="P102" s="39"/>
      <c r="Q102" s="98"/>
      <c r="R102" s="98"/>
      <c r="S102" s="177">
        <f>MAX((S101*$N$100-SUM($P$102:R102)),0)*CF!S$13</f>
        <v>0</v>
      </c>
      <c r="T102" s="177">
        <f>MAX((T101*$N$100-SUM($P$102:S102)),0)*CF!T$13</f>
        <v>0</v>
      </c>
      <c r="U102" s="177">
        <f>MAX((U101*$N$100-SUM($P$102:T102)),0)*CF!U$13</f>
        <v>0</v>
      </c>
      <c r="V102" s="177">
        <f>MAX((V101*$N$100-SUM($P$102:U102)),0)*CF!V$13</f>
        <v>0</v>
      </c>
      <c r="W102" s="177">
        <f>MAX((W101*$N$100-SUM($P$102:V102)),0)*CF!W$13</f>
        <v>0</v>
      </c>
      <c r="X102" s="177">
        <f>MAX((X101*$N$100-SUM($P$102:W102)),0)*CF!X$13</f>
        <v>0</v>
      </c>
      <c r="Y102" s="177">
        <f>MAX((Y101*$N$100-SUM($P$102:X102)),0)*CF!Y$13</f>
        <v>0</v>
      </c>
      <c r="Z102" s="177">
        <f>MAX((Z101*$N$100-SUM($P$102:Y102)),0)*CF!Z$13</f>
        <v>0</v>
      </c>
      <c r="AA102" s="177">
        <f>MAX((AA101*$N$100-SUM($P$102:Z102)),0)*CF!AA$13</f>
        <v>0</v>
      </c>
      <c r="AB102" s="177">
        <f>MAX((AB101*$N$100-SUM($P$102:AA102)),0)*CF!AB$13</f>
        <v>0</v>
      </c>
      <c r="AC102" s="177">
        <f>MAX((AC101*$N$100-SUM($P$102:AB102)),0)*CF!AC$13</f>
        <v>0</v>
      </c>
      <c r="AD102" s="177">
        <f>MAX((AD101*$N$100-SUM($P$102:AC102)),0)*CF!AD$13</f>
        <v>0</v>
      </c>
      <c r="AE102" s="177">
        <f>MAX((AE101*$N$100-SUM($P$102:AD102)),0)*CF!AE$13</f>
        <v>0</v>
      </c>
      <c r="AF102" s="177">
        <f>MAX((AF101*$N$100-SUM($P$102:AE102)),0)*CF!AF$13</f>
        <v>0</v>
      </c>
      <c r="AG102" s="177">
        <f>MAX((AG101*$N$100-SUM($P$102:AF102)),0)*CF!AG$13</f>
        <v>0</v>
      </c>
      <c r="AH102" s="177">
        <f>MAX((AH101*$N$100-SUM($P$102:AG102)),0)*CF!AH$13</f>
        <v>0</v>
      </c>
      <c r="AI102" s="177">
        <f>MAX((AI101*$N$100-SUM($P$102:AH102)),0)*CF!AI$13</f>
        <v>0</v>
      </c>
      <c r="AJ102" s="177">
        <f>MAX((AJ101*$N$100-SUM($P$102:AI102)),0)*CF!AJ$13</f>
        <v>0</v>
      </c>
      <c r="AK102" s="177">
        <f>MAX((AK101*$N$100-SUM($P$102:AJ102)),0)*CF!AK$13</f>
        <v>0</v>
      </c>
      <c r="AL102" s="177">
        <f>MAX((AL101*$N$100-SUM($P$102:AK102)),0)*CF!AL$13</f>
        <v>0</v>
      </c>
      <c r="AM102" s="177">
        <f>MAX((AM101*$N$100-SUM($P$102:AL102)),0)*CF!AM$13</f>
        <v>0</v>
      </c>
      <c r="AN102" s="177">
        <f>MAX((AN101*$N$100-SUM($P$102:AM102)),0)*CF!AN$13</f>
        <v>0</v>
      </c>
      <c r="AO102" s="177">
        <f>MAX((AO101*$N$100-SUM($P$102:AN102)),0)*CF!AO$13</f>
        <v>0</v>
      </c>
      <c r="AP102" s="177">
        <f>MAX((AP101*$N$100-SUM($P$102:AO102)),0)*CF!AP$13</f>
        <v>0</v>
      </c>
      <c r="AQ102" s="177">
        <f>MAX((AQ101*$N$100-SUM($P$102:AP102)),0)*CF!AQ$13</f>
        <v>0</v>
      </c>
      <c r="AR102" s="177">
        <f>MAX((AR101*$N$100-SUM($P$102:AQ102)),0)*CF!AR$13</f>
        <v>0</v>
      </c>
      <c r="AS102" s="177">
        <f>MAX((AS101*$N$100-SUM($P$102:AR102)),0)*CF!AS$13</f>
        <v>0</v>
      </c>
      <c r="AT102" s="177">
        <f>MAX((AT101*$N$100-SUM($P$102:AS102)),0)*CF!AT$13</f>
        <v>0</v>
      </c>
      <c r="AU102" s="177">
        <f>MAX((AU101*$N$100-SUM($P$102:AT102)),0)*CF!AU$13</f>
        <v>0</v>
      </c>
      <c r="AV102" s="177">
        <f>MAX((AV101*$N$100-SUM($P$102:AU102)),0)*CF!AV$13</f>
        <v>0</v>
      </c>
      <c r="AW102" s="177">
        <f>MAX((AW101*$N$100-SUM($P$102:AV102)),0)*CF!AW$13</f>
        <v>0</v>
      </c>
      <c r="AX102" s="177">
        <f>MAX((AX101*$N$100-SUM($P$102:AW102)),0)*CF!AX$13</f>
        <v>0</v>
      </c>
      <c r="AY102" s="177">
        <f>MAX((AY101*$N$100-SUM($P$102:AX102)),0)*CF!AY$13</f>
        <v>0</v>
      </c>
      <c r="AZ102" s="177">
        <f>MAX((AZ101*$N$100-SUM($P$102:AY102)),0)*CF!AZ$13</f>
        <v>0</v>
      </c>
      <c r="BA102" s="177">
        <f>MAX((BA101*$N$100-SUM($P$102:AZ102)),0)*CF!BA$13</f>
        <v>0</v>
      </c>
      <c r="BB102" s="177">
        <f>MAX((BB101*$N$100-SUM($P$102:BA102)),0)*CF!BB$13</f>
        <v>0</v>
      </c>
      <c r="BC102" s="177">
        <f>MAX((BC101*$N$100-SUM($P$102:BB102)),0)*CF!BC$13</f>
        <v>0</v>
      </c>
      <c r="BD102" s="177">
        <f>MAX((BD101*$N$100-SUM($P$102:BC102)),0)*CF!BD$13</f>
        <v>0</v>
      </c>
      <c r="BE102" s="177">
        <f>MAX((BE101*$N$100-SUM($P$102:BD102)),0)*CF!BE$13</f>
        <v>0</v>
      </c>
      <c r="BF102" s="177">
        <f>MAX((BF101*$N$100-SUM($P$102:BE102)),0)*CF!BF$13</f>
        <v>0</v>
      </c>
      <c r="BG102" s="177">
        <f>MAX((BG101*$N$100-SUM($P$102:BF102)),0)*CF!BG$13</f>
        <v>0</v>
      </c>
      <c r="BH102" s="177">
        <f>MAX((BH101*$N$100-SUM($P$102:BG102)),0)*CF!BH$13</f>
        <v>0</v>
      </c>
      <c r="BI102" s="177">
        <f>MAX((BI101*$N$100-SUM($P$102:BH102)),0)*CF!BI$13</f>
        <v>0</v>
      </c>
      <c r="BJ102" s="177">
        <f>MAX((BJ101*$N$100-SUM($P$102:BI102)),0)*CF!BJ$13</f>
        <v>0</v>
      </c>
      <c r="BK102" s="177">
        <f>MAX((BK101*$N$100-SUM($P$102:BJ102)),0)*CF!BK$13</f>
        <v>0</v>
      </c>
      <c r="BL102" s="177">
        <f>MAX((BL101*$N$100-SUM($P$102:BK102)),0)*CF!BL$13</f>
        <v>0</v>
      </c>
      <c r="BM102" s="177">
        <f>MAX((BM101*$N$100-SUM($P$102:BL102)),0)*CF!BM$13</f>
        <v>0</v>
      </c>
      <c r="BN102" s="177">
        <f>MAX((BN101*$N$100-SUM($P$102:BM102)),0)*CF!BN$13</f>
        <v>0</v>
      </c>
      <c r="BO102" s="177">
        <f>MAX((BO101*$N$100-SUM($P$102:BN102)),0)*CF!BO$13</f>
        <v>0</v>
      </c>
      <c r="BP102" s="177">
        <f>MAX((BP101*$N$100-SUM($P$102:BO102)),0)*CF!BP$13</f>
        <v>0</v>
      </c>
      <c r="BQ102" s="177">
        <f>MAX((BQ101*$N$100-SUM($P$102:BP102)),0)*CF!BQ$13</f>
        <v>0</v>
      </c>
      <c r="BR102" s="177">
        <f>MAX((BR101*$N$100-SUM($P$102:BQ102)),0)*CF!BR$13</f>
        <v>0</v>
      </c>
      <c r="BS102" s="177">
        <f>MAX((BS101*$N$100-SUM($P$102:BR102)),0)*CF!BS$13</f>
        <v>0</v>
      </c>
      <c r="BT102" s="177">
        <f>MAX((BT101*$N$100-SUM($P$102:BS102)),0)*CF!BT$13</f>
        <v>0</v>
      </c>
      <c r="BU102" s="177">
        <f>MAX((BU101*$N$100-SUM($P$102:BT102)),0)*CF!BU$13</f>
        <v>0</v>
      </c>
      <c r="BV102" s="177">
        <f>MAX((BV101*$N$100-SUM($P$102:BU102)),0)*CF!BV$13</f>
        <v>0</v>
      </c>
      <c r="BW102" s="177">
        <f>MAX((BW101*$N$100-SUM($P$102:BV102)),0)*CF!BW$13</f>
        <v>0</v>
      </c>
      <c r="BX102" s="177">
        <f>MAX((BX101*$N$100-SUM($P$102:BW102)),0)*CF!BX$13</f>
        <v>0</v>
      </c>
      <c r="BY102" s="177">
        <f>MAX((BY101*$N$100-SUM($P$102:BX102)),0)*CF!BY$13</f>
        <v>0</v>
      </c>
      <c r="BZ102" s="177">
        <f>MAX((BZ101*$N$100-SUM($P$102:BY102)),0)*CF!BZ$13</f>
        <v>0</v>
      </c>
      <c r="CA102" s="177">
        <f>MAX((CA101*$N$100-SUM($P$102:BZ102)),0)*CF!CA$13</f>
        <v>0</v>
      </c>
      <c r="CB102" s="177">
        <f>MAX((CB101*$N$100-SUM($P$102:CA102)),0)*CF!CB$13</f>
        <v>0</v>
      </c>
      <c r="CC102" s="177">
        <f>MAX((CC101*$N$100-SUM($P$102:CB102)),0)*CF!CC$13</f>
        <v>0</v>
      </c>
      <c r="CD102" s="177">
        <f>MAX((CD101*$N$100-SUM($P$102:CC102)),0)*CF!CD$13</f>
        <v>0</v>
      </c>
      <c r="CE102" s="177">
        <f>MAX((CE101*$N$100-SUM($P$102:CD102)),0)*CF!CE$13</f>
        <v>0</v>
      </c>
      <c r="CF102" s="177">
        <f>MAX((CF101*$N$100-SUM($P$102:CE102)),0)*CF!CF$13</f>
        <v>0</v>
      </c>
      <c r="CG102" s="177">
        <f>MAX((CG101*$N$100-SUM($P$102:CF102)),0)*CF!CG$13</f>
        <v>0</v>
      </c>
      <c r="CH102" s="177">
        <f>MAX((CH101*$N$100-SUM($P$102:CG102)),0)*CF!CH$13</f>
        <v>0</v>
      </c>
      <c r="CI102" s="177">
        <f>MAX((CI101*$N$100-SUM($P$102:CH102)),0)*CF!CI$13</f>
        <v>0</v>
      </c>
      <c r="CJ102" s="177">
        <f>MAX((CJ101*$N$100-SUM($P$102:CI102)),0)*CF!CJ$13</f>
        <v>0</v>
      </c>
      <c r="CK102" s="177">
        <f>MAX((CK101*$N$100-SUM($P$102:CJ102)),0)*CF!CK$13</f>
        <v>0</v>
      </c>
      <c r="CL102" s="177">
        <f>MAX((CL101*$N$100-SUM($P$102:CK102)),0)*CF!CL$13</f>
        <v>0</v>
      </c>
      <c r="CM102" s="177">
        <f>MAX((CM101*$N$100-SUM($P$102:CL102)),0)*CF!CM$13</f>
        <v>0</v>
      </c>
      <c r="CN102" s="177">
        <f>MAX((CN101*$N$100-SUM($P$102:CM102)),0)*CF!CN$13</f>
        <v>0</v>
      </c>
      <c r="CO102" s="177">
        <f>MAX((CO101*$N$100-SUM($P$102:CN102)),0)*CF!CO$13</f>
        <v>0</v>
      </c>
      <c r="CP102" s="177">
        <f>MAX((CP101*$N$100-SUM($P$102:CO102)),0)*CF!CP$13</f>
        <v>0</v>
      </c>
      <c r="CQ102" s="177">
        <f>MAX((CQ101*$N$100-SUM($P$102:CP102)),0)*CF!CQ$13</f>
        <v>0</v>
      </c>
      <c r="CR102" s="177">
        <f>MAX((CR101*$N$100-SUM($P$102:CQ102)),0)*CF!CR$13</f>
        <v>0</v>
      </c>
      <c r="CS102" s="177">
        <f>MAX((CS101*$N$100-SUM($P$102:CR102)),0)*CF!CS$13</f>
        <v>0</v>
      </c>
      <c r="CT102" s="177">
        <f>MAX((CT101*$N$100-SUM($P$102:CS102)),0)*CF!CT$13</f>
        <v>0</v>
      </c>
      <c r="CU102" s="177">
        <f>MAX((CU101*$N$100-SUM($P$102:CT102)),0)*CF!CU$13</f>
        <v>0</v>
      </c>
      <c r="CV102" s="177">
        <f>MAX((CV101*$N$100-SUM($P$102:CU102)),0)*CF!CV$13</f>
        <v>0</v>
      </c>
      <c r="CW102" s="177">
        <f>MAX((CW101*$N$100-SUM($P$102:CV102)),0)*CF!CW$13</f>
        <v>0</v>
      </c>
      <c r="CX102" s="177">
        <f>MAX((CX101*$N$100-SUM($P$102:CW102)),0)*CF!CX$13</f>
        <v>0</v>
      </c>
      <c r="CY102" s="177">
        <f>MAX((CY101*$N$100-SUM($P$102:CX102)),0)*CF!CY$13</f>
        <v>0</v>
      </c>
      <c r="CZ102" s="177">
        <f>MAX((CZ101*$N$100-SUM($P$102:CY102)),0)*CF!CZ$13</f>
        <v>0</v>
      </c>
      <c r="DA102" s="177">
        <f>MAX((DA101*$N$100-SUM($P$102:CZ102)),0)*CF!DA$13</f>
        <v>0</v>
      </c>
      <c r="DB102" s="177">
        <f>MAX((DB101*$N$100-SUM($P$102:DA102)),0)*CF!DB$13</f>
        <v>0</v>
      </c>
      <c r="DC102" s="177">
        <f>MAX((DC101*$N$100-SUM($P$102:DB102)),0)*CF!DC$13</f>
        <v>0</v>
      </c>
      <c r="DD102" s="177">
        <f>MAX((DD101*$N$100-SUM($P$102:DC102)),0)*CF!DD$13</f>
        <v>0</v>
      </c>
      <c r="DE102" s="177">
        <f>MAX((DE101*$N$100-SUM($P$102:DD102)),0)*CF!DE$13</f>
        <v>0</v>
      </c>
      <c r="DF102" s="177">
        <f>MAX((DF101*$N$100-SUM($P$102:DE102)),0)*CF!DF$13</f>
        <v>0</v>
      </c>
      <c r="DG102" s="177">
        <f>MAX((DG101*$N$100-SUM($P$102:DF102)),0)*CF!DG$13</f>
        <v>0</v>
      </c>
      <c r="DH102" s="177">
        <f>MAX((DH101*$N$100-SUM($P$102:DG102)),0)*CF!DH$13</f>
        <v>0</v>
      </c>
      <c r="DI102" s="177">
        <f>MAX((DI101*$N$100-SUM($P$102:DH102)),0)*CF!DI$13</f>
        <v>0</v>
      </c>
      <c r="DJ102" s="177">
        <f>MAX((DJ101*$N$100-SUM($P$102:DI102)),0)*CF!DJ$13</f>
        <v>0</v>
      </c>
      <c r="DK102" s="177">
        <f>MAX((DK101*$N$100-SUM($P$102:DJ102)),0)*CF!DK$13</f>
        <v>0</v>
      </c>
      <c r="DL102" s="177">
        <f>MAX((DL101*$N$100-SUM($P$102:DK102)),0)*CF!DL$13</f>
        <v>0</v>
      </c>
      <c r="DM102" s="177">
        <f>MAX((DM101*$N$100-SUM($P$102:DL102)),0)*CF!DM$13</f>
        <v>0</v>
      </c>
      <c r="DN102" s="177">
        <f>MAX((DN101*$N$100-SUM($P$102:DM102)),0)*CF!DN$13</f>
        <v>0</v>
      </c>
      <c r="DO102" s="177">
        <f>MAX((DO101*$N$100-SUM($P$102:DN102)),0)*CF!DO$13</f>
        <v>0</v>
      </c>
      <c r="DP102" s="177">
        <f>MAX((DP101*$N$100-SUM($P$102:DO102)),0)*CF!DP$13</f>
        <v>0</v>
      </c>
      <c r="DQ102" s="42"/>
    </row>
    <row r="103" spans="1:121" x14ac:dyDescent="0.2">
      <c r="C103" s="39"/>
      <c r="D103" s="39"/>
      <c r="E103" s="39"/>
      <c r="F103" s="39"/>
      <c r="G103" s="39"/>
      <c r="H103" s="39"/>
      <c r="I103" s="39"/>
      <c r="J103" s="39"/>
      <c r="N103" s="63"/>
      <c r="O103" s="39"/>
      <c r="P103" s="39"/>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42"/>
    </row>
    <row r="104" spans="1:121" x14ac:dyDescent="0.2">
      <c r="C104" s="39"/>
      <c r="D104" s="39"/>
      <c r="E104" s="39"/>
      <c r="F104" s="39"/>
      <c r="G104" s="39"/>
      <c r="H104" s="39"/>
      <c r="I104" s="39"/>
      <c r="J104" s="39"/>
      <c r="N104" s="63"/>
      <c r="O104" s="39"/>
      <c r="P104" s="39"/>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42"/>
    </row>
    <row r="105" spans="1:121" x14ac:dyDescent="0.2">
      <c r="C105" s="39" t="s">
        <v>277</v>
      </c>
      <c r="D105" s="39"/>
      <c r="E105" s="39"/>
      <c r="F105" s="39"/>
      <c r="G105" s="39"/>
      <c r="H105" s="39"/>
      <c r="I105" s="39"/>
      <c r="J105" s="39"/>
      <c r="K105" s="657" t="s">
        <v>63</v>
      </c>
      <c r="N105" s="63">
        <f>SUM(Q105:DQ105)</f>
        <v>0</v>
      </c>
      <c r="O105" s="39"/>
      <c r="P105" s="26"/>
      <c r="Q105" s="35"/>
      <c r="R105" s="35"/>
      <c r="S105" s="35">
        <f t="shared" ref="S105:AO105" si="88">S102+S97+S92+S87+S82</f>
        <v>0</v>
      </c>
      <c r="T105" s="35">
        <f t="shared" si="88"/>
        <v>0</v>
      </c>
      <c r="U105" s="35">
        <f t="shared" si="88"/>
        <v>0</v>
      </c>
      <c r="V105" s="35">
        <f t="shared" si="88"/>
        <v>0</v>
      </c>
      <c r="W105" s="35">
        <f t="shared" si="88"/>
        <v>0</v>
      </c>
      <c r="X105" s="35">
        <f t="shared" si="88"/>
        <v>0</v>
      </c>
      <c r="Y105" s="35">
        <f t="shared" si="88"/>
        <v>0</v>
      </c>
      <c r="Z105" s="35">
        <f t="shared" si="88"/>
        <v>0</v>
      </c>
      <c r="AA105" s="35">
        <f t="shared" si="88"/>
        <v>0</v>
      </c>
      <c r="AB105" s="35">
        <f t="shared" si="88"/>
        <v>0</v>
      </c>
      <c r="AC105" s="35">
        <f t="shared" si="88"/>
        <v>0</v>
      </c>
      <c r="AD105" s="35">
        <f t="shared" si="88"/>
        <v>0</v>
      </c>
      <c r="AE105" s="35">
        <f t="shared" si="88"/>
        <v>0</v>
      </c>
      <c r="AF105" s="35">
        <f t="shared" si="88"/>
        <v>0</v>
      </c>
      <c r="AG105" s="35">
        <f t="shared" si="88"/>
        <v>0</v>
      </c>
      <c r="AH105" s="35">
        <f t="shared" si="88"/>
        <v>0</v>
      </c>
      <c r="AI105" s="35">
        <f t="shared" si="88"/>
        <v>0</v>
      </c>
      <c r="AJ105" s="35">
        <f t="shared" si="88"/>
        <v>0</v>
      </c>
      <c r="AK105" s="35">
        <f t="shared" si="88"/>
        <v>0</v>
      </c>
      <c r="AL105" s="35">
        <f t="shared" si="88"/>
        <v>0</v>
      </c>
      <c r="AM105" s="35">
        <f t="shared" si="88"/>
        <v>0</v>
      </c>
      <c r="AN105" s="35">
        <f t="shared" si="88"/>
        <v>0</v>
      </c>
      <c r="AO105" s="35">
        <f t="shared" si="88"/>
        <v>0</v>
      </c>
      <c r="AP105" s="35">
        <f t="shared" ref="AP105:BU105" si="89">AP102+AP97+AP92+AP87+AP82</f>
        <v>0</v>
      </c>
      <c r="AQ105" s="35">
        <f t="shared" si="89"/>
        <v>0</v>
      </c>
      <c r="AR105" s="35">
        <f t="shared" si="89"/>
        <v>0</v>
      </c>
      <c r="AS105" s="35">
        <f t="shared" si="89"/>
        <v>0</v>
      </c>
      <c r="AT105" s="35">
        <f t="shared" si="89"/>
        <v>0</v>
      </c>
      <c r="AU105" s="35">
        <f t="shared" si="89"/>
        <v>0</v>
      </c>
      <c r="AV105" s="35">
        <f t="shared" si="89"/>
        <v>0</v>
      </c>
      <c r="AW105" s="35">
        <f t="shared" si="89"/>
        <v>0</v>
      </c>
      <c r="AX105" s="35">
        <f t="shared" si="89"/>
        <v>0</v>
      </c>
      <c r="AY105" s="35">
        <f t="shared" si="89"/>
        <v>0</v>
      </c>
      <c r="AZ105" s="35">
        <f t="shared" si="89"/>
        <v>0</v>
      </c>
      <c r="BA105" s="35">
        <f t="shared" si="89"/>
        <v>0</v>
      </c>
      <c r="BB105" s="35">
        <f t="shared" si="89"/>
        <v>0</v>
      </c>
      <c r="BC105" s="35">
        <f t="shared" si="89"/>
        <v>0</v>
      </c>
      <c r="BD105" s="35">
        <f t="shared" si="89"/>
        <v>0</v>
      </c>
      <c r="BE105" s="35">
        <f t="shared" si="89"/>
        <v>0</v>
      </c>
      <c r="BF105" s="35">
        <f t="shared" si="89"/>
        <v>0</v>
      </c>
      <c r="BG105" s="35">
        <f t="shared" si="89"/>
        <v>0</v>
      </c>
      <c r="BH105" s="35">
        <f t="shared" si="89"/>
        <v>0</v>
      </c>
      <c r="BI105" s="35">
        <f t="shared" si="89"/>
        <v>0</v>
      </c>
      <c r="BJ105" s="35">
        <f t="shared" si="89"/>
        <v>0</v>
      </c>
      <c r="BK105" s="35">
        <f t="shared" si="89"/>
        <v>0</v>
      </c>
      <c r="BL105" s="35">
        <f t="shared" si="89"/>
        <v>0</v>
      </c>
      <c r="BM105" s="35">
        <f t="shared" si="89"/>
        <v>0</v>
      </c>
      <c r="BN105" s="35">
        <f t="shared" si="89"/>
        <v>0</v>
      </c>
      <c r="BO105" s="35">
        <f t="shared" si="89"/>
        <v>0</v>
      </c>
      <c r="BP105" s="35">
        <f t="shared" si="89"/>
        <v>0</v>
      </c>
      <c r="BQ105" s="35">
        <f t="shared" si="89"/>
        <v>0</v>
      </c>
      <c r="BR105" s="35">
        <f t="shared" si="89"/>
        <v>0</v>
      </c>
      <c r="BS105" s="35">
        <f t="shared" si="89"/>
        <v>0</v>
      </c>
      <c r="BT105" s="35">
        <f t="shared" si="89"/>
        <v>0</v>
      </c>
      <c r="BU105" s="35">
        <f t="shared" si="89"/>
        <v>0</v>
      </c>
      <c r="BV105" s="35">
        <f t="shared" ref="BV105:DA105" si="90">BV102+BV97+BV92+BV87+BV82</f>
        <v>0</v>
      </c>
      <c r="BW105" s="35">
        <f t="shared" si="90"/>
        <v>0</v>
      </c>
      <c r="BX105" s="35">
        <f t="shared" si="90"/>
        <v>0</v>
      </c>
      <c r="BY105" s="35">
        <f t="shared" si="90"/>
        <v>0</v>
      </c>
      <c r="BZ105" s="35">
        <f t="shared" si="90"/>
        <v>0</v>
      </c>
      <c r="CA105" s="35">
        <f t="shared" si="90"/>
        <v>0</v>
      </c>
      <c r="CB105" s="35">
        <f t="shared" si="90"/>
        <v>0</v>
      </c>
      <c r="CC105" s="35">
        <f t="shared" si="90"/>
        <v>0</v>
      </c>
      <c r="CD105" s="35">
        <f t="shared" si="90"/>
        <v>0</v>
      </c>
      <c r="CE105" s="35">
        <f t="shared" si="90"/>
        <v>0</v>
      </c>
      <c r="CF105" s="35">
        <f t="shared" si="90"/>
        <v>0</v>
      </c>
      <c r="CG105" s="35">
        <f t="shared" si="90"/>
        <v>0</v>
      </c>
      <c r="CH105" s="35">
        <f t="shared" si="90"/>
        <v>0</v>
      </c>
      <c r="CI105" s="35">
        <f t="shared" si="90"/>
        <v>0</v>
      </c>
      <c r="CJ105" s="35">
        <f t="shared" si="90"/>
        <v>0</v>
      </c>
      <c r="CK105" s="35">
        <f t="shared" si="90"/>
        <v>0</v>
      </c>
      <c r="CL105" s="35">
        <f t="shared" si="90"/>
        <v>0</v>
      </c>
      <c r="CM105" s="35">
        <f t="shared" si="90"/>
        <v>0</v>
      </c>
      <c r="CN105" s="35">
        <f t="shared" si="90"/>
        <v>0</v>
      </c>
      <c r="CO105" s="35">
        <f t="shared" si="90"/>
        <v>0</v>
      </c>
      <c r="CP105" s="35">
        <f t="shared" si="90"/>
        <v>0</v>
      </c>
      <c r="CQ105" s="35">
        <f t="shared" si="90"/>
        <v>0</v>
      </c>
      <c r="CR105" s="35">
        <f t="shared" si="90"/>
        <v>0</v>
      </c>
      <c r="CS105" s="35">
        <f t="shared" si="90"/>
        <v>0</v>
      </c>
      <c r="CT105" s="35">
        <f t="shared" si="90"/>
        <v>0</v>
      </c>
      <c r="CU105" s="35">
        <f t="shared" si="90"/>
        <v>0</v>
      </c>
      <c r="CV105" s="35">
        <f t="shared" si="90"/>
        <v>0</v>
      </c>
      <c r="CW105" s="35">
        <f t="shared" si="90"/>
        <v>0</v>
      </c>
      <c r="CX105" s="35">
        <f t="shared" si="90"/>
        <v>0</v>
      </c>
      <c r="CY105" s="35">
        <f t="shared" si="90"/>
        <v>0</v>
      </c>
      <c r="CZ105" s="35">
        <f t="shared" si="90"/>
        <v>0</v>
      </c>
      <c r="DA105" s="35">
        <f t="shared" si="90"/>
        <v>0</v>
      </c>
      <c r="DB105" s="35">
        <f t="shared" ref="DB105:DP105" si="91">DB102+DB97+DB92+DB87+DB82</f>
        <v>0</v>
      </c>
      <c r="DC105" s="35">
        <f t="shared" si="91"/>
        <v>0</v>
      </c>
      <c r="DD105" s="35">
        <f t="shared" si="91"/>
        <v>0</v>
      </c>
      <c r="DE105" s="35">
        <f t="shared" si="91"/>
        <v>0</v>
      </c>
      <c r="DF105" s="35">
        <f t="shared" si="91"/>
        <v>0</v>
      </c>
      <c r="DG105" s="35">
        <f t="shared" si="91"/>
        <v>0</v>
      </c>
      <c r="DH105" s="35">
        <f t="shared" si="91"/>
        <v>0</v>
      </c>
      <c r="DI105" s="35">
        <f t="shared" si="91"/>
        <v>0</v>
      </c>
      <c r="DJ105" s="35">
        <f t="shared" si="91"/>
        <v>0</v>
      </c>
      <c r="DK105" s="35">
        <f t="shared" si="91"/>
        <v>0</v>
      </c>
      <c r="DL105" s="35">
        <f t="shared" si="91"/>
        <v>0</v>
      </c>
      <c r="DM105" s="35">
        <f t="shared" si="91"/>
        <v>0</v>
      </c>
      <c r="DN105" s="35">
        <f t="shared" si="91"/>
        <v>0</v>
      </c>
      <c r="DO105" s="35">
        <f t="shared" si="91"/>
        <v>0</v>
      </c>
      <c r="DP105" s="35">
        <f t="shared" si="91"/>
        <v>0</v>
      </c>
      <c r="DQ105" s="42"/>
    </row>
    <row r="106" spans="1:121" x14ac:dyDescent="0.2">
      <c r="A106" s="42"/>
      <c r="B106" s="42"/>
      <c r="C106" s="47" t="s">
        <v>278</v>
      </c>
      <c r="D106" s="47"/>
      <c r="E106" s="47"/>
      <c r="F106" s="47"/>
      <c r="G106" s="47"/>
      <c r="H106" s="47"/>
      <c r="I106" s="47"/>
      <c r="J106" s="47"/>
      <c r="K106" s="658" t="s">
        <v>63</v>
      </c>
      <c r="L106" s="47"/>
      <c r="M106" s="47"/>
      <c r="N106" s="715">
        <f>SUM(Q106:DQ106)</f>
        <v>-1030323.1768835471</v>
      </c>
      <c r="O106" s="48"/>
      <c r="P106" s="54"/>
      <c r="Q106" s="36"/>
      <c r="R106" s="36"/>
      <c r="S106" s="36">
        <f>-S105-S115</f>
        <v>-2499.9999999999964</v>
      </c>
      <c r="T106" s="36">
        <f t="shared" ref="T106:BJ106" si="92">-T105-T115</f>
        <v>-2277.8988766992275</v>
      </c>
      <c r="U106" s="36">
        <f t="shared" si="92"/>
        <v>-2075.5293169870438</v>
      </c>
      <c r="V106" s="36">
        <f t="shared" si="92"/>
        <v>-1891.1383598884436</v>
      </c>
      <c r="W106" s="36">
        <f t="shared" si="92"/>
        <v>-1986.6937647688851</v>
      </c>
      <c r="X106" s="36">
        <f t="shared" si="92"/>
        <v>-2087.0773914206857</v>
      </c>
      <c r="Y106" s="36">
        <f t="shared" si="92"/>
        <v>-2192.5332001462748</v>
      </c>
      <c r="Z106" s="36">
        <f t="shared" si="92"/>
        <v>-2303.3174780698355</v>
      </c>
      <c r="AA106" s="36">
        <f t="shared" si="92"/>
        <v>-2419.6994619867296</v>
      </c>
      <c r="AB106" s="36">
        <f t="shared" si="92"/>
        <v>-2534.0541314604457</v>
      </c>
      <c r="AC106" s="36">
        <f t="shared" si="92"/>
        <v>-2653.8131871547976</v>
      </c>
      <c r="AD106" s="36">
        <f t="shared" si="92"/>
        <v>-2779.2320396319978</v>
      </c>
      <c r="AE106" s="36">
        <f t="shared" si="92"/>
        <v>-2910.5781701229016</v>
      </c>
      <c r="AF106" s="36">
        <f t="shared" si="92"/>
        <v>-3048.1317009851755</v>
      </c>
      <c r="AG106" s="36">
        <f t="shared" si="92"/>
        <v>-4181.4704234191167</v>
      </c>
      <c r="AH106" s="36">
        <f t="shared" si="92"/>
        <v>-5736.2006032343297</v>
      </c>
      <c r="AI106" s="36">
        <f t="shared" si="92"/>
        <v>-7869.0015780718713</v>
      </c>
      <c r="AJ106" s="36">
        <f t="shared" si="92"/>
        <v>-10794.808291882895</v>
      </c>
      <c r="AK106" s="36">
        <f t="shared" si="92"/>
        <v>-14808.471557970681</v>
      </c>
      <c r="AL106" s="36">
        <f t="shared" si="92"/>
        <v>-15885.182431384857</v>
      </c>
      <c r="AM106" s="36">
        <f t="shared" si="92"/>
        <v>-17040.180000383381</v>
      </c>
      <c r="AN106" s="36">
        <f t="shared" si="92"/>
        <v>-18279.15642138154</v>
      </c>
      <c r="AO106" s="36">
        <f t="shared" si="92"/>
        <v>-19608.21772245461</v>
      </c>
      <c r="AP106" s="36">
        <f t="shared" si="92"/>
        <v>-21033.913895580296</v>
      </c>
      <c r="AQ106" s="36">
        <f t="shared" si="92"/>
        <v>-22373.869827988488</v>
      </c>
      <c r="AR106" s="36">
        <f t="shared" si="92"/>
        <v>-23799.187044545186</v>
      </c>
      <c r="AS106" s="36">
        <f t="shared" si="92"/>
        <v>-25315.303447091228</v>
      </c>
      <c r="AT106" s="36">
        <f t="shared" si="92"/>
        <v>-26928.00335653466</v>
      </c>
      <c r="AU106" s="36">
        <f t="shared" si="92"/>
        <v>-28643.439581320119</v>
      </c>
      <c r="AV106" s="36">
        <f t="shared" si="92"/>
        <v>-30412.757606163163</v>
      </c>
      <c r="AW106" s="36">
        <f t="shared" si="92"/>
        <v>-32291.36719370932</v>
      </c>
      <c r="AX106" s="36">
        <f t="shared" si="92"/>
        <v>-34286.019332480915</v>
      </c>
      <c r="AY106" s="36">
        <f t="shared" si="92"/>
        <v>-36403.882022569196</v>
      </c>
      <c r="AZ106" s="36">
        <f t="shared" si="92"/>
        <v>-38652.566034624673</v>
      </c>
      <c r="BA106" s="36">
        <f t="shared" si="92"/>
        <v>-41093.732865244885</v>
      </c>
      <c r="BB106" s="36">
        <f t="shared" si="92"/>
        <v>-43689.075630512794</v>
      </c>
      <c r="BC106" s="36">
        <f t="shared" si="92"/>
        <v>-46448.331566952489</v>
      </c>
      <c r="BD106" s="36">
        <f t="shared" si="92"/>
        <v>-49381.852882389132</v>
      </c>
      <c r="BE106" s="36">
        <f t="shared" si="92"/>
        <v>-52500.645595480142</v>
      </c>
      <c r="BF106" s="36">
        <f t="shared" si="92"/>
        <v>-56514.255532200972</v>
      </c>
      <c r="BG106" s="36">
        <f t="shared" si="92"/>
        <v>-60834.701023826499</v>
      </c>
      <c r="BH106" s="36">
        <f t="shared" si="92"/>
        <v>-65485.439272037511</v>
      </c>
      <c r="BI106" s="36">
        <f t="shared" si="92"/>
        <v>-70491.720752800975</v>
      </c>
      <c r="BJ106" s="36">
        <f t="shared" si="92"/>
        <v>-75880.726309988822</v>
      </c>
      <c r="BK106" s="36">
        <f t="shared" ref="BK106:BV106" si="93">-BK105</f>
        <v>0</v>
      </c>
      <c r="BL106" s="36">
        <f t="shared" si="93"/>
        <v>0</v>
      </c>
      <c r="BM106" s="36">
        <f t="shared" si="93"/>
        <v>0</v>
      </c>
      <c r="BN106" s="36">
        <f t="shared" si="93"/>
        <v>0</v>
      </c>
      <c r="BO106" s="36">
        <f t="shared" si="93"/>
        <v>0</v>
      </c>
      <c r="BP106" s="36">
        <f t="shared" si="93"/>
        <v>0</v>
      </c>
      <c r="BQ106" s="36">
        <f t="shared" si="93"/>
        <v>0</v>
      </c>
      <c r="BR106" s="36">
        <f t="shared" si="93"/>
        <v>0</v>
      </c>
      <c r="BS106" s="36">
        <f t="shared" si="93"/>
        <v>0</v>
      </c>
      <c r="BT106" s="36">
        <f t="shared" si="93"/>
        <v>0</v>
      </c>
      <c r="BU106" s="36">
        <f t="shared" si="93"/>
        <v>0</v>
      </c>
      <c r="BV106" s="36">
        <f t="shared" si="93"/>
        <v>0</v>
      </c>
      <c r="BW106" s="36">
        <f t="shared" ref="BW106:DP106" si="94">-BW105</f>
        <v>0</v>
      </c>
      <c r="BX106" s="36">
        <f t="shared" si="94"/>
        <v>0</v>
      </c>
      <c r="BY106" s="36">
        <f t="shared" si="94"/>
        <v>0</v>
      </c>
      <c r="BZ106" s="36">
        <f t="shared" si="94"/>
        <v>0</v>
      </c>
      <c r="CA106" s="36">
        <f t="shared" si="94"/>
        <v>0</v>
      </c>
      <c r="CB106" s="36">
        <f t="shared" si="94"/>
        <v>0</v>
      </c>
      <c r="CC106" s="36">
        <f t="shared" si="94"/>
        <v>0</v>
      </c>
      <c r="CD106" s="36">
        <f t="shared" si="94"/>
        <v>0</v>
      </c>
      <c r="CE106" s="36">
        <f t="shared" si="94"/>
        <v>0</v>
      </c>
      <c r="CF106" s="36">
        <f t="shared" si="94"/>
        <v>0</v>
      </c>
      <c r="CG106" s="36">
        <f t="shared" si="94"/>
        <v>0</v>
      </c>
      <c r="CH106" s="36">
        <f t="shared" si="94"/>
        <v>0</v>
      </c>
      <c r="CI106" s="36">
        <f t="shared" si="94"/>
        <v>0</v>
      </c>
      <c r="CJ106" s="36">
        <f t="shared" si="94"/>
        <v>0</v>
      </c>
      <c r="CK106" s="36">
        <f t="shared" si="94"/>
        <v>0</v>
      </c>
      <c r="CL106" s="36">
        <f t="shared" si="94"/>
        <v>0</v>
      </c>
      <c r="CM106" s="36">
        <f t="shared" si="94"/>
        <v>0</v>
      </c>
      <c r="CN106" s="36">
        <f t="shared" si="94"/>
        <v>0</v>
      </c>
      <c r="CO106" s="36">
        <f t="shared" si="94"/>
        <v>0</v>
      </c>
      <c r="CP106" s="36">
        <f t="shared" si="94"/>
        <v>0</v>
      </c>
      <c r="CQ106" s="36">
        <f t="shared" si="94"/>
        <v>0</v>
      </c>
      <c r="CR106" s="36">
        <f t="shared" si="94"/>
        <v>0</v>
      </c>
      <c r="CS106" s="36">
        <f t="shared" si="94"/>
        <v>0</v>
      </c>
      <c r="CT106" s="36">
        <f t="shared" si="94"/>
        <v>0</v>
      </c>
      <c r="CU106" s="36">
        <f t="shared" si="94"/>
        <v>0</v>
      </c>
      <c r="CV106" s="36">
        <f t="shared" si="94"/>
        <v>0</v>
      </c>
      <c r="CW106" s="36">
        <f t="shared" si="94"/>
        <v>0</v>
      </c>
      <c r="CX106" s="36">
        <f t="shared" si="94"/>
        <v>0</v>
      </c>
      <c r="CY106" s="36">
        <f t="shared" si="94"/>
        <v>0</v>
      </c>
      <c r="CZ106" s="36">
        <f t="shared" si="94"/>
        <v>0</v>
      </c>
      <c r="DA106" s="36">
        <f t="shared" si="94"/>
        <v>0</v>
      </c>
      <c r="DB106" s="36">
        <f t="shared" si="94"/>
        <v>0</v>
      </c>
      <c r="DC106" s="36">
        <f t="shared" si="94"/>
        <v>0</v>
      </c>
      <c r="DD106" s="36">
        <f t="shared" si="94"/>
        <v>0</v>
      </c>
      <c r="DE106" s="36">
        <f t="shared" si="94"/>
        <v>0</v>
      </c>
      <c r="DF106" s="36">
        <f t="shared" si="94"/>
        <v>0</v>
      </c>
      <c r="DG106" s="36">
        <f t="shared" si="94"/>
        <v>0</v>
      </c>
      <c r="DH106" s="36">
        <f t="shared" si="94"/>
        <v>0</v>
      </c>
      <c r="DI106" s="36">
        <f t="shared" si="94"/>
        <v>0</v>
      </c>
      <c r="DJ106" s="36">
        <f t="shared" si="94"/>
        <v>0</v>
      </c>
      <c r="DK106" s="36">
        <f t="shared" si="94"/>
        <v>0</v>
      </c>
      <c r="DL106" s="36">
        <f t="shared" si="94"/>
        <v>0</v>
      </c>
      <c r="DM106" s="36">
        <f t="shared" si="94"/>
        <v>0</v>
      </c>
      <c r="DN106" s="36">
        <f t="shared" si="94"/>
        <v>0</v>
      </c>
      <c r="DO106" s="36">
        <f t="shared" si="94"/>
        <v>0</v>
      </c>
      <c r="DP106" s="36">
        <f t="shared" si="94"/>
        <v>0</v>
      </c>
      <c r="DQ106" s="42"/>
    </row>
    <row r="107" spans="1:121" x14ac:dyDescent="0.2">
      <c r="A107" s="42"/>
      <c r="B107" s="42"/>
      <c r="C107" s="546"/>
      <c r="D107" s="546"/>
      <c r="E107" s="546"/>
      <c r="F107" s="546"/>
      <c r="G107" s="546"/>
      <c r="H107" s="546"/>
      <c r="I107" s="546"/>
      <c r="J107" s="546"/>
      <c r="K107" s="659"/>
      <c r="L107" s="546"/>
      <c r="M107" s="546"/>
      <c r="N107" s="54"/>
      <c r="O107" s="54"/>
      <c r="P107" s="54"/>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42"/>
    </row>
    <row r="108" spans="1:121" x14ac:dyDescent="0.2">
      <c r="A108" s="42"/>
      <c r="B108" s="42"/>
      <c r="C108" s="546"/>
      <c r="D108" s="546"/>
      <c r="E108" s="546"/>
      <c r="F108" s="546"/>
      <c r="G108" s="546"/>
      <c r="H108" s="546"/>
      <c r="I108" s="546"/>
      <c r="J108" s="546"/>
      <c r="K108" s="659"/>
      <c r="L108" s="546"/>
      <c r="M108" s="546"/>
      <c r="N108" s="54"/>
      <c r="O108" s="54"/>
      <c r="P108" s="54"/>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42"/>
    </row>
    <row r="109" spans="1:121" ht="15.75" x14ac:dyDescent="0.25">
      <c r="B109" s="119"/>
      <c r="C109" s="141" t="s">
        <v>480</v>
      </c>
      <c r="DQ109" s="42"/>
    </row>
    <row r="110" spans="1:121" x14ac:dyDescent="0.2">
      <c r="C110" s="180" t="s">
        <v>436</v>
      </c>
      <c r="R110" s="176"/>
      <c r="S110" s="176"/>
      <c r="T110" s="714">
        <f>+POWER(INDEX(Inputs!$L$46:$L55,S$6+1,1)/INDEX(Inputs!$L$46:$L$55,S$6,1),1/(INDEX(Inputs!$C$46:$C$55,S$6+1,1)-INDEX(Inputs!$C$46:$C$55,S$6,1)))-1</f>
        <v>-0.10889041498318597</v>
      </c>
      <c r="U110" s="714">
        <f>+POWER(INDEX(Inputs!$L$46:$L55,T$6+1,1)/INDEX(Inputs!$L$46:$L$55,T$6,1),1/(INDEX(Inputs!$C$46:$C$55,T$6+1,1)-INDEX(Inputs!$C$46:$C$55,T$6,1)))-1</f>
        <v>-0.10889041498318597</v>
      </c>
      <c r="V110" s="714">
        <f>+POWER(INDEX(Inputs!$L$46:$L55,U$6+1,1)/INDEX(Inputs!$L$46:$L$55,U$6,1),1/(INDEX(Inputs!$C$46:$C$55,U$6+1,1)-INDEX(Inputs!$C$46:$C$55,U$6,1)))-1</f>
        <v>-0.10889041498318597</v>
      </c>
      <c r="W110" s="714">
        <f>+POWER(INDEX(Inputs!$L$46:$L55,V$6+1,1)/INDEX(Inputs!$L$46:$L$55,V$6,1),1/(INDEX(Inputs!$C$46:$C$55,V$6+1,1)-INDEX(Inputs!$C$46:$C$55,V$6,1)))-1</f>
        <v>2.6909073247873394E-2</v>
      </c>
      <c r="X110" s="714">
        <f>+POWER(INDEX(Inputs!$L$46:$L55,W$6+1,1)/INDEX(Inputs!$L$46:$L$55,W$6,1),1/(INDEX(Inputs!$C$46:$C$55,W$6+1,1)-INDEX(Inputs!$C$46:$C$55,W$6,1)))-1</f>
        <v>2.6909073247873394E-2</v>
      </c>
      <c r="Y110" s="714">
        <f>+POWER(INDEX(Inputs!$L$46:$L55,X$6+1,1)/INDEX(Inputs!$L$46:$L$55,X$6,1),1/(INDEX(Inputs!$C$46:$C$55,X$6+1,1)-INDEX(Inputs!$C$46:$C$55,X$6,1)))-1</f>
        <v>2.6909073247873394E-2</v>
      </c>
      <c r="Z110" s="714">
        <f>+POWER(INDEX(Inputs!$L$46:$L55,Y$6+1,1)/INDEX(Inputs!$L$46:$L$55,Y$6,1),1/(INDEX(Inputs!$C$46:$C$55,Y$6+1,1)-INDEX(Inputs!$C$46:$C$55,Y$6,1)))-1</f>
        <v>2.6909073247873394E-2</v>
      </c>
      <c r="AA110" s="714">
        <f>+POWER(INDEX(Inputs!$L$46:$L55,Z$6+1,1)/INDEX(Inputs!$L$46:$L$55,Z$6,1),1/(INDEX(Inputs!$C$46:$C$55,Z$6+1,1)-INDEX(Inputs!$C$46:$C$55,Z$6,1)))-1</f>
        <v>2.6909073247873394E-2</v>
      </c>
      <c r="AB110" s="714">
        <f>+POWER(INDEX(Inputs!$L$46:$L55,AA$6+1,1)/INDEX(Inputs!$L$46:$L$55,AA$6,1),1/(INDEX(Inputs!$C$46:$C$55,AA$6+1,1)-INDEX(Inputs!$C$46:$C$55,AA$6,1)))-1</f>
        <v>2.3714432862184553E-2</v>
      </c>
      <c r="AC110" s="714">
        <f>+POWER(INDEX(Inputs!$L$46:$L55,AB$6+1,1)/INDEX(Inputs!$L$46:$L$55,AB$6,1),1/(INDEX(Inputs!$C$46:$C$55,AB$6+1,1)-INDEX(Inputs!$C$46:$C$55,AB$6,1)))-1</f>
        <v>2.3714432862184553E-2</v>
      </c>
      <c r="AD110" s="714">
        <f>+POWER(INDEX(Inputs!$L$46:$L55,AC$6+1,1)/INDEX(Inputs!$L$46:$L$55,AC$6,1),1/(INDEX(Inputs!$C$46:$C$55,AC$6+1,1)-INDEX(Inputs!$C$46:$C$55,AC$6,1)))-1</f>
        <v>2.3714432862184553E-2</v>
      </c>
      <c r="AE110" s="714">
        <f>+POWER(INDEX(Inputs!$L$46:$L55,AD$6+1,1)/INDEX(Inputs!$L$46:$L$55,AD$6,1),1/(INDEX(Inputs!$C$46:$C$55,AD$6+1,1)-INDEX(Inputs!$C$46:$C$55,AD$6,1)))-1</f>
        <v>2.3714432862184553E-2</v>
      </c>
      <c r="AF110" s="714">
        <f>+POWER(INDEX(Inputs!$L$46:$L55,AE$6+1,1)/INDEX(Inputs!$L$46:$L$55,AE$6,1),1/(INDEX(Inputs!$C$46:$C$55,AE$6+1,1)-INDEX(Inputs!$C$46:$C$55,AE$6,1)))-1</f>
        <v>2.3714432862184553E-2</v>
      </c>
      <c r="AG110" s="714">
        <f>+POWER(INDEX(Inputs!$L$46:$L55,AF$6+1,1)/INDEX(Inputs!$L$46:$L$55,AF$6,1),1/(INDEX(Inputs!$C$46:$C$55,AF$6+1,1)-INDEX(Inputs!$C$46:$C$55,AF$6,1)))-1</f>
        <v>0.34097187076966162</v>
      </c>
      <c r="AH110" s="714">
        <f>+POWER(INDEX(Inputs!$L$46:$L55,AG$6+1,1)/INDEX(Inputs!$L$46:$L$55,AG$6,1),1/(INDEX(Inputs!$C$46:$C$55,AG$6+1,1)-INDEX(Inputs!$C$46:$C$55,AG$6,1)))-1</f>
        <v>0.34097187076966162</v>
      </c>
      <c r="AI110" s="714">
        <f>+POWER(INDEX(Inputs!$L$46:$L55,AH$6+1,1)/INDEX(Inputs!$L$46:$L$55,AH$6,1),1/(INDEX(Inputs!$C$46:$C$55,AH$6+1,1)-INDEX(Inputs!$C$46:$C$55,AH$6,1)))-1</f>
        <v>0.34097187076966162</v>
      </c>
      <c r="AJ110" s="714">
        <f>+POWER(INDEX(Inputs!$L$46:$L55,AI$6+1,1)/INDEX(Inputs!$L$46:$L$55,AI$6,1),1/(INDEX(Inputs!$C$46:$C$55,AI$6+1,1)-INDEX(Inputs!$C$46:$C$55,AI$6,1)))-1</f>
        <v>0.34097187076966162</v>
      </c>
      <c r="AK110" s="714">
        <f>+POWER(INDEX(Inputs!$L$46:$L55,AJ$6+1,1)/INDEX(Inputs!$L$46:$L$55,AJ$6,1),1/(INDEX(Inputs!$C$46:$C$55,AJ$6+1,1)-INDEX(Inputs!$C$46:$C$55,AJ$6,1)))-1</f>
        <v>0.34097187076966162</v>
      </c>
      <c r="AL110" s="714">
        <f>+POWER(INDEX(Inputs!$L$46:$L55,AK$6+1,1)/INDEX(Inputs!$L$46:$L$55,AK$6,1),1/(INDEX(Inputs!$C$46:$C$55,AK$6+1,1)-INDEX(Inputs!$C$46:$C$55,AK$6,1)))-1</f>
        <v>4.8591511051533143E-2</v>
      </c>
      <c r="AM110" s="714">
        <f>+POWER(INDEX(Inputs!$L$46:$L55,AL$6+1,1)/INDEX(Inputs!$L$46:$L$55,AL$6,1),1/(INDEX(Inputs!$C$46:$C$55,AL$6+1,1)-INDEX(Inputs!$C$46:$C$55,AL$6,1)))-1</f>
        <v>4.8591511051533143E-2</v>
      </c>
      <c r="AN110" s="714">
        <f>+POWER(INDEX(Inputs!$L$46:$L55,AM$6+1,1)/INDEX(Inputs!$L$46:$L$55,AM$6,1),1/(INDEX(Inputs!$C$46:$C$55,AM$6+1,1)-INDEX(Inputs!$C$46:$C$55,AM$6,1)))-1</f>
        <v>4.8591511051533143E-2</v>
      </c>
      <c r="AO110" s="714">
        <f>+POWER(INDEX(Inputs!$L$46:$L55,AN$6+1,1)/INDEX(Inputs!$L$46:$L$55,AN$6,1),1/(INDEX(Inputs!$C$46:$C$55,AN$6+1,1)-INDEX(Inputs!$C$46:$C$55,AN$6,1)))-1</f>
        <v>4.8591511051533143E-2</v>
      </c>
      <c r="AP110" s="714">
        <f>+POWER(INDEX(Inputs!$L$46:$L55,AO$6+1,1)/INDEX(Inputs!$L$46:$L$55,AO$6,1),1/(INDEX(Inputs!$C$46:$C$55,AO$6+1,1)-INDEX(Inputs!$C$46:$C$55,AO$6,1)))-1</f>
        <v>4.8591511051533143E-2</v>
      </c>
      <c r="AQ110" s="714">
        <f>+POWER(INDEX(Inputs!$L$46:$L55,AP$6+1,1)/INDEX(Inputs!$L$46:$L$55,AP$6,1),1/(INDEX(Inputs!$C$46:$C$55,AP$6+1,1)-INDEX(Inputs!$C$46:$C$55,AP$6,1)))-1</f>
        <v>3.9789389893955862E-2</v>
      </c>
      <c r="AR110" s="714">
        <f>+POWER(INDEX(Inputs!$L$46:$L55,AQ$6+1,1)/INDEX(Inputs!$L$46:$L$55,AQ$6,1),1/(INDEX(Inputs!$C$46:$C$55,AQ$6+1,1)-INDEX(Inputs!$C$46:$C$55,AQ$6,1)))-1</f>
        <v>3.9789389893955862E-2</v>
      </c>
      <c r="AS110" s="714">
        <f>+POWER(INDEX(Inputs!$L$46:$L55,AR$6+1,1)/INDEX(Inputs!$L$46:$L$55,AR$6,1),1/(INDEX(Inputs!$C$46:$C$55,AR$6+1,1)-INDEX(Inputs!$C$46:$C$55,AR$6,1)))-1</f>
        <v>3.9789389893955862E-2</v>
      </c>
      <c r="AT110" s="714">
        <f>+POWER(INDEX(Inputs!$L$46:$L55,AS$6+1,1)/INDEX(Inputs!$L$46:$L$55,AS$6,1),1/(INDEX(Inputs!$C$46:$C$55,AS$6+1,1)-INDEX(Inputs!$C$46:$C$55,AS$6,1)))-1</f>
        <v>3.9789389893955862E-2</v>
      </c>
      <c r="AU110" s="714">
        <f>+POWER(INDEX(Inputs!$L$46:$L55,AT$6+1,1)/INDEX(Inputs!$L$46:$L$55,AT$6,1),1/(INDEX(Inputs!$C$46:$C$55,AT$6+1,1)-INDEX(Inputs!$C$46:$C$55,AT$6,1)))-1</f>
        <v>3.9789389893955862E-2</v>
      </c>
      <c r="AV110" s="714">
        <f>+POWER(INDEX(Inputs!$L$46:$L55,AU$6+1,1)/INDEX(Inputs!$L$46:$L$55,AU$6,1),1/(INDEX(Inputs!$C$46:$C$55,AU$6+1,1)-INDEX(Inputs!$C$46:$C$55,AU$6,1)))-1</f>
        <v>3.7898773747536474E-2</v>
      </c>
      <c r="AW110" s="714">
        <f>+POWER(INDEX(Inputs!$L$46:$L55,AV$6+1,1)/INDEX(Inputs!$L$46:$L$55,AV$6,1),1/(INDEX(Inputs!$C$46:$C$55,AV$6+1,1)-INDEX(Inputs!$C$46:$C$55,AV$6,1)))-1</f>
        <v>3.7898773747536474E-2</v>
      </c>
      <c r="AX110" s="714">
        <f>+POWER(INDEX(Inputs!$L$46:$L55,AW$6+1,1)/INDEX(Inputs!$L$46:$L$55,AW$6,1),1/(INDEX(Inputs!$C$46:$C$55,AW$6+1,1)-INDEX(Inputs!$C$46:$C$55,AW$6,1)))-1</f>
        <v>3.7898773747536474E-2</v>
      </c>
      <c r="AY110" s="714">
        <f>+POWER(INDEX(Inputs!$L$46:$L55,AX$6+1,1)/INDEX(Inputs!$L$46:$L$55,AX$6,1),1/(INDEX(Inputs!$C$46:$C$55,AX$6+1,1)-INDEX(Inputs!$C$46:$C$55,AX$6,1)))-1</f>
        <v>3.7898773747536474E-2</v>
      </c>
      <c r="AZ110" s="714">
        <f>+POWER(INDEX(Inputs!$L$46:$L55,AY$6+1,1)/INDEX(Inputs!$L$46:$L$55,AY$6,1),1/(INDEX(Inputs!$C$46:$C$55,AY$6+1,1)-INDEX(Inputs!$C$46:$C$55,AY$6,1)))-1</f>
        <v>3.7898773747536474E-2</v>
      </c>
      <c r="BA110" s="714">
        <f>+POWER(INDEX(Inputs!$L$46:$L55,AZ$6+1,1)/INDEX(Inputs!$L$46:$L$55,AZ$6,1),1/(INDEX(Inputs!$C$46:$C$55,AZ$6+1,1)-INDEX(Inputs!$C$46:$C$55,AZ$6,1)))-1</f>
        <v>3.9253818537245078E-2</v>
      </c>
      <c r="BB110" s="714">
        <f>+POWER(INDEX(Inputs!$L$46:$L55,BA$6+1,1)/INDEX(Inputs!$L$46:$L$55,BA$6,1),1/(INDEX(Inputs!$C$46:$C$55,BA$6+1,1)-INDEX(Inputs!$C$46:$C$55,BA$6,1)))-1</f>
        <v>3.9253818537245078E-2</v>
      </c>
      <c r="BC110" s="714">
        <f>+POWER(INDEX(Inputs!$L$46:$L55,BB$6+1,1)/INDEX(Inputs!$L$46:$L$55,BB$6,1),1/(INDEX(Inputs!$C$46:$C$55,BB$6+1,1)-INDEX(Inputs!$C$46:$C$55,BB$6,1)))-1</f>
        <v>3.9253818537245078E-2</v>
      </c>
      <c r="BD110" s="714">
        <f>+POWER(INDEX(Inputs!$L$46:$L55,BC$6+1,1)/INDEX(Inputs!$L$46:$L$55,BC$6,1),1/(INDEX(Inputs!$C$46:$C$55,BC$6+1,1)-INDEX(Inputs!$C$46:$C$55,BC$6,1)))-1</f>
        <v>3.9253818537245078E-2</v>
      </c>
      <c r="BE110" s="714">
        <f>+POWER(INDEX(Inputs!$L$46:$L55,BD$6+1,1)/INDEX(Inputs!$L$46:$L$55,BD$6,1),1/(INDEX(Inputs!$C$46:$C$55,BD$6+1,1)-INDEX(Inputs!$C$46:$C$55,BD$6,1)))-1</f>
        <v>3.9253818537245078E-2</v>
      </c>
      <c r="BF110" s="714">
        <f>+POWER(INDEX(Inputs!$L$46:$L55,BE$6+1,1)/INDEX(Inputs!$L$46:$L$55,BE$6,1),1/(INDEX(Inputs!$C$46:$C$55,BE$6+1,1)-INDEX(Inputs!$C$46:$C$55,BE$6,1)))-1</f>
        <v>5.2247089917395684E-2</v>
      </c>
      <c r="BG110" s="714">
        <f>+POWER(INDEX(Inputs!$L$46:$L55,BF$6+1,1)/INDEX(Inputs!$L$46:$L$55,BF$6,1),1/(INDEX(Inputs!$C$46:$C$55,BF$6+1,1)-INDEX(Inputs!$C$46:$C$55,BF$6,1)))-1</f>
        <v>5.2247089917395684E-2</v>
      </c>
      <c r="BH110" s="714">
        <f>+POWER(INDEX(Inputs!$L$46:$L55,BG$6+1,1)/INDEX(Inputs!$L$46:$L$55,BG$6,1),1/(INDEX(Inputs!$C$46:$C$55,BG$6+1,1)-INDEX(Inputs!$C$46:$C$55,BG$6,1)))-1</f>
        <v>5.2247089917395684E-2</v>
      </c>
      <c r="BI110" s="714">
        <f>+POWER(INDEX(Inputs!$L$46:$L55,BH$6+1,1)/INDEX(Inputs!$L$46:$L$55,BH$6,1),1/(INDEX(Inputs!$C$46:$C$55,BH$6+1,1)-INDEX(Inputs!$C$46:$C$55,BH$6,1)))-1</f>
        <v>5.2247089917395684E-2</v>
      </c>
      <c r="BJ110" s="714">
        <f>+POWER(INDEX(Inputs!$L$46:$L55,BI$6+1,1)/INDEX(Inputs!$L$46:$L$55,BI$6,1),1/(INDEX(Inputs!$C$46:$C$55,BI$6+1,1)-INDEX(Inputs!$C$46:$C$55,BI$6,1)))-1</f>
        <v>5.2247089917395684E-2</v>
      </c>
      <c r="DQ110" s="42"/>
    </row>
    <row r="111" spans="1:121" s="61" customFormat="1" x14ac:dyDescent="0.2">
      <c r="C111" s="150" t="s">
        <v>281</v>
      </c>
      <c r="D111" s="150"/>
      <c r="E111" s="150"/>
      <c r="F111" s="150"/>
      <c r="G111" s="150"/>
      <c r="H111" s="713">
        <f>+Inputs!L15</f>
        <v>1</v>
      </c>
      <c r="I111" s="150"/>
      <c r="J111" s="150"/>
      <c r="K111" s="651" t="s">
        <v>63</v>
      </c>
      <c r="L111" s="150"/>
      <c r="M111" s="150"/>
      <c r="N111" s="29">
        <f>+SUM(Q111:BJ111)</f>
        <v>419492.93583926739</v>
      </c>
      <c r="O111" s="150"/>
      <c r="P111" s="151"/>
      <c r="Q111" s="152"/>
      <c r="R111" s="152"/>
      <c r="S111" s="152">
        <f t="shared" ref="S111:CB111" si="95">+CHOOSE($H$29,S112,S113)</f>
        <v>2084.9530497587298</v>
      </c>
      <c r="T111" s="152">
        <f t="shared" si="95"/>
        <v>1857.9216469500425</v>
      </c>
      <c r="U111" s="152">
        <f t="shared" si="95"/>
        <v>1655.6117878074081</v>
      </c>
      <c r="V111" s="152">
        <f t="shared" si="95"/>
        <v>1475.3315331820049</v>
      </c>
      <c r="W111" s="152">
        <f t="shared" si="95"/>
        <v>1515.0313374732968</v>
      </c>
      <c r="X111" s="152">
        <f t="shared" si="95"/>
        <v>1555.7994267061895</v>
      </c>
      <c r="Y111" s="152">
        <f t="shared" si="95"/>
        <v>1597.6645474384259</v>
      </c>
      <c r="Z111" s="152">
        <f t="shared" si="95"/>
        <v>1640.656219770977</v>
      </c>
      <c r="AA111" s="152">
        <f t="shared" si="95"/>
        <v>1684.8047581633728</v>
      </c>
      <c r="AB111" s="152">
        <f t="shared" si="95"/>
        <v>1724.758947486727</v>
      </c>
      <c r="AC111" s="152">
        <f t="shared" si="95"/>
        <v>1765.6606277503531</v>
      </c>
      <c r="AD111" s="152">
        <f t="shared" si="95"/>
        <v>1807.5322681645414</v>
      </c>
      <c r="AE111" s="152">
        <f t="shared" si="95"/>
        <v>1850.3968707841616</v>
      </c>
      <c r="AF111" s="152">
        <f t="shared" si="95"/>
        <v>1894.2779831447697</v>
      </c>
      <c r="AG111" s="152">
        <f t="shared" si="95"/>
        <v>2540.1734908154235</v>
      </c>
      <c r="AH111" s="152">
        <f t="shared" si="95"/>
        <v>3406.3011980582605</v>
      </c>
      <c r="AI111" s="152">
        <f t="shared" si="95"/>
        <v>4567.7540899651249</v>
      </c>
      <c r="AJ111" s="152">
        <f t="shared" si="95"/>
        <v>6125.229747236307</v>
      </c>
      <c r="AK111" s="152">
        <f t="shared" si="95"/>
        <v>8213.7607930454542</v>
      </c>
      <c r="AL111" s="152">
        <f t="shared" si="95"/>
        <v>8612.8798413953718</v>
      </c>
      <c r="AM111" s="152">
        <f t="shared" si="95"/>
        <v>9031.3926873940618</v>
      </c>
      <c r="AN111" s="152">
        <f t="shared" si="95"/>
        <v>9470.2417049743053</v>
      </c>
      <c r="AO111" s="152">
        <f t="shared" si="95"/>
        <v>9930.4150594422536</v>
      </c>
      <c r="AP111" s="152">
        <f t="shared" si="95"/>
        <v>10412.948932549451</v>
      </c>
      <c r="AQ111" s="152">
        <f t="shared" si="95"/>
        <v>10827.273817572512</v>
      </c>
      <c r="AR111" s="152">
        <f t="shared" si="95"/>
        <v>11258.084436988524</v>
      </c>
      <c r="AS111" s="152">
        <f t="shared" si="95"/>
        <v>11706.036748110937</v>
      </c>
      <c r="AT111" s="152">
        <f t="shared" si="95"/>
        <v>12171.812808394498</v>
      </c>
      <c r="AU111" s="152">
        <f t="shared" si="95"/>
        <v>12656.121813943959</v>
      </c>
      <c r="AV111" s="152">
        <f t="shared" si="95"/>
        <v>13135.773311091882</v>
      </c>
      <c r="AW111" s="152">
        <f t="shared" si="95"/>
        <v>13633.603011807882</v>
      </c>
      <c r="AX111" s="152">
        <f t="shared" si="95"/>
        <v>14150.29984771612</v>
      </c>
      <c r="AY111" s="152">
        <f t="shared" si="95"/>
        <v>14686.578860104513</v>
      </c>
      <c r="AZ111" s="152">
        <f t="shared" si="95"/>
        <v>15243.182189448969</v>
      </c>
      <c r="BA111" s="152">
        <f t="shared" si="95"/>
        <v>15841.535297043765</v>
      </c>
      <c r="BB111" s="152">
        <f t="shared" si="95"/>
        <v>16463.376048945283</v>
      </c>
      <c r="BC111" s="152">
        <f t="shared" si="95"/>
        <v>17109.626424881008</v>
      </c>
      <c r="BD111" s="152">
        <f t="shared" si="95"/>
        <v>17781.244595803339</v>
      </c>
      <c r="BE111" s="152">
        <f t="shared" si="95"/>
        <v>18479.226344533381</v>
      </c>
      <c r="BF111" s="152">
        <f t="shared" si="95"/>
        <v>19444.712144960125</v>
      </c>
      <c r="BG111" s="152">
        <f t="shared" si="95"/>
        <v>20460.641768815734</v>
      </c>
      <c r="BH111" s="152">
        <f t="shared" si="95"/>
        <v>21529.650759078671</v>
      </c>
      <c r="BI111" s="152">
        <f t="shared" si="95"/>
        <v>22654.512358178381</v>
      </c>
      <c r="BJ111" s="152">
        <f t="shared" si="95"/>
        <v>23838.144702390884</v>
      </c>
      <c r="BK111" s="152">
        <f t="shared" si="95"/>
        <v>0</v>
      </c>
      <c r="BL111" s="152">
        <f t="shared" si="95"/>
        <v>0</v>
      </c>
      <c r="BM111" s="152">
        <f t="shared" si="95"/>
        <v>0</v>
      </c>
      <c r="BN111" s="152">
        <f t="shared" si="95"/>
        <v>0</v>
      </c>
      <c r="BO111" s="152">
        <f t="shared" si="95"/>
        <v>0</v>
      </c>
      <c r="BP111" s="152">
        <f t="shared" si="95"/>
        <v>0</v>
      </c>
      <c r="BQ111" s="152">
        <f t="shared" si="95"/>
        <v>0</v>
      </c>
      <c r="BR111" s="152">
        <f t="shared" si="95"/>
        <v>0</v>
      </c>
      <c r="BS111" s="152">
        <f t="shared" si="95"/>
        <v>0</v>
      </c>
      <c r="BT111" s="152">
        <f t="shared" si="95"/>
        <v>0</v>
      </c>
      <c r="BU111" s="152">
        <f t="shared" si="95"/>
        <v>0</v>
      </c>
      <c r="BV111" s="152">
        <f t="shared" si="95"/>
        <v>0</v>
      </c>
      <c r="BW111" s="152">
        <f t="shared" si="95"/>
        <v>0</v>
      </c>
      <c r="BX111" s="152">
        <f t="shared" si="95"/>
        <v>0</v>
      </c>
      <c r="BY111" s="152">
        <f t="shared" si="95"/>
        <v>0</v>
      </c>
      <c r="BZ111" s="152">
        <f t="shared" si="95"/>
        <v>0</v>
      </c>
      <c r="CA111" s="152">
        <f t="shared" si="95"/>
        <v>0</v>
      </c>
      <c r="CB111" s="152">
        <f t="shared" si="95"/>
        <v>0</v>
      </c>
      <c r="CC111" s="152">
        <f t="shared" ref="CC111:DP111" si="96">+CHOOSE($H$29,CC112,CC113)</f>
        <v>0</v>
      </c>
      <c r="CD111" s="152">
        <f t="shared" si="96"/>
        <v>0</v>
      </c>
      <c r="CE111" s="152">
        <f t="shared" si="96"/>
        <v>0</v>
      </c>
      <c r="CF111" s="152">
        <f t="shared" si="96"/>
        <v>0</v>
      </c>
      <c r="CG111" s="152">
        <f t="shared" si="96"/>
        <v>0</v>
      </c>
      <c r="CH111" s="152">
        <f t="shared" si="96"/>
        <v>0</v>
      </c>
      <c r="CI111" s="152">
        <f t="shared" si="96"/>
        <v>0</v>
      </c>
      <c r="CJ111" s="152">
        <f t="shared" si="96"/>
        <v>0</v>
      </c>
      <c r="CK111" s="152">
        <f t="shared" si="96"/>
        <v>0</v>
      </c>
      <c r="CL111" s="152">
        <f t="shared" si="96"/>
        <v>0</v>
      </c>
      <c r="CM111" s="152">
        <f t="shared" si="96"/>
        <v>0</v>
      </c>
      <c r="CN111" s="152">
        <f t="shared" si="96"/>
        <v>0</v>
      </c>
      <c r="CO111" s="152">
        <f t="shared" si="96"/>
        <v>0</v>
      </c>
      <c r="CP111" s="152">
        <f t="shared" si="96"/>
        <v>0</v>
      </c>
      <c r="CQ111" s="152">
        <f t="shared" si="96"/>
        <v>0</v>
      </c>
      <c r="CR111" s="152">
        <f t="shared" si="96"/>
        <v>0</v>
      </c>
      <c r="CS111" s="152">
        <f t="shared" si="96"/>
        <v>0</v>
      </c>
      <c r="CT111" s="152">
        <f t="shared" si="96"/>
        <v>0</v>
      </c>
      <c r="CU111" s="152">
        <f t="shared" si="96"/>
        <v>0</v>
      </c>
      <c r="CV111" s="152">
        <f t="shared" si="96"/>
        <v>0</v>
      </c>
      <c r="CW111" s="152">
        <f t="shared" si="96"/>
        <v>0</v>
      </c>
      <c r="CX111" s="152">
        <f t="shared" si="96"/>
        <v>0</v>
      </c>
      <c r="CY111" s="152">
        <f t="shared" si="96"/>
        <v>0</v>
      </c>
      <c r="CZ111" s="152">
        <f t="shared" si="96"/>
        <v>0</v>
      </c>
      <c r="DA111" s="152">
        <f t="shared" si="96"/>
        <v>0</v>
      </c>
      <c r="DB111" s="152">
        <f t="shared" si="96"/>
        <v>0</v>
      </c>
      <c r="DC111" s="152">
        <f t="shared" si="96"/>
        <v>0</v>
      </c>
      <c r="DD111" s="152">
        <f t="shared" si="96"/>
        <v>0</v>
      </c>
      <c r="DE111" s="152">
        <f t="shared" si="96"/>
        <v>0</v>
      </c>
      <c r="DF111" s="152">
        <f t="shared" si="96"/>
        <v>0</v>
      </c>
      <c r="DG111" s="152">
        <f t="shared" si="96"/>
        <v>0</v>
      </c>
      <c r="DH111" s="152">
        <f t="shared" si="96"/>
        <v>0</v>
      </c>
      <c r="DI111" s="152">
        <f t="shared" si="96"/>
        <v>0</v>
      </c>
      <c r="DJ111" s="152">
        <f t="shared" si="96"/>
        <v>0</v>
      </c>
      <c r="DK111" s="152">
        <f t="shared" si="96"/>
        <v>0</v>
      </c>
      <c r="DL111" s="152">
        <f t="shared" si="96"/>
        <v>0</v>
      </c>
      <c r="DM111" s="152">
        <f t="shared" si="96"/>
        <v>0</v>
      </c>
      <c r="DN111" s="152">
        <f t="shared" si="96"/>
        <v>0</v>
      </c>
      <c r="DO111" s="152">
        <f t="shared" si="96"/>
        <v>0</v>
      </c>
      <c r="DP111" s="152">
        <f t="shared" si="96"/>
        <v>0</v>
      </c>
      <c r="DQ111" s="39"/>
    </row>
    <row r="112" spans="1:121" s="61" customFormat="1" x14ac:dyDescent="0.2">
      <c r="C112" s="61" t="s">
        <v>466</v>
      </c>
      <c r="K112" s="636"/>
      <c r="N112" s="65"/>
      <c r="Q112" s="126"/>
      <c r="R112" s="116"/>
      <c r="S112" s="116">
        <f>+IF(S$6&lt;&gt;R$6,INDEX(Inputs!$L$46:$L$55,S$6,1),R112*(1+S110))</f>
        <v>2084.9530497587298</v>
      </c>
      <c r="T112" s="116">
        <f>+IF(T$6&lt;&gt;S$6,INDEX(Inputs!$L$46:$L$55,T$6,1),S112*(1+T110))</f>
        <v>1857.9216469500425</v>
      </c>
      <c r="U112" s="116">
        <f>+IF(U$6&lt;&gt;T$6,INDEX(Inputs!$L$46:$L$55,U$6,1),T112*(1+U110))</f>
        <v>1655.6117878074081</v>
      </c>
      <c r="V112" s="116">
        <f>+IF(V$6&lt;&gt;U$6,INDEX(Inputs!$L$46:$L$55,V$6,1),U112*(1+V110))</f>
        <v>1475.3315331820049</v>
      </c>
      <c r="W112" s="116">
        <f>+IF(W$6&lt;&gt;V$6,INDEX(Inputs!$L$46:$L$55,W$6,1),V112*(1+W110))</f>
        <v>1515.0313374732968</v>
      </c>
      <c r="X112" s="116">
        <f>+IF(X$6&lt;&gt;W$6,INDEX(Inputs!$L$46:$L$55,X$6,1),W112*(1+X110))</f>
        <v>1555.7994267061895</v>
      </c>
      <c r="Y112" s="116">
        <f>+IF(Y$6&lt;&gt;X$6,INDEX(Inputs!$L$46:$L$55,Y$6,1),X112*(1+Y110))</f>
        <v>1597.6645474384259</v>
      </c>
      <c r="Z112" s="116">
        <f>+IF(Z$6&lt;&gt;Y$6,INDEX(Inputs!$L$46:$L$55,Z$6,1),Y112*(1+Z110))</f>
        <v>1640.656219770977</v>
      </c>
      <c r="AA112" s="116">
        <f>+IF(AA$6&lt;&gt;Z$6,INDEX(Inputs!$L$46:$L$55,AA$6,1),Z112*(1+AA110))</f>
        <v>1684.8047581633728</v>
      </c>
      <c r="AB112" s="116">
        <f>+IF(AB$6&lt;&gt;AA$6,INDEX(Inputs!$L$46:$L$55,AB$6,1),AA112*(1+AB110))</f>
        <v>1724.758947486727</v>
      </c>
      <c r="AC112" s="116">
        <f>+IF(AC$6&lt;&gt;AB$6,INDEX(Inputs!$L$46:$L$55,AC$6,1),AB112*(1+AC110))</f>
        <v>1765.6606277503531</v>
      </c>
      <c r="AD112" s="116">
        <f>+IF(AD$6&lt;&gt;AC$6,INDEX(Inputs!$L$46:$L$55,AD$6,1),AC112*(1+AD110))</f>
        <v>1807.5322681645414</v>
      </c>
      <c r="AE112" s="116">
        <f>+IF(AE$6&lt;&gt;AD$6,INDEX(Inputs!$L$46:$L$55,AE$6,1),AD112*(1+AE110))</f>
        <v>1850.3968707841616</v>
      </c>
      <c r="AF112" s="116">
        <f>+IF(AF$6&lt;&gt;AE$6,INDEX(Inputs!$L$46:$L$55,AF$6,1),AE112*(1+AF110))</f>
        <v>1894.2779831447697</v>
      </c>
      <c r="AG112" s="116">
        <f>+IF(AG$6&lt;&gt;AF$6,INDEX(Inputs!$L$46:$L$55,AG$6,1),AF112*(1+AG110))</f>
        <v>2540.1734908154235</v>
      </c>
      <c r="AH112" s="116">
        <f>+IF(AH$6&lt;&gt;AG$6,INDEX(Inputs!$L$46:$L$55,AH$6,1),AG112*(1+AH110))</f>
        <v>3406.3011980582605</v>
      </c>
      <c r="AI112" s="116">
        <f>+IF(AI$6&lt;&gt;AH$6,INDEX(Inputs!$L$46:$L$55,AI$6,1),AH112*(1+AI110))</f>
        <v>4567.7540899651249</v>
      </c>
      <c r="AJ112" s="116">
        <f>+IF(AJ$6&lt;&gt;AI$6,INDEX(Inputs!$L$46:$L$55,AJ$6,1),AI112*(1+AJ110))</f>
        <v>6125.229747236307</v>
      </c>
      <c r="AK112" s="116">
        <f>+IF(AK$6&lt;&gt;AJ$6,INDEX(Inputs!$L$46:$L$55,AK$6,1),AJ112*(1+AK110))</f>
        <v>8213.7607930454542</v>
      </c>
      <c r="AL112" s="116">
        <f>+IF(AL$6&lt;&gt;AK$6,INDEX(Inputs!$L$46:$L$55,AL$6,1),AK112*(1+AL110))</f>
        <v>8612.8798413953718</v>
      </c>
      <c r="AM112" s="116">
        <f>+IF(AM$6&lt;&gt;AL$6,INDEX(Inputs!$L$46:$L$55,AM$6,1),AL112*(1+AM110))</f>
        <v>9031.3926873940618</v>
      </c>
      <c r="AN112" s="116">
        <f>+IF(AN$6&lt;&gt;AM$6,INDEX(Inputs!$L$46:$L$55,AN$6,1),AM112*(1+AN110))</f>
        <v>9470.2417049743053</v>
      </c>
      <c r="AO112" s="116">
        <f>+IF(AO$6&lt;&gt;AN$6,INDEX(Inputs!$L$46:$L$55,AO$6,1),AN112*(1+AO110))</f>
        <v>9930.4150594422536</v>
      </c>
      <c r="AP112" s="116">
        <f>+IF(AP$6&lt;&gt;AO$6,INDEX(Inputs!$L$46:$L$55,AP$6,1),AO112*(1+AP110))</f>
        <v>10412.948932549451</v>
      </c>
      <c r="AQ112" s="116">
        <f>+IF(AQ$6&lt;&gt;AP$6,INDEX(Inputs!$L$46:$L$55,AQ$6,1),AP112*(1+AQ110))</f>
        <v>10827.273817572512</v>
      </c>
      <c r="AR112" s="116">
        <f>+IF(AR$6&lt;&gt;AQ$6,INDEX(Inputs!$L$46:$L$55,AR$6,1),AQ112*(1+AR110))</f>
        <v>11258.084436988524</v>
      </c>
      <c r="AS112" s="116">
        <f>+IF(AS$6&lt;&gt;AR$6,INDEX(Inputs!$L$46:$L$55,AS$6,1),AR112*(1+AS110))</f>
        <v>11706.036748110937</v>
      </c>
      <c r="AT112" s="116">
        <f>+IF(AT$6&lt;&gt;AS$6,INDEX(Inputs!$L$46:$L$55,AT$6,1),AS112*(1+AT110))</f>
        <v>12171.812808394498</v>
      </c>
      <c r="AU112" s="116">
        <f>+IF(AU$6&lt;&gt;AT$6,INDEX(Inputs!$L$46:$L$55,AU$6,1),AT112*(1+AU110))</f>
        <v>12656.121813943959</v>
      </c>
      <c r="AV112" s="116">
        <f>+IF(AV$6&lt;&gt;AU$6,INDEX(Inputs!$L$46:$L$55,AV$6,1),AU112*(1+AV110))</f>
        <v>13135.773311091882</v>
      </c>
      <c r="AW112" s="116">
        <f>+IF(AW$6&lt;&gt;AV$6,INDEX(Inputs!$L$46:$L$55,AW$6,1),AV112*(1+AW110))</f>
        <v>13633.603011807882</v>
      </c>
      <c r="AX112" s="116">
        <f>+IF(AX$6&lt;&gt;AW$6,INDEX(Inputs!$L$46:$L$55,AX$6,1),AW112*(1+AX110))</f>
        <v>14150.29984771612</v>
      </c>
      <c r="AY112" s="116">
        <f>+IF(AY$6&lt;&gt;AX$6,INDEX(Inputs!$L$46:$L$55,AY$6,1),AX112*(1+AY110))</f>
        <v>14686.578860104513</v>
      </c>
      <c r="AZ112" s="116">
        <f>+IF(AZ$6&lt;&gt;AY$6,INDEX(Inputs!$L$46:$L$55,AZ$6,1),AY112*(1+AZ110))</f>
        <v>15243.182189448969</v>
      </c>
      <c r="BA112" s="116">
        <f>+IF(BA$6&lt;&gt;AZ$6,INDEX(Inputs!$L$46:$L$55,BA$6,1),AZ112*(1+BA110))</f>
        <v>15841.535297043765</v>
      </c>
      <c r="BB112" s="116">
        <f>+IF(BB$6&lt;&gt;BA$6,INDEX(Inputs!$L$46:$L$55,BB$6,1),BA112*(1+BB110))</f>
        <v>16463.376048945283</v>
      </c>
      <c r="BC112" s="116">
        <f>+IF(BC$6&lt;&gt;BB$6,INDEX(Inputs!$L$46:$L$55,BC$6,1),BB112*(1+BC110))</f>
        <v>17109.626424881008</v>
      </c>
      <c r="BD112" s="116">
        <f>+IF(BD$6&lt;&gt;BC$6,INDEX(Inputs!$L$46:$L$55,BD$6,1),BC112*(1+BD110))</f>
        <v>17781.244595803339</v>
      </c>
      <c r="BE112" s="116">
        <f>+IF(BE$6&lt;&gt;BD$6,INDEX(Inputs!$L$46:$L$55,BE$6,1),BD112*(1+BE110))</f>
        <v>18479.226344533381</v>
      </c>
      <c r="BF112" s="116">
        <f>+IF(BF$6&lt;&gt;BE$6,INDEX(Inputs!$L$46:$L$55,BF$6,1),BE112*(1+BF110))</f>
        <v>19444.712144960125</v>
      </c>
      <c r="BG112" s="116">
        <f>+IF(BG$6&lt;&gt;BF$6,INDEX(Inputs!$L$46:$L$55,BG$6,1),BF112*(1+BG110))</f>
        <v>20460.641768815734</v>
      </c>
      <c r="BH112" s="116">
        <f>+IF(BH$6&lt;&gt;BG$6,INDEX(Inputs!$L$46:$L$55,BH$6,1),BG112*(1+BH110))</f>
        <v>21529.650759078671</v>
      </c>
      <c r="BI112" s="116">
        <f>+IF(BI$6&lt;&gt;BH$6,INDEX(Inputs!$L$46:$L$55,BI$6,1),BH112*(1+BI110))</f>
        <v>22654.512358178381</v>
      </c>
      <c r="BJ112" s="116">
        <f>+IF(BJ$6&lt;&gt;BI$6,INDEX(Inputs!$L$46:$L$55,BJ$6,1),BI112*(1+BJ110))</f>
        <v>23838.144702390884</v>
      </c>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39"/>
    </row>
    <row r="113" spans="1:121" s="61" customFormat="1" x14ac:dyDescent="0.2">
      <c r="K113" s="636"/>
      <c r="N113" s="65"/>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c r="DK113" s="149"/>
      <c r="DL113" s="149"/>
      <c r="DM113" s="149"/>
      <c r="DN113" s="149"/>
      <c r="DO113" s="149"/>
      <c r="DP113" s="149"/>
      <c r="DQ113" s="39"/>
    </row>
    <row r="114" spans="1:121" x14ac:dyDescent="0.2">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c r="CZ114" s="134"/>
      <c r="DA114" s="134"/>
      <c r="DB114" s="134"/>
      <c r="DC114" s="134"/>
      <c r="DD114" s="134"/>
      <c r="DE114" s="134"/>
      <c r="DF114" s="134"/>
      <c r="DG114" s="134"/>
      <c r="DH114" s="134"/>
      <c r="DI114" s="134"/>
      <c r="DJ114" s="134"/>
      <c r="DK114" s="134"/>
      <c r="DL114" s="134"/>
      <c r="DM114" s="134"/>
      <c r="DN114" s="134"/>
      <c r="DO114" s="134"/>
      <c r="DP114" s="134"/>
      <c r="DQ114" s="133"/>
    </row>
    <row r="115" spans="1:121" s="130" customFormat="1" x14ac:dyDescent="0.2">
      <c r="A115" s="61"/>
      <c r="B115" s="61"/>
      <c r="C115" s="138" t="s">
        <v>286</v>
      </c>
      <c r="D115" s="138"/>
      <c r="E115" s="138"/>
      <c r="F115" s="138"/>
      <c r="G115" s="138"/>
      <c r="H115" s="138"/>
      <c r="I115" s="138"/>
      <c r="J115" s="138"/>
      <c r="K115" s="652" t="s">
        <v>63</v>
      </c>
      <c r="L115" s="138"/>
      <c r="M115" s="138"/>
      <c r="N115" s="712">
        <f>+SUM(Q115:BJ115)</f>
        <v>1030323.1768835471</v>
      </c>
      <c r="O115" s="138"/>
      <c r="P115" s="139"/>
      <c r="Q115" s="140"/>
      <c r="R115" s="129"/>
      <c r="S115" s="712">
        <f t="shared" ref="S115:BJ115" si="97">+S112*S25</f>
        <v>2499.9999999999964</v>
      </c>
      <c r="T115" s="712">
        <f t="shared" si="97"/>
        <v>2277.8988766992275</v>
      </c>
      <c r="U115" s="712">
        <f t="shared" si="97"/>
        <v>2075.5293169870438</v>
      </c>
      <c r="V115" s="712">
        <f t="shared" si="97"/>
        <v>1891.1383598884436</v>
      </c>
      <c r="W115" s="712">
        <f t="shared" si="97"/>
        <v>1986.6937647688851</v>
      </c>
      <c r="X115" s="712">
        <f t="shared" si="97"/>
        <v>2087.0773914206857</v>
      </c>
      <c r="Y115" s="712">
        <f t="shared" si="97"/>
        <v>2192.5332001462748</v>
      </c>
      <c r="Z115" s="712">
        <f t="shared" si="97"/>
        <v>2303.3174780698355</v>
      </c>
      <c r="AA115" s="712">
        <f t="shared" si="97"/>
        <v>2419.6994619867296</v>
      </c>
      <c r="AB115" s="712">
        <f t="shared" si="97"/>
        <v>2534.0541314604457</v>
      </c>
      <c r="AC115" s="712">
        <f t="shared" si="97"/>
        <v>2653.8131871547976</v>
      </c>
      <c r="AD115" s="712">
        <f t="shared" si="97"/>
        <v>2779.2320396319978</v>
      </c>
      <c r="AE115" s="712">
        <f t="shared" si="97"/>
        <v>2910.5781701229016</v>
      </c>
      <c r="AF115" s="712">
        <f t="shared" si="97"/>
        <v>3048.1317009851755</v>
      </c>
      <c r="AG115" s="712">
        <f t="shared" si="97"/>
        <v>4181.4704234191167</v>
      </c>
      <c r="AH115" s="712">
        <f t="shared" si="97"/>
        <v>5736.2006032343297</v>
      </c>
      <c r="AI115" s="712">
        <f t="shared" si="97"/>
        <v>7869.0015780718713</v>
      </c>
      <c r="AJ115" s="712">
        <f t="shared" si="97"/>
        <v>10794.808291882895</v>
      </c>
      <c r="AK115" s="712">
        <f t="shared" si="97"/>
        <v>14808.471557970681</v>
      </c>
      <c r="AL115" s="712">
        <f t="shared" si="97"/>
        <v>15885.182431384857</v>
      </c>
      <c r="AM115" s="712">
        <f t="shared" si="97"/>
        <v>17040.180000383381</v>
      </c>
      <c r="AN115" s="712">
        <f t="shared" si="97"/>
        <v>18279.15642138154</v>
      </c>
      <c r="AO115" s="712">
        <f t="shared" si="97"/>
        <v>19608.21772245461</v>
      </c>
      <c r="AP115" s="712">
        <f t="shared" si="97"/>
        <v>21033.913895580296</v>
      </c>
      <c r="AQ115" s="712">
        <f t="shared" si="97"/>
        <v>22373.869827988488</v>
      </c>
      <c r="AR115" s="712">
        <f t="shared" si="97"/>
        <v>23799.187044545186</v>
      </c>
      <c r="AS115" s="712">
        <f t="shared" si="97"/>
        <v>25315.303447091228</v>
      </c>
      <c r="AT115" s="712">
        <f t="shared" si="97"/>
        <v>26928.00335653466</v>
      </c>
      <c r="AU115" s="712">
        <f t="shared" si="97"/>
        <v>28643.439581320119</v>
      </c>
      <c r="AV115" s="712">
        <f t="shared" si="97"/>
        <v>30412.757606163163</v>
      </c>
      <c r="AW115" s="712">
        <f t="shared" si="97"/>
        <v>32291.36719370932</v>
      </c>
      <c r="AX115" s="712">
        <f t="shared" si="97"/>
        <v>34286.019332480915</v>
      </c>
      <c r="AY115" s="712">
        <f t="shared" si="97"/>
        <v>36403.882022569196</v>
      </c>
      <c r="AZ115" s="712">
        <f t="shared" si="97"/>
        <v>38652.566034624673</v>
      </c>
      <c r="BA115" s="712">
        <f t="shared" si="97"/>
        <v>41093.732865244885</v>
      </c>
      <c r="BB115" s="712">
        <f t="shared" si="97"/>
        <v>43689.075630512794</v>
      </c>
      <c r="BC115" s="712">
        <f t="shared" si="97"/>
        <v>46448.331566952489</v>
      </c>
      <c r="BD115" s="712">
        <f t="shared" si="97"/>
        <v>49381.852882389132</v>
      </c>
      <c r="BE115" s="712">
        <f t="shared" si="97"/>
        <v>52500.645595480142</v>
      </c>
      <c r="BF115" s="712">
        <f t="shared" si="97"/>
        <v>56514.255532200972</v>
      </c>
      <c r="BG115" s="712">
        <f t="shared" si="97"/>
        <v>60834.701023826499</v>
      </c>
      <c r="BH115" s="712">
        <f t="shared" si="97"/>
        <v>65485.439272037511</v>
      </c>
      <c r="BI115" s="712">
        <f t="shared" si="97"/>
        <v>70491.720752800975</v>
      </c>
      <c r="BJ115" s="712">
        <f t="shared" si="97"/>
        <v>75880.726309988822</v>
      </c>
      <c r="BK115" s="712">
        <f t="shared" ref="BK115:CC115" si="98">+BK111*BK107*BK93</f>
        <v>0</v>
      </c>
      <c r="BL115" s="712">
        <f t="shared" si="98"/>
        <v>0</v>
      </c>
      <c r="BM115" s="712">
        <f t="shared" si="98"/>
        <v>0</v>
      </c>
      <c r="BN115" s="712">
        <f t="shared" si="98"/>
        <v>0</v>
      </c>
      <c r="BO115" s="712">
        <f t="shared" si="98"/>
        <v>0</v>
      </c>
      <c r="BP115" s="712">
        <f t="shared" si="98"/>
        <v>0</v>
      </c>
      <c r="BQ115" s="712">
        <f t="shared" si="98"/>
        <v>0</v>
      </c>
      <c r="BR115" s="712">
        <f t="shared" si="98"/>
        <v>0</v>
      </c>
      <c r="BS115" s="712">
        <f t="shared" si="98"/>
        <v>0</v>
      </c>
      <c r="BT115" s="712">
        <f t="shared" si="98"/>
        <v>0</v>
      </c>
      <c r="BU115" s="712">
        <f t="shared" si="98"/>
        <v>0</v>
      </c>
      <c r="BV115" s="712">
        <f t="shared" si="98"/>
        <v>0</v>
      </c>
      <c r="BW115" s="712">
        <f t="shared" si="98"/>
        <v>0</v>
      </c>
      <c r="BX115" s="712">
        <f t="shared" si="98"/>
        <v>0</v>
      </c>
      <c r="BY115" s="712">
        <f t="shared" si="98"/>
        <v>0</v>
      </c>
      <c r="BZ115" s="712">
        <f t="shared" si="98"/>
        <v>0</v>
      </c>
      <c r="CA115" s="712">
        <f t="shared" si="98"/>
        <v>0</v>
      </c>
      <c r="CB115" s="712">
        <f t="shared" si="98"/>
        <v>0</v>
      </c>
      <c r="CC115" s="712">
        <f t="shared" si="98"/>
        <v>0</v>
      </c>
      <c r="CD115" s="712">
        <f t="shared" ref="CD115:DP115" si="99">+CD111*CD107*CD93</f>
        <v>0</v>
      </c>
      <c r="CE115" s="712">
        <f t="shared" si="99"/>
        <v>0</v>
      </c>
      <c r="CF115" s="712">
        <f t="shared" si="99"/>
        <v>0</v>
      </c>
      <c r="CG115" s="712">
        <f t="shared" si="99"/>
        <v>0</v>
      </c>
      <c r="CH115" s="712">
        <f t="shared" si="99"/>
        <v>0</v>
      </c>
      <c r="CI115" s="712">
        <f t="shared" si="99"/>
        <v>0</v>
      </c>
      <c r="CJ115" s="712">
        <f t="shared" si="99"/>
        <v>0</v>
      </c>
      <c r="CK115" s="712">
        <f t="shared" si="99"/>
        <v>0</v>
      </c>
      <c r="CL115" s="712">
        <f t="shared" si="99"/>
        <v>0</v>
      </c>
      <c r="CM115" s="712">
        <f t="shared" si="99"/>
        <v>0</v>
      </c>
      <c r="CN115" s="712">
        <f t="shared" si="99"/>
        <v>0</v>
      </c>
      <c r="CO115" s="712">
        <f t="shared" si="99"/>
        <v>0</v>
      </c>
      <c r="CP115" s="712">
        <f t="shared" si="99"/>
        <v>0</v>
      </c>
      <c r="CQ115" s="712">
        <f t="shared" si="99"/>
        <v>0</v>
      </c>
      <c r="CR115" s="712">
        <f t="shared" si="99"/>
        <v>0</v>
      </c>
      <c r="CS115" s="712">
        <f t="shared" si="99"/>
        <v>0</v>
      </c>
      <c r="CT115" s="712">
        <f t="shared" si="99"/>
        <v>0</v>
      </c>
      <c r="CU115" s="712">
        <f t="shared" si="99"/>
        <v>0</v>
      </c>
      <c r="CV115" s="712">
        <f t="shared" si="99"/>
        <v>0</v>
      </c>
      <c r="CW115" s="712">
        <f t="shared" si="99"/>
        <v>0</v>
      </c>
      <c r="CX115" s="712">
        <f t="shared" si="99"/>
        <v>0</v>
      </c>
      <c r="CY115" s="712">
        <f t="shared" si="99"/>
        <v>0</v>
      </c>
      <c r="CZ115" s="712">
        <f t="shared" si="99"/>
        <v>0</v>
      </c>
      <c r="DA115" s="712">
        <f t="shared" si="99"/>
        <v>0</v>
      </c>
      <c r="DB115" s="712">
        <f t="shared" si="99"/>
        <v>0</v>
      </c>
      <c r="DC115" s="712">
        <f t="shared" si="99"/>
        <v>0</v>
      </c>
      <c r="DD115" s="712">
        <f t="shared" si="99"/>
        <v>0</v>
      </c>
      <c r="DE115" s="712">
        <f t="shared" si="99"/>
        <v>0</v>
      </c>
      <c r="DF115" s="712">
        <f t="shared" si="99"/>
        <v>0</v>
      </c>
      <c r="DG115" s="712">
        <f t="shared" si="99"/>
        <v>0</v>
      </c>
      <c r="DH115" s="712">
        <f t="shared" si="99"/>
        <v>0</v>
      </c>
      <c r="DI115" s="712">
        <f t="shared" si="99"/>
        <v>0</v>
      </c>
      <c r="DJ115" s="712">
        <f t="shared" si="99"/>
        <v>0</v>
      </c>
      <c r="DK115" s="712">
        <f t="shared" si="99"/>
        <v>0</v>
      </c>
      <c r="DL115" s="712">
        <f t="shared" si="99"/>
        <v>0</v>
      </c>
      <c r="DM115" s="712">
        <f t="shared" si="99"/>
        <v>0</v>
      </c>
      <c r="DN115" s="712">
        <f t="shared" si="99"/>
        <v>0</v>
      </c>
      <c r="DO115" s="712">
        <f t="shared" si="99"/>
        <v>0</v>
      </c>
      <c r="DP115" s="712">
        <f t="shared" si="99"/>
        <v>0</v>
      </c>
      <c r="DQ115" s="39"/>
    </row>
    <row r="116" spans="1:121" x14ac:dyDescent="0.2">
      <c r="A116" s="42"/>
      <c r="B116" s="42"/>
      <c r="C116" s="546"/>
      <c r="D116" s="546"/>
      <c r="E116" s="546"/>
      <c r="F116" s="546"/>
      <c r="G116" s="546"/>
      <c r="H116" s="546"/>
      <c r="I116" s="546"/>
      <c r="J116" s="546"/>
      <c r="K116" s="659"/>
      <c r="L116" s="546"/>
      <c r="M116" s="546"/>
      <c r="N116" s="54"/>
      <c r="O116" s="54"/>
      <c r="P116" s="54"/>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42"/>
    </row>
    <row r="117" spans="1:121" x14ac:dyDescent="0.2">
      <c r="A117" s="42"/>
      <c r="B117" s="42"/>
      <c r="C117" s="546"/>
      <c r="D117" s="546"/>
      <c r="E117" s="546"/>
      <c r="F117" s="546"/>
      <c r="G117" s="546"/>
      <c r="H117" s="546"/>
      <c r="I117" s="546"/>
      <c r="J117" s="546"/>
      <c r="K117" s="659"/>
      <c r="L117" s="546"/>
      <c r="M117" s="546"/>
      <c r="N117" s="54"/>
      <c r="O117" s="54"/>
      <c r="P117" s="54"/>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42"/>
    </row>
    <row r="118" spans="1:121" x14ac:dyDescent="0.2">
      <c r="A118" s="42"/>
      <c r="B118" s="42"/>
      <c r="C118" s="546"/>
      <c r="D118" s="546"/>
      <c r="E118" s="546"/>
      <c r="F118" s="546"/>
      <c r="G118" s="546"/>
      <c r="H118" s="546"/>
      <c r="I118" s="546"/>
      <c r="J118" s="546"/>
      <c r="K118" s="659"/>
      <c r="L118" s="546"/>
      <c r="M118" s="546"/>
      <c r="N118" s="54"/>
      <c r="O118" s="54"/>
      <c r="P118" s="54"/>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42"/>
    </row>
    <row r="119" spans="1:121" x14ac:dyDescent="0.2">
      <c r="A119" s="42"/>
      <c r="B119" s="42"/>
      <c r="C119" s="546"/>
      <c r="D119" s="546"/>
      <c r="E119" s="546"/>
      <c r="F119" s="546"/>
      <c r="G119" s="546"/>
      <c r="H119" s="546"/>
      <c r="I119" s="546"/>
      <c r="J119" s="546"/>
      <c r="K119" s="659"/>
      <c r="L119" s="546"/>
      <c r="M119" s="546"/>
      <c r="N119" s="54"/>
      <c r="O119" s="54"/>
      <c r="P119" s="54"/>
      <c r="Q119" s="36"/>
      <c r="R119" s="36"/>
      <c r="S119" s="547"/>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42"/>
    </row>
    <row r="120" spans="1:121" x14ac:dyDescent="0.2">
      <c r="A120" s="42"/>
      <c r="B120" s="42"/>
      <c r="C120" s="546"/>
      <c r="D120" s="546"/>
      <c r="E120" s="546"/>
      <c r="F120" s="546"/>
      <c r="G120" s="546"/>
      <c r="H120" s="546"/>
      <c r="I120" s="546"/>
      <c r="J120" s="546"/>
      <c r="K120" s="659"/>
      <c r="L120" s="546"/>
      <c r="M120" s="546"/>
      <c r="N120" s="54"/>
      <c r="O120" s="54"/>
      <c r="P120" s="54"/>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42"/>
    </row>
    <row r="121" spans="1:121" x14ac:dyDescent="0.2">
      <c r="A121" s="42"/>
      <c r="B121" s="42"/>
      <c r="C121" s="546"/>
      <c r="D121" s="546"/>
      <c r="E121" s="546"/>
      <c r="F121" s="546"/>
      <c r="G121" s="546"/>
      <c r="H121" s="546"/>
      <c r="I121" s="546"/>
      <c r="J121" s="546"/>
      <c r="K121" s="659"/>
      <c r="L121" s="546"/>
      <c r="M121" s="546"/>
      <c r="N121" s="54"/>
      <c r="O121" s="54"/>
      <c r="P121" s="54"/>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42"/>
    </row>
    <row r="122" spans="1:121" x14ac:dyDescent="0.2">
      <c r="A122" s="42"/>
      <c r="B122" s="42"/>
      <c r="C122" s="546"/>
      <c r="D122" s="546"/>
      <c r="E122" s="546"/>
      <c r="F122" s="546"/>
      <c r="G122" s="546"/>
      <c r="H122" s="546"/>
      <c r="I122" s="546"/>
      <c r="J122" s="546"/>
      <c r="K122" s="659"/>
      <c r="L122" s="546"/>
      <c r="M122" s="546"/>
      <c r="N122" s="54"/>
      <c r="O122" s="54"/>
      <c r="P122" s="54"/>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42"/>
    </row>
    <row r="123" spans="1:121" x14ac:dyDescent="0.2">
      <c r="A123" s="42"/>
      <c r="B123" s="42"/>
      <c r="C123" s="546"/>
      <c r="D123" s="546"/>
      <c r="E123" s="546"/>
      <c r="F123" s="546"/>
      <c r="G123" s="546"/>
      <c r="H123" s="546"/>
      <c r="I123" s="546"/>
      <c r="J123" s="546"/>
      <c r="K123" s="659"/>
      <c r="L123" s="546"/>
      <c r="M123" s="546"/>
      <c r="N123" s="54"/>
      <c r="O123" s="54"/>
      <c r="P123" s="54"/>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42"/>
    </row>
    <row r="124" spans="1:121" x14ac:dyDescent="0.2">
      <c r="A124" s="42"/>
      <c r="B124" s="42"/>
      <c r="C124" s="546"/>
      <c r="D124" s="546"/>
      <c r="E124" s="546"/>
      <c r="F124" s="546"/>
      <c r="G124" s="546"/>
      <c r="H124" s="546"/>
      <c r="I124" s="546"/>
      <c r="J124" s="546"/>
      <c r="K124" s="659"/>
      <c r="L124" s="546"/>
      <c r="M124" s="546"/>
      <c r="N124" s="54"/>
      <c r="O124" s="54"/>
      <c r="P124" s="54"/>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42"/>
    </row>
    <row r="125" spans="1:121" x14ac:dyDescent="0.2">
      <c r="A125" s="42"/>
      <c r="B125" s="42"/>
      <c r="C125" s="546"/>
      <c r="D125" s="546"/>
      <c r="E125" s="546"/>
      <c r="F125" s="546"/>
      <c r="G125" s="546"/>
      <c r="H125" s="546"/>
      <c r="I125" s="546"/>
      <c r="J125" s="546"/>
      <c r="K125" s="659"/>
      <c r="L125" s="546"/>
      <c r="M125" s="546"/>
      <c r="N125" s="54"/>
      <c r="O125" s="54"/>
      <c r="P125" s="54"/>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42"/>
    </row>
    <row r="126" spans="1:121" x14ac:dyDescent="0.2">
      <c r="A126" s="42"/>
      <c r="B126" s="42"/>
      <c r="C126" s="546"/>
      <c r="D126" s="546"/>
      <c r="E126" s="546"/>
      <c r="F126" s="546"/>
      <c r="G126" s="546"/>
      <c r="H126" s="546"/>
      <c r="I126" s="546"/>
      <c r="J126" s="546"/>
      <c r="K126" s="659"/>
      <c r="L126" s="546"/>
      <c r="M126" s="546"/>
      <c r="N126" s="54"/>
      <c r="O126" s="54"/>
      <c r="P126" s="54"/>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42"/>
    </row>
    <row r="127" spans="1:121" x14ac:dyDescent="0.2">
      <c r="A127" s="42"/>
      <c r="B127" s="42"/>
      <c r="C127" s="546"/>
      <c r="D127" s="546"/>
      <c r="E127" s="546"/>
      <c r="F127" s="546"/>
      <c r="G127" s="546"/>
      <c r="H127" s="546"/>
      <c r="I127" s="546"/>
      <c r="J127" s="546"/>
      <c r="K127" s="659"/>
      <c r="L127" s="546"/>
      <c r="M127" s="546"/>
      <c r="N127" s="54"/>
      <c r="O127" s="54"/>
      <c r="P127" s="54"/>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42"/>
    </row>
    <row r="128" spans="1:121" x14ac:dyDescent="0.2">
      <c r="A128" s="42"/>
      <c r="B128" s="42"/>
      <c r="C128" s="546"/>
      <c r="D128" s="546"/>
      <c r="E128" s="546"/>
      <c r="F128" s="546"/>
      <c r="G128" s="546"/>
      <c r="H128" s="546"/>
      <c r="I128" s="546"/>
      <c r="J128" s="546"/>
      <c r="K128" s="659"/>
      <c r="L128" s="546"/>
      <c r="M128" s="546"/>
      <c r="N128" s="54"/>
      <c r="O128" s="54"/>
      <c r="P128" s="54"/>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42"/>
    </row>
    <row r="129" spans="3:121" x14ac:dyDescent="0.2">
      <c r="C129" s="39"/>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DQ129" s="42"/>
    </row>
    <row r="130" spans="3:121" hidden="1" x14ac:dyDescent="0.2"/>
    <row r="131" spans="3:121" hidden="1" x14ac:dyDescent="0.2"/>
    <row r="132" spans="3:121" hidden="1" x14ac:dyDescent="0.2"/>
    <row r="133" spans="3:121" hidden="1" x14ac:dyDescent="0.2"/>
    <row r="134" spans="3:121" hidden="1" x14ac:dyDescent="0.2"/>
    <row r="135" spans="3:121" hidden="1" x14ac:dyDescent="0.2"/>
    <row r="136" spans="3:121" hidden="1" x14ac:dyDescent="0.2"/>
    <row r="137" spans="3:121" hidden="1" x14ac:dyDescent="0.2"/>
    <row r="138" spans="3:121" hidden="1" x14ac:dyDescent="0.2"/>
    <row r="139" spans="3:121" x14ac:dyDescent="0.2"/>
  </sheetData>
  <sheetProtection algorithmName="SHA-512" hashValue="sBtEmr3ISxDNhfWDpM/UGjiUEqA+r3VUJdFGPh/P617Lm+AVweThxJqFWySf2gnUMxYf+3AvUDZJaTsAN7ocHA==" saltValue="NTBtNpltZPHjDc8gLSFZlw==" spinCount="100000" sheet="1" objects="1" scenarios="1"/>
  <customSheetViews>
    <customSheetView guid="{A171ABFC-BD20-4BE9-8F97-F532286F0C2D}" scale="70" showGridLines="0" hiddenColumns="1">
      <pane xSplit="15" ySplit="10" topLeftCell="Q11" activePane="bottomRight" state="frozen"/>
      <selection pane="bottomRight" activeCell="A39" sqref="A39:XFD39"/>
      <pageMargins left="0.7" right="0.7" top="0.75" bottom="0.75" header="0.3" footer="0.3"/>
      <pageSetup orientation="portrait" r:id="rId1"/>
    </customSheetView>
    <customSheetView guid="{5F88CBE0-3291-4A41-996B-A8A1DC273A84}" scale="70" showGridLines="0" hiddenColumns="1">
      <pane xSplit="15" ySplit="10" topLeftCell="Q62" activePane="bottomRight" state="frozen"/>
      <selection pane="bottomRight" activeCell="W79" sqref="W79"/>
      <pageMargins left="0.7" right="0.7" top="0.75" bottom="0.75" header="0.3" footer="0.3"/>
      <pageSetup orientation="portrait" r:id="rId2"/>
    </customSheetView>
  </customSheetViews>
  <conditionalFormatting sqref="F4">
    <cfRule type="cellIs" dxfId="43" priority="13" stopIfTrue="1" operator="equal">
      <formula>0</formula>
    </cfRule>
    <cfRule type="cellIs" dxfId="42" priority="14" stopIfTrue="1" operator="equal">
      <formula>1</formula>
    </cfRule>
  </conditionalFormatting>
  <pageMargins left="0.70866141732283472" right="0.70866141732283472" top="0.74803149606299213" bottom="0.74803149606299213" header="0.31496062992125984" footer="0.31496062992125984"/>
  <pageSetup paperSize="9" scale="29" orientation="landscape" r:id="rId3"/>
  <rowBreaks count="1" manualBreakCount="1">
    <brk id="129" max="61" man="1"/>
  </rowBreaks>
  <colBreaks count="1" manualBreakCount="1">
    <brk id="46" max="117" man="1"/>
  </colBreaks>
  <ignoredErrors>
    <ignoredError sqref="N65:N74" formulaRange="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U418"/>
  <sheetViews>
    <sheetView showGridLines="0" view="pageBreakPreview" zoomScale="70" zoomScaleNormal="70" zoomScaleSheetLayoutView="70" workbookViewId="0">
      <pane xSplit="15" ySplit="13" topLeftCell="P14" activePane="bottomRight" state="frozen"/>
      <selection pane="topRight" activeCell="P1" sqref="P1"/>
      <selection pane="bottomLeft" activeCell="A15" sqref="A15"/>
      <selection pane="bottomRight"/>
    </sheetView>
  </sheetViews>
  <sheetFormatPr baseColWidth="10" defaultColWidth="0" defaultRowHeight="12.75" zeroHeight="1" x14ac:dyDescent="0.2"/>
  <cols>
    <col min="1" max="2" width="1.85546875" style="185" customWidth="1"/>
    <col min="3" max="5" width="9.140625" style="185" customWidth="1"/>
    <col min="6" max="6" width="19" style="185" customWidth="1"/>
    <col min="7" max="7" width="14.42578125" style="185" customWidth="1"/>
    <col min="8" max="8" width="9.140625" style="185" customWidth="1"/>
    <col min="9" max="10" width="2.7109375" style="185" customWidth="1"/>
    <col min="11" max="11" width="9.7109375" style="619" bestFit="1" customWidth="1"/>
    <col min="12" max="13" width="11.28515625" style="185" customWidth="1"/>
    <col min="14" max="14" width="15.140625" style="185" customWidth="1"/>
    <col min="15" max="16" width="3.85546875" style="185" customWidth="1"/>
    <col min="17" max="55" width="11.7109375" style="185" customWidth="1"/>
    <col min="56" max="56" width="12.85546875" style="185" bestFit="1" customWidth="1"/>
    <col min="57" max="62" width="11.7109375" style="185" customWidth="1"/>
    <col min="63" max="74" width="11.7109375" style="185" hidden="1" customWidth="1"/>
    <col min="75" max="16384" width="0" style="185" hidden="1"/>
  </cols>
  <sheetData>
    <row r="1" spans="1:73" x14ac:dyDescent="0.2">
      <c r="A1" s="186"/>
      <c r="B1" s="186"/>
      <c r="C1" s="186"/>
      <c r="D1" s="186"/>
      <c r="E1" s="186"/>
      <c r="F1" s="186"/>
      <c r="G1" s="186"/>
      <c r="H1" s="186"/>
      <c r="I1" s="186"/>
      <c r="J1" s="186"/>
      <c r="K1" s="367"/>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row>
    <row r="2" spans="1:73" x14ac:dyDescent="0.2">
      <c r="A2" s="186"/>
      <c r="B2" s="186"/>
      <c r="C2" s="186" t="s">
        <v>2</v>
      </c>
      <c r="D2" s="186"/>
      <c r="E2" s="186"/>
      <c r="F2" s="186" t="str">
        <f>+Inputs!$G$2</f>
        <v xml:space="preserve">LBJ Infrastructure Group LLC IH-635 Mananged Lanes Project </v>
      </c>
      <c r="G2" s="186"/>
      <c r="H2" s="186"/>
      <c r="I2" s="186"/>
      <c r="J2" s="186"/>
      <c r="K2" s="367"/>
      <c r="L2" s="186"/>
      <c r="M2" s="186"/>
      <c r="N2" s="367"/>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row>
    <row r="3" spans="1:73" ht="13.5" thickBot="1" x14ac:dyDescent="0.25">
      <c r="A3" s="186"/>
      <c r="B3" s="186"/>
      <c r="C3" s="186" t="s">
        <v>3</v>
      </c>
      <c r="D3" s="186"/>
      <c r="E3" s="186"/>
      <c r="F3" s="186" t="s">
        <v>441</v>
      </c>
      <c r="G3" s="186"/>
      <c r="H3" s="186"/>
      <c r="I3" s="186"/>
      <c r="J3" s="186"/>
      <c r="K3" s="367"/>
      <c r="L3" s="186"/>
      <c r="M3" s="186"/>
      <c r="N3" s="368"/>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row>
    <row r="4" spans="1:73" ht="13.5" thickBot="1" x14ac:dyDescent="0.25">
      <c r="A4" s="186"/>
      <c r="B4" s="186"/>
      <c r="C4" s="186" t="s">
        <v>4</v>
      </c>
      <c r="D4" s="186"/>
      <c r="E4" s="186"/>
      <c r="F4" s="191">
        <f ca="1">+Inputs!G4</f>
        <v>0</v>
      </c>
      <c r="G4" s="186"/>
      <c r="H4" s="186"/>
      <c r="I4" s="186"/>
      <c r="J4" s="186"/>
      <c r="K4" s="367"/>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row>
    <row r="5" spans="1:73" x14ac:dyDescent="0.2">
      <c r="A5" s="186"/>
      <c r="B5" s="186"/>
      <c r="C5" s="186"/>
      <c r="D5" s="186"/>
      <c r="E5" s="186"/>
      <c r="F5" s="369"/>
      <c r="G5" s="186"/>
      <c r="H5" s="186"/>
      <c r="I5" s="186"/>
      <c r="J5" s="186"/>
      <c r="K5" s="367"/>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row>
    <row r="6" spans="1:73" x14ac:dyDescent="0.2">
      <c r="A6" s="186"/>
      <c r="B6" s="186"/>
      <c r="C6" s="186"/>
      <c r="D6" s="186"/>
      <c r="E6" s="186"/>
      <c r="F6" s="186"/>
      <c r="G6" s="186"/>
      <c r="H6" s="186"/>
      <c r="I6" s="186"/>
      <c r="J6" s="186"/>
      <c r="K6" s="367"/>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row>
    <row r="7" spans="1:73" x14ac:dyDescent="0.2">
      <c r="A7" s="186"/>
      <c r="B7" s="186"/>
      <c r="C7" s="186" t="s">
        <v>19</v>
      </c>
      <c r="D7" s="186"/>
      <c r="E7" s="186"/>
      <c r="F7" s="186"/>
      <c r="G7" s="186"/>
      <c r="H7" s="186"/>
      <c r="I7" s="186"/>
      <c r="J7" s="186"/>
      <c r="K7" s="367"/>
      <c r="L7" s="186"/>
      <c r="M7" s="186"/>
      <c r="N7" s="186"/>
      <c r="O7" s="186"/>
      <c r="P7" s="186"/>
      <c r="Q7" s="186">
        <f>+Oper!Q7</f>
        <v>2016</v>
      </c>
      <c r="R7" s="186">
        <f>+Oper!R7</f>
        <v>2017</v>
      </c>
      <c r="S7" s="186">
        <f>+Oper!S7</f>
        <v>2018</v>
      </c>
      <c r="T7" s="186">
        <f>+Oper!T7</f>
        <v>2019</v>
      </c>
      <c r="U7" s="186">
        <f>+Oper!U7</f>
        <v>2020</v>
      </c>
      <c r="V7" s="186">
        <f>+Oper!V7</f>
        <v>2021</v>
      </c>
      <c r="W7" s="186">
        <f>+Oper!W7</f>
        <v>2022</v>
      </c>
      <c r="X7" s="186">
        <f>+Oper!X7</f>
        <v>2023</v>
      </c>
      <c r="Y7" s="186">
        <f>+Oper!Y7</f>
        <v>2024</v>
      </c>
      <c r="Z7" s="186">
        <f>+Oper!Z7</f>
        <v>2025</v>
      </c>
      <c r="AA7" s="186">
        <f>+Oper!AA7</f>
        <v>2026</v>
      </c>
      <c r="AB7" s="186">
        <f>+Oper!AB7</f>
        <v>2027</v>
      </c>
      <c r="AC7" s="186">
        <f>+Oper!AC7</f>
        <v>2028</v>
      </c>
      <c r="AD7" s="186">
        <f>+Oper!AD7</f>
        <v>2029</v>
      </c>
      <c r="AE7" s="186">
        <f>+Oper!AE7</f>
        <v>2030</v>
      </c>
      <c r="AF7" s="186">
        <f>+Oper!AF7</f>
        <v>2031</v>
      </c>
      <c r="AG7" s="186">
        <f>+Oper!AG7</f>
        <v>2032</v>
      </c>
      <c r="AH7" s="186">
        <f>+Oper!AH7</f>
        <v>2033</v>
      </c>
      <c r="AI7" s="186">
        <f>+Oper!AI7</f>
        <v>2034</v>
      </c>
      <c r="AJ7" s="186">
        <f>+Oper!AJ7</f>
        <v>2035</v>
      </c>
      <c r="AK7" s="186">
        <f>+Oper!AK7</f>
        <v>2036</v>
      </c>
      <c r="AL7" s="186">
        <f>+Oper!AL7</f>
        <v>2037</v>
      </c>
      <c r="AM7" s="186">
        <f>+Oper!AM7</f>
        <v>2038</v>
      </c>
      <c r="AN7" s="186">
        <f>+Oper!AN7</f>
        <v>2039</v>
      </c>
      <c r="AO7" s="186">
        <f>+Oper!AO7</f>
        <v>2040</v>
      </c>
      <c r="AP7" s="186">
        <f>+Oper!AP7</f>
        <v>2041</v>
      </c>
      <c r="AQ7" s="186">
        <f>+Oper!AQ7</f>
        <v>2042</v>
      </c>
      <c r="AR7" s="186">
        <f>+Oper!AR7</f>
        <v>2043</v>
      </c>
      <c r="AS7" s="186">
        <f>+Oper!AS7</f>
        <v>2044</v>
      </c>
      <c r="AT7" s="186">
        <f>+Oper!AT7</f>
        <v>2045</v>
      </c>
      <c r="AU7" s="186">
        <f>+Oper!AU7</f>
        <v>2046</v>
      </c>
      <c r="AV7" s="186">
        <f>+Oper!AV7</f>
        <v>2047</v>
      </c>
      <c r="AW7" s="186">
        <f>+Oper!AW7</f>
        <v>2048</v>
      </c>
      <c r="AX7" s="186">
        <f>+Oper!AX7</f>
        <v>2049</v>
      </c>
      <c r="AY7" s="186">
        <f>+Oper!AY7</f>
        <v>2050</v>
      </c>
      <c r="AZ7" s="186">
        <f>+Oper!AZ7</f>
        <v>2051</v>
      </c>
      <c r="BA7" s="186">
        <f>+Oper!BA7</f>
        <v>2052</v>
      </c>
      <c r="BB7" s="186">
        <f>+Oper!BB7</f>
        <v>2053</v>
      </c>
      <c r="BC7" s="186">
        <f>+Oper!BC7</f>
        <v>2054</v>
      </c>
      <c r="BD7" s="186">
        <f>+Oper!BD7</f>
        <v>2055</v>
      </c>
      <c r="BE7" s="186">
        <f>+Oper!BE7</f>
        <v>2056</v>
      </c>
      <c r="BF7" s="186">
        <f>+Oper!BF7</f>
        <v>2057</v>
      </c>
      <c r="BG7" s="186">
        <f>+Oper!BG7</f>
        <v>2058</v>
      </c>
      <c r="BH7" s="186">
        <f>+Oper!BH7</f>
        <v>2059</v>
      </c>
      <c r="BI7" s="186">
        <f>+Oper!BI7</f>
        <v>2060</v>
      </c>
      <c r="BJ7" s="186">
        <f>+Oper!BJ7</f>
        <v>2061</v>
      </c>
      <c r="BK7" s="186">
        <f>+Oper!BK7</f>
        <v>2062</v>
      </c>
      <c r="BL7" s="186">
        <f>+Oper!BL7</f>
        <v>2063</v>
      </c>
      <c r="BM7" s="186">
        <f>+Oper!BM7</f>
        <v>2064</v>
      </c>
      <c r="BN7" s="186">
        <f>+Oper!BN7</f>
        <v>2065</v>
      </c>
      <c r="BO7" s="186">
        <f>+Oper!BO7</f>
        <v>2066</v>
      </c>
      <c r="BP7" s="186">
        <f>+Oper!BP7</f>
        <v>2067</v>
      </c>
      <c r="BQ7" s="186">
        <f>+Oper!BQ7</f>
        <v>2068</v>
      </c>
      <c r="BR7" s="186">
        <f>+Oper!BR7</f>
        <v>2069</v>
      </c>
      <c r="BS7" s="186">
        <f>+Oper!BS7</f>
        <v>2070</v>
      </c>
      <c r="BT7" s="186">
        <f>+Oper!BT7</f>
        <v>2071</v>
      </c>
      <c r="BU7" s="186">
        <f>+Oper!BU7</f>
        <v>2072</v>
      </c>
    </row>
    <row r="8" spans="1:73" x14ac:dyDescent="0.2">
      <c r="A8" s="186"/>
      <c r="B8" s="186"/>
      <c r="C8" s="186" t="s">
        <v>46</v>
      </c>
      <c r="D8" s="186"/>
      <c r="E8" s="186"/>
      <c r="F8" s="186"/>
      <c r="G8" s="186"/>
      <c r="H8" s="186"/>
      <c r="I8" s="186"/>
      <c r="J8" s="186"/>
      <c r="K8" s="367"/>
      <c r="L8" s="186"/>
      <c r="M8" s="186"/>
      <c r="N8" s="186"/>
      <c r="O8" s="186"/>
      <c r="P8" s="186"/>
      <c r="Q8" s="370">
        <f>+Oper!Q8</f>
        <v>42370</v>
      </c>
      <c r="R8" s="370">
        <f>+Oper!R8</f>
        <v>42736</v>
      </c>
      <c r="S8" s="370">
        <f>+Oper!S8</f>
        <v>43101</v>
      </c>
      <c r="T8" s="370">
        <f>+Oper!T8</f>
        <v>43466</v>
      </c>
      <c r="U8" s="370">
        <f>+Oper!U8</f>
        <v>43831</v>
      </c>
      <c r="V8" s="370">
        <f>+Oper!V8</f>
        <v>44197</v>
      </c>
      <c r="W8" s="370">
        <f>+Oper!W8</f>
        <v>44562</v>
      </c>
      <c r="X8" s="370">
        <f>+Oper!X8</f>
        <v>44927</v>
      </c>
      <c r="Y8" s="370">
        <f>+Oper!Y8</f>
        <v>45292</v>
      </c>
      <c r="Z8" s="370">
        <f>+Oper!Z8</f>
        <v>45658</v>
      </c>
      <c r="AA8" s="370">
        <f>+Oper!AA8</f>
        <v>46023</v>
      </c>
      <c r="AB8" s="370">
        <f>+Oper!AB8</f>
        <v>46388</v>
      </c>
      <c r="AC8" s="370">
        <f>+Oper!AC8</f>
        <v>46753</v>
      </c>
      <c r="AD8" s="370">
        <f>+Oper!AD8</f>
        <v>47119</v>
      </c>
      <c r="AE8" s="370">
        <f>+Oper!AE8</f>
        <v>47484</v>
      </c>
      <c r="AF8" s="370">
        <f>+Oper!AF8</f>
        <v>47849</v>
      </c>
      <c r="AG8" s="370">
        <f>+Oper!AG8</f>
        <v>48214</v>
      </c>
      <c r="AH8" s="370">
        <f>+Oper!AH8</f>
        <v>48580</v>
      </c>
      <c r="AI8" s="370">
        <f>+Oper!AI8</f>
        <v>48945</v>
      </c>
      <c r="AJ8" s="370">
        <f>+Oper!AJ8</f>
        <v>49310</v>
      </c>
      <c r="AK8" s="370">
        <f>+Oper!AK8</f>
        <v>49675</v>
      </c>
      <c r="AL8" s="370">
        <f>+Oper!AL8</f>
        <v>50041</v>
      </c>
      <c r="AM8" s="370">
        <f>+Oper!AM8</f>
        <v>50406</v>
      </c>
      <c r="AN8" s="370">
        <f>+Oper!AN8</f>
        <v>50771</v>
      </c>
      <c r="AO8" s="370">
        <f>+Oper!AO8</f>
        <v>51136</v>
      </c>
      <c r="AP8" s="370">
        <f>+Oper!AP8</f>
        <v>51502</v>
      </c>
      <c r="AQ8" s="370">
        <f>+Oper!AQ8</f>
        <v>51867</v>
      </c>
      <c r="AR8" s="370">
        <f>+Oper!AR8</f>
        <v>52232</v>
      </c>
      <c r="AS8" s="370">
        <f>+Oper!AS8</f>
        <v>52597</v>
      </c>
      <c r="AT8" s="370">
        <f>+Oper!AT8</f>
        <v>52963</v>
      </c>
      <c r="AU8" s="370">
        <f>+Oper!AU8</f>
        <v>53328</v>
      </c>
      <c r="AV8" s="370">
        <f>+Oper!AV8</f>
        <v>53693</v>
      </c>
      <c r="AW8" s="370">
        <f>+Oper!AW8</f>
        <v>54058</v>
      </c>
      <c r="AX8" s="370">
        <f>+Oper!AX8</f>
        <v>54424</v>
      </c>
      <c r="AY8" s="370">
        <f>+Oper!AY8</f>
        <v>54789</v>
      </c>
      <c r="AZ8" s="370">
        <f>+Oper!AZ8</f>
        <v>55154</v>
      </c>
      <c r="BA8" s="370">
        <f>+Oper!BA8</f>
        <v>55519</v>
      </c>
      <c r="BB8" s="370">
        <f>+Oper!BB8</f>
        <v>55885</v>
      </c>
      <c r="BC8" s="370">
        <f>+Oper!BC8</f>
        <v>56250</v>
      </c>
      <c r="BD8" s="370">
        <f>+Oper!BD8</f>
        <v>56615</v>
      </c>
      <c r="BE8" s="370">
        <f>+Oper!BE8</f>
        <v>56980</v>
      </c>
      <c r="BF8" s="370">
        <f>+Oper!BF8</f>
        <v>57346</v>
      </c>
      <c r="BG8" s="370">
        <f>+Oper!BG8</f>
        <v>57711</v>
      </c>
      <c r="BH8" s="370">
        <f>+Oper!BH8</f>
        <v>58076</v>
      </c>
      <c r="BI8" s="370">
        <f>+Oper!BI8</f>
        <v>58441</v>
      </c>
      <c r="BJ8" s="370">
        <f>+Oper!BJ8</f>
        <v>58807</v>
      </c>
      <c r="BK8" s="370">
        <f>+Oper!BK8</f>
        <v>59172</v>
      </c>
      <c r="BL8" s="370">
        <f>+Oper!BL8</f>
        <v>59537</v>
      </c>
      <c r="BM8" s="370">
        <f>+Oper!BM8</f>
        <v>59902</v>
      </c>
      <c r="BN8" s="370">
        <f>+Oper!BN8</f>
        <v>60268</v>
      </c>
      <c r="BO8" s="370">
        <f>+Oper!BO8</f>
        <v>60633</v>
      </c>
      <c r="BP8" s="370">
        <f>+Oper!BP8</f>
        <v>60998</v>
      </c>
      <c r="BQ8" s="370">
        <f>+Oper!BQ8</f>
        <v>61363</v>
      </c>
      <c r="BR8" s="370">
        <f>+Oper!BR8</f>
        <v>61729</v>
      </c>
      <c r="BS8" s="370">
        <f>+Oper!BS8</f>
        <v>62094</v>
      </c>
      <c r="BT8" s="370">
        <f>+Oper!BT8</f>
        <v>62459</v>
      </c>
      <c r="BU8" s="370">
        <f>+Oper!BU8</f>
        <v>62824</v>
      </c>
    </row>
    <row r="9" spans="1:73" x14ac:dyDescent="0.2">
      <c r="A9" s="186"/>
      <c r="B9" s="186"/>
      <c r="C9" s="186" t="s">
        <v>47</v>
      </c>
      <c r="D9" s="186"/>
      <c r="E9" s="186"/>
      <c r="F9" s="186"/>
      <c r="G9" s="186"/>
      <c r="H9" s="186"/>
      <c r="I9" s="186"/>
      <c r="J9" s="186"/>
      <c r="K9" s="367"/>
      <c r="L9" s="186"/>
      <c r="M9" s="186"/>
      <c r="N9" s="186"/>
      <c r="O9" s="186"/>
      <c r="P9" s="186"/>
      <c r="Q9" s="370">
        <f>+Oper!Q9</f>
        <v>42735</v>
      </c>
      <c r="R9" s="370">
        <f>+Oper!R9</f>
        <v>43100</v>
      </c>
      <c r="S9" s="370">
        <f>+Oper!S9</f>
        <v>43465</v>
      </c>
      <c r="T9" s="370">
        <f>+Oper!T9</f>
        <v>43830</v>
      </c>
      <c r="U9" s="370">
        <f>+Oper!U9</f>
        <v>44196</v>
      </c>
      <c r="V9" s="370">
        <f>+Oper!V9</f>
        <v>44561</v>
      </c>
      <c r="W9" s="370">
        <f>+Oper!W9</f>
        <v>44926</v>
      </c>
      <c r="X9" s="370">
        <f>+Oper!X9</f>
        <v>45291</v>
      </c>
      <c r="Y9" s="370">
        <f>+Oper!Y9</f>
        <v>45657</v>
      </c>
      <c r="Z9" s="370">
        <f>+Oper!Z9</f>
        <v>46022</v>
      </c>
      <c r="AA9" s="370">
        <f>+Oper!AA9</f>
        <v>46387</v>
      </c>
      <c r="AB9" s="370">
        <f>+Oper!AB9</f>
        <v>46752</v>
      </c>
      <c r="AC9" s="370">
        <f>+Oper!AC9</f>
        <v>47118</v>
      </c>
      <c r="AD9" s="370">
        <f>+Oper!AD9</f>
        <v>47483</v>
      </c>
      <c r="AE9" s="370">
        <f>+Oper!AE9</f>
        <v>47848</v>
      </c>
      <c r="AF9" s="370">
        <f>+Oper!AF9</f>
        <v>48213</v>
      </c>
      <c r="AG9" s="370">
        <f>+Oper!AG9</f>
        <v>48579</v>
      </c>
      <c r="AH9" s="370">
        <f>+Oper!AH9</f>
        <v>48944</v>
      </c>
      <c r="AI9" s="370">
        <f>+Oper!AI9</f>
        <v>49309</v>
      </c>
      <c r="AJ9" s="370">
        <f>+Oper!AJ9</f>
        <v>49674</v>
      </c>
      <c r="AK9" s="370">
        <f>+Oper!AK9</f>
        <v>50040</v>
      </c>
      <c r="AL9" s="370">
        <f>+Oper!AL9</f>
        <v>50405</v>
      </c>
      <c r="AM9" s="370">
        <f>+Oper!AM9</f>
        <v>50770</v>
      </c>
      <c r="AN9" s="370">
        <f>+Oper!AN9</f>
        <v>51135</v>
      </c>
      <c r="AO9" s="370">
        <f>+Oper!AO9</f>
        <v>51501</v>
      </c>
      <c r="AP9" s="370">
        <f>+Oper!AP9</f>
        <v>51866</v>
      </c>
      <c r="AQ9" s="370">
        <f>+Oper!AQ9</f>
        <v>52231</v>
      </c>
      <c r="AR9" s="370">
        <f>+Oper!AR9</f>
        <v>52596</v>
      </c>
      <c r="AS9" s="370">
        <f>+Oper!AS9</f>
        <v>52962</v>
      </c>
      <c r="AT9" s="370">
        <f>+Oper!AT9</f>
        <v>53327</v>
      </c>
      <c r="AU9" s="370">
        <f>+Oper!AU9</f>
        <v>53692</v>
      </c>
      <c r="AV9" s="370">
        <f>+Oper!AV9</f>
        <v>54057</v>
      </c>
      <c r="AW9" s="370">
        <f>+Oper!AW9</f>
        <v>54423</v>
      </c>
      <c r="AX9" s="370">
        <f>+Oper!AX9</f>
        <v>54788</v>
      </c>
      <c r="AY9" s="370">
        <f>+Oper!AY9</f>
        <v>55153</v>
      </c>
      <c r="AZ9" s="370">
        <f>+Oper!AZ9</f>
        <v>55518</v>
      </c>
      <c r="BA9" s="370">
        <f>+Oper!BA9</f>
        <v>55884</v>
      </c>
      <c r="BB9" s="370">
        <f>+Oper!BB9</f>
        <v>56249</v>
      </c>
      <c r="BC9" s="370">
        <f>+Oper!BC9</f>
        <v>56614</v>
      </c>
      <c r="BD9" s="370">
        <f>+Oper!BD9</f>
        <v>56979</v>
      </c>
      <c r="BE9" s="370">
        <f>+Oper!BE9</f>
        <v>57345</v>
      </c>
      <c r="BF9" s="370">
        <f>+Oper!BF9</f>
        <v>57710</v>
      </c>
      <c r="BG9" s="370">
        <f>+Oper!BG9</f>
        <v>58075</v>
      </c>
      <c r="BH9" s="370">
        <f>+Oper!BH9</f>
        <v>58440</v>
      </c>
      <c r="BI9" s="370">
        <f>+Oper!BI9</f>
        <v>58806</v>
      </c>
      <c r="BJ9" s="370">
        <f>+Oper!BJ9</f>
        <v>59171</v>
      </c>
      <c r="BK9" s="370">
        <f>+Oper!BK9</f>
        <v>59536</v>
      </c>
      <c r="BL9" s="370">
        <f>+Oper!BL9</f>
        <v>59901</v>
      </c>
      <c r="BM9" s="370">
        <f>+Oper!BM9</f>
        <v>60267</v>
      </c>
      <c r="BN9" s="370">
        <f>+Oper!BN9</f>
        <v>60632</v>
      </c>
      <c r="BO9" s="370">
        <f>+Oper!BO9</f>
        <v>60997</v>
      </c>
      <c r="BP9" s="370">
        <f>+Oper!BP9</f>
        <v>61362</v>
      </c>
      <c r="BQ9" s="370">
        <f>+Oper!BQ9</f>
        <v>61728</v>
      </c>
      <c r="BR9" s="370">
        <f>+Oper!BR9</f>
        <v>62093</v>
      </c>
      <c r="BS9" s="370">
        <f>+Oper!BS9</f>
        <v>62458</v>
      </c>
      <c r="BT9" s="370">
        <f>+Oper!BT9</f>
        <v>62823</v>
      </c>
      <c r="BU9" s="370">
        <f>+Oper!BU9</f>
        <v>63189</v>
      </c>
    </row>
    <row r="10" spans="1:73" x14ac:dyDescent="0.2">
      <c r="A10" s="186"/>
      <c r="B10" s="186"/>
      <c r="C10" s="186"/>
      <c r="D10" s="186"/>
      <c r="E10" s="186"/>
      <c r="F10" s="186"/>
      <c r="G10" s="186"/>
      <c r="H10" s="186"/>
      <c r="I10" s="186"/>
      <c r="J10" s="186"/>
      <c r="K10" s="367" t="s">
        <v>48</v>
      </c>
      <c r="L10" s="188" t="s">
        <v>49</v>
      </c>
      <c r="M10" s="188"/>
      <c r="N10" s="188" t="s">
        <v>50</v>
      </c>
      <c r="O10" s="186"/>
      <c r="P10" s="186"/>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row>
    <row r="11" spans="1:73" x14ac:dyDescent="0.2">
      <c r="A11" s="186"/>
      <c r="B11" s="186"/>
      <c r="C11" s="186"/>
      <c r="D11" s="186"/>
      <c r="E11" s="186"/>
      <c r="F11" s="186"/>
      <c r="G11" s="186"/>
      <c r="H11" s="186"/>
      <c r="I11" s="186"/>
      <c r="J11" s="186"/>
      <c r="K11" s="367"/>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row>
    <row r="12" spans="1:73" x14ac:dyDescent="0.2">
      <c r="A12" s="186"/>
      <c r="B12" s="186"/>
      <c r="C12" s="186" t="s">
        <v>144</v>
      </c>
      <c r="D12" s="186"/>
      <c r="E12" s="186"/>
      <c r="F12" s="186"/>
      <c r="G12" s="186"/>
      <c r="H12" s="186"/>
      <c r="I12" s="186"/>
      <c r="J12" s="186"/>
      <c r="K12" s="367" t="s">
        <v>51</v>
      </c>
      <c r="L12" s="370"/>
      <c r="M12" s="370"/>
      <c r="N12" s="186"/>
      <c r="O12" s="186"/>
      <c r="P12" s="186"/>
      <c r="Q12" s="371">
        <f>+CF!Q13</f>
        <v>1</v>
      </c>
      <c r="R12" s="371">
        <f>+CF!R13</f>
        <v>1</v>
      </c>
      <c r="S12" s="371">
        <f>+CF!S13</f>
        <v>1</v>
      </c>
      <c r="T12" s="371">
        <f>+CF!T13</f>
        <v>1</v>
      </c>
      <c r="U12" s="371">
        <f>+CF!U13</f>
        <v>1</v>
      </c>
      <c r="V12" s="371">
        <f>+CF!V13</f>
        <v>1</v>
      </c>
      <c r="W12" s="371">
        <f>+CF!W13</f>
        <v>1</v>
      </c>
      <c r="X12" s="371">
        <f>+CF!X13</f>
        <v>1</v>
      </c>
      <c r="Y12" s="371">
        <f>+CF!Y13</f>
        <v>1</v>
      </c>
      <c r="Z12" s="371">
        <f>+CF!Z13</f>
        <v>1</v>
      </c>
      <c r="AA12" s="371">
        <f>+CF!AA13</f>
        <v>1</v>
      </c>
      <c r="AB12" s="371">
        <f>+CF!AB13</f>
        <v>1</v>
      </c>
      <c r="AC12" s="371">
        <f>+CF!AC13</f>
        <v>1</v>
      </c>
      <c r="AD12" s="371">
        <f>+CF!AD13</f>
        <v>1</v>
      </c>
      <c r="AE12" s="371">
        <f>+CF!AE13</f>
        <v>1</v>
      </c>
      <c r="AF12" s="371">
        <f>+CF!AF13</f>
        <v>1</v>
      </c>
      <c r="AG12" s="371">
        <f>+CF!AG13</f>
        <v>1</v>
      </c>
      <c r="AH12" s="371">
        <f>+CF!AH13</f>
        <v>1</v>
      </c>
      <c r="AI12" s="371">
        <f>+CF!AI13</f>
        <v>1</v>
      </c>
      <c r="AJ12" s="371">
        <f>+CF!AJ13</f>
        <v>1</v>
      </c>
      <c r="AK12" s="371">
        <f>+CF!AK13</f>
        <v>1</v>
      </c>
      <c r="AL12" s="371">
        <f>+CF!AL13</f>
        <v>1</v>
      </c>
      <c r="AM12" s="371">
        <f>+CF!AM13</f>
        <v>1</v>
      </c>
      <c r="AN12" s="371">
        <f>+CF!AN13</f>
        <v>1</v>
      </c>
      <c r="AO12" s="371">
        <f>+CF!AO13</f>
        <v>1</v>
      </c>
      <c r="AP12" s="371">
        <f>+CF!AP13</f>
        <v>1</v>
      </c>
      <c r="AQ12" s="371">
        <f>+CF!AQ13</f>
        <v>1</v>
      </c>
      <c r="AR12" s="371">
        <f>+CF!AR13</f>
        <v>1</v>
      </c>
      <c r="AS12" s="371">
        <f>+CF!AS13</f>
        <v>1</v>
      </c>
      <c r="AT12" s="371">
        <f>+CF!AT13</f>
        <v>1</v>
      </c>
      <c r="AU12" s="371">
        <f>+CF!AU13</f>
        <v>1</v>
      </c>
      <c r="AV12" s="371">
        <f>+CF!AV13</f>
        <v>1</v>
      </c>
      <c r="AW12" s="371">
        <f>+CF!AW13</f>
        <v>1</v>
      </c>
      <c r="AX12" s="371">
        <f>+CF!AX13</f>
        <v>1</v>
      </c>
      <c r="AY12" s="371">
        <f>+CF!AY13</f>
        <v>1</v>
      </c>
      <c r="AZ12" s="371">
        <f>+CF!AZ13</f>
        <v>1</v>
      </c>
      <c r="BA12" s="371">
        <f>+CF!BA13</f>
        <v>1</v>
      </c>
      <c r="BB12" s="371">
        <f>+CF!BB13</f>
        <v>1</v>
      </c>
      <c r="BC12" s="371">
        <f>+CF!BC13</f>
        <v>1</v>
      </c>
      <c r="BD12" s="371">
        <f>+CF!BD13</f>
        <v>1</v>
      </c>
      <c r="BE12" s="371">
        <f>+CF!BE13</f>
        <v>1</v>
      </c>
      <c r="BF12" s="371">
        <f>+CF!BF13</f>
        <v>1</v>
      </c>
      <c r="BG12" s="371">
        <f>+CF!BG13</f>
        <v>1</v>
      </c>
      <c r="BH12" s="371">
        <f>+CF!BH13</f>
        <v>1</v>
      </c>
      <c r="BI12" s="371">
        <f>+CF!BI13</f>
        <v>1</v>
      </c>
      <c r="BJ12" s="371">
        <f>+CF!BJ13</f>
        <v>1</v>
      </c>
      <c r="BK12" s="371">
        <f>+CF!BK13</f>
        <v>0</v>
      </c>
      <c r="BL12" s="371">
        <f>+CF!BL13</f>
        <v>0</v>
      </c>
      <c r="BM12" s="371">
        <f>+CF!BM13</f>
        <v>0</v>
      </c>
      <c r="BN12" s="371">
        <f>+CF!BN13</f>
        <v>0</v>
      </c>
      <c r="BO12" s="371">
        <f>+CF!BO13</f>
        <v>0</v>
      </c>
      <c r="BP12" s="371">
        <f>+CF!BP13</f>
        <v>0</v>
      </c>
      <c r="BQ12" s="371">
        <f>+CF!BQ13</f>
        <v>0</v>
      </c>
      <c r="BR12" s="371">
        <f>+CF!BR13</f>
        <v>0</v>
      </c>
      <c r="BS12" s="371">
        <f>+CF!BS13</f>
        <v>0</v>
      </c>
      <c r="BT12" s="371">
        <f>+CF!BT13</f>
        <v>0</v>
      </c>
      <c r="BU12" s="371">
        <f>+CF!BU13</f>
        <v>0</v>
      </c>
    </row>
    <row r="13" spans="1:73" x14ac:dyDescent="0.2">
      <c r="A13" s="186"/>
      <c r="B13" s="186"/>
      <c r="C13" s="186" t="s">
        <v>52</v>
      </c>
      <c r="D13" s="186"/>
      <c r="E13" s="186"/>
      <c r="F13" s="186"/>
      <c r="G13" s="186"/>
      <c r="H13" s="186"/>
      <c r="I13" s="186"/>
      <c r="J13" s="186"/>
      <c r="K13" s="367" t="s">
        <v>51</v>
      </c>
      <c r="L13" s="370"/>
      <c r="M13" s="370"/>
      <c r="N13" s="186"/>
      <c r="O13" s="186"/>
      <c r="P13" s="186"/>
      <c r="Q13" s="371">
        <f>+CF!Q12</f>
        <v>1</v>
      </c>
      <c r="R13" s="371">
        <f>+CF!R12</f>
        <v>1</v>
      </c>
      <c r="S13" s="371">
        <f>+CF!S12</f>
        <v>1</v>
      </c>
      <c r="T13" s="371">
        <f>+CF!T12</f>
        <v>1</v>
      </c>
      <c r="U13" s="371">
        <f>+CF!U12</f>
        <v>1</v>
      </c>
      <c r="V13" s="371">
        <f>+CF!V12</f>
        <v>1</v>
      </c>
      <c r="W13" s="371">
        <f>+CF!W12</f>
        <v>1</v>
      </c>
      <c r="X13" s="371">
        <f>+CF!X12</f>
        <v>1</v>
      </c>
      <c r="Y13" s="371">
        <f>+CF!Y12</f>
        <v>1</v>
      </c>
      <c r="Z13" s="371">
        <f>+CF!Z12</f>
        <v>1</v>
      </c>
      <c r="AA13" s="371">
        <f>+CF!AA12</f>
        <v>1</v>
      </c>
      <c r="AB13" s="371">
        <f>+CF!AB12</f>
        <v>1</v>
      </c>
      <c r="AC13" s="371">
        <f>+CF!AC12</f>
        <v>1</v>
      </c>
      <c r="AD13" s="371">
        <f>+CF!AD12</f>
        <v>1</v>
      </c>
      <c r="AE13" s="371">
        <f>+CF!AE12</f>
        <v>1</v>
      </c>
      <c r="AF13" s="371">
        <f>+CF!AF12</f>
        <v>1</v>
      </c>
      <c r="AG13" s="371">
        <f>+CF!AG12</f>
        <v>1</v>
      </c>
      <c r="AH13" s="371">
        <f>+CF!AH12</f>
        <v>1</v>
      </c>
      <c r="AI13" s="371">
        <f>+CF!AI12</f>
        <v>1</v>
      </c>
      <c r="AJ13" s="371">
        <f>+CF!AJ12</f>
        <v>1</v>
      </c>
      <c r="AK13" s="371">
        <f>+CF!AK12</f>
        <v>1</v>
      </c>
      <c r="AL13" s="371">
        <f>+CF!AL12</f>
        <v>1</v>
      </c>
      <c r="AM13" s="371">
        <f>+CF!AM12</f>
        <v>1</v>
      </c>
      <c r="AN13" s="371">
        <f>+CF!AN12</f>
        <v>1</v>
      </c>
      <c r="AO13" s="371">
        <f>+CF!AO12</f>
        <v>1</v>
      </c>
      <c r="AP13" s="371">
        <f>+CF!AP12</f>
        <v>1</v>
      </c>
      <c r="AQ13" s="371">
        <f>+CF!AQ12</f>
        <v>1</v>
      </c>
      <c r="AR13" s="371">
        <f>+CF!AR12</f>
        <v>1</v>
      </c>
      <c r="AS13" s="371">
        <f>+CF!AS12</f>
        <v>1</v>
      </c>
      <c r="AT13" s="371">
        <f>+CF!AT12</f>
        <v>1</v>
      </c>
      <c r="AU13" s="371">
        <f>+CF!AU12</f>
        <v>1</v>
      </c>
      <c r="AV13" s="371">
        <f>+CF!AV12</f>
        <v>1</v>
      </c>
      <c r="AW13" s="371">
        <f>+CF!AW12</f>
        <v>1</v>
      </c>
      <c r="AX13" s="371">
        <f>+CF!AX12</f>
        <v>1</v>
      </c>
      <c r="AY13" s="371">
        <f>+CF!AY12</f>
        <v>1</v>
      </c>
      <c r="AZ13" s="371">
        <f>+CF!AZ12</f>
        <v>1</v>
      </c>
      <c r="BA13" s="371">
        <f>+CF!BA12</f>
        <v>1</v>
      </c>
      <c r="BB13" s="371">
        <f>+CF!BB12</f>
        <v>1</v>
      </c>
      <c r="BC13" s="371">
        <f>+CF!BC12</f>
        <v>1</v>
      </c>
      <c r="BD13" s="371">
        <f>+CF!BD12</f>
        <v>1</v>
      </c>
      <c r="BE13" s="371">
        <f>+CF!BE12</f>
        <v>1</v>
      </c>
      <c r="BF13" s="371">
        <f>+CF!BF12</f>
        <v>1</v>
      </c>
      <c r="BG13" s="371">
        <f>+CF!BG12</f>
        <v>1</v>
      </c>
      <c r="BH13" s="371">
        <f>+CF!BH12</f>
        <v>1</v>
      </c>
      <c r="BI13" s="371">
        <f>+CF!BI12</f>
        <v>1</v>
      </c>
      <c r="BJ13" s="371">
        <f>+CF!BJ12</f>
        <v>1</v>
      </c>
      <c r="BK13" s="371">
        <f>+CF!BK12</f>
        <v>0</v>
      </c>
      <c r="BL13" s="371">
        <f>+CF!BL12</f>
        <v>0</v>
      </c>
      <c r="BM13" s="371">
        <f>+CF!BM12</f>
        <v>0</v>
      </c>
      <c r="BN13" s="371">
        <f>+CF!BN12</f>
        <v>0</v>
      </c>
      <c r="BO13" s="371">
        <f>+CF!BO12</f>
        <v>0</v>
      </c>
      <c r="BP13" s="371">
        <f>+CF!BP12</f>
        <v>0</v>
      </c>
      <c r="BQ13" s="371">
        <f>+CF!BQ12</f>
        <v>0</v>
      </c>
      <c r="BR13" s="371">
        <f>+CF!BR12</f>
        <v>0</v>
      </c>
      <c r="BS13" s="371">
        <f>+CF!BS12</f>
        <v>0</v>
      </c>
      <c r="BT13" s="371">
        <f>+CF!BT12</f>
        <v>0</v>
      </c>
      <c r="BU13" s="371">
        <f>+CF!BU12</f>
        <v>0</v>
      </c>
    </row>
    <row r="14" spans="1:73" x14ac:dyDescent="0.2">
      <c r="A14" s="186"/>
      <c r="B14" s="186"/>
      <c r="C14" s="372" t="s">
        <v>145</v>
      </c>
      <c r="D14" s="186"/>
      <c r="E14" s="186"/>
      <c r="F14" s="186"/>
      <c r="G14" s="186"/>
      <c r="H14" s="186"/>
      <c r="I14" s="186"/>
      <c r="J14" s="186"/>
      <c r="K14" s="367" t="s">
        <v>57</v>
      </c>
      <c r="L14" s="186"/>
      <c r="M14" s="186"/>
      <c r="N14" s="186"/>
      <c r="O14" s="186"/>
      <c r="P14" s="186"/>
      <c r="Q14" s="373">
        <v>46</v>
      </c>
      <c r="R14" s="374">
        <f t="shared" ref="R14:AW14" si="0">+(Q14 - 1) * R13</f>
        <v>45</v>
      </c>
      <c r="S14" s="374">
        <f t="shared" si="0"/>
        <v>44</v>
      </c>
      <c r="T14" s="374">
        <f t="shared" si="0"/>
        <v>43</v>
      </c>
      <c r="U14" s="374">
        <f t="shared" si="0"/>
        <v>42</v>
      </c>
      <c r="V14" s="374">
        <f t="shared" si="0"/>
        <v>41</v>
      </c>
      <c r="W14" s="374">
        <f t="shared" si="0"/>
        <v>40</v>
      </c>
      <c r="X14" s="374">
        <f t="shared" si="0"/>
        <v>39</v>
      </c>
      <c r="Y14" s="374">
        <f t="shared" si="0"/>
        <v>38</v>
      </c>
      <c r="Z14" s="374">
        <f t="shared" si="0"/>
        <v>37</v>
      </c>
      <c r="AA14" s="374">
        <f t="shared" si="0"/>
        <v>36</v>
      </c>
      <c r="AB14" s="374">
        <f t="shared" si="0"/>
        <v>35</v>
      </c>
      <c r="AC14" s="374">
        <f t="shared" si="0"/>
        <v>34</v>
      </c>
      <c r="AD14" s="374">
        <f t="shared" si="0"/>
        <v>33</v>
      </c>
      <c r="AE14" s="374">
        <f t="shared" si="0"/>
        <v>32</v>
      </c>
      <c r="AF14" s="374">
        <f t="shared" si="0"/>
        <v>31</v>
      </c>
      <c r="AG14" s="374">
        <f t="shared" si="0"/>
        <v>30</v>
      </c>
      <c r="AH14" s="374">
        <f t="shared" si="0"/>
        <v>29</v>
      </c>
      <c r="AI14" s="374">
        <f t="shared" si="0"/>
        <v>28</v>
      </c>
      <c r="AJ14" s="374">
        <f t="shared" si="0"/>
        <v>27</v>
      </c>
      <c r="AK14" s="374">
        <f t="shared" si="0"/>
        <v>26</v>
      </c>
      <c r="AL14" s="374">
        <f t="shared" si="0"/>
        <v>25</v>
      </c>
      <c r="AM14" s="374">
        <f t="shared" si="0"/>
        <v>24</v>
      </c>
      <c r="AN14" s="374">
        <f t="shared" si="0"/>
        <v>23</v>
      </c>
      <c r="AO14" s="374">
        <f t="shared" si="0"/>
        <v>22</v>
      </c>
      <c r="AP14" s="374">
        <f t="shared" si="0"/>
        <v>21</v>
      </c>
      <c r="AQ14" s="374">
        <f t="shared" si="0"/>
        <v>20</v>
      </c>
      <c r="AR14" s="374">
        <f t="shared" si="0"/>
        <v>19</v>
      </c>
      <c r="AS14" s="374">
        <f t="shared" si="0"/>
        <v>18</v>
      </c>
      <c r="AT14" s="374">
        <f t="shared" si="0"/>
        <v>17</v>
      </c>
      <c r="AU14" s="374">
        <f t="shared" si="0"/>
        <v>16</v>
      </c>
      <c r="AV14" s="374">
        <f t="shared" si="0"/>
        <v>15</v>
      </c>
      <c r="AW14" s="374">
        <f t="shared" si="0"/>
        <v>14</v>
      </c>
      <c r="AX14" s="374">
        <f t="shared" ref="AX14:BU14" si="1">+(AW14 - 1) * AX13</f>
        <v>13</v>
      </c>
      <c r="AY14" s="374">
        <f t="shared" si="1"/>
        <v>12</v>
      </c>
      <c r="AZ14" s="374">
        <f t="shared" si="1"/>
        <v>11</v>
      </c>
      <c r="BA14" s="374">
        <f t="shared" si="1"/>
        <v>10</v>
      </c>
      <c r="BB14" s="374">
        <f t="shared" si="1"/>
        <v>9</v>
      </c>
      <c r="BC14" s="374">
        <f t="shared" si="1"/>
        <v>8</v>
      </c>
      <c r="BD14" s="374">
        <f t="shared" si="1"/>
        <v>7</v>
      </c>
      <c r="BE14" s="374">
        <f t="shared" si="1"/>
        <v>6</v>
      </c>
      <c r="BF14" s="374">
        <f t="shared" si="1"/>
        <v>5</v>
      </c>
      <c r="BG14" s="374">
        <f t="shared" si="1"/>
        <v>4</v>
      </c>
      <c r="BH14" s="374">
        <f t="shared" si="1"/>
        <v>3</v>
      </c>
      <c r="BI14" s="374">
        <f t="shared" si="1"/>
        <v>2</v>
      </c>
      <c r="BJ14" s="374">
        <f t="shared" si="1"/>
        <v>1</v>
      </c>
      <c r="BK14" s="374">
        <f t="shared" si="1"/>
        <v>0</v>
      </c>
      <c r="BL14" s="374">
        <f t="shared" si="1"/>
        <v>0</v>
      </c>
      <c r="BM14" s="374">
        <f t="shared" si="1"/>
        <v>0</v>
      </c>
      <c r="BN14" s="374">
        <f t="shared" si="1"/>
        <v>0</v>
      </c>
      <c r="BO14" s="374">
        <f t="shared" si="1"/>
        <v>0</v>
      </c>
      <c r="BP14" s="374">
        <f t="shared" si="1"/>
        <v>0</v>
      </c>
      <c r="BQ14" s="374">
        <f t="shared" si="1"/>
        <v>0</v>
      </c>
      <c r="BR14" s="374">
        <f t="shared" si="1"/>
        <v>0</v>
      </c>
      <c r="BS14" s="374">
        <f t="shared" si="1"/>
        <v>0</v>
      </c>
      <c r="BT14" s="374">
        <f t="shared" si="1"/>
        <v>0</v>
      </c>
      <c r="BU14" s="374">
        <f t="shared" si="1"/>
        <v>0</v>
      </c>
    </row>
    <row r="15" spans="1:73" x14ac:dyDescent="0.2">
      <c r="A15" s="186"/>
      <c r="B15" s="186"/>
      <c r="C15" s="192" t="s">
        <v>56</v>
      </c>
      <c r="D15" s="192"/>
      <c r="E15" s="192"/>
      <c r="F15" s="192"/>
      <c r="G15" s="192"/>
      <c r="H15" s="192"/>
      <c r="I15" s="192"/>
      <c r="J15" s="192"/>
      <c r="K15" s="614" t="s">
        <v>57</v>
      </c>
      <c r="L15" s="192"/>
      <c r="M15" s="370"/>
      <c r="N15" s="186"/>
      <c r="O15" s="186"/>
      <c r="P15" s="186"/>
      <c r="Q15" s="371">
        <f>+CF!Q15</f>
        <v>366</v>
      </c>
      <c r="R15" s="371">
        <f>+CF!R15</f>
        <v>365</v>
      </c>
      <c r="S15" s="371">
        <f>+CF!S15</f>
        <v>365</v>
      </c>
      <c r="T15" s="371">
        <f>+CF!T15</f>
        <v>365</v>
      </c>
      <c r="U15" s="371">
        <f>+CF!U15</f>
        <v>366</v>
      </c>
      <c r="V15" s="371">
        <f>+CF!V15</f>
        <v>365</v>
      </c>
      <c r="W15" s="371">
        <f>+CF!W15</f>
        <v>365</v>
      </c>
      <c r="X15" s="371">
        <f>+CF!X15</f>
        <v>365</v>
      </c>
      <c r="Y15" s="371">
        <f>+CF!Y15</f>
        <v>366</v>
      </c>
      <c r="Z15" s="371">
        <f>+CF!Z15</f>
        <v>365</v>
      </c>
      <c r="AA15" s="371">
        <f>+CF!AA15</f>
        <v>365</v>
      </c>
      <c r="AB15" s="371">
        <f>+CF!AB15</f>
        <v>365</v>
      </c>
      <c r="AC15" s="371">
        <f>+CF!AC15</f>
        <v>366</v>
      </c>
      <c r="AD15" s="371">
        <f>+CF!AD15</f>
        <v>365</v>
      </c>
      <c r="AE15" s="371">
        <f>+CF!AE15</f>
        <v>365</v>
      </c>
      <c r="AF15" s="371">
        <f>+CF!AF15</f>
        <v>365</v>
      </c>
      <c r="AG15" s="371">
        <f>+CF!AG15</f>
        <v>366</v>
      </c>
      <c r="AH15" s="371">
        <f>+CF!AH15</f>
        <v>365</v>
      </c>
      <c r="AI15" s="371">
        <f>+CF!AI15</f>
        <v>365</v>
      </c>
      <c r="AJ15" s="371">
        <f>+CF!AJ15</f>
        <v>365</v>
      </c>
      <c r="AK15" s="371">
        <f>+CF!AK15</f>
        <v>366</v>
      </c>
      <c r="AL15" s="371">
        <f>+CF!AL15</f>
        <v>365</v>
      </c>
      <c r="AM15" s="371">
        <f>+CF!AM15</f>
        <v>365</v>
      </c>
      <c r="AN15" s="371">
        <f>+CF!AN15</f>
        <v>365</v>
      </c>
      <c r="AO15" s="371">
        <f>+CF!AO15</f>
        <v>366</v>
      </c>
      <c r="AP15" s="371">
        <f>+CF!AP15</f>
        <v>365</v>
      </c>
      <c r="AQ15" s="371">
        <f>+CF!AQ15</f>
        <v>365</v>
      </c>
      <c r="AR15" s="371">
        <f>+CF!AR15</f>
        <v>365</v>
      </c>
      <c r="AS15" s="371">
        <f>+CF!AS15</f>
        <v>366</v>
      </c>
      <c r="AT15" s="371">
        <f>+CF!AT15</f>
        <v>365</v>
      </c>
      <c r="AU15" s="371">
        <f>+CF!AU15</f>
        <v>365</v>
      </c>
      <c r="AV15" s="371">
        <f>+CF!AV15</f>
        <v>365</v>
      </c>
      <c r="AW15" s="371">
        <f>+CF!AW15</f>
        <v>366</v>
      </c>
      <c r="AX15" s="371">
        <f>+CF!AX15</f>
        <v>365</v>
      </c>
      <c r="AY15" s="371">
        <f>+CF!AY15</f>
        <v>365</v>
      </c>
      <c r="AZ15" s="371">
        <f>+CF!AZ15</f>
        <v>365</v>
      </c>
      <c r="BA15" s="371">
        <f>+CF!BA15</f>
        <v>366</v>
      </c>
      <c r="BB15" s="371">
        <f>+CF!BB15</f>
        <v>365</v>
      </c>
      <c r="BC15" s="371">
        <f>+CF!BC15</f>
        <v>365</v>
      </c>
      <c r="BD15" s="371">
        <f>+CF!BD15</f>
        <v>365</v>
      </c>
      <c r="BE15" s="371">
        <f>+CF!BE15</f>
        <v>366</v>
      </c>
      <c r="BF15" s="371">
        <f>+CF!BF15</f>
        <v>365</v>
      </c>
      <c r="BG15" s="371">
        <f>+CF!BG15</f>
        <v>365</v>
      </c>
      <c r="BH15" s="371">
        <f>+CF!BH15</f>
        <v>365</v>
      </c>
      <c r="BI15" s="371">
        <f>+CF!BI15</f>
        <v>366</v>
      </c>
      <c r="BJ15" s="371">
        <f>+CF!BJ15</f>
        <v>365</v>
      </c>
      <c r="BK15" s="371">
        <f>+CF!BK15</f>
        <v>365</v>
      </c>
      <c r="BL15" s="371">
        <f>+CF!BL15</f>
        <v>365</v>
      </c>
      <c r="BM15" s="371">
        <f>+CF!BM15</f>
        <v>366</v>
      </c>
      <c r="BN15" s="371">
        <f>+CF!BN15</f>
        <v>365</v>
      </c>
      <c r="BO15" s="371">
        <f>+CF!BO15</f>
        <v>365</v>
      </c>
      <c r="BP15" s="371">
        <f>+CF!BP15</f>
        <v>365</v>
      </c>
      <c r="BQ15" s="371">
        <f>+CF!BQ15</f>
        <v>366</v>
      </c>
      <c r="BR15" s="371">
        <f>+CF!BR15</f>
        <v>365</v>
      </c>
      <c r="BS15" s="371">
        <f>+CF!BS15</f>
        <v>365</v>
      </c>
      <c r="BT15" s="371">
        <f>+CF!BT15</f>
        <v>365</v>
      </c>
      <c r="BU15" s="371">
        <f>+CF!BU15</f>
        <v>366</v>
      </c>
    </row>
    <row r="16" spans="1:73" x14ac:dyDescent="0.2">
      <c r="A16" s="186"/>
      <c r="B16" s="186"/>
      <c r="C16" s="186"/>
      <c r="D16" s="186"/>
      <c r="E16" s="186"/>
      <c r="F16" s="186"/>
      <c r="G16" s="186"/>
      <c r="H16" s="186"/>
      <c r="I16" s="186"/>
      <c r="J16" s="186"/>
      <c r="K16" s="367"/>
      <c r="L16" s="186"/>
      <c r="M16" s="186"/>
      <c r="N16" s="186"/>
      <c r="O16" s="186"/>
      <c r="P16" s="186"/>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4"/>
      <c r="AV16" s="374"/>
      <c r="AW16" s="374"/>
      <c r="AX16" s="374"/>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row>
    <row r="17" spans="1:73" ht="15.75" x14ac:dyDescent="0.25">
      <c r="A17" s="375"/>
      <c r="B17" s="375" t="s">
        <v>146</v>
      </c>
      <c r="C17" s="375"/>
      <c r="D17" s="375"/>
      <c r="E17" s="375"/>
      <c r="F17" s="375"/>
      <c r="G17" s="375"/>
      <c r="H17" s="375"/>
      <c r="I17" s="375"/>
      <c r="J17" s="375"/>
      <c r="K17" s="615"/>
      <c r="L17" s="375"/>
      <c r="M17" s="375"/>
      <c r="N17" s="375"/>
      <c r="O17" s="376"/>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8"/>
      <c r="BK17" s="377"/>
      <c r="BL17" s="377"/>
      <c r="BM17" s="377"/>
      <c r="BN17" s="377"/>
      <c r="BO17" s="377"/>
      <c r="BP17" s="377"/>
      <c r="BQ17" s="377"/>
      <c r="BR17" s="377"/>
      <c r="BS17" s="377"/>
      <c r="BT17" s="377"/>
      <c r="BU17" s="377"/>
    </row>
    <row r="18" spans="1:73" ht="20.25" x14ac:dyDescent="0.3">
      <c r="A18" s="379"/>
      <c r="B18" s="379"/>
      <c r="C18" s="379"/>
      <c r="D18" s="379"/>
      <c r="E18" s="379"/>
      <c r="F18" s="379"/>
      <c r="G18" s="379"/>
      <c r="H18" s="379"/>
      <c r="I18" s="379"/>
      <c r="J18" s="379"/>
      <c r="K18" s="616"/>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row>
    <row r="19" spans="1:73" x14ac:dyDescent="0.2">
      <c r="A19" s="186"/>
      <c r="B19" s="380" t="s">
        <v>280</v>
      </c>
      <c r="C19" s="186"/>
      <c r="D19" s="186"/>
      <c r="E19" s="381"/>
      <c r="F19" s="186"/>
      <c r="G19" s="186"/>
      <c r="H19" s="186"/>
      <c r="I19" s="186"/>
      <c r="J19" s="186"/>
      <c r="K19" s="367"/>
      <c r="L19" s="186"/>
      <c r="M19" s="374"/>
      <c r="N19" s="186"/>
      <c r="O19" s="186"/>
      <c r="P19" s="186"/>
      <c r="Q19" s="186"/>
      <c r="R19" s="186"/>
      <c r="S19" s="186"/>
      <c r="T19" s="186"/>
      <c r="U19" s="382"/>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row>
    <row r="20" spans="1:73" x14ac:dyDescent="0.2">
      <c r="A20" s="186"/>
      <c r="B20" s="186"/>
      <c r="C20" s="186" t="s">
        <v>147</v>
      </c>
      <c r="D20" s="186"/>
      <c r="E20" s="186"/>
      <c r="F20" s="186"/>
      <c r="G20" s="186"/>
      <c r="H20" s="186"/>
      <c r="I20" s="186"/>
      <c r="J20" s="186"/>
      <c r="K20" s="367" t="s">
        <v>63</v>
      </c>
      <c r="L20" s="186"/>
      <c r="M20" s="186"/>
      <c r="N20" s="374"/>
      <c r="O20" s="186"/>
      <c r="P20" s="186"/>
      <c r="Q20" s="374"/>
      <c r="R20" s="374">
        <f t="shared" ref="R20" si="2">+Q25</f>
        <v>0</v>
      </c>
      <c r="S20" s="374">
        <f t="shared" ref="S20" si="3">+R25</f>
        <v>615000.47985999996</v>
      </c>
      <c r="T20" s="374">
        <f t="shared" ref="T20" si="4">+S25</f>
        <v>615000.47985999996</v>
      </c>
      <c r="U20" s="374">
        <f t="shared" ref="U20" si="5">+T25</f>
        <v>615000.47985999996</v>
      </c>
      <c r="V20" s="374">
        <f t="shared" ref="V20" si="6">+U25</f>
        <v>9.8999999929219484E-2</v>
      </c>
      <c r="W20" s="374">
        <f t="shared" ref="W20" si="7">+V25</f>
        <v>9.8999999929219484E-2</v>
      </c>
      <c r="X20" s="374">
        <f t="shared" ref="X20" si="8">+W25</f>
        <v>9.8999999929219484E-2</v>
      </c>
      <c r="Y20" s="374">
        <f t="shared" ref="Y20" si="9">+X25</f>
        <v>9.8999999929219484E-2</v>
      </c>
      <c r="Z20" s="374">
        <f t="shared" ref="Z20" si="10">+Y25</f>
        <v>9.8999999929219484E-2</v>
      </c>
      <c r="AA20" s="374">
        <f t="shared" ref="AA20" si="11">+Z25</f>
        <v>9.8999999929219484E-2</v>
      </c>
      <c r="AB20" s="374">
        <f t="shared" ref="AB20" si="12">+AA25</f>
        <v>9.8999999929219484E-2</v>
      </c>
      <c r="AC20" s="374">
        <f t="shared" ref="AC20" si="13">+AB25</f>
        <v>9.8999999929219484E-2</v>
      </c>
      <c r="AD20" s="374">
        <f t="shared" ref="AD20" si="14">+AC25</f>
        <v>9.8999999929219484E-2</v>
      </c>
      <c r="AE20" s="374">
        <f t="shared" ref="AE20" si="15">+AD25</f>
        <v>9.8999999929219484E-2</v>
      </c>
      <c r="AF20" s="374">
        <f t="shared" ref="AF20" si="16">+AE25</f>
        <v>9.8999999929219484E-2</v>
      </c>
      <c r="AG20" s="374">
        <f t="shared" ref="AG20" si="17">+AF25</f>
        <v>9.8999999929219484E-2</v>
      </c>
      <c r="AH20" s="374">
        <f t="shared" ref="AH20" si="18">+AG25</f>
        <v>9.8999999929219484E-2</v>
      </c>
      <c r="AI20" s="374">
        <f t="shared" ref="AI20" si="19">+AH25</f>
        <v>9.8999999929219484E-2</v>
      </c>
      <c r="AJ20" s="374">
        <f t="shared" ref="AJ20" si="20">+AI25</f>
        <v>9.8999999929219484E-2</v>
      </c>
      <c r="AK20" s="374">
        <f t="shared" ref="AK20" si="21">+AJ25</f>
        <v>9.8999999929219484E-2</v>
      </c>
      <c r="AL20" s="374">
        <f t="shared" ref="AL20" si="22">+AK25</f>
        <v>9.8999999929219484E-2</v>
      </c>
      <c r="AM20" s="374">
        <f t="shared" ref="AM20" si="23">+AL25</f>
        <v>9.8999999929219484E-2</v>
      </c>
      <c r="AN20" s="374">
        <f t="shared" ref="AN20" si="24">+AM25</f>
        <v>9.8999999929219484E-2</v>
      </c>
      <c r="AO20" s="374">
        <f t="shared" ref="AO20" si="25">+AN25</f>
        <v>9.8999999929219484E-2</v>
      </c>
      <c r="AP20" s="374">
        <f t="shared" ref="AP20" si="26">+AO25</f>
        <v>9.8999999929219484E-2</v>
      </c>
      <c r="AQ20" s="374">
        <f t="shared" ref="AQ20" si="27">+AP25</f>
        <v>9.8999999929219484E-2</v>
      </c>
      <c r="AR20" s="374">
        <f t="shared" ref="AR20" si="28">+AQ25</f>
        <v>9.8999999929219484E-2</v>
      </c>
      <c r="AS20" s="374">
        <f t="shared" ref="AS20" si="29">+AR25</f>
        <v>9.8999999929219484E-2</v>
      </c>
      <c r="AT20" s="374">
        <f t="shared" ref="AT20" si="30">+AS25</f>
        <v>9.8999999929219484E-2</v>
      </c>
      <c r="AU20" s="374">
        <f t="shared" ref="AU20" si="31">+AT25</f>
        <v>9.8999999929219484E-2</v>
      </c>
      <c r="AV20" s="374">
        <f t="shared" ref="AV20" si="32">+AU25</f>
        <v>9.8999999929219484E-2</v>
      </c>
      <c r="AW20" s="374">
        <f t="shared" ref="AW20" si="33">+AV25</f>
        <v>9.8999999929219484E-2</v>
      </c>
      <c r="AX20" s="374">
        <f t="shared" ref="AX20" si="34">+AW25</f>
        <v>9.8999999929219484E-2</v>
      </c>
      <c r="AY20" s="374">
        <f t="shared" ref="AY20" si="35">+AX25</f>
        <v>9.8999999929219484E-2</v>
      </c>
      <c r="AZ20" s="374">
        <f t="shared" ref="AZ20" si="36">+AY25</f>
        <v>9.8999999929219484E-2</v>
      </c>
      <c r="BA20" s="374">
        <f t="shared" ref="BA20" si="37">+AZ25</f>
        <v>9.8999999929219484E-2</v>
      </c>
      <c r="BB20" s="374">
        <f t="shared" ref="BB20" si="38">+BA25</f>
        <v>9.8999999929219484E-2</v>
      </c>
      <c r="BC20" s="374">
        <f t="shared" ref="BC20" si="39">+BB25</f>
        <v>9.8999999929219484E-2</v>
      </c>
      <c r="BD20" s="374">
        <f t="shared" ref="BD20" si="40">+BC25</f>
        <v>9.8999999929219484E-2</v>
      </c>
      <c r="BE20" s="374">
        <f t="shared" ref="BE20" si="41">+BD25</f>
        <v>9.8999999929219484E-2</v>
      </c>
      <c r="BF20" s="374">
        <f t="shared" ref="BF20" si="42">+BE25</f>
        <v>9.8999999929219484E-2</v>
      </c>
      <c r="BG20" s="374">
        <f t="shared" ref="BG20" si="43">+BF25</f>
        <v>9.8999999929219484E-2</v>
      </c>
      <c r="BH20" s="374">
        <f t="shared" ref="BH20" si="44">+BG25</f>
        <v>9.8999999929219484E-2</v>
      </c>
      <c r="BI20" s="374">
        <f t="shared" ref="BI20" si="45">+BH25</f>
        <v>9.8999999929219484E-2</v>
      </c>
      <c r="BJ20" s="374">
        <f t="shared" ref="BJ20" si="46">+BI25</f>
        <v>9.8999999929219484E-2</v>
      </c>
      <c r="BK20" s="374">
        <f t="shared" ref="BK20" si="47">+BJ25</f>
        <v>9.8999999929219484E-2</v>
      </c>
      <c r="BL20" s="374">
        <f t="shared" ref="BL20" si="48">+BK25</f>
        <v>9.8999999929219484E-2</v>
      </c>
      <c r="BM20" s="374">
        <f t="shared" ref="BM20" si="49">+BL25</f>
        <v>9.8999999929219484E-2</v>
      </c>
      <c r="BN20" s="374">
        <f t="shared" ref="BN20" si="50">+BM25</f>
        <v>9.8999999929219484E-2</v>
      </c>
      <c r="BO20" s="374">
        <f t="shared" ref="BO20" si="51">+BN25</f>
        <v>9.8999999929219484E-2</v>
      </c>
      <c r="BP20" s="374">
        <f t="shared" ref="BP20" si="52">+BO25</f>
        <v>9.8999999929219484E-2</v>
      </c>
      <c r="BQ20" s="374">
        <f t="shared" ref="BQ20" si="53">+BP25</f>
        <v>9.8999999929219484E-2</v>
      </c>
      <c r="BR20" s="374">
        <f t="shared" ref="BR20" si="54">+BQ25</f>
        <v>9.8999999929219484E-2</v>
      </c>
      <c r="BS20" s="374">
        <f t="shared" ref="BS20" si="55">+BR25</f>
        <v>9.8999999929219484E-2</v>
      </c>
      <c r="BT20" s="374">
        <f t="shared" ref="BT20" si="56">+BS25</f>
        <v>9.8999999929219484E-2</v>
      </c>
      <c r="BU20" s="374">
        <f t="shared" ref="BU20" si="57">+BT25</f>
        <v>9.8999999929219484E-2</v>
      </c>
    </row>
    <row r="21" spans="1:73" x14ac:dyDescent="0.2">
      <c r="A21" s="186"/>
      <c r="B21" s="186"/>
      <c r="C21" s="186" t="s">
        <v>148</v>
      </c>
      <c r="D21" s="186"/>
      <c r="E21" s="186"/>
      <c r="F21" s="186"/>
      <c r="G21" s="186"/>
      <c r="H21" s="186"/>
      <c r="I21" s="186"/>
      <c r="J21" s="186"/>
      <c r="K21" s="367" t="s">
        <v>63</v>
      </c>
      <c r="L21" s="186"/>
      <c r="M21" s="374"/>
      <c r="N21" s="374">
        <f>+R25</f>
        <v>615000.47985999996</v>
      </c>
      <c r="O21" s="186"/>
      <c r="P21" s="186"/>
      <c r="Q21" s="374"/>
      <c r="R21" s="374">
        <f t="shared" ref="R21:V21" si="58">+R89</f>
        <v>0</v>
      </c>
      <c r="S21" s="374">
        <f t="shared" si="58"/>
        <v>0</v>
      </c>
      <c r="T21" s="374">
        <f t="shared" si="58"/>
        <v>0</v>
      </c>
      <c r="U21" s="374">
        <f t="shared" si="58"/>
        <v>0</v>
      </c>
      <c r="V21" s="374">
        <f t="shared" si="58"/>
        <v>0</v>
      </c>
      <c r="W21" s="374">
        <f t="shared" ref="W21:BU21" si="59">+W89</f>
        <v>0</v>
      </c>
      <c r="X21" s="374">
        <f t="shared" si="59"/>
        <v>0</v>
      </c>
      <c r="Y21" s="374">
        <f t="shared" si="59"/>
        <v>0</v>
      </c>
      <c r="Z21" s="374">
        <f t="shared" si="59"/>
        <v>0</v>
      </c>
      <c r="AA21" s="374">
        <f t="shared" si="59"/>
        <v>0</v>
      </c>
      <c r="AB21" s="374">
        <f t="shared" si="59"/>
        <v>0</v>
      </c>
      <c r="AC21" s="374">
        <f t="shared" si="59"/>
        <v>0</v>
      </c>
      <c r="AD21" s="374">
        <f t="shared" si="59"/>
        <v>0</v>
      </c>
      <c r="AE21" s="374">
        <f t="shared" si="59"/>
        <v>0</v>
      </c>
      <c r="AF21" s="374">
        <f t="shared" si="59"/>
        <v>0</v>
      </c>
      <c r="AG21" s="374">
        <f t="shared" si="59"/>
        <v>0</v>
      </c>
      <c r="AH21" s="374">
        <f t="shared" si="59"/>
        <v>0</v>
      </c>
      <c r="AI21" s="374">
        <f t="shared" si="59"/>
        <v>0</v>
      </c>
      <c r="AJ21" s="374">
        <f t="shared" si="59"/>
        <v>0</v>
      </c>
      <c r="AK21" s="374">
        <f t="shared" si="59"/>
        <v>0</v>
      </c>
      <c r="AL21" s="374">
        <f t="shared" si="59"/>
        <v>0</v>
      </c>
      <c r="AM21" s="374">
        <f t="shared" si="59"/>
        <v>0</v>
      </c>
      <c r="AN21" s="374">
        <f t="shared" si="59"/>
        <v>0</v>
      </c>
      <c r="AO21" s="374">
        <f t="shared" si="59"/>
        <v>0</v>
      </c>
      <c r="AP21" s="374">
        <f t="shared" si="59"/>
        <v>0</v>
      </c>
      <c r="AQ21" s="374">
        <f t="shared" si="59"/>
        <v>0</v>
      </c>
      <c r="AR21" s="374">
        <f t="shared" si="59"/>
        <v>0</v>
      </c>
      <c r="AS21" s="374">
        <f t="shared" si="59"/>
        <v>0</v>
      </c>
      <c r="AT21" s="374">
        <f t="shared" si="59"/>
        <v>0</v>
      </c>
      <c r="AU21" s="374">
        <f t="shared" si="59"/>
        <v>0</v>
      </c>
      <c r="AV21" s="374">
        <f t="shared" si="59"/>
        <v>0</v>
      </c>
      <c r="AW21" s="374">
        <f t="shared" si="59"/>
        <v>0</v>
      </c>
      <c r="AX21" s="374">
        <f t="shared" si="59"/>
        <v>0</v>
      </c>
      <c r="AY21" s="374">
        <f t="shared" si="59"/>
        <v>0</v>
      </c>
      <c r="AZ21" s="374">
        <f t="shared" si="59"/>
        <v>0</v>
      </c>
      <c r="BA21" s="374">
        <f t="shared" si="59"/>
        <v>0</v>
      </c>
      <c r="BB21" s="374">
        <f t="shared" si="59"/>
        <v>0</v>
      </c>
      <c r="BC21" s="374">
        <f t="shared" si="59"/>
        <v>0</v>
      </c>
      <c r="BD21" s="374">
        <f t="shared" si="59"/>
        <v>0</v>
      </c>
      <c r="BE21" s="374">
        <f t="shared" si="59"/>
        <v>0</v>
      </c>
      <c r="BF21" s="374">
        <f t="shared" si="59"/>
        <v>0</v>
      </c>
      <c r="BG21" s="374">
        <f t="shared" si="59"/>
        <v>0</v>
      </c>
      <c r="BH21" s="374">
        <f t="shared" si="59"/>
        <v>0</v>
      </c>
      <c r="BI21" s="374">
        <f t="shared" si="59"/>
        <v>0</v>
      </c>
      <c r="BJ21" s="374">
        <f t="shared" si="59"/>
        <v>0</v>
      </c>
      <c r="BK21" s="374">
        <f t="shared" si="59"/>
        <v>0</v>
      </c>
      <c r="BL21" s="374">
        <f t="shared" si="59"/>
        <v>0</v>
      </c>
      <c r="BM21" s="374">
        <f t="shared" si="59"/>
        <v>0</v>
      </c>
      <c r="BN21" s="374">
        <f t="shared" si="59"/>
        <v>0</v>
      </c>
      <c r="BO21" s="374">
        <f t="shared" si="59"/>
        <v>0</v>
      </c>
      <c r="BP21" s="374">
        <f t="shared" si="59"/>
        <v>0</v>
      </c>
      <c r="BQ21" s="374">
        <f t="shared" si="59"/>
        <v>0</v>
      </c>
      <c r="BR21" s="374">
        <f t="shared" si="59"/>
        <v>0</v>
      </c>
      <c r="BS21" s="374">
        <f t="shared" si="59"/>
        <v>0</v>
      </c>
      <c r="BT21" s="374">
        <f t="shared" si="59"/>
        <v>0</v>
      </c>
      <c r="BU21" s="374">
        <f t="shared" si="59"/>
        <v>0</v>
      </c>
    </row>
    <row r="22" spans="1:73" x14ac:dyDescent="0.2">
      <c r="A22" s="186"/>
      <c r="B22" s="186"/>
      <c r="C22" s="186" t="s">
        <v>149</v>
      </c>
      <c r="D22" s="186"/>
      <c r="E22" s="186"/>
      <c r="F22" s="186"/>
      <c r="G22" s="186"/>
      <c r="H22" s="186"/>
      <c r="I22" s="186"/>
      <c r="J22" s="186"/>
      <c r="K22" s="367" t="s">
        <v>63</v>
      </c>
      <c r="L22" s="186"/>
      <c r="M22" s="186"/>
      <c r="N22" s="374">
        <f>SUM(Q22:BU22)</f>
        <v>153152.13234469108</v>
      </c>
      <c r="O22" s="186"/>
      <c r="P22" s="186"/>
      <c r="Q22" s="374"/>
      <c r="R22" s="374">
        <f>+R90</f>
        <v>43757.752098483172</v>
      </c>
      <c r="S22" s="374">
        <f t="shared" ref="S22:BJ22" si="60">+S90</f>
        <v>43757.752098483172</v>
      </c>
      <c r="T22" s="374">
        <f t="shared" si="60"/>
        <v>43757.752098483172</v>
      </c>
      <c r="U22" s="374">
        <f t="shared" si="60"/>
        <v>21878.876049241586</v>
      </c>
      <c r="V22" s="374">
        <f t="shared" si="60"/>
        <v>0</v>
      </c>
      <c r="W22" s="374">
        <f t="shared" si="60"/>
        <v>0</v>
      </c>
      <c r="X22" s="374">
        <f t="shared" si="60"/>
        <v>0</v>
      </c>
      <c r="Y22" s="374">
        <f t="shared" si="60"/>
        <v>0</v>
      </c>
      <c r="Z22" s="374">
        <f t="shared" si="60"/>
        <v>0</v>
      </c>
      <c r="AA22" s="374">
        <f t="shared" si="60"/>
        <v>0</v>
      </c>
      <c r="AB22" s="374">
        <f t="shared" si="60"/>
        <v>0</v>
      </c>
      <c r="AC22" s="374">
        <f t="shared" si="60"/>
        <v>0</v>
      </c>
      <c r="AD22" s="374">
        <f t="shared" si="60"/>
        <v>0</v>
      </c>
      <c r="AE22" s="374">
        <f t="shared" si="60"/>
        <v>0</v>
      </c>
      <c r="AF22" s="374">
        <f t="shared" si="60"/>
        <v>0</v>
      </c>
      <c r="AG22" s="374">
        <f t="shared" si="60"/>
        <v>0</v>
      </c>
      <c r="AH22" s="374">
        <f t="shared" si="60"/>
        <v>0</v>
      </c>
      <c r="AI22" s="374">
        <f t="shared" si="60"/>
        <v>0</v>
      </c>
      <c r="AJ22" s="374">
        <f t="shared" si="60"/>
        <v>0</v>
      </c>
      <c r="AK22" s="374">
        <f t="shared" si="60"/>
        <v>0</v>
      </c>
      <c r="AL22" s="374">
        <f t="shared" si="60"/>
        <v>0</v>
      </c>
      <c r="AM22" s="374">
        <f t="shared" si="60"/>
        <v>0</v>
      </c>
      <c r="AN22" s="374">
        <f t="shared" si="60"/>
        <v>0</v>
      </c>
      <c r="AO22" s="374">
        <f t="shared" si="60"/>
        <v>0</v>
      </c>
      <c r="AP22" s="374">
        <f t="shared" si="60"/>
        <v>0</v>
      </c>
      <c r="AQ22" s="374">
        <f t="shared" si="60"/>
        <v>0</v>
      </c>
      <c r="AR22" s="374">
        <f t="shared" si="60"/>
        <v>0</v>
      </c>
      <c r="AS22" s="374">
        <f t="shared" si="60"/>
        <v>0</v>
      </c>
      <c r="AT22" s="374">
        <f t="shared" si="60"/>
        <v>0</v>
      </c>
      <c r="AU22" s="374">
        <f t="shared" si="60"/>
        <v>0</v>
      </c>
      <c r="AV22" s="374">
        <f t="shared" si="60"/>
        <v>0</v>
      </c>
      <c r="AW22" s="374">
        <f t="shared" si="60"/>
        <v>0</v>
      </c>
      <c r="AX22" s="374">
        <f t="shared" si="60"/>
        <v>0</v>
      </c>
      <c r="AY22" s="374">
        <f t="shared" si="60"/>
        <v>0</v>
      </c>
      <c r="AZ22" s="374">
        <f t="shared" si="60"/>
        <v>0</v>
      </c>
      <c r="BA22" s="374">
        <f t="shared" si="60"/>
        <v>0</v>
      </c>
      <c r="BB22" s="374">
        <f t="shared" si="60"/>
        <v>0</v>
      </c>
      <c r="BC22" s="374">
        <f t="shared" si="60"/>
        <v>0</v>
      </c>
      <c r="BD22" s="374">
        <f t="shared" si="60"/>
        <v>0</v>
      </c>
      <c r="BE22" s="374">
        <f t="shared" si="60"/>
        <v>0</v>
      </c>
      <c r="BF22" s="374">
        <f t="shared" si="60"/>
        <v>0</v>
      </c>
      <c r="BG22" s="374">
        <f t="shared" si="60"/>
        <v>0</v>
      </c>
      <c r="BH22" s="374">
        <f t="shared" si="60"/>
        <v>0</v>
      </c>
      <c r="BI22" s="374">
        <f t="shared" si="60"/>
        <v>0</v>
      </c>
      <c r="BJ22" s="374">
        <f t="shared" si="60"/>
        <v>0</v>
      </c>
      <c r="BK22" s="374">
        <f t="shared" ref="BK22:BU22" si="61">+BK90</f>
        <v>0</v>
      </c>
      <c r="BL22" s="374">
        <f t="shared" si="61"/>
        <v>0</v>
      </c>
      <c r="BM22" s="374">
        <f t="shared" si="61"/>
        <v>0</v>
      </c>
      <c r="BN22" s="374">
        <f t="shared" si="61"/>
        <v>0</v>
      </c>
      <c r="BO22" s="374">
        <f t="shared" si="61"/>
        <v>0</v>
      </c>
      <c r="BP22" s="374">
        <f t="shared" si="61"/>
        <v>0</v>
      </c>
      <c r="BQ22" s="374">
        <f t="shared" si="61"/>
        <v>0</v>
      </c>
      <c r="BR22" s="374">
        <f t="shared" si="61"/>
        <v>0</v>
      </c>
      <c r="BS22" s="374">
        <f t="shared" si="61"/>
        <v>0</v>
      </c>
      <c r="BT22" s="374">
        <f t="shared" si="61"/>
        <v>0</v>
      </c>
      <c r="BU22" s="374">
        <f t="shared" si="61"/>
        <v>0</v>
      </c>
    </row>
    <row r="23" spans="1:73" x14ac:dyDescent="0.2">
      <c r="A23" s="186"/>
      <c r="B23" s="186"/>
      <c r="C23" s="186" t="s">
        <v>120</v>
      </c>
      <c r="D23" s="186"/>
      <c r="E23" s="186"/>
      <c r="F23" s="186"/>
      <c r="G23" s="186"/>
      <c r="H23" s="186"/>
      <c r="I23" s="186"/>
      <c r="J23" s="186"/>
      <c r="K23" s="367" t="s">
        <v>63</v>
      </c>
      <c r="L23" s="186"/>
      <c r="M23" s="186"/>
      <c r="N23" s="374">
        <f>SUM(Q23:BU23)</f>
        <v>-153152.13234469108</v>
      </c>
      <c r="O23" s="186"/>
      <c r="P23" s="186"/>
      <c r="Q23" s="374"/>
      <c r="R23" s="374">
        <f xml:space="preserve"> + R91</f>
        <v>-43757.752098483172</v>
      </c>
      <c r="S23" s="374">
        <f t="shared" ref="S23:BJ23" si="62" xml:space="preserve"> + S91</f>
        <v>-43757.752098483172</v>
      </c>
      <c r="T23" s="374">
        <f t="shared" si="62"/>
        <v>-43757.752098483172</v>
      </c>
      <c r="U23" s="374">
        <f t="shared" si="62"/>
        <v>-21878.876049241586</v>
      </c>
      <c r="V23" s="374">
        <f t="shared" si="62"/>
        <v>0</v>
      </c>
      <c r="W23" s="374">
        <f t="shared" si="62"/>
        <v>0</v>
      </c>
      <c r="X23" s="374">
        <f t="shared" si="62"/>
        <v>0</v>
      </c>
      <c r="Y23" s="374">
        <f t="shared" si="62"/>
        <v>0</v>
      </c>
      <c r="Z23" s="374">
        <f t="shared" si="62"/>
        <v>0</v>
      </c>
      <c r="AA23" s="374">
        <f t="shared" si="62"/>
        <v>0</v>
      </c>
      <c r="AB23" s="374">
        <f t="shared" si="62"/>
        <v>0</v>
      </c>
      <c r="AC23" s="374">
        <f t="shared" si="62"/>
        <v>0</v>
      </c>
      <c r="AD23" s="374">
        <f t="shared" si="62"/>
        <v>0</v>
      </c>
      <c r="AE23" s="374">
        <f t="shared" si="62"/>
        <v>0</v>
      </c>
      <c r="AF23" s="374">
        <f t="shared" si="62"/>
        <v>0</v>
      </c>
      <c r="AG23" s="374">
        <f t="shared" si="62"/>
        <v>0</v>
      </c>
      <c r="AH23" s="374">
        <f t="shared" si="62"/>
        <v>0</v>
      </c>
      <c r="AI23" s="374">
        <f t="shared" si="62"/>
        <v>0</v>
      </c>
      <c r="AJ23" s="374">
        <f t="shared" si="62"/>
        <v>0</v>
      </c>
      <c r="AK23" s="374">
        <f t="shared" si="62"/>
        <v>0</v>
      </c>
      <c r="AL23" s="374">
        <f t="shared" si="62"/>
        <v>0</v>
      </c>
      <c r="AM23" s="374">
        <f t="shared" si="62"/>
        <v>0</v>
      </c>
      <c r="AN23" s="374">
        <f t="shared" si="62"/>
        <v>0</v>
      </c>
      <c r="AO23" s="374">
        <f t="shared" si="62"/>
        <v>0</v>
      </c>
      <c r="AP23" s="374">
        <f t="shared" si="62"/>
        <v>0</v>
      </c>
      <c r="AQ23" s="374">
        <f t="shared" si="62"/>
        <v>0</v>
      </c>
      <c r="AR23" s="374">
        <f t="shared" si="62"/>
        <v>0</v>
      </c>
      <c r="AS23" s="374">
        <f t="shared" si="62"/>
        <v>0</v>
      </c>
      <c r="AT23" s="374">
        <f t="shared" si="62"/>
        <v>0</v>
      </c>
      <c r="AU23" s="374">
        <f t="shared" si="62"/>
        <v>0</v>
      </c>
      <c r="AV23" s="374">
        <f t="shared" si="62"/>
        <v>0</v>
      </c>
      <c r="AW23" s="374">
        <f t="shared" si="62"/>
        <v>0</v>
      </c>
      <c r="AX23" s="374">
        <f t="shared" si="62"/>
        <v>0</v>
      </c>
      <c r="AY23" s="374">
        <f t="shared" si="62"/>
        <v>0</v>
      </c>
      <c r="AZ23" s="374">
        <f t="shared" si="62"/>
        <v>0</v>
      </c>
      <c r="BA23" s="374">
        <f t="shared" si="62"/>
        <v>0</v>
      </c>
      <c r="BB23" s="374">
        <f t="shared" si="62"/>
        <v>0</v>
      </c>
      <c r="BC23" s="374">
        <f t="shared" si="62"/>
        <v>0</v>
      </c>
      <c r="BD23" s="374">
        <f t="shared" si="62"/>
        <v>0</v>
      </c>
      <c r="BE23" s="374">
        <f t="shared" si="62"/>
        <v>0</v>
      </c>
      <c r="BF23" s="374">
        <f t="shared" si="62"/>
        <v>0</v>
      </c>
      <c r="BG23" s="374">
        <f t="shared" si="62"/>
        <v>0</v>
      </c>
      <c r="BH23" s="374">
        <f t="shared" si="62"/>
        <v>0</v>
      </c>
      <c r="BI23" s="374">
        <f t="shared" si="62"/>
        <v>0</v>
      </c>
      <c r="BJ23" s="374">
        <f t="shared" si="62"/>
        <v>0</v>
      </c>
      <c r="BK23" s="374">
        <f t="shared" ref="BK23:BU23" si="63" xml:space="preserve"> + BK91</f>
        <v>0</v>
      </c>
      <c r="BL23" s="374">
        <f t="shared" si="63"/>
        <v>0</v>
      </c>
      <c r="BM23" s="374">
        <f t="shared" si="63"/>
        <v>0</v>
      </c>
      <c r="BN23" s="374">
        <f t="shared" si="63"/>
        <v>0</v>
      </c>
      <c r="BO23" s="374">
        <f t="shared" si="63"/>
        <v>0</v>
      </c>
      <c r="BP23" s="374">
        <f t="shared" si="63"/>
        <v>0</v>
      </c>
      <c r="BQ23" s="374">
        <f t="shared" si="63"/>
        <v>0</v>
      </c>
      <c r="BR23" s="374">
        <f t="shared" si="63"/>
        <v>0</v>
      </c>
      <c r="BS23" s="374">
        <f t="shared" si="63"/>
        <v>0</v>
      </c>
      <c r="BT23" s="374">
        <f t="shared" si="63"/>
        <v>0</v>
      </c>
      <c r="BU23" s="374">
        <f t="shared" si="63"/>
        <v>0</v>
      </c>
    </row>
    <row r="24" spans="1:73" x14ac:dyDescent="0.2">
      <c r="A24" s="186"/>
      <c r="B24" s="186"/>
      <c r="C24" s="383" t="s">
        <v>151</v>
      </c>
      <c r="D24" s="383"/>
      <c r="E24" s="383"/>
      <c r="F24" s="383"/>
      <c r="G24" s="383"/>
      <c r="H24" s="383"/>
      <c r="I24" s="383"/>
      <c r="J24" s="383"/>
      <c r="K24" s="617" t="s">
        <v>63</v>
      </c>
      <c r="L24" s="383"/>
      <c r="M24" s="383"/>
      <c r="N24" s="384">
        <f>SUM(Q24:BU24)</f>
        <v>-615000.38086000003</v>
      </c>
      <c r="O24" s="383"/>
      <c r="P24" s="383"/>
      <c r="Q24" s="384"/>
      <c r="R24" s="384">
        <f>+R92</f>
        <v>0</v>
      </c>
      <c r="S24" s="384">
        <f t="shared" ref="S24:BJ24" si="64">+S92</f>
        <v>0</v>
      </c>
      <c r="T24" s="384">
        <f t="shared" si="64"/>
        <v>0</v>
      </c>
      <c r="U24" s="384">
        <f t="shared" si="64"/>
        <v>-615000.38086000003</v>
      </c>
      <c r="V24" s="384">
        <f t="shared" si="64"/>
        <v>0</v>
      </c>
      <c r="W24" s="384">
        <f t="shared" si="64"/>
        <v>0</v>
      </c>
      <c r="X24" s="384">
        <f t="shared" si="64"/>
        <v>0</v>
      </c>
      <c r="Y24" s="384">
        <f t="shared" si="64"/>
        <v>0</v>
      </c>
      <c r="Z24" s="384">
        <f t="shared" si="64"/>
        <v>0</v>
      </c>
      <c r="AA24" s="384">
        <f t="shared" si="64"/>
        <v>0</v>
      </c>
      <c r="AB24" s="384">
        <f t="shared" si="64"/>
        <v>0</v>
      </c>
      <c r="AC24" s="384">
        <f t="shared" si="64"/>
        <v>0</v>
      </c>
      <c r="AD24" s="384">
        <f t="shared" si="64"/>
        <v>0</v>
      </c>
      <c r="AE24" s="384">
        <f t="shared" si="64"/>
        <v>0</v>
      </c>
      <c r="AF24" s="384">
        <f t="shared" si="64"/>
        <v>0</v>
      </c>
      <c r="AG24" s="384">
        <f t="shared" si="64"/>
        <v>0</v>
      </c>
      <c r="AH24" s="384">
        <f t="shared" si="64"/>
        <v>0</v>
      </c>
      <c r="AI24" s="384">
        <f t="shared" si="64"/>
        <v>0</v>
      </c>
      <c r="AJ24" s="384">
        <f t="shared" si="64"/>
        <v>0</v>
      </c>
      <c r="AK24" s="384">
        <f t="shared" si="64"/>
        <v>0</v>
      </c>
      <c r="AL24" s="384">
        <f t="shared" si="64"/>
        <v>0</v>
      </c>
      <c r="AM24" s="384">
        <f t="shared" si="64"/>
        <v>0</v>
      </c>
      <c r="AN24" s="384">
        <f t="shared" si="64"/>
        <v>0</v>
      </c>
      <c r="AO24" s="384">
        <f t="shared" si="64"/>
        <v>0</v>
      </c>
      <c r="AP24" s="384">
        <f t="shared" si="64"/>
        <v>0</v>
      </c>
      <c r="AQ24" s="384">
        <f t="shared" si="64"/>
        <v>0</v>
      </c>
      <c r="AR24" s="384">
        <f t="shared" si="64"/>
        <v>0</v>
      </c>
      <c r="AS24" s="384">
        <f t="shared" si="64"/>
        <v>0</v>
      </c>
      <c r="AT24" s="384">
        <f t="shared" si="64"/>
        <v>0</v>
      </c>
      <c r="AU24" s="384">
        <f t="shared" si="64"/>
        <v>0</v>
      </c>
      <c r="AV24" s="384">
        <f t="shared" si="64"/>
        <v>0</v>
      </c>
      <c r="AW24" s="384">
        <f t="shared" si="64"/>
        <v>0</v>
      </c>
      <c r="AX24" s="384">
        <f t="shared" si="64"/>
        <v>0</v>
      </c>
      <c r="AY24" s="384">
        <f t="shared" si="64"/>
        <v>0</v>
      </c>
      <c r="AZ24" s="384">
        <f t="shared" si="64"/>
        <v>0</v>
      </c>
      <c r="BA24" s="384">
        <f t="shared" si="64"/>
        <v>0</v>
      </c>
      <c r="BB24" s="384">
        <f t="shared" si="64"/>
        <v>0</v>
      </c>
      <c r="BC24" s="384">
        <f t="shared" si="64"/>
        <v>0</v>
      </c>
      <c r="BD24" s="384">
        <f t="shared" si="64"/>
        <v>0</v>
      </c>
      <c r="BE24" s="384">
        <f t="shared" si="64"/>
        <v>0</v>
      </c>
      <c r="BF24" s="384">
        <f t="shared" si="64"/>
        <v>0</v>
      </c>
      <c r="BG24" s="384">
        <f t="shared" si="64"/>
        <v>0</v>
      </c>
      <c r="BH24" s="384">
        <f t="shared" si="64"/>
        <v>0</v>
      </c>
      <c r="BI24" s="384">
        <f t="shared" si="64"/>
        <v>0</v>
      </c>
      <c r="BJ24" s="384">
        <f t="shared" si="64"/>
        <v>0</v>
      </c>
      <c r="BK24" s="384">
        <f t="shared" ref="BK24:BU24" si="65">+BK92</f>
        <v>0</v>
      </c>
      <c r="BL24" s="384">
        <f t="shared" si="65"/>
        <v>0</v>
      </c>
      <c r="BM24" s="384">
        <f t="shared" si="65"/>
        <v>0</v>
      </c>
      <c r="BN24" s="384">
        <f t="shared" si="65"/>
        <v>0</v>
      </c>
      <c r="BO24" s="384">
        <f t="shared" si="65"/>
        <v>0</v>
      </c>
      <c r="BP24" s="384">
        <f t="shared" si="65"/>
        <v>0</v>
      </c>
      <c r="BQ24" s="384">
        <f t="shared" si="65"/>
        <v>0</v>
      </c>
      <c r="BR24" s="384">
        <f t="shared" si="65"/>
        <v>0</v>
      </c>
      <c r="BS24" s="384">
        <f t="shared" si="65"/>
        <v>0</v>
      </c>
      <c r="BT24" s="384">
        <f t="shared" si="65"/>
        <v>0</v>
      </c>
      <c r="BU24" s="384">
        <f t="shared" si="65"/>
        <v>0</v>
      </c>
    </row>
    <row r="25" spans="1:73" ht="13.5" thickBot="1" x14ac:dyDescent="0.25">
      <c r="A25" s="186"/>
      <c r="B25" s="186"/>
      <c r="C25" s="186" t="s">
        <v>152</v>
      </c>
      <c r="D25" s="186"/>
      <c r="E25" s="186"/>
      <c r="F25" s="186"/>
      <c r="G25" s="186"/>
      <c r="H25" s="186"/>
      <c r="I25" s="186"/>
      <c r="J25" s="186"/>
      <c r="K25" s="367" t="s">
        <v>63</v>
      </c>
      <c r="L25" s="186"/>
      <c r="M25" s="186"/>
      <c r="N25" s="374"/>
      <c r="O25" s="186"/>
      <c r="P25" s="186"/>
      <c r="Q25" s="373"/>
      <c r="R25" s="373">
        <v>615000.47985999996</v>
      </c>
      <c r="S25" s="374">
        <f t="shared" ref="S25:T25" si="66">SUM(S20:S24)</f>
        <v>615000.47985999996</v>
      </c>
      <c r="T25" s="374">
        <f t="shared" si="66"/>
        <v>615000.47985999996</v>
      </c>
      <c r="U25" s="374">
        <f t="shared" ref="U25" si="67">SUM(U20:U24)</f>
        <v>9.8999999929219484E-2</v>
      </c>
      <c r="V25" s="374">
        <f t="shared" ref="V25:BU25" si="68">SUM(V20:V24)</f>
        <v>9.8999999929219484E-2</v>
      </c>
      <c r="W25" s="374">
        <f t="shared" si="68"/>
        <v>9.8999999929219484E-2</v>
      </c>
      <c r="X25" s="374">
        <f t="shared" si="68"/>
        <v>9.8999999929219484E-2</v>
      </c>
      <c r="Y25" s="374">
        <f t="shared" si="68"/>
        <v>9.8999999929219484E-2</v>
      </c>
      <c r="Z25" s="374">
        <f t="shared" si="68"/>
        <v>9.8999999929219484E-2</v>
      </c>
      <c r="AA25" s="374">
        <f t="shared" si="68"/>
        <v>9.8999999929219484E-2</v>
      </c>
      <c r="AB25" s="374">
        <f t="shared" si="68"/>
        <v>9.8999999929219484E-2</v>
      </c>
      <c r="AC25" s="374">
        <f t="shared" si="68"/>
        <v>9.8999999929219484E-2</v>
      </c>
      <c r="AD25" s="374">
        <f t="shared" si="68"/>
        <v>9.8999999929219484E-2</v>
      </c>
      <c r="AE25" s="374">
        <f t="shared" si="68"/>
        <v>9.8999999929219484E-2</v>
      </c>
      <c r="AF25" s="374">
        <f t="shared" si="68"/>
        <v>9.8999999929219484E-2</v>
      </c>
      <c r="AG25" s="374">
        <f t="shared" si="68"/>
        <v>9.8999999929219484E-2</v>
      </c>
      <c r="AH25" s="374">
        <f t="shared" si="68"/>
        <v>9.8999999929219484E-2</v>
      </c>
      <c r="AI25" s="374">
        <f t="shared" si="68"/>
        <v>9.8999999929219484E-2</v>
      </c>
      <c r="AJ25" s="374">
        <f t="shared" si="68"/>
        <v>9.8999999929219484E-2</v>
      </c>
      <c r="AK25" s="374">
        <f t="shared" si="68"/>
        <v>9.8999999929219484E-2</v>
      </c>
      <c r="AL25" s="374">
        <f t="shared" si="68"/>
        <v>9.8999999929219484E-2</v>
      </c>
      <c r="AM25" s="374">
        <f t="shared" si="68"/>
        <v>9.8999999929219484E-2</v>
      </c>
      <c r="AN25" s="374">
        <f t="shared" si="68"/>
        <v>9.8999999929219484E-2</v>
      </c>
      <c r="AO25" s="374">
        <f t="shared" si="68"/>
        <v>9.8999999929219484E-2</v>
      </c>
      <c r="AP25" s="374">
        <f t="shared" si="68"/>
        <v>9.8999999929219484E-2</v>
      </c>
      <c r="AQ25" s="374">
        <f t="shared" si="68"/>
        <v>9.8999999929219484E-2</v>
      </c>
      <c r="AR25" s="374">
        <f t="shared" si="68"/>
        <v>9.8999999929219484E-2</v>
      </c>
      <c r="AS25" s="374">
        <f t="shared" si="68"/>
        <v>9.8999999929219484E-2</v>
      </c>
      <c r="AT25" s="374">
        <f t="shared" si="68"/>
        <v>9.8999999929219484E-2</v>
      </c>
      <c r="AU25" s="374">
        <f t="shared" si="68"/>
        <v>9.8999999929219484E-2</v>
      </c>
      <c r="AV25" s="374">
        <f t="shared" si="68"/>
        <v>9.8999999929219484E-2</v>
      </c>
      <c r="AW25" s="374">
        <f t="shared" si="68"/>
        <v>9.8999999929219484E-2</v>
      </c>
      <c r="AX25" s="374">
        <f t="shared" si="68"/>
        <v>9.8999999929219484E-2</v>
      </c>
      <c r="AY25" s="374">
        <f t="shared" si="68"/>
        <v>9.8999999929219484E-2</v>
      </c>
      <c r="AZ25" s="374">
        <f t="shared" si="68"/>
        <v>9.8999999929219484E-2</v>
      </c>
      <c r="BA25" s="374">
        <f t="shared" si="68"/>
        <v>9.8999999929219484E-2</v>
      </c>
      <c r="BB25" s="374">
        <f t="shared" si="68"/>
        <v>9.8999999929219484E-2</v>
      </c>
      <c r="BC25" s="374">
        <f t="shared" si="68"/>
        <v>9.8999999929219484E-2</v>
      </c>
      <c r="BD25" s="374">
        <f t="shared" si="68"/>
        <v>9.8999999929219484E-2</v>
      </c>
      <c r="BE25" s="374">
        <f t="shared" si="68"/>
        <v>9.8999999929219484E-2</v>
      </c>
      <c r="BF25" s="374">
        <f t="shared" si="68"/>
        <v>9.8999999929219484E-2</v>
      </c>
      <c r="BG25" s="374">
        <f t="shared" si="68"/>
        <v>9.8999999929219484E-2</v>
      </c>
      <c r="BH25" s="374">
        <f t="shared" si="68"/>
        <v>9.8999999929219484E-2</v>
      </c>
      <c r="BI25" s="374">
        <f t="shared" si="68"/>
        <v>9.8999999929219484E-2</v>
      </c>
      <c r="BJ25" s="374">
        <f t="shared" si="68"/>
        <v>9.8999999929219484E-2</v>
      </c>
      <c r="BK25" s="374">
        <f t="shared" si="68"/>
        <v>9.8999999929219484E-2</v>
      </c>
      <c r="BL25" s="374">
        <f t="shared" si="68"/>
        <v>9.8999999929219484E-2</v>
      </c>
      <c r="BM25" s="374">
        <f t="shared" si="68"/>
        <v>9.8999999929219484E-2</v>
      </c>
      <c r="BN25" s="374">
        <f t="shared" si="68"/>
        <v>9.8999999929219484E-2</v>
      </c>
      <c r="BO25" s="374">
        <f t="shared" si="68"/>
        <v>9.8999999929219484E-2</v>
      </c>
      <c r="BP25" s="374">
        <f t="shared" si="68"/>
        <v>9.8999999929219484E-2</v>
      </c>
      <c r="BQ25" s="374">
        <f t="shared" si="68"/>
        <v>9.8999999929219484E-2</v>
      </c>
      <c r="BR25" s="374">
        <f t="shared" si="68"/>
        <v>9.8999999929219484E-2</v>
      </c>
      <c r="BS25" s="374">
        <f t="shared" si="68"/>
        <v>9.8999999929219484E-2</v>
      </c>
      <c r="BT25" s="374">
        <f t="shared" si="68"/>
        <v>9.8999999929219484E-2</v>
      </c>
      <c r="BU25" s="374">
        <f t="shared" si="68"/>
        <v>9.8999999929219484E-2</v>
      </c>
    </row>
    <row r="26" spans="1:73" ht="13.5" thickBot="1" x14ac:dyDescent="0.25">
      <c r="A26" s="186"/>
      <c r="B26" s="186"/>
      <c r="C26" s="186"/>
      <c r="D26" s="186"/>
      <c r="E26" s="186"/>
      <c r="F26" s="186"/>
      <c r="G26" s="186"/>
      <c r="H26" s="186"/>
      <c r="I26" s="186"/>
      <c r="J26" s="186"/>
      <c r="K26" s="367"/>
      <c r="L26" s="186"/>
      <c r="M26" s="186"/>
      <c r="N26" s="385">
        <f>IF(ROUND(SUM(N21:N24),0)&lt;&gt;0,1,0)</f>
        <v>0</v>
      </c>
      <c r="O26" s="186"/>
      <c r="P26" s="186"/>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74"/>
      <c r="AU26" s="374"/>
      <c r="AV26" s="374"/>
      <c r="AW26" s="374"/>
      <c r="AX26" s="374"/>
      <c r="AY26" s="374"/>
      <c r="AZ26" s="374"/>
      <c r="BA26" s="374"/>
      <c r="BB26" s="374"/>
      <c r="BC26" s="374"/>
      <c r="BD26" s="374"/>
      <c r="BE26" s="374"/>
      <c r="BF26" s="374"/>
      <c r="BG26" s="374"/>
      <c r="BH26" s="374"/>
      <c r="BI26" s="374"/>
      <c r="BJ26" s="374"/>
      <c r="BK26" s="374"/>
      <c r="BL26" s="374"/>
      <c r="BM26" s="374"/>
      <c r="BN26" s="374"/>
      <c r="BO26" s="374"/>
      <c r="BP26" s="374"/>
      <c r="BQ26" s="374"/>
      <c r="BR26" s="374"/>
      <c r="BS26" s="374"/>
      <c r="BT26" s="374"/>
      <c r="BU26" s="374"/>
    </row>
    <row r="27" spans="1:73" x14ac:dyDescent="0.2">
      <c r="A27" s="186"/>
      <c r="B27" s="380" t="s">
        <v>349</v>
      </c>
      <c r="C27" s="186"/>
      <c r="D27" s="186"/>
      <c r="E27" s="381"/>
      <c r="F27" s="186"/>
      <c r="G27" s="186"/>
      <c r="H27" s="186"/>
      <c r="I27" s="186"/>
      <c r="J27" s="186"/>
      <c r="K27" s="367"/>
      <c r="L27" s="186"/>
      <c r="M27" s="374"/>
      <c r="N27" s="186"/>
      <c r="O27" s="186"/>
      <c r="P27" s="186"/>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row>
    <row r="28" spans="1:73" x14ac:dyDescent="0.2">
      <c r="A28" s="186"/>
      <c r="B28" s="186"/>
      <c r="C28" s="186" t="s">
        <v>147</v>
      </c>
      <c r="D28" s="186"/>
      <c r="E28" s="186"/>
      <c r="F28" s="186"/>
      <c r="G28" s="186"/>
      <c r="H28" s="186"/>
      <c r="I28" s="186"/>
      <c r="J28" s="186"/>
      <c r="K28" s="367" t="s">
        <v>63</v>
      </c>
      <c r="L28" s="186"/>
      <c r="M28" s="186"/>
      <c r="N28" s="374"/>
      <c r="O28" s="186"/>
      <c r="P28" s="186"/>
      <c r="Q28" s="374"/>
      <c r="R28" s="374">
        <f t="shared" ref="R28" si="69">+Q33</f>
        <v>0</v>
      </c>
      <c r="S28" s="374">
        <f t="shared" ref="S28" si="70">+R33</f>
        <v>0</v>
      </c>
      <c r="T28" s="374">
        <f t="shared" ref="T28" si="71">+S33</f>
        <v>0</v>
      </c>
      <c r="U28" s="374">
        <f t="shared" ref="U28" si="72">+T33</f>
        <v>0</v>
      </c>
      <c r="V28" s="374">
        <f t="shared" ref="V28" si="73">+U33</f>
        <v>1758.1264636925982</v>
      </c>
      <c r="W28" s="374">
        <f t="shared" ref="W28" si="74">+V33</f>
        <v>4269.5264922075958</v>
      </c>
      <c r="X28" s="374">
        <f t="shared" ref="X28" si="75">+W33</f>
        <v>7477.0307919035677</v>
      </c>
      <c r="Y28" s="374">
        <f t="shared" ref="Y28" si="76">+X33</f>
        <v>11573.583995596706</v>
      </c>
      <c r="Z28" s="374">
        <f t="shared" ref="Z28" si="77">+Y33</f>
        <v>16805.610700059486</v>
      </c>
      <c r="AA28" s="374">
        <f t="shared" ref="AA28" si="78">+Z33</f>
        <v>23487.838923418887</v>
      </c>
      <c r="AB28" s="374">
        <f t="shared" ref="AB28" si="79">+AA33</f>
        <v>32022.232295488982</v>
      </c>
      <c r="AC28" s="374">
        <f t="shared" ref="AC28" si="80">+AB33</f>
        <v>39856.726607952769</v>
      </c>
      <c r="AD28" s="374">
        <f t="shared" ref="AD28" si="81">+AC33</f>
        <v>47048.720046279515</v>
      </c>
      <c r="AE28" s="374">
        <f t="shared" ref="AE28" si="82">+AD33</f>
        <v>53650.903614738651</v>
      </c>
      <c r="AF28" s="374">
        <f t="shared" ref="AF28" si="83">+AE33</f>
        <v>3030.3717769918367</v>
      </c>
      <c r="AG28" s="374">
        <f t="shared" ref="AG28" si="84">+AF33</f>
        <v>8594.0783971226265</v>
      </c>
      <c r="AH28" s="374">
        <f t="shared" ref="AH28" si="85">+AG33</f>
        <v>16137.86676041204</v>
      </c>
      <c r="AI28" s="374">
        <f t="shared" ref="AI28" si="86">+AH33</f>
        <v>26366.433210014475</v>
      </c>
      <c r="AJ28" s="374">
        <f t="shared" ref="AJ28" si="87">+AI33</f>
        <v>40235.270268469838</v>
      </c>
      <c r="AK28" s="374">
        <f t="shared" ref="AK28" si="88">+AJ33</f>
        <v>59039.923129815914</v>
      </c>
      <c r="AL28" s="374">
        <f t="shared" ref="AL28" si="89">+AK33</f>
        <v>84537.011872389587</v>
      </c>
      <c r="AM28" s="374">
        <f t="shared" ref="AM28" si="90">+AL33</f>
        <v>101794.53172859707</v>
      </c>
      <c r="AN28" s="374">
        <f t="shared" ref="AN28" si="91">+AM33</f>
        <v>113475.15905802658</v>
      </c>
      <c r="AO28" s="374">
        <f t="shared" ref="AO28" si="92">+AN33</f>
        <v>121381.10707059337</v>
      </c>
      <c r="AP28" s="374">
        <f t="shared" ref="AP28" si="93">+AO33</f>
        <v>2675.5418272753595</v>
      </c>
      <c r="AQ28" s="374">
        <f t="shared" ref="AQ28" si="94">+AP33</f>
        <v>6297.3840443611671</v>
      </c>
      <c r="AR28" s="374">
        <f t="shared" ref="AR28" si="95">+AQ33</f>
        <v>11328.943640487843</v>
      </c>
      <c r="AS28" s="374">
        <f t="shared" ref="AS28" si="96">+AR33</f>
        <v>18318.920136411671</v>
      </c>
      <c r="AT28" s="374">
        <f t="shared" ref="AT28" si="97">+AS33</f>
        <v>28029.581508917341</v>
      </c>
      <c r="AU28" s="374">
        <f t="shared" ref="AU28" si="98">+AT33</f>
        <v>41519.890717605318</v>
      </c>
      <c r="AV28" s="374">
        <f t="shared" ref="AV28" si="99">+AU33</f>
        <v>60260.987288152552</v>
      </c>
      <c r="AW28" s="374">
        <f t="shared" ref="AW28" si="100">+AV33</f>
        <v>78682.338252433372</v>
      </c>
      <c r="AX28" s="374">
        <f t="shared" ref="AX28" si="101">+AW33</f>
        <v>96789.398854346742</v>
      </c>
      <c r="AY28" s="374">
        <f t="shared" ref="AY28" si="102">+AX33</f>
        <v>114587.53126478169</v>
      </c>
      <c r="AZ28" s="374">
        <f t="shared" ref="AZ28" si="103">+AY33</f>
        <v>0</v>
      </c>
      <c r="BA28" s="374">
        <f t="shared" ref="BA28" si="104">+AZ33</f>
        <v>0</v>
      </c>
      <c r="BB28" s="374">
        <f t="shared" ref="BB28" si="105">+BA33</f>
        <v>0</v>
      </c>
      <c r="BC28" s="374">
        <f t="shared" ref="BC28" si="106">+BB33</f>
        <v>0</v>
      </c>
      <c r="BD28" s="374">
        <f t="shared" ref="BD28" si="107">+BC33</f>
        <v>0</v>
      </c>
      <c r="BE28" s="374">
        <f t="shared" ref="BE28" si="108">+BD33</f>
        <v>0</v>
      </c>
      <c r="BF28" s="374">
        <f t="shared" ref="BF28" si="109">+BE33</f>
        <v>0</v>
      </c>
      <c r="BG28" s="374">
        <f t="shared" ref="BG28" si="110">+BF33</f>
        <v>0</v>
      </c>
      <c r="BH28" s="374">
        <f t="shared" ref="BH28" si="111">+BG33</f>
        <v>0</v>
      </c>
      <c r="BI28" s="374">
        <f t="shared" ref="BI28" si="112">+BH33</f>
        <v>0</v>
      </c>
      <c r="BJ28" s="374">
        <f t="shared" ref="BJ28" si="113">+BI33</f>
        <v>0</v>
      </c>
      <c r="BK28" s="374">
        <f t="shared" ref="BK28" si="114">+BJ33</f>
        <v>0</v>
      </c>
      <c r="BL28" s="374">
        <f t="shared" ref="BL28" si="115">+BK33</f>
        <v>0</v>
      </c>
      <c r="BM28" s="374">
        <f t="shared" ref="BM28" si="116">+BL33</f>
        <v>0</v>
      </c>
      <c r="BN28" s="374">
        <f t="shared" ref="BN28" si="117">+BM33</f>
        <v>0</v>
      </c>
      <c r="BO28" s="374">
        <f t="shared" ref="BO28" si="118">+BN33</f>
        <v>0</v>
      </c>
      <c r="BP28" s="374">
        <f t="shared" ref="BP28" si="119">+BO33</f>
        <v>0</v>
      </c>
      <c r="BQ28" s="374">
        <f t="shared" ref="BQ28" si="120">+BP33</f>
        <v>0</v>
      </c>
      <c r="BR28" s="374">
        <f t="shared" ref="BR28" si="121">+BQ33</f>
        <v>0</v>
      </c>
      <c r="BS28" s="374">
        <f t="shared" ref="BS28" si="122">+BR33</f>
        <v>0</v>
      </c>
      <c r="BT28" s="374">
        <f t="shared" ref="BT28" si="123">+BS33</f>
        <v>0</v>
      </c>
      <c r="BU28" s="374">
        <f t="shared" ref="BU28" si="124">+BT33</f>
        <v>0</v>
      </c>
    </row>
    <row r="29" spans="1:73" x14ac:dyDescent="0.2">
      <c r="A29" s="186"/>
      <c r="B29" s="186"/>
      <c r="C29" s="186" t="s">
        <v>148</v>
      </c>
      <c r="D29" s="186"/>
      <c r="E29" s="186"/>
      <c r="F29" s="186"/>
      <c r="G29" s="186"/>
      <c r="H29" s="186"/>
      <c r="I29" s="186"/>
      <c r="J29" s="186"/>
      <c r="K29" s="367" t="s">
        <v>63</v>
      </c>
      <c r="L29" s="186"/>
      <c r="M29" s="374"/>
      <c r="N29" s="374">
        <f>SUM(Q29:BU29)</f>
        <v>304072.69300676737</v>
      </c>
      <c r="O29" s="186"/>
      <c r="P29" s="186"/>
      <c r="Q29" s="374"/>
      <c r="R29" s="374">
        <f t="shared" ref="R29:V29" si="125">+R213</f>
        <v>0</v>
      </c>
      <c r="S29" s="374">
        <f t="shared" si="125"/>
        <v>0</v>
      </c>
      <c r="T29" s="374">
        <f t="shared" si="125"/>
        <v>0</v>
      </c>
      <c r="U29" s="374">
        <f t="shared" si="125"/>
        <v>1758.1264636925982</v>
      </c>
      <c r="V29" s="374">
        <f t="shared" si="125"/>
        <v>2511.4000285149973</v>
      </c>
      <c r="W29" s="374">
        <f>+W213</f>
        <v>3207.5042996959728</v>
      </c>
      <c r="X29" s="374">
        <f t="shared" ref="X29:BU29" si="126">+X213</f>
        <v>4096.5532036931381</v>
      </c>
      <c r="Y29" s="374">
        <f t="shared" si="126"/>
        <v>5232.0267044627799</v>
      </c>
      <c r="Z29" s="374">
        <f t="shared" si="126"/>
        <v>6682.2282233593996</v>
      </c>
      <c r="AA29" s="374">
        <f t="shared" si="126"/>
        <v>8534.3933720700988</v>
      </c>
      <c r="AB29" s="374">
        <f t="shared" si="126"/>
        <v>7834.4943124637866</v>
      </c>
      <c r="AC29" s="374">
        <f t="shared" si="126"/>
        <v>7191.9934383267437</v>
      </c>
      <c r="AD29" s="374">
        <f t="shared" si="126"/>
        <v>6602.1835684591333</v>
      </c>
      <c r="AE29" s="374">
        <f t="shared" si="126"/>
        <v>6060.7435539836861</v>
      </c>
      <c r="AF29" s="374">
        <f t="shared" si="126"/>
        <v>5563.7066201307889</v>
      </c>
      <c r="AG29" s="374">
        <f t="shared" si="126"/>
        <v>7543.7883632894109</v>
      </c>
      <c r="AH29" s="374">
        <f t="shared" si="126"/>
        <v>10228.566449602433</v>
      </c>
      <c r="AI29" s="374">
        <f t="shared" si="126"/>
        <v>13868.837058455365</v>
      </c>
      <c r="AJ29" s="374">
        <f t="shared" si="126"/>
        <v>18804.652861346072</v>
      </c>
      <c r="AK29" s="374">
        <f t="shared" ref="AK29:BJ29" si="127">+AK213</f>
        <v>25497.088742573676</v>
      </c>
      <c r="AL29" s="374">
        <f t="shared" si="127"/>
        <v>17257.519856207484</v>
      </c>
      <c r="AM29" s="374">
        <f t="shared" si="127"/>
        <v>11680.62732942951</v>
      </c>
      <c r="AN29" s="374">
        <f t="shared" si="127"/>
        <v>7905.9480125667942</v>
      </c>
      <c r="AO29" s="374">
        <f t="shared" si="127"/>
        <v>5351.0836545507345</v>
      </c>
      <c r="AP29" s="374">
        <f t="shared" si="127"/>
        <v>3621.8422170858075</v>
      </c>
      <c r="AQ29" s="374">
        <f t="shared" si="127"/>
        <v>5031.5595961266754</v>
      </c>
      <c r="AR29" s="374">
        <f t="shared" si="127"/>
        <v>6989.9764959238264</v>
      </c>
      <c r="AS29" s="374">
        <f t="shared" si="127"/>
        <v>9710.6613725056704</v>
      </c>
      <c r="AT29" s="374">
        <f t="shared" si="127"/>
        <v>13490.309208687973</v>
      </c>
      <c r="AU29" s="374">
        <f t="shared" si="127"/>
        <v>18741.096570547237</v>
      </c>
      <c r="AV29" s="374">
        <f t="shared" si="127"/>
        <v>18421.350964280813</v>
      </c>
      <c r="AW29" s="374">
        <f t="shared" si="127"/>
        <v>18107.060601913374</v>
      </c>
      <c r="AX29" s="374">
        <f t="shared" si="127"/>
        <v>17798.132410434951</v>
      </c>
      <c r="AY29" s="374">
        <f t="shared" si="127"/>
        <v>8747.2374523864346</v>
      </c>
      <c r="AZ29" s="374">
        <f t="shared" si="127"/>
        <v>0</v>
      </c>
      <c r="BA29" s="374">
        <f t="shared" si="127"/>
        <v>0</v>
      </c>
      <c r="BB29" s="374">
        <f t="shared" si="127"/>
        <v>0</v>
      </c>
      <c r="BC29" s="374">
        <f t="shared" si="127"/>
        <v>0</v>
      </c>
      <c r="BD29" s="374">
        <f t="shared" si="127"/>
        <v>0</v>
      </c>
      <c r="BE29" s="374">
        <f t="shared" si="127"/>
        <v>0</v>
      </c>
      <c r="BF29" s="374">
        <f t="shared" si="127"/>
        <v>0</v>
      </c>
      <c r="BG29" s="374">
        <f t="shared" si="127"/>
        <v>0</v>
      </c>
      <c r="BH29" s="374">
        <f t="shared" si="127"/>
        <v>0</v>
      </c>
      <c r="BI29" s="374">
        <f t="shared" si="127"/>
        <v>0</v>
      </c>
      <c r="BJ29" s="374">
        <f t="shared" si="127"/>
        <v>0</v>
      </c>
      <c r="BK29" s="374">
        <f t="shared" si="126"/>
        <v>0</v>
      </c>
      <c r="BL29" s="374">
        <f t="shared" si="126"/>
        <v>0</v>
      </c>
      <c r="BM29" s="374">
        <f t="shared" si="126"/>
        <v>0</v>
      </c>
      <c r="BN29" s="374">
        <f t="shared" si="126"/>
        <v>0</v>
      </c>
      <c r="BO29" s="374">
        <f t="shared" si="126"/>
        <v>0</v>
      </c>
      <c r="BP29" s="374">
        <f t="shared" si="126"/>
        <v>0</v>
      </c>
      <c r="BQ29" s="374">
        <f t="shared" si="126"/>
        <v>0</v>
      </c>
      <c r="BR29" s="374">
        <f t="shared" si="126"/>
        <v>0</v>
      </c>
      <c r="BS29" s="374">
        <f t="shared" si="126"/>
        <v>0</v>
      </c>
      <c r="BT29" s="374">
        <f t="shared" si="126"/>
        <v>0</v>
      </c>
      <c r="BU29" s="374">
        <f t="shared" si="126"/>
        <v>0</v>
      </c>
    </row>
    <row r="30" spans="1:73" x14ac:dyDescent="0.2">
      <c r="A30" s="186"/>
      <c r="B30" s="186"/>
      <c r="C30" s="186" t="s">
        <v>149</v>
      </c>
      <c r="D30" s="186"/>
      <c r="E30" s="186"/>
      <c r="F30" s="186"/>
      <c r="G30" s="186"/>
      <c r="H30" s="186"/>
      <c r="I30" s="186"/>
      <c r="J30" s="186"/>
      <c r="K30" s="367" t="s">
        <v>63</v>
      </c>
      <c r="L30" s="186"/>
      <c r="M30" s="186"/>
      <c r="N30" s="374">
        <f>SUM(Q30:BU30)</f>
        <v>62715.180458223826</v>
      </c>
      <c r="O30" s="186"/>
      <c r="P30" s="186"/>
      <c r="Q30" s="374"/>
      <c r="R30" s="374">
        <f t="shared" ref="R30:T30" si="128">-R209</f>
        <v>0</v>
      </c>
      <c r="S30" s="374">
        <f t="shared" si="128"/>
        <v>0</v>
      </c>
      <c r="T30" s="374">
        <f t="shared" si="128"/>
        <v>0</v>
      </c>
      <c r="U30" s="374">
        <f>-U209</f>
        <v>0</v>
      </c>
      <c r="V30" s="374">
        <f t="shared" ref="V30:BU30" si="129">-V209</f>
        <v>125.26376471812074</v>
      </c>
      <c r="W30" s="374">
        <f t="shared" si="129"/>
        <v>266.2486347744084</v>
      </c>
      <c r="X30" s="374">
        <f t="shared" si="129"/>
        <v>446.31137737340975</v>
      </c>
      <c r="Y30" s="374">
        <f t="shared" si="129"/>
        <v>676.28351026490111</v>
      </c>
      <c r="Z30" s="374">
        <f t="shared" si="129"/>
        <v>969.99880718471513</v>
      </c>
      <c r="AA30" s="374">
        <f t="shared" si="129"/>
        <v>1345.1254564879116</v>
      </c>
      <c r="AB30" s="374">
        <f t="shared" si="129"/>
        <v>1783.9949333642587</v>
      </c>
      <c r="AC30" s="374">
        <f t="shared" si="129"/>
        <v>2186.8730607955595</v>
      </c>
      <c r="AD30" s="374">
        <f t="shared" si="129"/>
        <v>2556.7114617657007</v>
      </c>
      <c r="AE30" s="374">
        <f t="shared" si="129"/>
        <v>1408.3362198868897</v>
      </c>
      <c r="AF30" s="374">
        <f t="shared" si="129"/>
        <v>232.11816768128841</v>
      </c>
      <c r="AG30" s="374">
        <f t="shared" si="129"/>
        <v>550.20133811711173</v>
      </c>
      <c r="AH30" s="374">
        <f t="shared" si="129"/>
        <v>981.48793957266435</v>
      </c>
      <c r="AI30" s="374">
        <f t="shared" si="129"/>
        <v>1566.2662299179867</v>
      </c>
      <c r="AJ30" s="374">
        <f t="shared" si="129"/>
        <v>2359.1627578998341</v>
      </c>
      <c r="AK30" s="374">
        <f t="shared" ref="AK30:BJ30" si="130">-AK209</f>
        <v>3434.245254061615</v>
      </c>
      <c r="AL30" s="374">
        <f t="shared" si="130"/>
        <v>4664.698071413176</v>
      </c>
      <c r="AM30" s="374">
        <f t="shared" si="130"/>
        <v>5497.5211494501082</v>
      </c>
      <c r="AN30" s="374">
        <f t="shared" si="130"/>
        <v>6061.2114182113337</v>
      </c>
      <c r="AO30" s="374">
        <f t="shared" si="130"/>
        <v>3186.2540606030752</v>
      </c>
      <c r="AP30" s="374">
        <f t="shared" si="130"/>
        <v>188.00262503120757</v>
      </c>
      <c r="AQ30" s="374">
        <f t="shared" si="130"/>
        <v>396.65188202812391</v>
      </c>
      <c r="AR30" s="374">
        <f t="shared" si="130"/>
        <v>686.51298263461194</v>
      </c>
      <c r="AS30" s="374">
        <f t="shared" si="130"/>
        <v>1089.1957376757496</v>
      </c>
      <c r="AT30" s="374">
        <f t="shared" si="130"/>
        <v>1648.6133375821901</v>
      </c>
      <c r="AU30" s="374">
        <f t="shared" si="130"/>
        <v>2425.7711551627117</v>
      </c>
      <c r="AV30" s="374">
        <f t="shared" si="130"/>
        <v>3405.4820640341945</v>
      </c>
      <c r="AW30" s="374">
        <f t="shared" si="130"/>
        <v>4368.4779286528646</v>
      </c>
      <c r="AX30" s="374">
        <f t="shared" si="130"/>
        <v>5315.0439277401629</v>
      </c>
      <c r="AY30" s="374">
        <f t="shared" si="130"/>
        <v>2893.1152041379469</v>
      </c>
      <c r="AZ30" s="374">
        <f t="shared" si="130"/>
        <v>0</v>
      </c>
      <c r="BA30" s="374">
        <f t="shared" si="130"/>
        <v>0</v>
      </c>
      <c r="BB30" s="374">
        <f t="shared" si="130"/>
        <v>0</v>
      </c>
      <c r="BC30" s="374">
        <f t="shared" si="130"/>
        <v>0</v>
      </c>
      <c r="BD30" s="374">
        <f t="shared" si="130"/>
        <v>0</v>
      </c>
      <c r="BE30" s="374">
        <f t="shared" si="130"/>
        <v>0</v>
      </c>
      <c r="BF30" s="374">
        <f t="shared" si="130"/>
        <v>0</v>
      </c>
      <c r="BG30" s="374">
        <f t="shared" si="130"/>
        <v>0</v>
      </c>
      <c r="BH30" s="374">
        <f t="shared" si="130"/>
        <v>0</v>
      </c>
      <c r="BI30" s="374">
        <f t="shared" si="130"/>
        <v>0</v>
      </c>
      <c r="BJ30" s="374">
        <f t="shared" si="130"/>
        <v>0</v>
      </c>
      <c r="BK30" s="374">
        <f t="shared" si="129"/>
        <v>0</v>
      </c>
      <c r="BL30" s="374">
        <f t="shared" si="129"/>
        <v>0</v>
      </c>
      <c r="BM30" s="374">
        <f t="shared" si="129"/>
        <v>0</v>
      </c>
      <c r="BN30" s="374">
        <f t="shared" si="129"/>
        <v>0</v>
      </c>
      <c r="BO30" s="374">
        <f t="shared" si="129"/>
        <v>0</v>
      </c>
      <c r="BP30" s="374">
        <f t="shared" si="129"/>
        <v>0</v>
      </c>
      <c r="BQ30" s="374">
        <f t="shared" si="129"/>
        <v>0</v>
      </c>
      <c r="BR30" s="374">
        <f t="shared" si="129"/>
        <v>0</v>
      </c>
      <c r="BS30" s="374">
        <f t="shared" si="129"/>
        <v>0</v>
      </c>
      <c r="BT30" s="374">
        <f t="shared" si="129"/>
        <v>0</v>
      </c>
      <c r="BU30" s="374">
        <f t="shared" si="129"/>
        <v>0</v>
      </c>
    </row>
    <row r="31" spans="1:73" x14ac:dyDescent="0.2">
      <c r="A31" s="186"/>
      <c r="B31" s="186"/>
      <c r="C31" s="186" t="s">
        <v>120</v>
      </c>
      <c r="D31" s="186"/>
      <c r="E31" s="186"/>
      <c r="F31" s="186"/>
      <c r="G31" s="186"/>
      <c r="H31" s="186"/>
      <c r="I31" s="186"/>
      <c r="J31" s="186"/>
      <c r="K31" s="367" t="s">
        <v>63</v>
      </c>
      <c r="L31" s="186"/>
      <c r="M31" s="186"/>
      <c r="N31" s="374">
        <f>SUM(Q31:BU31)</f>
        <v>-62715.180458223826</v>
      </c>
      <c r="O31" s="186"/>
      <c r="P31" s="186"/>
      <c r="Q31" s="374"/>
      <c r="R31" s="374">
        <f t="shared" ref="R31:T31" si="131">R209</f>
        <v>0</v>
      </c>
      <c r="S31" s="374">
        <f t="shared" si="131"/>
        <v>0</v>
      </c>
      <c r="T31" s="374">
        <f t="shared" si="131"/>
        <v>0</v>
      </c>
      <c r="U31" s="374">
        <f>U209</f>
        <v>0</v>
      </c>
      <c r="V31" s="374">
        <f t="shared" ref="V31:BU31" si="132">V209</f>
        <v>-125.26376471812074</v>
      </c>
      <c r="W31" s="374">
        <f t="shared" si="132"/>
        <v>-266.2486347744084</v>
      </c>
      <c r="X31" s="374">
        <f t="shared" si="132"/>
        <v>-446.31137737340975</v>
      </c>
      <c r="Y31" s="374">
        <f t="shared" si="132"/>
        <v>-676.28351026490111</v>
      </c>
      <c r="Z31" s="374">
        <f t="shared" si="132"/>
        <v>-969.99880718471513</v>
      </c>
      <c r="AA31" s="374">
        <f t="shared" si="132"/>
        <v>-1345.1254564879116</v>
      </c>
      <c r="AB31" s="374">
        <f t="shared" si="132"/>
        <v>-1783.9949333642587</v>
      </c>
      <c r="AC31" s="374">
        <f t="shared" si="132"/>
        <v>-2186.8730607955595</v>
      </c>
      <c r="AD31" s="374">
        <f t="shared" si="132"/>
        <v>-2556.7114617657007</v>
      </c>
      <c r="AE31" s="374">
        <f t="shared" si="132"/>
        <v>-1408.3362198868897</v>
      </c>
      <c r="AF31" s="374">
        <f t="shared" si="132"/>
        <v>-232.11816768128841</v>
      </c>
      <c r="AG31" s="374">
        <f t="shared" si="132"/>
        <v>-550.20133811711173</v>
      </c>
      <c r="AH31" s="374">
        <f t="shared" si="132"/>
        <v>-981.48793957266435</v>
      </c>
      <c r="AI31" s="374">
        <f t="shared" si="132"/>
        <v>-1566.2662299179867</v>
      </c>
      <c r="AJ31" s="374">
        <f t="shared" si="132"/>
        <v>-2359.1627578998341</v>
      </c>
      <c r="AK31" s="374">
        <f t="shared" ref="AK31:BJ31" si="133">AK209</f>
        <v>-3434.245254061615</v>
      </c>
      <c r="AL31" s="374">
        <f t="shared" si="133"/>
        <v>-4664.698071413176</v>
      </c>
      <c r="AM31" s="374">
        <f t="shared" si="133"/>
        <v>-5497.5211494501082</v>
      </c>
      <c r="AN31" s="374">
        <f t="shared" si="133"/>
        <v>-6061.2114182113337</v>
      </c>
      <c r="AO31" s="374">
        <f t="shared" si="133"/>
        <v>-3186.2540606030752</v>
      </c>
      <c r="AP31" s="374">
        <f t="shared" si="133"/>
        <v>-188.00262503120757</v>
      </c>
      <c r="AQ31" s="374">
        <f t="shared" si="133"/>
        <v>-396.65188202812391</v>
      </c>
      <c r="AR31" s="374">
        <f t="shared" si="133"/>
        <v>-686.51298263461194</v>
      </c>
      <c r="AS31" s="374">
        <f t="shared" si="133"/>
        <v>-1089.1957376757496</v>
      </c>
      <c r="AT31" s="374">
        <f t="shared" si="133"/>
        <v>-1648.6133375821901</v>
      </c>
      <c r="AU31" s="374">
        <f t="shared" si="133"/>
        <v>-2425.7711551627117</v>
      </c>
      <c r="AV31" s="374">
        <f t="shared" si="133"/>
        <v>-3405.4820640341945</v>
      </c>
      <c r="AW31" s="374">
        <f t="shared" si="133"/>
        <v>-4368.4779286528646</v>
      </c>
      <c r="AX31" s="374">
        <f t="shared" si="133"/>
        <v>-5315.0439277401629</v>
      </c>
      <c r="AY31" s="374">
        <f t="shared" si="133"/>
        <v>-2893.1152041379469</v>
      </c>
      <c r="AZ31" s="374">
        <f t="shared" si="133"/>
        <v>0</v>
      </c>
      <c r="BA31" s="374">
        <f t="shared" si="133"/>
        <v>0</v>
      </c>
      <c r="BB31" s="374">
        <f t="shared" si="133"/>
        <v>0</v>
      </c>
      <c r="BC31" s="374">
        <f t="shared" si="133"/>
        <v>0</v>
      </c>
      <c r="BD31" s="374">
        <f t="shared" si="133"/>
        <v>0</v>
      </c>
      <c r="BE31" s="374">
        <f t="shared" si="133"/>
        <v>0</v>
      </c>
      <c r="BF31" s="374">
        <f t="shared" si="133"/>
        <v>0</v>
      </c>
      <c r="BG31" s="374">
        <f t="shared" si="133"/>
        <v>0</v>
      </c>
      <c r="BH31" s="374">
        <f t="shared" si="133"/>
        <v>0</v>
      </c>
      <c r="BI31" s="374">
        <f t="shared" si="133"/>
        <v>0</v>
      </c>
      <c r="BJ31" s="374">
        <f t="shared" si="133"/>
        <v>0</v>
      </c>
      <c r="BK31" s="374">
        <f t="shared" si="132"/>
        <v>0</v>
      </c>
      <c r="BL31" s="374">
        <f t="shared" si="132"/>
        <v>0</v>
      </c>
      <c r="BM31" s="374">
        <f t="shared" si="132"/>
        <v>0</v>
      </c>
      <c r="BN31" s="374">
        <f t="shared" si="132"/>
        <v>0</v>
      </c>
      <c r="BO31" s="374">
        <f t="shared" si="132"/>
        <v>0</v>
      </c>
      <c r="BP31" s="374">
        <f t="shared" si="132"/>
        <v>0</v>
      </c>
      <c r="BQ31" s="374">
        <f t="shared" si="132"/>
        <v>0</v>
      </c>
      <c r="BR31" s="374">
        <f t="shared" si="132"/>
        <v>0</v>
      </c>
      <c r="BS31" s="374">
        <f t="shared" si="132"/>
        <v>0</v>
      </c>
      <c r="BT31" s="374">
        <f t="shared" si="132"/>
        <v>0</v>
      </c>
      <c r="BU31" s="374">
        <f t="shared" si="132"/>
        <v>0</v>
      </c>
    </row>
    <row r="32" spans="1:73" x14ac:dyDescent="0.2">
      <c r="A32" s="186"/>
      <c r="B32" s="186"/>
      <c r="C32" s="383" t="s">
        <v>151</v>
      </c>
      <c r="D32" s="383"/>
      <c r="E32" s="383"/>
      <c r="F32" s="383"/>
      <c r="G32" s="383"/>
      <c r="H32" s="383"/>
      <c r="I32" s="383"/>
      <c r="J32" s="383"/>
      <c r="K32" s="617" t="s">
        <v>63</v>
      </c>
      <c r="L32" s="383"/>
      <c r="M32" s="383"/>
      <c r="N32" s="384">
        <f>SUM(Q32:BU32)</f>
        <v>-304072.69300676737</v>
      </c>
      <c r="O32" s="383"/>
      <c r="P32" s="383"/>
      <c r="Q32" s="384"/>
      <c r="R32" s="384">
        <f t="shared" ref="R32:T32" si="134">+R214</f>
        <v>0</v>
      </c>
      <c r="S32" s="384">
        <f t="shared" si="134"/>
        <v>0</v>
      </c>
      <c r="T32" s="384">
        <f t="shared" si="134"/>
        <v>0</v>
      </c>
      <c r="U32" s="384">
        <f>+U214</f>
        <v>0</v>
      </c>
      <c r="V32" s="384">
        <f t="shared" ref="V32:BU32" si="135">+V214</f>
        <v>0</v>
      </c>
      <c r="W32" s="384">
        <f t="shared" si="135"/>
        <v>0</v>
      </c>
      <c r="X32" s="384">
        <f t="shared" si="135"/>
        <v>0</v>
      </c>
      <c r="Y32" s="384">
        <f t="shared" si="135"/>
        <v>0</v>
      </c>
      <c r="Z32" s="384">
        <f t="shared" si="135"/>
        <v>0</v>
      </c>
      <c r="AA32" s="384">
        <f t="shared" si="135"/>
        <v>0</v>
      </c>
      <c r="AB32" s="384">
        <f t="shared" si="135"/>
        <v>0</v>
      </c>
      <c r="AC32" s="384">
        <f t="shared" si="135"/>
        <v>0</v>
      </c>
      <c r="AD32" s="384">
        <f t="shared" si="135"/>
        <v>0</v>
      </c>
      <c r="AE32" s="384">
        <f t="shared" si="135"/>
        <v>-56681.275391730502</v>
      </c>
      <c r="AF32" s="384">
        <f t="shared" si="135"/>
        <v>0</v>
      </c>
      <c r="AG32" s="384">
        <f t="shared" si="135"/>
        <v>0</v>
      </c>
      <c r="AH32" s="384">
        <f t="shared" si="135"/>
        <v>0</v>
      </c>
      <c r="AI32" s="384">
        <f t="shared" si="135"/>
        <v>0</v>
      </c>
      <c r="AJ32" s="384">
        <f t="shared" si="135"/>
        <v>0</v>
      </c>
      <c r="AK32" s="384">
        <f t="shared" ref="AK32:BJ32" si="136">+AK214</f>
        <v>0</v>
      </c>
      <c r="AL32" s="384">
        <f t="shared" si="136"/>
        <v>0</v>
      </c>
      <c r="AM32" s="384">
        <f t="shared" si="136"/>
        <v>0</v>
      </c>
      <c r="AN32" s="384">
        <f t="shared" si="136"/>
        <v>0</v>
      </c>
      <c r="AO32" s="384">
        <f t="shared" si="136"/>
        <v>-124056.64889786874</v>
      </c>
      <c r="AP32" s="384">
        <f t="shared" si="136"/>
        <v>0</v>
      </c>
      <c r="AQ32" s="384">
        <f t="shared" si="136"/>
        <v>0</v>
      </c>
      <c r="AR32" s="384">
        <f t="shared" si="136"/>
        <v>0</v>
      </c>
      <c r="AS32" s="384">
        <f t="shared" si="136"/>
        <v>0</v>
      </c>
      <c r="AT32" s="384">
        <f t="shared" si="136"/>
        <v>0</v>
      </c>
      <c r="AU32" s="384">
        <f t="shared" si="136"/>
        <v>0</v>
      </c>
      <c r="AV32" s="384">
        <f t="shared" si="136"/>
        <v>0</v>
      </c>
      <c r="AW32" s="384">
        <f t="shared" si="136"/>
        <v>0</v>
      </c>
      <c r="AX32" s="384">
        <f t="shared" si="136"/>
        <v>0</v>
      </c>
      <c r="AY32" s="384">
        <f t="shared" si="136"/>
        <v>-123334.76871716813</v>
      </c>
      <c r="AZ32" s="384">
        <f t="shared" si="136"/>
        <v>0</v>
      </c>
      <c r="BA32" s="384">
        <f t="shared" si="136"/>
        <v>0</v>
      </c>
      <c r="BB32" s="384">
        <f t="shared" si="136"/>
        <v>0</v>
      </c>
      <c r="BC32" s="384">
        <f t="shared" si="136"/>
        <v>0</v>
      </c>
      <c r="BD32" s="384">
        <f t="shared" si="136"/>
        <v>0</v>
      </c>
      <c r="BE32" s="384">
        <f t="shared" si="136"/>
        <v>0</v>
      </c>
      <c r="BF32" s="384">
        <f t="shared" si="136"/>
        <v>0</v>
      </c>
      <c r="BG32" s="384">
        <f t="shared" si="136"/>
        <v>0</v>
      </c>
      <c r="BH32" s="384">
        <f t="shared" si="136"/>
        <v>0</v>
      </c>
      <c r="BI32" s="384">
        <f t="shared" si="136"/>
        <v>0</v>
      </c>
      <c r="BJ32" s="384">
        <f t="shared" si="136"/>
        <v>0</v>
      </c>
      <c r="BK32" s="384">
        <f t="shared" si="135"/>
        <v>0</v>
      </c>
      <c r="BL32" s="384">
        <f t="shared" si="135"/>
        <v>0</v>
      </c>
      <c r="BM32" s="384">
        <f t="shared" si="135"/>
        <v>0</v>
      </c>
      <c r="BN32" s="384">
        <f t="shared" si="135"/>
        <v>0</v>
      </c>
      <c r="BO32" s="384">
        <f t="shared" si="135"/>
        <v>0</v>
      </c>
      <c r="BP32" s="384">
        <f t="shared" si="135"/>
        <v>0</v>
      </c>
      <c r="BQ32" s="384">
        <f t="shared" si="135"/>
        <v>0</v>
      </c>
      <c r="BR32" s="384">
        <f t="shared" si="135"/>
        <v>0</v>
      </c>
      <c r="BS32" s="384">
        <f t="shared" si="135"/>
        <v>0</v>
      </c>
      <c r="BT32" s="384">
        <f t="shared" si="135"/>
        <v>0</v>
      </c>
      <c r="BU32" s="384">
        <f t="shared" si="135"/>
        <v>0</v>
      </c>
    </row>
    <row r="33" spans="1:73" ht="13.5" thickBot="1" x14ac:dyDescent="0.25">
      <c r="A33" s="186"/>
      <c r="B33" s="186"/>
      <c r="C33" s="186" t="s">
        <v>152</v>
      </c>
      <c r="D33" s="186"/>
      <c r="E33" s="186"/>
      <c r="F33" s="186"/>
      <c r="G33" s="186"/>
      <c r="H33" s="186"/>
      <c r="I33" s="186"/>
      <c r="J33" s="186"/>
      <c r="K33" s="367" t="s">
        <v>63</v>
      </c>
      <c r="L33" s="186"/>
      <c r="M33" s="186"/>
      <c r="N33" s="374"/>
      <c r="O33" s="186"/>
      <c r="P33" s="186"/>
      <c r="Q33" s="374"/>
      <c r="R33" s="374">
        <f t="shared" ref="R33:BU33" si="137">SUM(R28:R32)</f>
        <v>0</v>
      </c>
      <c r="S33" s="374">
        <f t="shared" si="137"/>
        <v>0</v>
      </c>
      <c r="T33" s="374">
        <f t="shared" si="137"/>
        <v>0</v>
      </c>
      <c r="U33" s="374">
        <f t="shared" si="137"/>
        <v>1758.1264636925982</v>
      </c>
      <c r="V33" s="374">
        <f t="shared" si="137"/>
        <v>4269.5264922075958</v>
      </c>
      <c r="W33" s="374">
        <f t="shared" si="137"/>
        <v>7477.0307919035677</v>
      </c>
      <c r="X33" s="374">
        <f t="shared" si="137"/>
        <v>11573.583995596706</v>
      </c>
      <c r="Y33" s="374">
        <f t="shared" si="137"/>
        <v>16805.610700059486</v>
      </c>
      <c r="Z33" s="374">
        <f t="shared" si="137"/>
        <v>23487.838923418887</v>
      </c>
      <c r="AA33" s="374">
        <f t="shared" si="137"/>
        <v>32022.232295488982</v>
      </c>
      <c r="AB33" s="374">
        <f t="shared" si="137"/>
        <v>39856.726607952769</v>
      </c>
      <c r="AC33" s="374">
        <f t="shared" si="137"/>
        <v>47048.720046279515</v>
      </c>
      <c r="AD33" s="374">
        <f t="shared" si="137"/>
        <v>53650.903614738651</v>
      </c>
      <c r="AE33" s="374">
        <f t="shared" si="137"/>
        <v>3030.3717769918367</v>
      </c>
      <c r="AF33" s="374">
        <f t="shared" si="137"/>
        <v>8594.0783971226265</v>
      </c>
      <c r="AG33" s="374">
        <f t="shared" si="137"/>
        <v>16137.86676041204</v>
      </c>
      <c r="AH33" s="374">
        <f t="shared" si="137"/>
        <v>26366.433210014475</v>
      </c>
      <c r="AI33" s="374">
        <f t="shared" si="137"/>
        <v>40235.270268469838</v>
      </c>
      <c r="AJ33" s="374">
        <f t="shared" si="137"/>
        <v>59039.923129815914</v>
      </c>
      <c r="AK33" s="374">
        <f t="shared" ref="AK33:BJ33" si="138">SUM(AK28:AK32)</f>
        <v>84537.011872389587</v>
      </c>
      <c r="AL33" s="374">
        <f t="shared" si="138"/>
        <v>101794.53172859707</v>
      </c>
      <c r="AM33" s="374">
        <f t="shared" si="138"/>
        <v>113475.15905802658</v>
      </c>
      <c r="AN33" s="374">
        <f t="shared" si="138"/>
        <v>121381.10707059337</v>
      </c>
      <c r="AO33" s="374">
        <f t="shared" si="138"/>
        <v>2675.5418272753595</v>
      </c>
      <c r="AP33" s="374">
        <f t="shared" si="138"/>
        <v>6297.3840443611671</v>
      </c>
      <c r="AQ33" s="374">
        <f t="shared" si="138"/>
        <v>11328.943640487843</v>
      </c>
      <c r="AR33" s="374">
        <f t="shared" si="138"/>
        <v>18318.920136411671</v>
      </c>
      <c r="AS33" s="374">
        <f t="shared" si="138"/>
        <v>28029.581508917341</v>
      </c>
      <c r="AT33" s="374">
        <f t="shared" si="138"/>
        <v>41519.890717605318</v>
      </c>
      <c r="AU33" s="374">
        <f t="shared" si="138"/>
        <v>60260.987288152552</v>
      </c>
      <c r="AV33" s="374">
        <f t="shared" si="138"/>
        <v>78682.338252433372</v>
      </c>
      <c r="AW33" s="374">
        <f t="shared" si="138"/>
        <v>96789.398854346742</v>
      </c>
      <c r="AX33" s="374">
        <f t="shared" si="138"/>
        <v>114587.53126478169</v>
      </c>
      <c r="AY33" s="374">
        <f t="shared" si="138"/>
        <v>0</v>
      </c>
      <c r="AZ33" s="374">
        <f t="shared" si="138"/>
        <v>0</v>
      </c>
      <c r="BA33" s="374">
        <f t="shared" si="138"/>
        <v>0</v>
      </c>
      <c r="BB33" s="374">
        <f t="shared" si="138"/>
        <v>0</v>
      </c>
      <c r="BC33" s="374">
        <f t="shared" si="138"/>
        <v>0</v>
      </c>
      <c r="BD33" s="374">
        <f t="shared" si="138"/>
        <v>0</v>
      </c>
      <c r="BE33" s="374">
        <f t="shared" si="138"/>
        <v>0</v>
      </c>
      <c r="BF33" s="374">
        <f t="shared" si="138"/>
        <v>0</v>
      </c>
      <c r="BG33" s="374">
        <f t="shared" si="138"/>
        <v>0</v>
      </c>
      <c r="BH33" s="374">
        <f t="shared" si="138"/>
        <v>0</v>
      </c>
      <c r="BI33" s="374">
        <f t="shared" si="138"/>
        <v>0</v>
      </c>
      <c r="BJ33" s="374">
        <f t="shared" si="138"/>
        <v>0</v>
      </c>
      <c r="BK33" s="374">
        <f t="shared" si="137"/>
        <v>0</v>
      </c>
      <c r="BL33" s="374">
        <f t="shared" si="137"/>
        <v>0</v>
      </c>
      <c r="BM33" s="374">
        <f t="shared" si="137"/>
        <v>0</v>
      </c>
      <c r="BN33" s="374">
        <f t="shared" si="137"/>
        <v>0</v>
      </c>
      <c r="BO33" s="374">
        <f t="shared" si="137"/>
        <v>0</v>
      </c>
      <c r="BP33" s="374">
        <f t="shared" si="137"/>
        <v>0</v>
      </c>
      <c r="BQ33" s="374">
        <f t="shared" si="137"/>
        <v>0</v>
      </c>
      <c r="BR33" s="374">
        <f t="shared" si="137"/>
        <v>0</v>
      </c>
      <c r="BS33" s="374">
        <f t="shared" si="137"/>
        <v>0</v>
      </c>
      <c r="BT33" s="374">
        <f t="shared" si="137"/>
        <v>0</v>
      </c>
      <c r="BU33" s="374">
        <f t="shared" si="137"/>
        <v>0</v>
      </c>
    </row>
    <row r="34" spans="1:73" ht="13.5" thickBot="1" x14ac:dyDescent="0.25">
      <c r="A34" s="186"/>
      <c r="B34" s="186"/>
      <c r="C34" s="186"/>
      <c r="D34" s="186"/>
      <c r="E34" s="186"/>
      <c r="F34" s="186"/>
      <c r="G34" s="186"/>
      <c r="H34" s="186"/>
      <c r="I34" s="186"/>
      <c r="J34" s="186"/>
      <c r="K34" s="367"/>
      <c r="L34" s="186"/>
      <c r="M34" s="186"/>
      <c r="N34" s="743">
        <f>IF(ROUND(SUM(N29:N32),0)&lt;&gt;0,1,0)</f>
        <v>0</v>
      </c>
      <c r="O34" s="186"/>
      <c r="P34" s="186"/>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c r="AY34" s="374"/>
      <c r="AZ34" s="374"/>
      <c r="BA34" s="374"/>
      <c r="BB34" s="374"/>
      <c r="BC34" s="374"/>
      <c r="BD34" s="374"/>
      <c r="BE34" s="374"/>
      <c r="BF34" s="374"/>
      <c r="BG34" s="374"/>
      <c r="BH34" s="374"/>
      <c r="BI34" s="374"/>
      <c r="BJ34" s="374"/>
      <c r="BK34" s="374"/>
      <c r="BL34" s="374"/>
      <c r="BM34" s="374"/>
      <c r="BN34" s="374"/>
      <c r="BO34" s="374"/>
      <c r="BP34" s="374"/>
      <c r="BQ34" s="374"/>
      <c r="BR34" s="374"/>
      <c r="BS34" s="374"/>
      <c r="BT34" s="374"/>
      <c r="BU34" s="374"/>
    </row>
    <row r="35" spans="1:73" x14ac:dyDescent="0.2">
      <c r="A35" s="186"/>
      <c r="B35" s="380" t="s">
        <v>7</v>
      </c>
      <c r="C35" s="186"/>
      <c r="D35" s="186"/>
      <c r="E35" s="186"/>
      <c r="F35" s="186"/>
      <c r="G35" s="186"/>
      <c r="H35" s="186"/>
      <c r="I35" s="186"/>
      <c r="J35" s="186"/>
      <c r="K35" s="367"/>
      <c r="L35" s="186"/>
      <c r="M35" s="374"/>
      <c r="N35" s="186"/>
      <c r="O35" s="186"/>
      <c r="P35" s="186"/>
      <c r="Q35" s="186"/>
      <c r="R35" s="186"/>
      <c r="S35" s="186"/>
      <c r="T35" s="186"/>
      <c r="U35" s="382"/>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row>
    <row r="36" spans="1:73" x14ac:dyDescent="0.2">
      <c r="A36" s="186"/>
      <c r="B36" s="186"/>
      <c r="C36" s="186" t="s">
        <v>147</v>
      </c>
      <c r="D36" s="186"/>
      <c r="E36" s="186"/>
      <c r="F36" s="186"/>
      <c r="G36" s="186"/>
      <c r="H36" s="186"/>
      <c r="I36" s="186"/>
      <c r="J36" s="186"/>
      <c r="K36" s="367" t="s">
        <v>63</v>
      </c>
      <c r="L36" s="186"/>
      <c r="M36" s="186"/>
      <c r="N36" s="374"/>
      <c r="O36" s="186"/>
      <c r="P36" s="186"/>
      <c r="Q36" s="374"/>
      <c r="R36" s="374">
        <f t="shared" ref="R36:AO36" si="139">+Q46</f>
        <v>0</v>
      </c>
      <c r="S36" s="374">
        <f t="shared" si="139"/>
        <v>1034374.3166937458</v>
      </c>
      <c r="T36" s="374">
        <f t="shared" si="139"/>
        <v>1078485.4266477572</v>
      </c>
      <c r="U36" s="374">
        <f t="shared" si="139"/>
        <v>1124477.6641490904</v>
      </c>
      <c r="V36" s="374">
        <f t="shared" si="139"/>
        <v>1136229.0874899926</v>
      </c>
      <c r="W36" s="374">
        <f t="shared" si="139"/>
        <v>1135149.6843756372</v>
      </c>
      <c r="X36" s="374">
        <f t="shared" si="139"/>
        <v>1133596.6731845932</v>
      </c>
      <c r="Y36" s="374">
        <f t="shared" si="139"/>
        <v>1131518.9512024736</v>
      </c>
      <c r="Z36" s="374">
        <f t="shared" si="139"/>
        <v>1128861.1008905754</v>
      </c>
      <c r="AA36" s="374">
        <f t="shared" si="139"/>
        <v>1109261.3458626075</v>
      </c>
      <c r="AB36" s="374">
        <f t="shared" si="139"/>
        <v>1088132.4273274364</v>
      </c>
      <c r="AC36" s="374">
        <f t="shared" si="139"/>
        <v>1063925.2766199426</v>
      </c>
      <c r="AD36" s="374">
        <f t="shared" si="139"/>
        <v>1036310.0538642351</v>
      </c>
      <c r="AE36" s="374">
        <f t="shared" si="139"/>
        <v>1004925.3637604075</v>
      </c>
      <c r="AF36" s="374">
        <f t="shared" si="139"/>
        <v>967952.73664835258</v>
      </c>
      <c r="AG36" s="374">
        <f t="shared" si="139"/>
        <v>928853.44190454367</v>
      </c>
      <c r="AH36" s="374">
        <f t="shared" si="139"/>
        <v>887710.07556800474</v>
      </c>
      <c r="AI36" s="374">
        <f t="shared" si="139"/>
        <v>844432.75043518771</v>
      </c>
      <c r="AJ36" s="374">
        <f t="shared" si="139"/>
        <v>798929.36335637956</v>
      </c>
      <c r="AK36" s="374">
        <f t="shared" si="139"/>
        <v>741105.75187021331</v>
      </c>
      <c r="AL36" s="374">
        <f t="shared" si="139"/>
        <v>670865.88560559857</v>
      </c>
      <c r="AM36" s="374">
        <f t="shared" si="139"/>
        <v>597738.80654682615</v>
      </c>
      <c r="AN36" s="374">
        <f t="shared" si="139"/>
        <v>521571.4585718282</v>
      </c>
      <c r="AO36" s="374">
        <f t="shared" si="139"/>
        <v>402203.88100216136</v>
      </c>
      <c r="AP36" s="374">
        <f t="shared" ref="AP36:BU36" si="140">+AO46</f>
        <v>289469.02031467046</v>
      </c>
      <c r="AQ36" s="374">
        <f t="shared" si="140"/>
        <v>168978.12181407207</v>
      </c>
      <c r="AR36" s="374">
        <f t="shared" si="140"/>
        <v>69486.747995316284</v>
      </c>
      <c r="AS36" s="374">
        <f t="shared" si="140"/>
        <v>7.5669959187507629E-10</v>
      </c>
      <c r="AT36" s="374">
        <f t="shared" si="140"/>
        <v>7.5669959187507629E-10</v>
      </c>
      <c r="AU36" s="374">
        <f t="shared" si="140"/>
        <v>7.5669959187507629E-10</v>
      </c>
      <c r="AV36" s="374">
        <f t="shared" si="140"/>
        <v>7.5669959187507629E-10</v>
      </c>
      <c r="AW36" s="374">
        <f t="shared" si="140"/>
        <v>7.5669959187507629E-10</v>
      </c>
      <c r="AX36" s="374">
        <f t="shared" si="140"/>
        <v>7.5669959187507629E-10</v>
      </c>
      <c r="AY36" s="374">
        <f t="shared" si="140"/>
        <v>7.5669959187507629E-10</v>
      </c>
      <c r="AZ36" s="374">
        <f t="shared" si="140"/>
        <v>7.5669959187507629E-10</v>
      </c>
      <c r="BA36" s="374">
        <f t="shared" si="140"/>
        <v>7.5669959187507629E-10</v>
      </c>
      <c r="BB36" s="374">
        <f t="shared" si="140"/>
        <v>7.5669959187507629E-10</v>
      </c>
      <c r="BC36" s="374">
        <f t="shared" si="140"/>
        <v>7.5669959187507629E-10</v>
      </c>
      <c r="BD36" s="374">
        <f t="shared" si="140"/>
        <v>7.5669959187507629E-10</v>
      </c>
      <c r="BE36" s="374">
        <f t="shared" si="140"/>
        <v>7.5669959187507629E-10</v>
      </c>
      <c r="BF36" s="374">
        <f t="shared" si="140"/>
        <v>7.5669959187507629E-10</v>
      </c>
      <c r="BG36" s="374">
        <f t="shared" si="140"/>
        <v>7.5669959187507629E-10</v>
      </c>
      <c r="BH36" s="374">
        <f t="shared" si="140"/>
        <v>7.5669959187507629E-10</v>
      </c>
      <c r="BI36" s="374">
        <f t="shared" si="140"/>
        <v>7.5669959187507629E-10</v>
      </c>
      <c r="BJ36" s="374">
        <f t="shared" si="140"/>
        <v>7.5669959187507629E-10</v>
      </c>
      <c r="BK36" s="374">
        <f t="shared" si="140"/>
        <v>7.5669959187507629E-10</v>
      </c>
      <c r="BL36" s="374">
        <f t="shared" si="140"/>
        <v>7.5669959187507629E-10</v>
      </c>
      <c r="BM36" s="374">
        <f t="shared" si="140"/>
        <v>7.5669959187507629E-10</v>
      </c>
      <c r="BN36" s="374">
        <f t="shared" si="140"/>
        <v>7.5669959187507629E-10</v>
      </c>
      <c r="BO36" s="374">
        <f t="shared" si="140"/>
        <v>7.5669959187507629E-10</v>
      </c>
      <c r="BP36" s="374">
        <f t="shared" si="140"/>
        <v>7.5669959187507629E-10</v>
      </c>
      <c r="BQ36" s="374">
        <f t="shared" si="140"/>
        <v>7.5669959187507629E-10</v>
      </c>
      <c r="BR36" s="374">
        <f t="shared" si="140"/>
        <v>7.5669959187507629E-10</v>
      </c>
      <c r="BS36" s="374">
        <f t="shared" si="140"/>
        <v>7.5669959187507629E-10</v>
      </c>
      <c r="BT36" s="374">
        <f t="shared" si="140"/>
        <v>7.5669959187507629E-10</v>
      </c>
      <c r="BU36" s="374">
        <f t="shared" si="140"/>
        <v>7.5669959187507629E-10</v>
      </c>
    </row>
    <row r="37" spans="1:73" x14ac:dyDescent="0.2">
      <c r="A37" s="186"/>
      <c r="B37" s="186"/>
      <c r="C37" s="186" t="s">
        <v>148</v>
      </c>
      <c r="D37" s="186"/>
      <c r="E37" s="186"/>
      <c r="F37" s="186"/>
      <c r="G37" s="186"/>
      <c r="H37" s="186"/>
      <c r="I37" s="186"/>
      <c r="J37" s="186"/>
      <c r="K37" s="367" t="s">
        <v>63</v>
      </c>
      <c r="L37" s="186"/>
      <c r="M37" s="374"/>
      <c r="N37" s="374">
        <f t="shared" ref="N37:N45" si="141">SUM(Q37:BU37)</f>
        <v>992067.42294560256</v>
      </c>
      <c r="O37" s="186"/>
      <c r="P37" s="186"/>
      <c r="Q37" s="374"/>
      <c r="R37" s="374">
        <f t="shared" ref="R37:AO37" si="142">+R127</f>
        <v>992067.42294560256</v>
      </c>
      <c r="S37" s="374">
        <f t="shared" si="142"/>
        <v>0</v>
      </c>
      <c r="T37" s="374">
        <f t="shared" si="142"/>
        <v>0</v>
      </c>
      <c r="U37" s="374">
        <f t="shared" si="142"/>
        <v>0</v>
      </c>
      <c r="V37" s="374">
        <f t="shared" si="142"/>
        <v>0</v>
      </c>
      <c r="W37" s="374">
        <f t="shared" si="142"/>
        <v>0</v>
      </c>
      <c r="X37" s="374">
        <f t="shared" si="142"/>
        <v>0</v>
      </c>
      <c r="Y37" s="374">
        <f t="shared" si="142"/>
        <v>0</v>
      </c>
      <c r="Z37" s="374">
        <f t="shared" si="142"/>
        <v>0</v>
      </c>
      <c r="AA37" s="374">
        <f t="shared" si="142"/>
        <v>0</v>
      </c>
      <c r="AB37" s="374">
        <f t="shared" si="142"/>
        <v>0</v>
      </c>
      <c r="AC37" s="374">
        <f t="shared" si="142"/>
        <v>0</v>
      </c>
      <c r="AD37" s="374">
        <f t="shared" si="142"/>
        <v>0</v>
      </c>
      <c r="AE37" s="374">
        <f t="shared" si="142"/>
        <v>0</v>
      </c>
      <c r="AF37" s="374">
        <f t="shared" si="142"/>
        <v>0</v>
      </c>
      <c r="AG37" s="374">
        <f t="shared" si="142"/>
        <v>0</v>
      </c>
      <c r="AH37" s="374">
        <f t="shared" si="142"/>
        <v>0</v>
      </c>
      <c r="AI37" s="374">
        <f t="shared" si="142"/>
        <v>0</v>
      </c>
      <c r="AJ37" s="374">
        <f t="shared" si="142"/>
        <v>0</v>
      </c>
      <c r="AK37" s="374">
        <f t="shared" si="142"/>
        <v>0</v>
      </c>
      <c r="AL37" s="374">
        <f t="shared" si="142"/>
        <v>0</v>
      </c>
      <c r="AM37" s="374">
        <f t="shared" si="142"/>
        <v>0</v>
      </c>
      <c r="AN37" s="374">
        <f t="shared" si="142"/>
        <v>0</v>
      </c>
      <c r="AO37" s="374">
        <f t="shared" si="142"/>
        <v>0</v>
      </c>
      <c r="AP37" s="374">
        <f t="shared" ref="AP37:BU37" si="143">+AP127</f>
        <v>0</v>
      </c>
      <c r="AQ37" s="374">
        <f t="shared" si="143"/>
        <v>0</v>
      </c>
      <c r="AR37" s="374">
        <f t="shared" si="143"/>
        <v>0</v>
      </c>
      <c r="AS37" s="374">
        <f t="shared" si="143"/>
        <v>0</v>
      </c>
      <c r="AT37" s="374">
        <f t="shared" si="143"/>
        <v>0</v>
      </c>
      <c r="AU37" s="374">
        <f t="shared" si="143"/>
        <v>0</v>
      </c>
      <c r="AV37" s="374">
        <f t="shared" si="143"/>
        <v>0</v>
      </c>
      <c r="AW37" s="374">
        <f t="shared" si="143"/>
        <v>0</v>
      </c>
      <c r="AX37" s="374">
        <f t="shared" si="143"/>
        <v>0</v>
      </c>
      <c r="AY37" s="374">
        <f t="shared" si="143"/>
        <v>0</v>
      </c>
      <c r="AZ37" s="374">
        <f t="shared" si="143"/>
        <v>0</v>
      </c>
      <c r="BA37" s="374">
        <f t="shared" si="143"/>
        <v>0</v>
      </c>
      <c r="BB37" s="374">
        <f t="shared" si="143"/>
        <v>0</v>
      </c>
      <c r="BC37" s="374">
        <f t="shared" si="143"/>
        <v>0</v>
      </c>
      <c r="BD37" s="374">
        <f t="shared" si="143"/>
        <v>0</v>
      </c>
      <c r="BE37" s="374">
        <f t="shared" si="143"/>
        <v>0</v>
      </c>
      <c r="BF37" s="374">
        <f t="shared" si="143"/>
        <v>0</v>
      </c>
      <c r="BG37" s="374">
        <f t="shared" si="143"/>
        <v>0</v>
      </c>
      <c r="BH37" s="374">
        <f t="shared" si="143"/>
        <v>0</v>
      </c>
      <c r="BI37" s="374">
        <f t="shared" si="143"/>
        <v>0</v>
      </c>
      <c r="BJ37" s="374">
        <f t="shared" si="143"/>
        <v>0</v>
      </c>
      <c r="BK37" s="374">
        <f t="shared" si="143"/>
        <v>0</v>
      </c>
      <c r="BL37" s="374">
        <f t="shared" si="143"/>
        <v>0</v>
      </c>
      <c r="BM37" s="374">
        <f t="shared" si="143"/>
        <v>0</v>
      </c>
      <c r="BN37" s="374">
        <f t="shared" si="143"/>
        <v>0</v>
      </c>
      <c r="BO37" s="374">
        <f t="shared" si="143"/>
        <v>0</v>
      </c>
      <c r="BP37" s="374">
        <f t="shared" si="143"/>
        <v>0</v>
      </c>
      <c r="BQ37" s="374">
        <f t="shared" si="143"/>
        <v>0</v>
      </c>
      <c r="BR37" s="374">
        <f t="shared" si="143"/>
        <v>0</v>
      </c>
      <c r="BS37" s="374">
        <f t="shared" si="143"/>
        <v>0</v>
      </c>
      <c r="BT37" s="374">
        <f t="shared" si="143"/>
        <v>0</v>
      </c>
      <c r="BU37" s="374">
        <f t="shared" si="143"/>
        <v>0</v>
      </c>
    </row>
    <row r="38" spans="1:73" x14ac:dyDescent="0.2">
      <c r="A38" s="186"/>
      <c r="B38" s="186"/>
      <c r="C38" s="186" t="s">
        <v>149</v>
      </c>
      <c r="D38" s="186"/>
      <c r="E38" s="186"/>
      <c r="F38" s="186"/>
      <c r="G38" s="186"/>
      <c r="H38" s="186"/>
      <c r="I38" s="186"/>
      <c r="J38" s="186"/>
      <c r="K38" s="367" t="s">
        <v>63</v>
      </c>
      <c r="L38" s="186"/>
      <c r="M38" s="186"/>
      <c r="N38" s="374">
        <f t="shared" si="141"/>
        <v>970299.77745660511</v>
      </c>
      <c r="O38" s="186"/>
      <c r="P38" s="186"/>
      <c r="Q38" s="374"/>
      <c r="R38" s="374">
        <f>+R129</f>
        <v>42306.89374814328</v>
      </c>
      <c r="S38" s="374">
        <f t="shared" ref="S38:BU38" si="144">+S129</f>
        <v>44111.109954011299</v>
      </c>
      <c r="T38" s="374">
        <f t="shared" si="144"/>
        <v>45992.237501333198</v>
      </c>
      <c r="U38" s="374">
        <f t="shared" si="144"/>
        <v>47576.61271620301</v>
      </c>
      <c r="V38" s="374">
        <f t="shared" si="144"/>
        <v>47943.17364064946</v>
      </c>
      <c r="W38" s="374">
        <f t="shared" si="144"/>
        <v>47895.124546619118</v>
      </c>
      <c r="X38" s="374">
        <f t="shared" si="144"/>
        <v>47826.819624934134</v>
      </c>
      <c r="Y38" s="374">
        <f t="shared" si="144"/>
        <v>47736.079580349106</v>
      </c>
      <c r="Z38" s="374">
        <f t="shared" si="144"/>
        <v>47534.549749809725</v>
      </c>
      <c r="AA38" s="374">
        <f t="shared" si="144"/>
        <v>46699.37375012898</v>
      </c>
      <c r="AB38" s="374">
        <f t="shared" si="144"/>
        <v>45791.495713235752</v>
      </c>
      <c r="AC38" s="374">
        <f t="shared" si="144"/>
        <v>44751.976373325175</v>
      </c>
      <c r="AD38" s="374">
        <f t="shared" si="144"/>
        <v>43566.73003277299</v>
      </c>
      <c r="AE38" s="374">
        <f t="shared" si="144"/>
        <v>42212.819742673069</v>
      </c>
      <c r="AF38" s="374">
        <f t="shared" si="144"/>
        <v>40641.356706786843</v>
      </c>
      <c r="AG38" s="374">
        <f t="shared" si="144"/>
        <v>38980.58399094647</v>
      </c>
      <c r="AH38" s="374">
        <f t="shared" si="144"/>
        <v>37233.077298894154</v>
      </c>
      <c r="AI38" s="374">
        <f t="shared" si="144"/>
        <v>35395.031701524174</v>
      </c>
      <c r="AJ38" s="374">
        <f t="shared" si="144"/>
        <v>33409.799583049651</v>
      </c>
      <c r="AK38" s="374">
        <f t="shared" si="144"/>
        <v>30904.14743437713</v>
      </c>
      <c r="AL38" s="374">
        <f t="shared" si="144"/>
        <v>27924.795030521207</v>
      </c>
      <c r="AM38" s="374">
        <f t="shared" si="144"/>
        <v>24822.794875707921</v>
      </c>
      <c r="AN38" s="374">
        <f t="shared" si="144"/>
        <v>21380.651580051126</v>
      </c>
      <c r="AO38" s="374">
        <f t="shared" si="144"/>
        <v>16378.327388164664</v>
      </c>
      <c r="AP38" s="374">
        <f t="shared" si="144"/>
        <v>11865.984284098999</v>
      </c>
      <c r="AQ38" s="374">
        <f t="shared" si="144"/>
        <v>6798.0230819313456</v>
      </c>
      <c r="AR38" s="374">
        <f t="shared" si="144"/>
        <v>2620.2078263631342</v>
      </c>
      <c r="AS38" s="374">
        <f t="shared" si="144"/>
        <v>0</v>
      </c>
      <c r="AT38" s="374">
        <f t="shared" si="144"/>
        <v>0</v>
      </c>
      <c r="AU38" s="374">
        <f t="shared" si="144"/>
        <v>0</v>
      </c>
      <c r="AV38" s="374">
        <f t="shared" si="144"/>
        <v>0</v>
      </c>
      <c r="AW38" s="374">
        <f t="shared" si="144"/>
        <v>0</v>
      </c>
      <c r="AX38" s="374">
        <f t="shared" si="144"/>
        <v>0</v>
      </c>
      <c r="AY38" s="374">
        <f t="shared" si="144"/>
        <v>0</v>
      </c>
      <c r="AZ38" s="374">
        <f t="shared" si="144"/>
        <v>0</v>
      </c>
      <c r="BA38" s="374">
        <f t="shared" si="144"/>
        <v>0</v>
      </c>
      <c r="BB38" s="374">
        <f t="shared" si="144"/>
        <v>0</v>
      </c>
      <c r="BC38" s="374">
        <f t="shared" si="144"/>
        <v>0</v>
      </c>
      <c r="BD38" s="374">
        <f t="shared" si="144"/>
        <v>0</v>
      </c>
      <c r="BE38" s="374">
        <f t="shared" si="144"/>
        <v>0</v>
      </c>
      <c r="BF38" s="374">
        <f t="shared" si="144"/>
        <v>0</v>
      </c>
      <c r="BG38" s="374">
        <f t="shared" si="144"/>
        <v>0</v>
      </c>
      <c r="BH38" s="374">
        <f t="shared" si="144"/>
        <v>0</v>
      </c>
      <c r="BI38" s="374">
        <f t="shared" si="144"/>
        <v>0</v>
      </c>
      <c r="BJ38" s="374">
        <f t="shared" si="144"/>
        <v>0</v>
      </c>
      <c r="BK38" s="374">
        <f t="shared" si="144"/>
        <v>0</v>
      </c>
      <c r="BL38" s="374">
        <f t="shared" si="144"/>
        <v>0</v>
      </c>
      <c r="BM38" s="374">
        <f t="shared" si="144"/>
        <v>0</v>
      </c>
      <c r="BN38" s="374">
        <f t="shared" si="144"/>
        <v>0</v>
      </c>
      <c r="BO38" s="374">
        <f t="shared" si="144"/>
        <v>0</v>
      </c>
      <c r="BP38" s="374">
        <f t="shared" si="144"/>
        <v>0</v>
      </c>
      <c r="BQ38" s="374">
        <f t="shared" si="144"/>
        <v>0</v>
      </c>
      <c r="BR38" s="374">
        <f t="shared" si="144"/>
        <v>0</v>
      </c>
      <c r="BS38" s="374">
        <f t="shared" si="144"/>
        <v>0</v>
      </c>
      <c r="BT38" s="374">
        <f t="shared" si="144"/>
        <v>0</v>
      </c>
      <c r="BU38" s="374">
        <f t="shared" si="144"/>
        <v>0</v>
      </c>
    </row>
    <row r="39" spans="1:73" x14ac:dyDescent="0.2">
      <c r="A39" s="186"/>
      <c r="B39" s="186"/>
      <c r="C39" s="186" t="s">
        <v>153</v>
      </c>
      <c r="D39" s="186"/>
      <c r="E39" s="186"/>
      <c r="F39" s="186"/>
      <c r="G39" s="186"/>
      <c r="H39" s="186"/>
      <c r="I39" s="186"/>
      <c r="J39" s="186"/>
      <c r="K39" s="367" t="s">
        <v>63</v>
      </c>
      <c r="L39" s="186"/>
      <c r="M39" s="186"/>
      <c r="N39" s="374">
        <f t="shared" si="141"/>
        <v>-239887.77599999998</v>
      </c>
      <c r="O39" s="186"/>
      <c r="P39" s="186"/>
      <c r="Q39" s="374"/>
      <c r="R39" s="374">
        <f t="shared" ref="R39:T40" si="145">+R130</f>
        <v>0</v>
      </c>
      <c r="S39" s="374">
        <f t="shared" si="145"/>
        <v>0</v>
      </c>
      <c r="T39" s="374">
        <f t="shared" si="145"/>
        <v>0</v>
      </c>
      <c r="U39" s="374">
        <f t="shared" ref="U39:V39" si="146">+U130</f>
        <v>-3741.5210000000002</v>
      </c>
      <c r="V39" s="374">
        <f t="shared" si="146"/>
        <v>-6893.5450000000001</v>
      </c>
      <c r="W39" s="374">
        <f>+W130</f>
        <v>-10662.109</v>
      </c>
      <c r="X39" s="374">
        <f t="shared" ref="X39:BU39" si="147">+X130</f>
        <v>-12579.18</v>
      </c>
      <c r="Y39" s="374">
        <f t="shared" si="147"/>
        <v>-12544.576000000001</v>
      </c>
      <c r="Z39" s="374">
        <f t="shared" si="147"/>
        <v>-12561.878000000001</v>
      </c>
      <c r="AA39" s="374">
        <f t="shared" si="147"/>
        <v>-12561.878000000001</v>
      </c>
      <c r="AB39" s="374">
        <f t="shared" si="147"/>
        <v>-12579.18</v>
      </c>
      <c r="AC39" s="374">
        <f t="shared" si="147"/>
        <v>-12544.576000000001</v>
      </c>
      <c r="AD39" s="374">
        <f t="shared" si="147"/>
        <v>-12561.878000000001</v>
      </c>
      <c r="AE39" s="374">
        <f t="shared" si="147"/>
        <v>-12561.878000000001</v>
      </c>
      <c r="AF39" s="374">
        <f t="shared" si="147"/>
        <v>-12579.18</v>
      </c>
      <c r="AG39" s="374">
        <f t="shared" si="147"/>
        <v>-12544.576000000001</v>
      </c>
      <c r="AH39" s="374">
        <f t="shared" si="147"/>
        <v>-12561.878000000001</v>
      </c>
      <c r="AI39" s="374">
        <f t="shared" si="147"/>
        <v>-12561.878000000001</v>
      </c>
      <c r="AJ39" s="374">
        <f t="shared" si="147"/>
        <v>-12579.18</v>
      </c>
      <c r="AK39" s="374">
        <f t="shared" si="147"/>
        <v>-12465.741</v>
      </c>
      <c r="AL39" s="374">
        <f t="shared" si="147"/>
        <v>-12377.47</v>
      </c>
      <c r="AM39" s="374">
        <f t="shared" si="147"/>
        <v>-12271.970000000001</v>
      </c>
      <c r="AN39" s="374">
        <f t="shared" si="147"/>
        <v>-12183.191000000001</v>
      </c>
      <c r="AO39" s="374">
        <f t="shared" si="147"/>
        <v>-5970.5129999999999</v>
      </c>
      <c r="AP39" s="374">
        <f t="shared" si="147"/>
        <v>0</v>
      </c>
      <c r="AQ39" s="374">
        <f t="shared" si="147"/>
        <v>0</v>
      </c>
      <c r="AR39" s="374">
        <f t="shared" si="147"/>
        <v>0</v>
      </c>
      <c r="AS39" s="374">
        <f t="shared" si="147"/>
        <v>0</v>
      </c>
      <c r="AT39" s="374">
        <f t="shared" si="147"/>
        <v>0</v>
      </c>
      <c r="AU39" s="374">
        <f t="shared" si="147"/>
        <v>0</v>
      </c>
      <c r="AV39" s="374">
        <f t="shared" si="147"/>
        <v>0</v>
      </c>
      <c r="AW39" s="374">
        <f t="shared" si="147"/>
        <v>0</v>
      </c>
      <c r="AX39" s="374">
        <f t="shared" si="147"/>
        <v>0</v>
      </c>
      <c r="AY39" s="374">
        <f t="shared" si="147"/>
        <v>0</v>
      </c>
      <c r="AZ39" s="374">
        <f t="shared" si="147"/>
        <v>0</v>
      </c>
      <c r="BA39" s="374">
        <f t="shared" si="147"/>
        <v>0</v>
      </c>
      <c r="BB39" s="374">
        <f t="shared" si="147"/>
        <v>0</v>
      </c>
      <c r="BC39" s="374">
        <f t="shared" si="147"/>
        <v>0</v>
      </c>
      <c r="BD39" s="374">
        <f t="shared" si="147"/>
        <v>0</v>
      </c>
      <c r="BE39" s="374">
        <f t="shared" si="147"/>
        <v>0</v>
      </c>
      <c r="BF39" s="374">
        <f t="shared" si="147"/>
        <v>0</v>
      </c>
      <c r="BG39" s="374">
        <f t="shared" si="147"/>
        <v>0</v>
      </c>
      <c r="BH39" s="374">
        <f t="shared" si="147"/>
        <v>0</v>
      </c>
      <c r="BI39" s="374">
        <f t="shared" si="147"/>
        <v>0</v>
      </c>
      <c r="BJ39" s="374">
        <f t="shared" si="147"/>
        <v>0</v>
      </c>
      <c r="BK39" s="374">
        <f t="shared" si="147"/>
        <v>0</v>
      </c>
      <c r="BL39" s="374">
        <f t="shared" si="147"/>
        <v>0</v>
      </c>
      <c r="BM39" s="374">
        <f t="shared" si="147"/>
        <v>0</v>
      </c>
      <c r="BN39" s="374">
        <f t="shared" si="147"/>
        <v>0</v>
      </c>
      <c r="BO39" s="374">
        <f t="shared" si="147"/>
        <v>0</v>
      </c>
      <c r="BP39" s="374">
        <f t="shared" si="147"/>
        <v>0</v>
      </c>
      <c r="BQ39" s="374">
        <f t="shared" si="147"/>
        <v>0</v>
      </c>
      <c r="BR39" s="374">
        <f t="shared" si="147"/>
        <v>0</v>
      </c>
      <c r="BS39" s="374">
        <f t="shared" si="147"/>
        <v>0</v>
      </c>
      <c r="BT39" s="374">
        <f t="shared" si="147"/>
        <v>0</v>
      </c>
      <c r="BU39" s="374">
        <f t="shared" si="147"/>
        <v>0</v>
      </c>
    </row>
    <row r="40" spans="1:73" x14ac:dyDescent="0.2">
      <c r="A40" s="186"/>
      <c r="B40" s="186"/>
      <c r="C40" s="186" t="s">
        <v>390</v>
      </c>
      <c r="D40" s="186"/>
      <c r="E40" s="186"/>
      <c r="F40" s="186"/>
      <c r="G40" s="186"/>
      <c r="H40" s="186"/>
      <c r="I40" s="186"/>
      <c r="J40" s="186"/>
      <c r="K40" s="367"/>
      <c r="L40" s="186"/>
      <c r="M40" s="186"/>
      <c r="N40" s="374">
        <f t="shared" si="141"/>
        <v>-586250.33691221534</v>
      </c>
      <c r="O40" s="186"/>
      <c r="P40" s="186"/>
      <c r="Q40" s="374"/>
      <c r="R40" s="374">
        <f t="shared" si="145"/>
        <v>0</v>
      </c>
      <c r="S40" s="374">
        <f t="shared" si="145"/>
        <v>0</v>
      </c>
      <c r="T40" s="374">
        <f t="shared" si="145"/>
        <v>0</v>
      </c>
      <c r="U40" s="374">
        <f t="shared" ref="U40:V40" si="148">+U131</f>
        <v>-32083.668375300869</v>
      </c>
      <c r="V40" s="374">
        <f t="shared" si="148"/>
        <v>-41049.628640649462</v>
      </c>
      <c r="W40" s="374">
        <f>+W131</f>
        <v>-37233.015546619121</v>
      </c>
      <c r="X40" s="374">
        <f t="shared" ref="X40:BU40" si="149">+X131</f>
        <v>-35247.639624934134</v>
      </c>
      <c r="Y40" s="374">
        <f t="shared" si="149"/>
        <v>-35191.503580349105</v>
      </c>
      <c r="Z40" s="374">
        <f t="shared" si="149"/>
        <v>-34972.671749809728</v>
      </c>
      <c r="AA40" s="374">
        <f t="shared" si="149"/>
        <v>-34137.495750128975</v>
      </c>
      <c r="AB40" s="374">
        <f t="shared" si="149"/>
        <v>-33212.315713235752</v>
      </c>
      <c r="AC40" s="374">
        <f t="shared" si="149"/>
        <v>-32207.400373325174</v>
      </c>
      <c r="AD40" s="374">
        <f t="shared" si="149"/>
        <v>-31004.852032772989</v>
      </c>
      <c r="AE40" s="374">
        <f t="shared" si="149"/>
        <v>-29650.941742673069</v>
      </c>
      <c r="AF40" s="374">
        <f t="shared" si="149"/>
        <v>-28062.176706786842</v>
      </c>
      <c r="AG40" s="374">
        <f t="shared" si="149"/>
        <v>-26436.007990946469</v>
      </c>
      <c r="AH40" s="374">
        <f t="shared" si="149"/>
        <v>-24671.199298894153</v>
      </c>
      <c r="AI40" s="374">
        <f t="shared" si="149"/>
        <v>-22833.153701524174</v>
      </c>
      <c r="AJ40" s="374">
        <f t="shared" si="149"/>
        <v>-20830.619583049651</v>
      </c>
      <c r="AK40" s="374">
        <f t="shared" si="149"/>
        <v>-18438.406434377132</v>
      </c>
      <c r="AL40" s="374">
        <f t="shared" si="149"/>
        <v>-15547.325030521208</v>
      </c>
      <c r="AM40" s="374">
        <f t="shared" si="149"/>
        <v>-12550.82487570792</v>
      </c>
      <c r="AN40" s="374">
        <f t="shared" si="149"/>
        <v>-9197.4605800511254</v>
      </c>
      <c r="AO40" s="374">
        <f t="shared" si="149"/>
        <v>-10407.814388164665</v>
      </c>
      <c r="AP40" s="374">
        <f t="shared" si="149"/>
        <v>-11865.984284098999</v>
      </c>
      <c r="AQ40" s="374">
        <f t="shared" si="149"/>
        <v>-6798.0230819313456</v>
      </c>
      <c r="AR40" s="374">
        <f t="shared" si="149"/>
        <v>-2620.2078263631342</v>
      </c>
      <c r="AS40" s="374">
        <f t="shared" si="149"/>
        <v>0</v>
      </c>
      <c r="AT40" s="374">
        <f t="shared" si="149"/>
        <v>0</v>
      </c>
      <c r="AU40" s="374">
        <f t="shared" si="149"/>
        <v>0</v>
      </c>
      <c r="AV40" s="374">
        <f t="shared" si="149"/>
        <v>0</v>
      </c>
      <c r="AW40" s="374">
        <f t="shared" si="149"/>
        <v>0</v>
      </c>
      <c r="AX40" s="374">
        <f t="shared" si="149"/>
        <v>0</v>
      </c>
      <c r="AY40" s="374">
        <f t="shared" si="149"/>
        <v>0</v>
      </c>
      <c r="AZ40" s="374">
        <f t="shared" si="149"/>
        <v>0</v>
      </c>
      <c r="BA40" s="374">
        <f t="shared" si="149"/>
        <v>0</v>
      </c>
      <c r="BB40" s="374">
        <f t="shared" si="149"/>
        <v>0</v>
      </c>
      <c r="BC40" s="374">
        <f t="shared" si="149"/>
        <v>0</v>
      </c>
      <c r="BD40" s="374">
        <f t="shared" si="149"/>
        <v>0</v>
      </c>
      <c r="BE40" s="374">
        <f t="shared" si="149"/>
        <v>0</v>
      </c>
      <c r="BF40" s="374">
        <f t="shared" si="149"/>
        <v>0</v>
      </c>
      <c r="BG40" s="374">
        <f t="shared" si="149"/>
        <v>0</v>
      </c>
      <c r="BH40" s="374">
        <f t="shared" si="149"/>
        <v>0</v>
      </c>
      <c r="BI40" s="374">
        <f t="shared" si="149"/>
        <v>0</v>
      </c>
      <c r="BJ40" s="374">
        <f t="shared" si="149"/>
        <v>0</v>
      </c>
      <c r="BK40" s="374">
        <f t="shared" si="149"/>
        <v>0</v>
      </c>
      <c r="BL40" s="374">
        <f t="shared" si="149"/>
        <v>0</v>
      </c>
      <c r="BM40" s="374">
        <f t="shared" si="149"/>
        <v>0</v>
      </c>
      <c r="BN40" s="374">
        <f t="shared" si="149"/>
        <v>0</v>
      </c>
      <c r="BO40" s="374">
        <f t="shared" si="149"/>
        <v>0</v>
      </c>
      <c r="BP40" s="374">
        <f t="shared" si="149"/>
        <v>0</v>
      </c>
      <c r="BQ40" s="374">
        <f t="shared" si="149"/>
        <v>0</v>
      </c>
      <c r="BR40" s="374">
        <f t="shared" si="149"/>
        <v>0</v>
      </c>
      <c r="BS40" s="374">
        <f t="shared" si="149"/>
        <v>0</v>
      </c>
      <c r="BT40" s="374">
        <f t="shared" si="149"/>
        <v>0</v>
      </c>
      <c r="BU40" s="374">
        <f t="shared" si="149"/>
        <v>0</v>
      </c>
    </row>
    <row r="41" spans="1:73" x14ac:dyDescent="0.2">
      <c r="A41" s="186"/>
      <c r="B41" s="186"/>
      <c r="C41" s="186" t="s">
        <v>154</v>
      </c>
      <c r="D41" s="186"/>
      <c r="E41" s="186"/>
      <c r="F41" s="186"/>
      <c r="G41" s="186"/>
      <c r="H41" s="186"/>
      <c r="I41" s="186"/>
      <c r="J41" s="186"/>
      <c r="K41" s="367" t="s">
        <v>63</v>
      </c>
      <c r="L41" s="186"/>
      <c r="M41" s="186"/>
      <c r="N41" s="374">
        <f t="shared" si="141"/>
        <v>-427654.43840678042</v>
      </c>
      <c r="O41" s="186"/>
      <c r="P41" s="186"/>
      <c r="Q41" s="374"/>
      <c r="R41" s="374">
        <f t="shared" ref="R41:AO41" si="150">+R138</f>
        <v>0</v>
      </c>
      <c r="S41" s="374">
        <f t="shared" si="150"/>
        <v>0</v>
      </c>
      <c r="T41" s="374">
        <f t="shared" si="150"/>
        <v>0</v>
      </c>
      <c r="U41" s="374">
        <f t="shared" si="150"/>
        <v>0</v>
      </c>
      <c r="V41" s="374">
        <f t="shared" si="150"/>
        <v>-539.70155717787566</v>
      </c>
      <c r="W41" s="374">
        <f t="shared" si="150"/>
        <v>-776.50559552197228</v>
      </c>
      <c r="X41" s="374">
        <f t="shared" si="150"/>
        <v>-1038.8609910597879</v>
      </c>
      <c r="Y41" s="374">
        <f t="shared" si="150"/>
        <v>-1328.9251559491677</v>
      </c>
      <c r="Z41" s="374">
        <f t="shared" si="150"/>
        <v>-9799.8775139839563</v>
      </c>
      <c r="AA41" s="374">
        <f t="shared" si="150"/>
        <v>-10564.459267585509</v>
      </c>
      <c r="AB41" s="374">
        <f t="shared" si="150"/>
        <v>-12103.575353747059</v>
      </c>
      <c r="AC41" s="374">
        <f t="shared" si="150"/>
        <v>-13807.611377853696</v>
      </c>
      <c r="AD41" s="374">
        <f t="shared" si="150"/>
        <v>-15692.345051913784</v>
      </c>
      <c r="AE41" s="374">
        <f t="shared" si="150"/>
        <v>-18486.313556027482</v>
      </c>
      <c r="AF41" s="374">
        <f t="shared" si="150"/>
        <v>-19549.647371904401</v>
      </c>
      <c r="AG41" s="374">
        <f t="shared" si="150"/>
        <v>-20571.68316826949</v>
      </c>
      <c r="AH41" s="374">
        <f t="shared" si="150"/>
        <v>-21638.662566408457</v>
      </c>
      <c r="AI41" s="374">
        <f t="shared" si="150"/>
        <v>-22751.693539404077</v>
      </c>
      <c r="AJ41" s="374">
        <f t="shared" si="150"/>
        <v>-23911.805743083067</v>
      </c>
      <c r="AK41" s="374">
        <f t="shared" si="150"/>
        <v>-25119.933132307342</v>
      </c>
      <c r="AL41" s="374">
        <f t="shared" si="150"/>
        <v>-26563.539529386209</v>
      </c>
      <c r="AM41" s="374">
        <f t="shared" si="150"/>
        <v>-28083.673987498973</v>
      </c>
      <c r="AN41" s="374">
        <f t="shared" si="150"/>
        <v>-29683.78878483345</v>
      </c>
      <c r="AO41" s="374">
        <f t="shared" si="150"/>
        <v>-31367.430343745451</v>
      </c>
      <c r="AP41" s="374">
        <f t="shared" ref="AP41:BU41" si="151">+AP138</f>
        <v>-33138.234424650494</v>
      </c>
      <c r="AQ41" s="374">
        <f t="shared" si="151"/>
        <v>-31550.109822034487</v>
      </c>
      <c r="AR41" s="374">
        <f t="shared" si="151"/>
        <v>-29586.060572434217</v>
      </c>
      <c r="AS41" s="374">
        <f t="shared" si="151"/>
        <v>0</v>
      </c>
      <c r="AT41" s="374">
        <f t="shared" si="151"/>
        <v>0</v>
      </c>
      <c r="AU41" s="374">
        <f t="shared" si="151"/>
        <v>0</v>
      </c>
      <c r="AV41" s="374">
        <f t="shared" si="151"/>
        <v>0</v>
      </c>
      <c r="AW41" s="374">
        <f t="shared" si="151"/>
        <v>0</v>
      </c>
      <c r="AX41" s="374">
        <f t="shared" si="151"/>
        <v>0</v>
      </c>
      <c r="AY41" s="374">
        <f t="shared" si="151"/>
        <v>0</v>
      </c>
      <c r="AZ41" s="374">
        <f t="shared" si="151"/>
        <v>0</v>
      </c>
      <c r="BA41" s="374">
        <f t="shared" si="151"/>
        <v>0</v>
      </c>
      <c r="BB41" s="374">
        <f t="shared" si="151"/>
        <v>0</v>
      </c>
      <c r="BC41" s="374">
        <f t="shared" si="151"/>
        <v>0</v>
      </c>
      <c r="BD41" s="374">
        <f t="shared" si="151"/>
        <v>0</v>
      </c>
      <c r="BE41" s="374">
        <f t="shared" si="151"/>
        <v>0</v>
      </c>
      <c r="BF41" s="374">
        <f t="shared" si="151"/>
        <v>0</v>
      </c>
      <c r="BG41" s="374">
        <f t="shared" si="151"/>
        <v>0</v>
      </c>
      <c r="BH41" s="374">
        <f t="shared" si="151"/>
        <v>0</v>
      </c>
      <c r="BI41" s="374">
        <f t="shared" si="151"/>
        <v>0</v>
      </c>
      <c r="BJ41" s="374">
        <f t="shared" si="151"/>
        <v>0</v>
      </c>
      <c r="BK41" s="374">
        <f t="shared" si="151"/>
        <v>0</v>
      </c>
      <c r="BL41" s="374">
        <f t="shared" si="151"/>
        <v>0</v>
      </c>
      <c r="BM41" s="374">
        <f t="shared" si="151"/>
        <v>0</v>
      </c>
      <c r="BN41" s="374">
        <f t="shared" si="151"/>
        <v>0</v>
      </c>
      <c r="BO41" s="374">
        <f t="shared" si="151"/>
        <v>0</v>
      </c>
      <c r="BP41" s="374">
        <f t="shared" si="151"/>
        <v>0</v>
      </c>
      <c r="BQ41" s="374">
        <f t="shared" si="151"/>
        <v>0</v>
      </c>
      <c r="BR41" s="374">
        <f t="shared" si="151"/>
        <v>0</v>
      </c>
      <c r="BS41" s="374">
        <f t="shared" si="151"/>
        <v>0</v>
      </c>
      <c r="BT41" s="374">
        <f t="shared" si="151"/>
        <v>0</v>
      </c>
      <c r="BU41" s="374">
        <f t="shared" si="151"/>
        <v>0</v>
      </c>
    </row>
    <row r="42" spans="1:73" x14ac:dyDescent="0.2">
      <c r="A42" s="186"/>
      <c r="B42" s="186"/>
      <c r="C42" s="186" t="s">
        <v>155</v>
      </c>
      <c r="D42" s="186"/>
      <c r="E42" s="186"/>
      <c r="F42" s="186"/>
      <c r="G42" s="186"/>
      <c r="H42" s="186"/>
      <c r="I42" s="186"/>
      <c r="J42" s="186"/>
      <c r="K42" s="367" t="s">
        <v>63</v>
      </c>
      <c r="L42" s="186"/>
      <c r="M42" s="186"/>
      <c r="N42" s="374">
        <f t="shared" si="141"/>
        <v>-54041.91429966467</v>
      </c>
      <c r="O42" s="186"/>
      <c r="P42" s="186"/>
      <c r="Q42" s="374"/>
      <c r="R42" s="374">
        <f t="shared" ref="R42:AO42" si="152">+R133</f>
        <v>0</v>
      </c>
      <c r="S42" s="374">
        <f t="shared" si="152"/>
        <v>0</v>
      </c>
      <c r="T42" s="374">
        <f t="shared" si="152"/>
        <v>0</v>
      </c>
      <c r="U42" s="374">
        <f t="shared" si="152"/>
        <v>0</v>
      </c>
      <c r="V42" s="374">
        <f t="shared" si="152"/>
        <v>0</v>
      </c>
      <c r="W42" s="374">
        <f t="shared" si="152"/>
        <v>0</v>
      </c>
      <c r="X42" s="374">
        <f t="shared" si="152"/>
        <v>0</v>
      </c>
      <c r="Y42" s="374">
        <f t="shared" si="152"/>
        <v>0</v>
      </c>
      <c r="Z42" s="374">
        <f t="shared" si="152"/>
        <v>0</v>
      </c>
      <c r="AA42" s="374">
        <f t="shared" si="152"/>
        <v>0</v>
      </c>
      <c r="AB42" s="374">
        <f t="shared" si="152"/>
        <v>0</v>
      </c>
      <c r="AC42" s="374">
        <f t="shared" si="152"/>
        <v>0</v>
      </c>
      <c r="AD42" s="374">
        <f t="shared" si="152"/>
        <v>0</v>
      </c>
      <c r="AE42" s="374">
        <f t="shared" si="152"/>
        <v>0</v>
      </c>
      <c r="AF42" s="374">
        <f t="shared" si="152"/>
        <v>0</v>
      </c>
      <c r="AG42" s="374">
        <f t="shared" si="152"/>
        <v>0</v>
      </c>
      <c r="AH42" s="374">
        <f t="shared" si="152"/>
        <v>0</v>
      </c>
      <c r="AI42" s="374">
        <f t="shared" si="152"/>
        <v>0</v>
      </c>
      <c r="AJ42" s="374">
        <f t="shared" si="152"/>
        <v>0</v>
      </c>
      <c r="AK42" s="374">
        <f t="shared" si="152"/>
        <v>0</v>
      </c>
      <c r="AL42" s="374">
        <f t="shared" si="152"/>
        <v>0</v>
      </c>
      <c r="AM42" s="374">
        <f t="shared" si="152"/>
        <v>0</v>
      </c>
      <c r="AN42" s="374">
        <f t="shared" si="152"/>
        <v>0</v>
      </c>
      <c r="AO42" s="374">
        <f t="shared" si="152"/>
        <v>0</v>
      </c>
      <c r="AP42" s="374">
        <f t="shared" ref="AP42:BU42" si="153">+AP133</f>
        <v>-27107.214825648691</v>
      </c>
      <c r="AQ42" s="374">
        <f t="shared" si="153"/>
        <v>-18195.577087343408</v>
      </c>
      <c r="AR42" s="374">
        <f t="shared" si="153"/>
        <v>-8739.1223866725704</v>
      </c>
      <c r="AS42" s="374">
        <f t="shared" si="153"/>
        <v>0</v>
      </c>
      <c r="AT42" s="374">
        <f t="shared" si="153"/>
        <v>0</v>
      </c>
      <c r="AU42" s="374">
        <f t="shared" si="153"/>
        <v>0</v>
      </c>
      <c r="AV42" s="374">
        <f t="shared" si="153"/>
        <v>0</v>
      </c>
      <c r="AW42" s="374">
        <f t="shared" si="153"/>
        <v>0</v>
      </c>
      <c r="AX42" s="374">
        <f t="shared" si="153"/>
        <v>0</v>
      </c>
      <c r="AY42" s="374">
        <f t="shared" si="153"/>
        <v>0</v>
      </c>
      <c r="AZ42" s="374">
        <f t="shared" si="153"/>
        <v>0</v>
      </c>
      <c r="BA42" s="374">
        <f t="shared" si="153"/>
        <v>0</v>
      </c>
      <c r="BB42" s="374">
        <f t="shared" si="153"/>
        <v>0</v>
      </c>
      <c r="BC42" s="374">
        <f t="shared" si="153"/>
        <v>0</v>
      </c>
      <c r="BD42" s="374">
        <f t="shared" si="153"/>
        <v>0</v>
      </c>
      <c r="BE42" s="374">
        <f t="shared" si="153"/>
        <v>0</v>
      </c>
      <c r="BF42" s="374">
        <f t="shared" si="153"/>
        <v>0</v>
      </c>
      <c r="BG42" s="374">
        <f t="shared" si="153"/>
        <v>0</v>
      </c>
      <c r="BH42" s="374">
        <f t="shared" si="153"/>
        <v>0</v>
      </c>
      <c r="BI42" s="374">
        <f t="shared" si="153"/>
        <v>0</v>
      </c>
      <c r="BJ42" s="374">
        <f t="shared" si="153"/>
        <v>0</v>
      </c>
      <c r="BK42" s="374">
        <f t="shared" si="153"/>
        <v>0</v>
      </c>
      <c r="BL42" s="374">
        <f t="shared" si="153"/>
        <v>0</v>
      </c>
      <c r="BM42" s="374">
        <f t="shared" si="153"/>
        <v>0</v>
      </c>
      <c r="BN42" s="374">
        <f t="shared" si="153"/>
        <v>0</v>
      </c>
      <c r="BO42" s="374">
        <f t="shared" si="153"/>
        <v>0</v>
      </c>
      <c r="BP42" s="374">
        <f t="shared" si="153"/>
        <v>0</v>
      </c>
      <c r="BQ42" s="374">
        <f t="shared" si="153"/>
        <v>0</v>
      </c>
      <c r="BR42" s="374">
        <f t="shared" si="153"/>
        <v>0</v>
      </c>
      <c r="BS42" s="374">
        <f t="shared" si="153"/>
        <v>0</v>
      </c>
      <c r="BT42" s="374">
        <f t="shared" si="153"/>
        <v>0</v>
      </c>
      <c r="BU42" s="374">
        <f t="shared" si="153"/>
        <v>0</v>
      </c>
    </row>
    <row r="43" spans="1:73" x14ac:dyDescent="0.2">
      <c r="A43" s="186"/>
      <c r="B43" s="186"/>
      <c r="C43" s="186" t="s">
        <v>156</v>
      </c>
      <c r="D43" s="186"/>
      <c r="E43" s="186"/>
      <c r="F43" s="186"/>
      <c r="G43" s="186"/>
      <c r="H43" s="186"/>
      <c r="I43" s="186"/>
      <c r="J43" s="186"/>
      <c r="K43" s="367" t="s">
        <v>63</v>
      </c>
      <c r="L43" s="186"/>
      <c r="M43" s="186"/>
      <c r="N43" s="374">
        <f t="shared" si="141"/>
        <v>-90000</v>
      </c>
      <c r="O43" s="186"/>
      <c r="P43" s="186"/>
      <c r="Q43" s="374"/>
      <c r="R43" s="374">
        <f t="shared" ref="R43:AO43" si="154">+R134</f>
        <v>0</v>
      </c>
      <c r="S43" s="374">
        <f t="shared" si="154"/>
        <v>0</v>
      </c>
      <c r="T43" s="374">
        <f t="shared" si="154"/>
        <v>0</v>
      </c>
      <c r="U43" s="374">
        <f t="shared" si="154"/>
        <v>0</v>
      </c>
      <c r="V43" s="374">
        <f t="shared" si="154"/>
        <v>0</v>
      </c>
      <c r="W43" s="374">
        <f t="shared" si="154"/>
        <v>0</v>
      </c>
      <c r="X43" s="374">
        <f t="shared" si="154"/>
        <v>0</v>
      </c>
      <c r="Y43" s="374">
        <f t="shared" si="154"/>
        <v>0</v>
      </c>
      <c r="Z43" s="374">
        <f t="shared" si="154"/>
        <v>0</v>
      </c>
      <c r="AA43" s="374">
        <f t="shared" si="154"/>
        <v>0</v>
      </c>
      <c r="AB43" s="374">
        <f t="shared" si="154"/>
        <v>0</v>
      </c>
      <c r="AC43" s="374">
        <f t="shared" si="154"/>
        <v>0</v>
      </c>
      <c r="AD43" s="374">
        <f t="shared" si="154"/>
        <v>0</v>
      </c>
      <c r="AE43" s="374">
        <f t="shared" si="154"/>
        <v>0</v>
      </c>
      <c r="AF43" s="374">
        <f t="shared" si="154"/>
        <v>0</v>
      </c>
      <c r="AG43" s="374">
        <f t="shared" si="154"/>
        <v>0</v>
      </c>
      <c r="AH43" s="374">
        <f t="shared" si="154"/>
        <v>0</v>
      </c>
      <c r="AI43" s="374">
        <f t="shared" si="154"/>
        <v>0</v>
      </c>
      <c r="AJ43" s="374">
        <f t="shared" si="154"/>
        <v>-5000</v>
      </c>
      <c r="AK43" s="374">
        <f t="shared" si="154"/>
        <v>-10000</v>
      </c>
      <c r="AL43" s="374">
        <f t="shared" si="154"/>
        <v>-10000</v>
      </c>
      <c r="AM43" s="374">
        <f t="shared" si="154"/>
        <v>-10000</v>
      </c>
      <c r="AN43" s="374">
        <f t="shared" si="154"/>
        <v>-30000</v>
      </c>
      <c r="AO43" s="374">
        <f t="shared" si="154"/>
        <v>-25000</v>
      </c>
      <c r="AP43" s="374">
        <f t="shared" ref="AP43:BU43" si="155">+AP134</f>
        <v>0</v>
      </c>
      <c r="AQ43" s="374">
        <f t="shared" si="155"/>
        <v>0</v>
      </c>
      <c r="AR43" s="374">
        <f t="shared" si="155"/>
        <v>0</v>
      </c>
      <c r="AS43" s="374">
        <f t="shared" si="155"/>
        <v>0</v>
      </c>
      <c r="AT43" s="374">
        <f t="shared" si="155"/>
        <v>0</v>
      </c>
      <c r="AU43" s="374">
        <f t="shared" si="155"/>
        <v>0</v>
      </c>
      <c r="AV43" s="374">
        <f t="shared" si="155"/>
        <v>0</v>
      </c>
      <c r="AW43" s="374">
        <f t="shared" si="155"/>
        <v>0</v>
      </c>
      <c r="AX43" s="374">
        <f t="shared" si="155"/>
        <v>0</v>
      </c>
      <c r="AY43" s="374">
        <f t="shared" si="155"/>
        <v>0</v>
      </c>
      <c r="AZ43" s="374">
        <f t="shared" si="155"/>
        <v>0</v>
      </c>
      <c r="BA43" s="374">
        <f t="shared" si="155"/>
        <v>0</v>
      </c>
      <c r="BB43" s="374">
        <f t="shared" si="155"/>
        <v>0</v>
      </c>
      <c r="BC43" s="374">
        <f t="shared" si="155"/>
        <v>0</v>
      </c>
      <c r="BD43" s="374">
        <f t="shared" si="155"/>
        <v>0</v>
      </c>
      <c r="BE43" s="374">
        <f t="shared" si="155"/>
        <v>0</v>
      </c>
      <c r="BF43" s="374">
        <f t="shared" si="155"/>
        <v>0</v>
      </c>
      <c r="BG43" s="374">
        <f t="shared" si="155"/>
        <v>0</v>
      </c>
      <c r="BH43" s="374">
        <f t="shared" si="155"/>
        <v>0</v>
      </c>
      <c r="BI43" s="374">
        <f t="shared" si="155"/>
        <v>0</v>
      </c>
      <c r="BJ43" s="374">
        <f t="shared" si="155"/>
        <v>0</v>
      </c>
      <c r="BK43" s="374">
        <f t="shared" si="155"/>
        <v>0</v>
      </c>
      <c r="BL43" s="374">
        <f t="shared" si="155"/>
        <v>0</v>
      </c>
      <c r="BM43" s="374">
        <f t="shared" si="155"/>
        <v>0</v>
      </c>
      <c r="BN43" s="374">
        <f t="shared" si="155"/>
        <v>0</v>
      </c>
      <c r="BO43" s="374">
        <f t="shared" si="155"/>
        <v>0</v>
      </c>
      <c r="BP43" s="374">
        <f t="shared" si="155"/>
        <v>0</v>
      </c>
      <c r="BQ43" s="374">
        <f t="shared" si="155"/>
        <v>0</v>
      </c>
      <c r="BR43" s="374">
        <f t="shared" si="155"/>
        <v>0</v>
      </c>
      <c r="BS43" s="374">
        <f t="shared" si="155"/>
        <v>0</v>
      </c>
      <c r="BT43" s="374">
        <f t="shared" si="155"/>
        <v>0</v>
      </c>
      <c r="BU43" s="374">
        <f t="shared" si="155"/>
        <v>0</v>
      </c>
    </row>
    <row r="44" spans="1:73" x14ac:dyDescent="0.2">
      <c r="A44" s="186"/>
      <c r="B44" s="186"/>
      <c r="C44" s="186" t="s">
        <v>157</v>
      </c>
      <c r="D44" s="186"/>
      <c r="E44" s="186"/>
      <c r="F44" s="186"/>
      <c r="G44" s="186"/>
      <c r="H44" s="186"/>
      <c r="I44" s="186"/>
      <c r="J44" s="186"/>
      <c r="K44" s="367" t="s">
        <v>63</v>
      </c>
      <c r="L44" s="186"/>
      <c r="M44" s="186"/>
      <c r="N44" s="374">
        <f t="shared" si="141"/>
        <v>-144041.91429966467</v>
      </c>
      <c r="O44" s="186"/>
      <c r="P44" s="186"/>
      <c r="Q44" s="374"/>
      <c r="R44" s="374">
        <f t="shared" ref="R44:AO44" si="156">+R136</f>
        <v>0</v>
      </c>
      <c r="S44" s="374">
        <f t="shared" si="156"/>
        <v>0</v>
      </c>
      <c r="T44" s="374">
        <f t="shared" si="156"/>
        <v>0</v>
      </c>
      <c r="U44" s="374">
        <f t="shared" si="156"/>
        <v>0</v>
      </c>
      <c r="V44" s="374">
        <f t="shared" si="156"/>
        <v>0</v>
      </c>
      <c r="W44" s="374">
        <f t="shared" si="156"/>
        <v>0</v>
      </c>
      <c r="X44" s="374">
        <f t="shared" si="156"/>
        <v>0</v>
      </c>
      <c r="Y44" s="374">
        <f t="shared" si="156"/>
        <v>0</v>
      </c>
      <c r="Z44" s="374">
        <f t="shared" si="156"/>
        <v>0</v>
      </c>
      <c r="AA44" s="374">
        <f t="shared" si="156"/>
        <v>0</v>
      </c>
      <c r="AB44" s="374">
        <f t="shared" si="156"/>
        <v>0</v>
      </c>
      <c r="AC44" s="374">
        <f t="shared" si="156"/>
        <v>0</v>
      </c>
      <c r="AD44" s="374">
        <f t="shared" si="156"/>
        <v>0</v>
      </c>
      <c r="AE44" s="374">
        <f t="shared" si="156"/>
        <v>0</v>
      </c>
      <c r="AF44" s="374">
        <f t="shared" si="156"/>
        <v>0</v>
      </c>
      <c r="AG44" s="374">
        <f t="shared" si="156"/>
        <v>0</v>
      </c>
      <c r="AH44" s="374">
        <f t="shared" si="156"/>
        <v>0</v>
      </c>
      <c r="AI44" s="374">
        <f t="shared" si="156"/>
        <v>0</v>
      </c>
      <c r="AJ44" s="374">
        <f t="shared" si="156"/>
        <v>-5000</v>
      </c>
      <c r="AK44" s="374">
        <f t="shared" si="156"/>
        <v>-10000</v>
      </c>
      <c r="AL44" s="374">
        <f t="shared" si="156"/>
        <v>-10000</v>
      </c>
      <c r="AM44" s="374">
        <f t="shared" si="156"/>
        <v>-10000</v>
      </c>
      <c r="AN44" s="374">
        <f t="shared" si="156"/>
        <v>-30000</v>
      </c>
      <c r="AO44" s="374">
        <f t="shared" si="156"/>
        <v>-25000</v>
      </c>
      <c r="AP44" s="374">
        <f t="shared" ref="AP44:BU44" si="157">+AP136</f>
        <v>-27107.214825648691</v>
      </c>
      <c r="AQ44" s="374">
        <f t="shared" si="157"/>
        <v>-18195.577087343408</v>
      </c>
      <c r="AR44" s="374">
        <f t="shared" si="157"/>
        <v>-8739.1223866725704</v>
      </c>
      <c r="AS44" s="374">
        <f t="shared" si="157"/>
        <v>0</v>
      </c>
      <c r="AT44" s="374">
        <f t="shared" si="157"/>
        <v>0</v>
      </c>
      <c r="AU44" s="374">
        <f t="shared" si="157"/>
        <v>0</v>
      </c>
      <c r="AV44" s="374">
        <f t="shared" si="157"/>
        <v>0</v>
      </c>
      <c r="AW44" s="374">
        <f t="shared" si="157"/>
        <v>0</v>
      </c>
      <c r="AX44" s="374">
        <f t="shared" si="157"/>
        <v>0</v>
      </c>
      <c r="AY44" s="374">
        <f t="shared" si="157"/>
        <v>0</v>
      </c>
      <c r="AZ44" s="374">
        <f t="shared" si="157"/>
        <v>0</v>
      </c>
      <c r="BA44" s="374">
        <f t="shared" si="157"/>
        <v>0</v>
      </c>
      <c r="BB44" s="374">
        <f t="shared" si="157"/>
        <v>0</v>
      </c>
      <c r="BC44" s="374">
        <f t="shared" si="157"/>
        <v>0</v>
      </c>
      <c r="BD44" s="374">
        <f t="shared" si="157"/>
        <v>0</v>
      </c>
      <c r="BE44" s="374">
        <f t="shared" si="157"/>
        <v>0</v>
      </c>
      <c r="BF44" s="374">
        <f t="shared" si="157"/>
        <v>0</v>
      </c>
      <c r="BG44" s="374">
        <f t="shared" si="157"/>
        <v>0</v>
      </c>
      <c r="BH44" s="374">
        <f t="shared" si="157"/>
        <v>0</v>
      </c>
      <c r="BI44" s="374">
        <f t="shared" si="157"/>
        <v>0</v>
      </c>
      <c r="BJ44" s="374">
        <f t="shared" si="157"/>
        <v>0</v>
      </c>
      <c r="BK44" s="374">
        <f t="shared" si="157"/>
        <v>0</v>
      </c>
      <c r="BL44" s="374">
        <f t="shared" si="157"/>
        <v>0</v>
      </c>
      <c r="BM44" s="374">
        <f t="shared" si="157"/>
        <v>0</v>
      </c>
      <c r="BN44" s="374">
        <f t="shared" si="157"/>
        <v>0</v>
      </c>
      <c r="BO44" s="374">
        <f t="shared" si="157"/>
        <v>0</v>
      </c>
      <c r="BP44" s="374">
        <f t="shared" si="157"/>
        <v>0</v>
      </c>
      <c r="BQ44" s="374">
        <f t="shared" si="157"/>
        <v>0</v>
      </c>
      <c r="BR44" s="374">
        <f t="shared" si="157"/>
        <v>0</v>
      </c>
      <c r="BS44" s="374">
        <f t="shared" si="157"/>
        <v>0</v>
      </c>
      <c r="BT44" s="374">
        <f t="shared" si="157"/>
        <v>0</v>
      </c>
      <c r="BU44" s="374">
        <f t="shared" si="157"/>
        <v>0</v>
      </c>
    </row>
    <row r="45" spans="1:73" x14ac:dyDescent="0.2">
      <c r="A45" s="186"/>
      <c r="B45" s="186"/>
      <c r="C45" s="383" t="s">
        <v>158</v>
      </c>
      <c r="D45" s="383"/>
      <c r="E45" s="383"/>
      <c r="F45" s="383"/>
      <c r="G45" s="383"/>
      <c r="H45" s="383"/>
      <c r="I45" s="383"/>
      <c r="J45" s="383"/>
      <c r="K45" s="617" t="s">
        <v>63</v>
      </c>
      <c r="L45" s="383"/>
      <c r="M45" s="383"/>
      <c r="N45" s="384">
        <f t="shared" si="141"/>
        <v>-420490.82048388239</v>
      </c>
      <c r="O45" s="383"/>
      <c r="P45" s="383"/>
      <c r="Q45" s="384"/>
      <c r="R45" s="384">
        <f t="shared" ref="R45:AO45" si="158">+R139</f>
        <v>0</v>
      </c>
      <c r="S45" s="384">
        <f t="shared" si="158"/>
        <v>0</v>
      </c>
      <c r="T45" s="384">
        <f t="shared" si="158"/>
        <v>0</v>
      </c>
      <c r="U45" s="384">
        <f t="shared" si="158"/>
        <v>0</v>
      </c>
      <c r="V45" s="384">
        <f t="shared" si="158"/>
        <v>-539.70155717787566</v>
      </c>
      <c r="W45" s="384">
        <f t="shared" si="158"/>
        <v>-776.50559552197228</v>
      </c>
      <c r="X45" s="384">
        <f t="shared" si="158"/>
        <v>-1038.8609910597879</v>
      </c>
      <c r="Y45" s="384">
        <f t="shared" si="158"/>
        <v>-1328.9251559491677</v>
      </c>
      <c r="Z45" s="384">
        <f t="shared" si="158"/>
        <v>-9799.8775139839563</v>
      </c>
      <c r="AA45" s="384">
        <f t="shared" si="158"/>
        <v>-10564.459267585509</v>
      </c>
      <c r="AB45" s="384">
        <f t="shared" si="158"/>
        <v>-12103.575353747059</v>
      </c>
      <c r="AC45" s="384">
        <f t="shared" si="158"/>
        <v>-13807.611377853696</v>
      </c>
      <c r="AD45" s="384">
        <f t="shared" si="158"/>
        <v>-15692.345051913784</v>
      </c>
      <c r="AE45" s="384">
        <f t="shared" si="158"/>
        <v>-18486.313556027482</v>
      </c>
      <c r="AF45" s="384">
        <f t="shared" si="158"/>
        <v>-19549.647371904401</v>
      </c>
      <c r="AG45" s="384">
        <f t="shared" si="158"/>
        <v>-20571.68316826949</v>
      </c>
      <c r="AH45" s="384">
        <f t="shared" si="158"/>
        <v>-21638.662566408457</v>
      </c>
      <c r="AI45" s="384">
        <f t="shared" si="158"/>
        <v>-22751.693539404077</v>
      </c>
      <c r="AJ45" s="384">
        <f t="shared" si="158"/>
        <v>-23911.805743083067</v>
      </c>
      <c r="AK45" s="384">
        <f t="shared" si="158"/>
        <v>-25119.933132307342</v>
      </c>
      <c r="AL45" s="384">
        <f t="shared" si="158"/>
        <v>-26563.539529386209</v>
      </c>
      <c r="AM45" s="384">
        <f t="shared" si="158"/>
        <v>-28083.673987498973</v>
      </c>
      <c r="AN45" s="384">
        <f t="shared" si="158"/>
        <v>-29683.78878483345</v>
      </c>
      <c r="AO45" s="384">
        <f t="shared" si="158"/>
        <v>-31367.430343745451</v>
      </c>
      <c r="AP45" s="384">
        <f t="shared" ref="AP45:BU45" si="159">+AP139</f>
        <v>-33138.234424650494</v>
      </c>
      <c r="AQ45" s="384">
        <f t="shared" si="159"/>
        <v>-31550.109822034487</v>
      </c>
      <c r="AR45" s="384">
        <f t="shared" si="159"/>
        <v>-22422.442649536169</v>
      </c>
      <c r="AS45" s="384">
        <f t="shared" si="159"/>
        <v>0</v>
      </c>
      <c r="AT45" s="384">
        <f t="shared" si="159"/>
        <v>0</v>
      </c>
      <c r="AU45" s="384">
        <f t="shared" si="159"/>
        <v>0</v>
      </c>
      <c r="AV45" s="384">
        <f t="shared" si="159"/>
        <v>0</v>
      </c>
      <c r="AW45" s="384">
        <f t="shared" si="159"/>
        <v>0</v>
      </c>
      <c r="AX45" s="384">
        <f t="shared" si="159"/>
        <v>0</v>
      </c>
      <c r="AY45" s="384">
        <f t="shared" si="159"/>
        <v>0</v>
      </c>
      <c r="AZ45" s="384">
        <f t="shared" si="159"/>
        <v>0</v>
      </c>
      <c r="BA45" s="384">
        <f t="shared" si="159"/>
        <v>0</v>
      </c>
      <c r="BB45" s="384">
        <f t="shared" si="159"/>
        <v>0</v>
      </c>
      <c r="BC45" s="384">
        <f t="shared" si="159"/>
        <v>0</v>
      </c>
      <c r="BD45" s="384">
        <f t="shared" si="159"/>
        <v>0</v>
      </c>
      <c r="BE45" s="384">
        <f t="shared" si="159"/>
        <v>0</v>
      </c>
      <c r="BF45" s="384">
        <f t="shared" si="159"/>
        <v>0</v>
      </c>
      <c r="BG45" s="384">
        <f t="shared" si="159"/>
        <v>0</v>
      </c>
      <c r="BH45" s="384">
        <f t="shared" si="159"/>
        <v>0</v>
      </c>
      <c r="BI45" s="384">
        <f t="shared" si="159"/>
        <v>0</v>
      </c>
      <c r="BJ45" s="384">
        <f t="shared" si="159"/>
        <v>0</v>
      </c>
      <c r="BK45" s="384">
        <f t="shared" si="159"/>
        <v>0</v>
      </c>
      <c r="BL45" s="384">
        <f t="shared" si="159"/>
        <v>0</v>
      </c>
      <c r="BM45" s="384">
        <f t="shared" si="159"/>
        <v>0</v>
      </c>
      <c r="BN45" s="384">
        <f t="shared" si="159"/>
        <v>0</v>
      </c>
      <c r="BO45" s="384">
        <f t="shared" si="159"/>
        <v>0</v>
      </c>
      <c r="BP45" s="384">
        <f t="shared" si="159"/>
        <v>0</v>
      </c>
      <c r="BQ45" s="384">
        <f t="shared" si="159"/>
        <v>0</v>
      </c>
      <c r="BR45" s="384">
        <f t="shared" si="159"/>
        <v>0</v>
      </c>
      <c r="BS45" s="384">
        <f t="shared" si="159"/>
        <v>0</v>
      </c>
      <c r="BT45" s="384">
        <f t="shared" si="159"/>
        <v>0</v>
      </c>
      <c r="BU45" s="384">
        <f t="shared" si="159"/>
        <v>0</v>
      </c>
    </row>
    <row r="46" spans="1:73" ht="13.5" thickBot="1" x14ac:dyDescent="0.25">
      <c r="A46" s="186"/>
      <c r="B46" s="186"/>
      <c r="C46" s="186" t="s">
        <v>152</v>
      </c>
      <c r="D46" s="186"/>
      <c r="E46" s="186"/>
      <c r="F46" s="186"/>
      <c r="G46" s="186"/>
      <c r="H46" s="186"/>
      <c r="I46" s="186"/>
      <c r="J46" s="186"/>
      <c r="K46" s="367" t="s">
        <v>63</v>
      </c>
      <c r="L46" s="186"/>
      <c r="M46" s="186"/>
      <c r="N46" s="374"/>
      <c r="O46" s="186"/>
      <c r="P46" s="186"/>
      <c r="Q46" s="374"/>
      <c r="R46" s="374">
        <f t="shared" ref="R46:AO46" si="160">SUM(R36:R45)</f>
        <v>1034374.3166937458</v>
      </c>
      <c r="S46" s="374">
        <f t="shared" si="160"/>
        <v>1078485.4266477572</v>
      </c>
      <c r="T46" s="374">
        <f t="shared" si="160"/>
        <v>1124477.6641490904</v>
      </c>
      <c r="U46" s="374">
        <f t="shared" si="160"/>
        <v>1136229.0874899926</v>
      </c>
      <c r="V46" s="374">
        <f t="shared" si="160"/>
        <v>1135149.6843756372</v>
      </c>
      <c r="W46" s="374">
        <f t="shared" si="160"/>
        <v>1133596.6731845932</v>
      </c>
      <c r="X46" s="374">
        <f t="shared" si="160"/>
        <v>1131518.9512024736</v>
      </c>
      <c r="Y46" s="374">
        <f t="shared" si="160"/>
        <v>1128861.1008905754</v>
      </c>
      <c r="Z46" s="374">
        <f t="shared" si="160"/>
        <v>1109261.3458626075</v>
      </c>
      <c r="AA46" s="374">
        <f t="shared" si="160"/>
        <v>1088132.4273274364</v>
      </c>
      <c r="AB46" s="374">
        <f t="shared" si="160"/>
        <v>1063925.2766199426</v>
      </c>
      <c r="AC46" s="374">
        <f t="shared" si="160"/>
        <v>1036310.0538642351</v>
      </c>
      <c r="AD46" s="374">
        <f t="shared" si="160"/>
        <v>1004925.3637604075</v>
      </c>
      <c r="AE46" s="374">
        <f t="shared" si="160"/>
        <v>967952.73664835258</v>
      </c>
      <c r="AF46" s="374">
        <f t="shared" si="160"/>
        <v>928853.44190454367</v>
      </c>
      <c r="AG46" s="374">
        <f t="shared" si="160"/>
        <v>887710.07556800474</v>
      </c>
      <c r="AH46" s="374">
        <f t="shared" si="160"/>
        <v>844432.75043518771</v>
      </c>
      <c r="AI46" s="374">
        <f t="shared" si="160"/>
        <v>798929.36335637956</v>
      </c>
      <c r="AJ46" s="374">
        <f t="shared" si="160"/>
        <v>741105.75187021331</v>
      </c>
      <c r="AK46" s="374">
        <f t="shared" si="160"/>
        <v>670865.88560559857</v>
      </c>
      <c r="AL46" s="374">
        <f t="shared" si="160"/>
        <v>597738.80654682615</v>
      </c>
      <c r="AM46" s="374">
        <f t="shared" si="160"/>
        <v>521571.4585718282</v>
      </c>
      <c r="AN46" s="374">
        <f t="shared" si="160"/>
        <v>402203.88100216136</v>
      </c>
      <c r="AO46" s="374">
        <f t="shared" si="160"/>
        <v>289469.02031467046</v>
      </c>
      <c r="AP46" s="374">
        <f t="shared" ref="AP46:BU46" si="161">SUM(AP36:AP45)</f>
        <v>168978.12181407207</v>
      </c>
      <c r="AQ46" s="374">
        <f t="shared" si="161"/>
        <v>69486.747995316284</v>
      </c>
      <c r="AR46" s="374">
        <f t="shared" si="161"/>
        <v>7.5669959187507629E-10</v>
      </c>
      <c r="AS46" s="374">
        <f t="shared" si="161"/>
        <v>7.5669959187507629E-10</v>
      </c>
      <c r="AT46" s="374">
        <f t="shared" si="161"/>
        <v>7.5669959187507629E-10</v>
      </c>
      <c r="AU46" s="374">
        <f t="shared" si="161"/>
        <v>7.5669959187507629E-10</v>
      </c>
      <c r="AV46" s="374">
        <f t="shared" si="161"/>
        <v>7.5669959187507629E-10</v>
      </c>
      <c r="AW46" s="374">
        <f t="shared" si="161"/>
        <v>7.5669959187507629E-10</v>
      </c>
      <c r="AX46" s="374">
        <f t="shared" si="161"/>
        <v>7.5669959187507629E-10</v>
      </c>
      <c r="AY46" s="374">
        <f t="shared" si="161"/>
        <v>7.5669959187507629E-10</v>
      </c>
      <c r="AZ46" s="374">
        <f t="shared" si="161"/>
        <v>7.5669959187507629E-10</v>
      </c>
      <c r="BA46" s="374">
        <f t="shared" si="161"/>
        <v>7.5669959187507629E-10</v>
      </c>
      <c r="BB46" s="374">
        <f t="shared" si="161"/>
        <v>7.5669959187507629E-10</v>
      </c>
      <c r="BC46" s="374">
        <f t="shared" si="161"/>
        <v>7.5669959187507629E-10</v>
      </c>
      <c r="BD46" s="374">
        <f t="shared" si="161"/>
        <v>7.5669959187507629E-10</v>
      </c>
      <c r="BE46" s="374">
        <f t="shared" si="161"/>
        <v>7.5669959187507629E-10</v>
      </c>
      <c r="BF46" s="374">
        <f t="shared" si="161"/>
        <v>7.5669959187507629E-10</v>
      </c>
      <c r="BG46" s="374">
        <f t="shared" si="161"/>
        <v>7.5669959187507629E-10</v>
      </c>
      <c r="BH46" s="374">
        <f t="shared" si="161"/>
        <v>7.5669959187507629E-10</v>
      </c>
      <c r="BI46" s="374">
        <f t="shared" si="161"/>
        <v>7.5669959187507629E-10</v>
      </c>
      <c r="BJ46" s="374">
        <f t="shared" si="161"/>
        <v>7.5669959187507629E-10</v>
      </c>
      <c r="BK46" s="374">
        <f t="shared" si="161"/>
        <v>7.5669959187507629E-10</v>
      </c>
      <c r="BL46" s="374">
        <f t="shared" si="161"/>
        <v>7.5669959187507629E-10</v>
      </c>
      <c r="BM46" s="374">
        <f t="shared" si="161"/>
        <v>7.5669959187507629E-10</v>
      </c>
      <c r="BN46" s="374">
        <f t="shared" si="161"/>
        <v>7.5669959187507629E-10</v>
      </c>
      <c r="BO46" s="374">
        <f t="shared" si="161"/>
        <v>7.5669959187507629E-10</v>
      </c>
      <c r="BP46" s="374">
        <f t="shared" si="161"/>
        <v>7.5669959187507629E-10</v>
      </c>
      <c r="BQ46" s="374">
        <f t="shared" si="161"/>
        <v>7.5669959187507629E-10</v>
      </c>
      <c r="BR46" s="374">
        <f t="shared" si="161"/>
        <v>7.5669959187507629E-10</v>
      </c>
      <c r="BS46" s="374">
        <f t="shared" si="161"/>
        <v>7.5669959187507629E-10</v>
      </c>
      <c r="BT46" s="374">
        <f t="shared" si="161"/>
        <v>7.5669959187507629E-10</v>
      </c>
      <c r="BU46" s="374">
        <f t="shared" si="161"/>
        <v>7.5669959187507629E-10</v>
      </c>
    </row>
    <row r="47" spans="1:73" ht="13.5" thickBot="1" x14ac:dyDescent="0.25">
      <c r="A47" s="186"/>
      <c r="B47" s="186"/>
      <c r="C47" s="186"/>
      <c r="D47" s="186"/>
      <c r="E47" s="186"/>
      <c r="F47" s="186"/>
      <c r="G47" s="186"/>
      <c r="H47" s="186"/>
      <c r="I47" s="186"/>
      <c r="J47" s="186"/>
      <c r="K47" s="367"/>
      <c r="L47" s="186"/>
      <c r="M47" s="186"/>
      <c r="N47" s="385">
        <f>IF(ROUND(SUM(N37:N45),0)&lt;&gt;0,1,0)</f>
        <v>0</v>
      </c>
      <c r="O47" s="186"/>
      <c r="P47" s="186"/>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row>
    <row r="48" spans="1:73" x14ac:dyDescent="0.2">
      <c r="A48" s="186"/>
      <c r="B48" s="380" t="s">
        <v>159</v>
      </c>
      <c r="C48" s="186"/>
      <c r="D48" s="186"/>
      <c r="E48" s="381"/>
      <c r="F48" s="186"/>
      <c r="G48" s="186"/>
      <c r="H48" s="186"/>
      <c r="I48" s="186"/>
      <c r="J48" s="186"/>
      <c r="K48" s="367"/>
      <c r="L48" s="186"/>
      <c r="M48" s="374"/>
      <c r="N48" s="186"/>
      <c r="O48" s="186"/>
      <c r="P48" s="186"/>
      <c r="Q48" s="186"/>
      <c r="R48" s="186"/>
      <c r="S48" s="186"/>
      <c r="T48" s="186"/>
      <c r="U48" s="382"/>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row>
    <row r="49" spans="1:73" x14ac:dyDescent="0.2">
      <c r="A49" s="186"/>
      <c r="B49" s="186"/>
      <c r="C49" s="186" t="s">
        <v>147</v>
      </c>
      <c r="D49" s="186"/>
      <c r="E49" s="186"/>
      <c r="F49" s="186"/>
      <c r="G49" s="186"/>
      <c r="H49" s="186"/>
      <c r="I49" s="186"/>
      <c r="J49" s="186"/>
      <c r="K49" s="367" t="s">
        <v>63</v>
      </c>
      <c r="L49" s="186"/>
      <c r="M49" s="186"/>
      <c r="N49" s="374"/>
      <c r="O49" s="186"/>
      <c r="P49" s="186"/>
      <c r="Q49" s="374"/>
      <c r="R49" s="374">
        <f t="shared" ref="R49:AJ49" si="162">+Q57</f>
        <v>0</v>
      </c>
      <c r="S49" s="374">
        <f t="shared" si="162"/>
        <v>0</v>
      </c>
      <c r="T49" s="374">
        <f t="shared" si="162"/>
        <v>0</v>
      </c>
      <c r="U49" s="374">
        <f t="shared" si="162"/>
        <v>0</v>
      </c>
      <c r="V49" s="374">
        <f t="shared" si="162"/>
        <v>615000.38086000003</v>
      </c>
      <c r="W49" s="374">
        <f t="shared" si="162"/>
        <v>616079.78397435579</v>
      </c>
      <c r="X49" s="374">
        <f t="shared" si="162"/>
        <v>617632.79516539979</v>
      </c>
      <c r="Y49" s="374">
        <f t="shared" si="162"/>
        <v>619710.51714751939</v>
      </c>
      <c r="Z49" s="374">
        <f t="shared" si="162"/>
        <v>622368.36745941779</v>
      </c>
      <c r="AA49" s="374">
        <f t="shared" si="162"/>
        <v>641968.12248738576</v>
      </c>
      <c r="AB49" s="374">
        <f t="shared" si="162"/>
        <v>663097.04102255683</v>
      </c>
      <c r="AC49" s="374">
        <f t="shared" si="162"/>
        <v>687304.19173005095</v>
      </c>
      <c r="AD49" s="374">
        <f t="shared" si="162"/>
        <v>714919.4144857584</v>
      </c>
      <c r="AE49" s="374">
        <f t="shared" si="162"/>
        <v>746304.10458958591</v>
      </c>
      <c r="AF49" s="374">
        <f t="shared" si="162"/>
        <v>839958.00709337136</v>
      </c>
      <c r="AG49" s="374">
        <f t="shared" si="162"/>
        <v>879057.30183718016</v>
      </c>
      <c r="AH49" s="374">
        <f t="shared" si="162"/>
        <v>920200.6681737192</v>
      </c>
      <c r="AI49" s="374">
        <f t="shared" si="162"/>
        <v>963477.99330653611</v>
      </c>
      <c r="AJ49" s="374">
        <f t="shared" si="162"/>
        <v>1008981.3803853443</v>
      </c>
      <c r="AK49" s="374">
        <f t="shared" ref="AK49" si="163">+AJ57</f>
        <v>1066804.9918715104</v>
      </c>
      <c r="AL49" s="374">
        <f t="shared" ref="AL49" si="164">+AK57</f>
        <v>1137044.8581361251</v>
      </c>
      <c r="AM49" s="374">
        <f t="shared" ref="AM49" si="165">+AL57</f>
        <v>1210171.9371948976</v>
      </c>
      <c r="AN49" s="374">
        <f t="shared" ref="AN49" si="166">+AM57</f>
        <v>1286339.2851698955</v>
      </c>
      <c r="AO49" s="374">
        <f t="shared" ref="AO49" si="167">+AN57</f>
        <v>1405706.8627395625</v>
      </c>
      <c r="AP49" s="374">
        <f t="shared" ref="AP49" si="168">+AO57</f>
        <v>1642498.3723249221</v>
      </c>
      <c r="AQ49" s="374">
        <f t="shared" ref="AQ49" si="169">+AP57</f>
        <v>1762989.2708255206</v>
      </c>
      <c r="AR49" s="374">
        <f t="shared" ref="AR49" si="170">+AQ57</f>
        <v>1862480.6446442762</v>
      </c>
      <c r="AS49" s="374">
        <f t="shared" ref="AS49" si="171">+AR57</f>
        <v>1931967.3926395916</v>
      </c>
      <c r="AT49" s="374">
        <f t="shared" ref="AT49" si="172">+AS57</f>
        <v>1931967.3926395916</v>
      </c>
      <c r="AU49" s="374">
        <f t="shared" ref="AU49" si="173">+AT57</f>
        <v>1931967.3926395916</v>
      </c>
      <c r="AV49" s="374">
        <f t="shared" ref="AV49" si="174">+AU57</f>
        <v>1855080.1425027135</v>
      </c>
      <c r="AW49" s="374">
        <f t="shared" ref="AW49" si="175">+AV57</f>
        <v>1699492.5193602291</v>
      </c>
      <c r="AX49" s="374">
        <f t="shared" ref="AX49" si="176">+AW57</f>
        <v>1535736.5460027643</v>
      </c>
      <c r="AY49" s="374">
        <f t="shared" ref="AY49" si="177">+AX57</f>
        <v>1363383.3840440325</v>
      </c>
      <c r="AZ49" s="374">
        <f t="shared" ref="AZ49" si="178">+AY57</f>
        <v>1297111.4440244799</v>
      </c>
      <c r="BA49" s="374">
        <f t="shared" ref="BA49" si="179">+AZ57</f>
        <v>1087589.2613657641</v>
      </c>
      <c r="BB49" s="374">
        <f t="shared" ref="BB49" si="180">+BA57</f>
        <v>867067.16411746573</v>
      </c>
      <c r="BC49" s="374">
        <f t="shared" ref="BC49" si="181">+BB57</f>
        <v>634967.65676363162</v>
      </c>
      <c r="BD49" s="374">
        <f t="shared" ref="BD49" si="182">+BC57</f>
        <v>390682.92527372134</v>
      </c>
      <c r="BE49" s="374">
        <f t="shared" ref="BE49" si="183">+BD57</f>
        <v>133573.24538059082</v>
      </c>
      <c r="BF49" s="374">
        <f t="shared" ref="BF49" si="184">+BE57</f>
        <v>0</v>
      </c>
      <c r="BG49" s="374">
        <f t="shared" ref="BG49" si="185">+BF57</f>
        <v>0</v>
      </c>
      <c r="BH49" s="374">
        <f t="shared" ref="BH49" si="186">+BG57</f>
        <v>0</v>
      </c>
      <c r="BI49" s="374">
        <f t="shared" ref="BI49" si="187">+BH57</f>
        <v>0</v>
      </c>
      <c r="BJ49" s="374">
        <f t="shared" ref="BJ49" si="188">+BI57</f>
        <v>0</v>
      </c>
      <c r="BK49" s="374">
        <f t="shared" ref="BK49:BU49" si="189">+BJ57</f>
        <v>0</v>
      </c>
      <c r="BL49" s="374">
        <f t="shared" si="189"/>
        <v>0</v>
      </c>
      <c r="BM49" s="374">
        <f t="shared" si="189"/>
        <v>0</v>
      </c>
      <c r="BN49" s="374">
        <f t="shared" si="189"/>
        <v>0</v>
      </c>
      <c r="BO49" s="374">
        <f t="shared" si="189"/>
        <v>0</v>
      </c>
      <c r="BP49" s="374">
        <f t="shared" si="189"/>
        <v>0</v>
      </c>
      <c r="BQ49" s="374">
        <f t="shared" si="189"/>
        <v>0</v>
      </c>
      <c r="BR49" s="374">
        <f t="shared" si="189"/>
        <v>0</v>
      </c>
      <c r="BS49" s="374">
        <f t="shared" si="189"/>
        <v>0</v>
      </c>
      <c r="BT49" s="374">
        <f t="shared" si="189"/>
        <v>0</v>
      </c>
      <c r="BU49" s="374">
        <f t="shared" si="189"/>
        <v>0</v>
      </c>
    </row>
    <row r="50" spans="1:73" s="386" customFormat="1" x14ac:dyDescent="0.2">
      <c r="A50" s="186"/>
      <c r="B50" s="186"/>
      <c r="C50" s="232" t="s">
        <v>355</v>
      </c>
      <c r="D50" s="232"/>
      <c r="E50" s="232"/>
      <c r="F50" s="232"/>
      <c r="G50" s="232"/>
      <c r="H50" s="232"/>
      <c r="I50" s="232"/>
      <c r="J50" s="232"/>
      <c r="K50" s="618" t="s">
        <v>63</v>
      </c>
      <c r="L50" s="232"/>
      <c r="M50" s="257"/>
      <c r="N50" s="257">
        <f t="shared" ref="N50:N56" si="190">SUM(Q50:BU50)</f>
        <v>304072.69300676737</v>
      </c>
      <c r="O50" s="232"/>
      <c r="P50" s="232"/>
      <c r="Q50" s="257"/>
      <c r="R50" s="257">
        <f t="shared" ref="R50:AJ50" si="191">+R183</f>
        <v>0</v>
      </c>
      <c r="S50" s="257">
        <f t="shared" si="191"/>
        <v>0</v>
      </c>
      <c r="T50" s="257">
        <f t="shared" si="191"/>
        <v>0</v>
      </c>
      <c r="U50" s="257">
        <f t="shared" si="191"/>
        <v>0</v>
      </c>
      <c r="V50" s="257">
        <f t="shared" si="191"/>
        <v>0</v>
      </c>
      <c r="W50" s="257">
        <f t="shared" si="191"/>
        <v>0</v>
      </c>
      <c r="X50" s="257">
        <f t="shared" si="191"/>
        <v>0</v>
      </c>
      <c r="Y50" s="257">
        <f t="shared" si="191"/>
        <v>0</v>
      </c>
      <c r="Z50" s="257">
        <f t="shared" si="191"/>
        <v>0</v>
      </c>
      <c r="AA50" s="257">
        <f t="shared" si="191"/>
        <v>0</v>
      </c>
      <c r="AB50" s="257">
        <f t="shared" si="191"/>
        <v>0</v>
      </c>
      <c r="AC50" s="257">
        <f t="shared" si="191"/>
        <v>0</v>
      </c>
      <c r="AD50" s="257">
        <f t="shared" si="191"/>
        <v>0</v>
      </c>
      <c r="AE50" s="257">
        <f t="shared" si="191"/>
        <v>56681.275391730502</v>
      </c>
      <c r="AF50" s="257">
        <f t="shared" si="191"/>
        <v>0</v>
      </c>
      <c r="AG50" s="257">
        <f t="shared" si="191"/>
        <v>0</v>
      </c>
      <c r="AH50" s="257">
        <f t="shared" si="191"/>
        <v>0</v>
      </c>
      <c r="AI50" s="257">
        <f t="shared" si="191"/>
        <v>0</v>
      </c>
      <c r="AJ50" s="257">
        <f t="shared" si="191"/>
        <v>0</v>
      </c>
      <c r="AK50" s="257">
        <f t="shared" ref="AK50:BJ50" si="192">+AK183</f>
        <v>0</v>
      </c>
      <c r="AL50" s="257">
        <f t="shared" si="192"/>
        <v>0</v>
      </c>
      <c r="AM50" s="257">
        <f t="shared" si="192"/>
        <v>0</v>
      </c>
      <c r="AN50" s="257">
        <f t="shared" si="192"/>
        <v>0</v>
      </c>
      <c r="AO50" s="257">
        <f t="shared" si="192"/>
        <v>124056.64889786874</v>
      </c>
      <c r="AP50" s="257">
        <f t="shared" si="192"/>
        <v>0</v>
      </c>
      <c r="AQ50" s="257">
        <f t="shared" si="192"/>
        <v>0</v>
      </c>
      <c r="AR50" s="257">
        <f t="shared" si="192"/>
        <v>0</v>
      </c>
      <c r="AS50" s="257">
        <f t="shared" si="192"/>
        <v>0</v>
      </c>
      <c r="AT50" s="257">
        <f t="shared" si="192"/>
        <v>0</v>
      </c>
      <c r="AU50" s="257">
        <f t="shared" si="192"/>
        <v>0</v>
      </c>
      <c r="AV50" s="257">
        <f t="shared" si="192"/>
        <v>0</v>
      </c>
      <c r="AW50" s="257">
        <f t="shared" si="192"/>
        <v>0</v>
      </c>
      <c r="AX50" s="257">
        <f t="shared" si="192"/>
        <v>0</v>
      </c>
      <c r="AY50" s="257">
        <f t="shared" si="192"/>
        <v>123334.76871716813</v>
      </c>
      <c r="AZ50" s="257">
        <f t="shared" si="192"/>
        <v>0</v>
      </c>
      <c r="BA50" s="257">
        <f t="shared" si="192"/>
        <v>0</v>
      </c>
      <c r="BB50" s="257">
        <f t="shared" si="192"/>
        <v>0</v>
      </c>
      <c r="BC50" s="257">
        <f t="shared" si="192"/>
        <v>0</v>
      </c>
      <c r="BD50" s="257">
        <f t="shared" si="192"/>
        <v>0</v>
      </c>
      <c r="BE50" s="257">
        <f t="shared" si="192"/>
        <v>0</v>
      </c>
      <c r="BF50" s="257">
        <f t="shared" si="192"/>
        <v>0</v>
      </c>
      <c r="BG50" s="257">
        <f t="shared" si="192"/>
        <v>0</v>
      </c>
      <c r="BH50" s="257">
        <f t="shared" si="192"/>
        <v>0</v>
      </c>
      <c r="BI50" s="257">
        <f t="shared" si="192"/>
        <v>0</v>
      </c>
      <c r="BJ50" s="257">
        <f t="shared" si="192"/>
        <v>0</v>
      </c>
      <c r="BK50" s="257">
        <f t="shared" ref="BK50:BU50" si="193">+BK183</f>
        <v>0</v>
      </c>
      <c r="BL50" s="257">
        <f t="shared" si="193"/>
        <v>0</v>
      </c>
      <c r="BM50" s="257">
        <f t="shared" si="193"/>
        <v>0</v>
      </c>
      <c r="BN50" s="257">
        <f t="shared" si="193"/>
        <v>0</v>
      </c>
      <c r="BO50" s="257">
        <f t="shared" si="193"/>
        <v>0</v>
      </c>
      <c r="BP50" s="257">
        <f t="shared" si="193"/>
        <v>0</v>
      </c>
      <c r="BQ50" s="257">
        <f t="shared" si="193"/>
        <v>0</v>
      </c>
      <c r="BR50" s="257">
        <f t="shared" si="193"/>
        <v>0</v>
      </c>
      <c r="BS50" s="257">
        <f t="shared" si="193"/>
        <v>0</v>
      </c>
      <c r="BT50" s="257">
        <f t="shared" si="193"/>
        <v>0</v>
      </c>
      <c r="BU50" s="257">
        <f t="shared" si="193"/>
        <v>0</v>
      </c>
    </row>
    <row r="51" spans="1:73" x14ac:dyDescent="0.2">
      <c r="A51" s="186"/>
      <c r="B51" s="186"/>
      <c r="C51" s="186" t="s">
        <v>347</v>
      </c>
      <c r="D51" s="186"/>
      <c r="E51" s="186"/>
      <c r="F51" s="186"/>
      <c r="G51" s="186"/>
      <c r="H51" s="186"/>
      <c r="I51" s="186"/>
      <c r="J51" s="186"/>
      <c r="K51" s="367" t="s">
        <v>63</v>
      </c>
      <c r="L51" s="186"/>
      <c r="M51" s="374"/>
      <c r="N51" s="374">
        <f t="shared" si="190"/>
        <v>615000.38086000003</v>
      </c>
      <c r="O51" s="186"/>
      <c r="P51" s="186"/>
      <c r="Q51" s="374"/>
      <c r="R51" s="374">
        <f t="shared" ref="R51:AJ51" si="194">+R182</f>
        <v>0</v>
      </c>
      <c r="S51" s="374">
        <f t="shared" si="194"/>
        <v>0</v>
      </c>
      <c r="T51" s="374">
        <f t="shared" si="194"/>
        <v>0</v>
      </c>
      <c r="U51" s="374">
        <f t="shared" si="194"/>
        <v>615000.38086000003</v>
      </c>
      <c r="V51" s="374">
        <f t="shared" si="194"/>
        <v>0</v>
      </c>
      <c r="W51" s="374">
        <f t="shared" si="194"/>
        <v>0</v>
      </c>
      <c r="X51" s="374">
        <f t="shared" si="194"/>
        <v>0</v>
      </c>
      <c r="Y51" s="374">
        <f t="shared" si="194"/>
        <v>0</v>
      </c>
      <c r="Z51" s="374">
        <f t="shared" si="194"/>
        <v>0</v>
      </c>
      <c r="AA51" s="374">
        <f t="shared" si="194"/>
        <v>0</v>
      </c>
      <c r="AB51" s="374">
        <f t="shared" si="194"/>
        <v>0</v>
      </c>
      <c r="AC51" s="374">
        <f t="shared" si="194"/>
        <v>0</v>
      </c>
      <c r="AD51" s="374">
        <f t="shared" si="194"/>
        <v>0</v>
      </c>
      <c r="AE51" s="374">
        <f t="shared" si="194"/>
        <v>0</v>
      </c>
      <c r="AF51" s="374">
        <f t="shared" si="194"/>
        <v>0</v>
      </c>
      <c r="AG51" s="374">
        <f t="shared" si="194"/>
        <v>0</v>
      </c>
      <c r="AH51" s="374">
        <f t="shared" si="194"/>
        <v>0</v>
      </c>
      <c r="AI51" s="374">
        <f t="shared" si="194"/>
        <v>0</v>
      </c>
      <c r="AJ51" s="374">
        <f t="shared" si="194"/>
        <v>0</v>
      </c>
      <c r="AK51" s="374">
        <f t="shared" ref="AK51:BJ51" si="195">+AK182</f>
        <v>0</v>
      </c>
      <c r="AL51" s="374">
        <f t="shared" si="195"/>
        <v>0</v>
      </c>
      <c r="AM51" s="374">
        <f t="shared" si="195"/>
        <v>0</v>
      </c>
      <c r="AN51" s="374">
        <f t="shared" si="195"/>
        <v>0</v>
      </c>
      <c r="AO51" s="374">
        <f t="shared" si="195"/>
        <v>0</v>
      </c>
      <c r="AP51" s="374">
        <f t="shared" si="195"/>
        <v>0</v>
      </c>
      <c r="AQ51" s="374">
        <f t="shared" si="195"/>
        <v>0</v>
      </c>
      <c r="AR51" s="374">
        <f t="shared" si="195"/>
        <v>0</v>
      </c>
      <c r="AS51" s="374">
        <f t="shared" si="195"/>
        <v>0</v>
      </c>
      <c r="AT51" s="374">
        <f t="shared" si="195"/>
        <v>0</v>
      </c>
      <c r="AU51" s="374">
        <f t="shared" si="195"/>
        <v>0</v>
      </c>
      <c r="AV51" s="374">
        <f t="shared" si="195"/>
        <v>0</v>
      </c>
      <c r="AW51" s="374">
        <f t="shared" si="195"/>
        <v>0</v>
      </c>
      <c r="AX51" s="374">
        <f t="shared" si="195"/>
        <v>0</v>
      </c>
      <c r="AY51" s="374">
        <f t="shared" si="195"/>
        <v>0</v>
      </c>
      <c r="AZ51" s="374">
        <f t="shared" si="195"/>
        <v>0</v>
      </c>
      <c r="BA51" s="374">
        <f t="shared" si="195"/>
        <v>0</v>
      </c>
      <c r="BB51" s="374">
        <f t="shared" si="195"/>
        <v>0</v>
      </c>
      <c r="BC51" s="374">
        <f t="shared" si="195"/>
        <v>0</v>
      </c>
      <c r="BD51" s="374">
        <f t="shared" si="195"/>
        <v>0</v>
      </c>
      <c r="BE51" s="374">
        <f t="shared" si="195"/>
        <v>0</v>
      </c>
      <c r="BF51" s="374">
        <f t="shared" si="195"/>
        <v>0</v>
      </c>
      <c r="BG51" s="374">
        <f t="shared" si="195"/>
        <v>0</v>
      </c>
      <c r="BH51" s="374">
        <f t="shared" si="195"/>
        <v>0</v>
      </c>
      <c r="BI51" s="374">
        <f t="shared" si="195"/>
        <v>0</v>
      </c>
      <c r="BJ51" s="374">
        <f t="shared" si="195"/>
        <v>0</v>
      </c>
      <c r="BK51" s="374">
        <f t="shared" ref="BK51:BU51" si="196">+BK182</f>
        <v>0</v>
      </c>
      <c r="BL51" s="374">
        <f t="shared" si="196"/>
        <v>0</v>
      </c>
      <c r="BM51" s="374">
        <f t="shared" si="196"/>
        <v>0</v>
      </c>
      <c r="BN51" s="374">
        <f t="shared" si="196"/>
        <v>0</v>
      </c>
      <c r="BO51" s="374">
        <f t="shared" si="196"/>
        <v>0</v>
      </c>
      <c r="BP51" s="374">
        <f t="shared" si="196"/>
        <v>0</v>
      </c>
      <c r="BQ51" s="374">
        <f t="shared" si="196"/>
        <v>0</v>
      </c>
      <c r="BR51" s="374">
        <f t="shared" si="196"/>
        <v>0</v>
      </c>
      <c r="BS51" s="374">
        <f t="shared" si="196"/>
        <v>0</v>
      </c>
      <c r="BT51" s="374">
        <f t="shared" si="196"/>
        <v>0</v>
      </c>
      <c r="BU51" s="374">
        <f t="shared" si="196"/>
        <v>0</v>
      </c>
    </row>
    <row r="52" spans="1:73" x14ac:dyDescent="0.2">
      <c r="A52" s="186"/>
      <c r="B52" s="186"/>
      <c r="C52" s="186" t="s">
        <v>160</v>
      </c>
      <c r="D52" s="186"/>
      <c r="E52" s="186"/>
      <c r="F52" s="186"/>
      <c r="G52" s="186"/>
      <c r="H52" s="186"/>
      <c r="I52" s="186"/>
      <c r="J52" s="186"/>
      <c r="K52" s="367" t="s">
        <v>63</v>
      </c>
      <c r="L52" s="186"/>
      <c r="M52" s="374"/>
      <c r="N52" s="374">
        <f t="shared" si="190"/>
        <v>288083.82859932934</v>
      </c>
      <c r="O52" s="186"/>
      <c r="P52" s="186"/>
      <c r="Q52" s="374"/>
      <c r="R52" s="374">
        <f t="shared" ref="R52:AJ52" si="197">+R184</f>
        <v>0</v>
      </c>
      <c r="S52" s="374">
        <f t="shared" si="197"/>
        <v>0</v>
      </c>
      <c r="T52" s="374">
        <f t="shared" si="197"/>
        <v>0</v>
      </c>
      <c r="U52" s="374">
        <f t="shared" si="197"/>
        <v>0</v>
      </c>
      <c r="V52" s="374">
        <f t="shared" si="197"/>
        <v>0</v>
      </c>
      <c r="W52" s="374">
        <f t="shared" si="197"/>
        <v>0</v>
      </c>
      <c r="X52" s="374">
        <f t="shared" si="197"/>
        <v>0</v>
      </c>
      <c r="Y52" s="374">
        <f t="shared" si="197"/>
        <v>0</v>
      </c>
      <c r="Z52" s="374">
        <f t="shared" si="197"/>
        <v>0</v>
      </c>
      <c r="AA52" s="374">
        <f t="shared" si="197"/>
        <v>0</v>
      </c>
      <c r="AB52" s="374">
        <f t="shared" si="197"/>
        <v>0</v>
      </c>
      <c r="AC52" s="374">
        <f t="shared" si="197"/>
        <v>0</v>
      </c>
      <c r="AD52" s="374">
        <f t="shared" si="197"/>
        <v>0</v>
      </c>
      <c r="AE52" s="374">
        <f t="shared" si="197"/>
        <v>0</v>
      </c>
      <c r="AF52" s="374">
        <f t="shared" si="197"/>
        <v>0</v>
      </c>
      <c r="AG52" s="374">
        <f t="shared" si="197"/>
        <v>0</v>
      </c>
      <c r="AH52" s="374">
        <f t="shared" si="197"/>
        <v>0</v>
      </c>
      <c r="AI52" s="374">
        <f t="shared" si="197"/>
        <v>0</v>
      </c>
      <c r="AJ52" s="374">
        <f t="shared" si="197"/>
        <v>10000</v>
      </c>
      <c r="AK52" s="374">
        <f t="shared" ref="AK52:BJ52" si="198">+AK184</f>
        <v>20000</v>
      </c>
      <c r="AL52" s="374">
        <f t="shared" si="198"/>
        <v>20000</v>
      </c>
      <c r="AM52" s="374">
        <f t="shared" si="198"/>
        <v>20000</v>
      </c>
      <c r="AN52" s="374">
        <f t="shared" si="198"/>
        <v>60000</v>
      </c>
      <c r="AO52" s="374">
        <f t="shared" si="198"/>
        <v>50000</v>
      </c>
      <c r="AP52" s="374">
        <f t="shared" si="198"/>
        <v>54214.429651297381</v>
      </c>
      <c r="AQ52" s="374">
        <f t="shared" si="198"/>
        <v>36391.154174686817</v>
      </c>
      <c r="AR52" s="374">
        <f t="shared" si="198"/>
        <v>17478.244773345141</v>
      </c>
      <c r="AS52" s="374">
        <f t="shared" si="198"/>
        <v>0</v>
      </c>
      <c r="AT52" s="374">
        <f t="shared" si="198"/>
        <v>0</v>
      </c>
      <c r="AU52" s="374">
        <f t="shared" si="198"/>
        <v>0</v>
      </c>
      <c r="AV52" s="374">
        <f t="shared" si="198"/>
        <v>0</v>
      </c>
      <c r="AW52" s="374">
        <f t="shared" si="198"/>
        <v>0</v>
      </c>
      <c r="AX52" s="374">
        <f t="shared" si="198"/>
        <v>0</v>
      </c>
      <c r="AY52" s="374">
        <f t="shared" si="198"/>
        <v>0</v>
      </c>
      <c r="AZ52" s="374">
        <f t="shared" si="198"/>
        <v>0</v>
      </c>
      <c r="BA52" s="374">
        <f t="shared" si="198"/>
        <v>0</v>
      </c>
      <c r="BB52" s="374">
        <f t="shared" si="198"/>
        <v>0</v>
      </c>
      <c r="BC52" s="374">
        <f t="shared" si="198"/>
        <v>0</v>
      </c>
      <c r="BD52" s="374">
        <f t="shared" si="198"/>
        <v>0</v>
      </c>
      <c r="BE52" s="374">
        <f t="shared" si="198"/>
        <v>0</v>
      </c>
      <c r="BF52" s="374">
        <f t="shared" si="198"/>
        <v>0</v>
      </c>
      <c r="BG52" s="374">
        <f t="shared" si="198"/>
        <v>0</v>
      </c>
      <c r="BH52" s="374">
        <f t="shared" si="198"/>
        <v>0</v>
      </c>
      <c r="BI52" s="374">
        <f t="shared" si="198"/>
        <v>0</v>
      </c>
      <c r="BJ52" s="374">
        <f t="shared" si="198"/>
        <v>0</v>
      </c>
      <c r="BK52" s="374">
        <f t="shared" ref="BK52:BU52" si="199">+BK184</f>
        <v>0</v>
      </c>
      <c r="BL52" s="374">
        <f t="shared" si="199"/>
        <v>0</v>
      </c>
      <c r="BM52" s="374">
        <f t="shared" si="199"/>
        <v>0</v>
      </c>
      <c r="BN52" s="374">
        <f t="shared" si="199"/>
        <v>0</v>
      </c>
      <c r="BO52" s="374">
        <f t="shared" si="199"/>
        <v>0</v>
      </c>
      <c r="BP52" s="374">
        <f t="shared" si="199"/>
        <v>0</v>
      </c>
      <c r="BQ52" s="374">
        <f t="shared" si="199"/>
        <v>0</v>
      </c>
      <c r="BR52" s="374">
        <f t="shared" si="199"/>
        <v>0</v>
      </c>
      <c r="BS52" s="374">
        <f t="shared" si="199"/>
        <v>0</v>
      </c>
      <c r="BT52" s="374">
        <f t="shared" si="199"/>
        <v>0</v>
      </c>
      <c r="BU52" s="374">
        <f t="shared" si="199"/>
        <v>0</v>
      </c>
    </row>
    <row r="53" spans="1:73" x14ac:dyDescent="0.2">
      <c r="A53" s="186"/>
      <c r="B53" s="186"/>
      <c r="C53" s="186" t="s">
        <v>161</v>
      </c>
      <c r="D53" s="186"/>
      <c r="E53" s="186"/>
      <c r="F53" s="186"/>
      <c r="G53" s="186"/>
      <c r="H53" s="186"/>
      <c r="I53" s="186"/>
      <c r="J53" s="186"/>
      <c r="K53" s="367" t="s">
        <v>63</v>
      </c>
      <c r="L53" s="186"/>
      <c r="M53" s="374"/>
      <c r="N53" s="374">
        <f t="shared" si="190"/>
        <v>848145.25889066281</v>
      </c>
      <c r="O53" s="186"/>
      <c r="P53" s="186"/>
      <c r="Q53" s="374"/>
      <c r="R53" s="374">
        <f t="shared" ref="R53:AJ53" si="200">+R185</f>
        <v>0</v>
      </c>
      <c r="S53" s="374">
        <f t="shared" si="200"/>
        <v>0</v>
      </c>
      <c r="T53" s="374">
        <f t="shared" si="200"/>
        <v>0</v>
      </c>
      <c r="U53" s="374">
        <f t="shared" si="200"/>
        <v>0</v>
      </c>
      <c r="V53" s="374">
        <f t="shared" si="200"/>
        <v>1079.4031143557513</v>
      </c>
      <c r="W53" s="374">
        <f t="shared" si="200"/>
        <v>1553.0111910439446</v>
      </c>
      <c r="X53" s="374">
        <f t="shared" si="200"/>
        <v>2077.7219821195758</v>
      </c>
      <c r="Y53" s="374">
        <f t="shared" si="200"/>
        <v>2657.8503118983353</v>
      </c>
      <c r="Z53" s="374">
        <f t="shared" si="200"/>
        <v>19599.755027967913</v>
      </c>
      <c r="AA53" s="374">
        <f t="shared" si="200"/>
        <v>21128.918535171018</v>
      </c>
      <c r="AB53" s="374">
        <f t="shared" si="200"/>
        <v>24207.150707494118</v>
      </c>
      <c r="AC53" s="374">
        <f t="shared" si="200"/>
        <v>27615.222755707393</v>
      </c>
      <c r="AD53" s="374">
        <f t="shared" si="200"/>
        <v>31384.690103827568</v>
      </c>
      <c r="AE53" s="374">
        <f t="shared" si="200"/>
        <v>36972.627112054965</v>
      </c>
      <c r="AF53" s="374">
        <f t="shared" si="200"/>
        <v>39099.294743808801</v>
      </c>
      <c r="AG53" s="374">
        <f t="shared" si="200"/>
        <v>41143.36633653898</v>
      </c>
      <c r="AH53" s="374">
        <f t="shared" si="200"/>
        <v>43277.325132816914</v>
      </c>
      <c r="AI53" s="374">
        <f t="shared" si="200"/>
        <v>45503.387078808155</v>
      </c>
      <c r="AJ53" s="374">
        <f t="shared" si="200"/>
        <v>47823.611486166134</v>
      </c>
      <c r="AK53" s="374">
        <f t="shared" ref="AK53:BJ53" si="201">+AK185</f>
        <v>50239.866264614684</v>
      </c>
      <c r="AL53" s="374">
        <f t="shared" si="201"/>
        <v>53127.079058772419</v>
      </c>
      <c r="AM53" s="374">
        <f t="shared" si="201"/>
        <v>56167.347974997945</v>
      </c>
      <c r="AN53" s="374">
        <f t="shared" si="201"/>
        <v>59367.577569666901</v>
      </c>
      <c r="AO53" s="374">
        <f t="shared" si="201"/>
        <v>62734.860687490902</v>
      </c>
      <c r="AP53" s="374">
        <f t="shared" si="201"/>
        <v>66276.468849300989</v>
      </c>
      <c r="AQ53" s="374">
        <f t="shared" si="201"/>
        <v>63100.219644068973</v>
      </c>
      <c r="AR53" s="374">
        <f t="shared" si="201"/>
        <v>52008.503221970386</v>
      </c>
      <c r="AS53" s="374">
        <f t="shared" si="201"/>
        <v>0</v>
      </c>
      <c r="AT53" s="374">
        <f t="shared" si="201"/>
        <v>0</v>
      </c>
      <c r="AU53" s="374">
        <f t="shared" si="201"/>
        <v>0</v>
      </c>
      <c r="AV53" s="374">
        <f t="shared" si="201"/>
        <v>0</v>
      </c>
      <c r="AW53" s="374">
        <f t="shared" si="201"/>
        <v>0</v>
      </c>
      <c r="AX53" s="374">
        <f t="shared" si="201"/>
        <v>0</v>
      </c>
      <c r="AY53" s="374">
        <f t="shared" si="201"/>
        <v>0</v>
      </c>
      <c r="AZ53" s="374">
        <f t="shared" si="201"/>
        <v>0</v>
      </c>
      <c r="BA53" s="374">
        <f t="shared" si="201"/>
        <v>0</v>
      </c>
      <c r="BB53" s="374">
        <f t="shared" si="201"/>
        <v>0</v>
      </c>
      <c r="BC53" s="374">
        <f t="shared" si="201"/>
        <v>0</v>
      </c>
      <c r="BD53" s="374">
        <f t="shared" si="201"/>
        <v>0</v>
      </c>
      <c r="BE53" s="374">
        <f t="shared" si="201"/>
        <v>0</v>
      </c>
      <c r="BF53" s="374">
        <f t="shared" si="201"/>
        <v>0</v>
      </c>
      <c r="BG53" s="374">
        <f t="shared" si="201"/>
        <v>0</v>
      </c>
      <c r="BH53" s="374">
        <f t="shared" si="201"/>
        <v>0</v>
      </c>
      <c r="BI53" s="374">
        <f t="shared" si="201"/>
        <v>0</v>
      </c>
      <c r="BJ53" s="374">
        <f t="shared" si="201"/>
        <v>0</v>
      </c>
      <c r="BK53" s="374">
        <f t="shared" ref="BK53:BU53" si="202">+BK185</f>
        <v>0</v>
      </c>
      <c r="BL53" s="374">
        <f t="shared" si="202"/>
        <v>0</v>
      </c>
      <c r="BM53" s="374">
        <f t="shared" si="202"/>
        <v>0</v>
      </c>
      <c r="BN53" s="374">
        <f t="shared" si="202"/>
        <v>0</v>
      </c>
      <c r="BO53" s="374">
        <f t="shared" si="202"/>
        <v>0</v>
      </c>
      <c r="BP53" s="374">
        <f t="shared" si="202"/>
        <v>0</v>
      </c>
      <c r="BQ53" s="374">
        <f t="shared" si="202"/>
        <v>0</v>
      </c>
      <c r="BR53" s="374">
        <f t="shared" si="202"/>
        <v>0</v>
      </c>
      <c r="BS53" s="374">
        <f t="shared" si="202"/>
        <v>0</v>
      </c>
      <c r="BT53" s="374">
        <f t="shared" si="202"/>
        <v>0</v>
      </c>
      <c r="BU53" s="374">
        <f t="shared" si="202"/>
        <v>0</v>
      </c>
    </row>
    <row r="54" spans="1:73" x14ac:dyDescent="0.2">
      <c r="A54" s="186"/>
      <c r="B54" s="186"/>
      <c r="C54" s="186" t="s">
        <v>149</v>
      </c>
      <c r="D54" s="186"/>
      <c r="E54" s="186"/>
      <c r="F54" s="186"/>
      <c r="G54" s="186"/>
      <c r="H54" s="186"/>
      <c r="I54" s="186"/>
      <c r="J54" s="186"/>
      <c r="K54" s="367" t="s">
        <v>63</v>
      </c>
      <c r="L54" s="186"/>
      <c r="M54" s="186"/>
      <c r="N54" s="374">
        <f t="shared" si="190"/>
        <v>2099749.0930099306</v>
      </c>
      <c r="O54" s="186"/>
      <c r="P54" s="186"/>
      <c r="Q54" s="374"/>
      <c r="R54" s="374">
        <f t="shared" ref="R54:AJ54" si="203">+R186</f>
        <v>0</v>
      </c>
      <c r="S54" s="374">
        <f t="shared" si="203"/>
        <v>0</v>
      </c>
      <c r="T54" s="374">
        <f t="shared" si="203"/>
        <v>0</v>
      </c>
      <c r="U54" s="374">
        <f t="shared" si="203"/>
        <v>16412.822664201249</v>
      </c>
      <c r="V54" s="374">
        <f t="shared" si="203"/>
        <v>32750.321704929054</v>
      </c>
      <c r="W54" s="374">
        <f t="shared" si="203"/>
        <v>32814.079874015799</v>
      </c>
      <c r="X54" s="374">
        <f t="shared" si="203"/>
        <v>32903.727845076566</v>
      </c>
      <c r="Y54" s="374">
        <f t="shared" si="203"/>
        <v>33112.514542848236</v>
      </c>
      <c r="Z54" s="374">
        <f t="shared" si="203"/>
        <v>33388.969216310979</v>
      </c>
      <c r="AA54" s="374">
        <f t="shared" si="203"/>
        <v>34452.596868116896</v>
      </c>
      <c r="AB54" s="374">
        <f t="shared" si="203"/>
        <v>35618.23452764676</v>
      </c>
      <c r="AC54" s="374">
        <f t="shared" si="203"/>
        <v>37053.351862237934</v>
      </c>
      <c r="AD54" s="374">
        <f t="shared" si="203"/>
        <v>38472.209891977756</v>
      </c>
      <c r="AE54" s="374">
        <f t="shared" si="203"/>
        <v>41725.699627232352</v>
      </c>
      <c r="AF54" s="374">
        <f t="shared" si="203"/>
        <v>45230.570471691077</v>
      </c>
      <c r="AG54" s="374">
        <f t="shared" si="203"/>
        <v>47468.690280112678</v>
      </c>
      <c r="AH54" s="374">
        <f t="shared" si="203"/>
        <v>49557.418721092487</v>
      </c>
      <c r="AI54" s="374">
        <f t="shared" si="203"/>
        <v>51890.657529058088</v>
      </c>
      <c r="AJ54" s="374">
        <f t="shared" si="203"/>
        <v>54476.713723361318</v>
      </c>
      <c r="AK54" s="374">
        <f t="shared" ref="AK54:BJ54" si="204">+AK186</f>
        <v>57877.97965661031</v>
      </c>
      <c r="AL54" s="374">
        <f t="shared" si="204"/>
        <v>61497.073630970634</v>
      </c>
      <c r="AM54" s="374">
        <f t="shared" si="204"/>
        <v>65430.024855249852</v>
      </c>
      <c r="AN54" s="374">
        <f t="shared" si="204"/>
        <v>70059.227370452238</v>
      </c>
      <c r="AO54" s="374">
        <f t="shared" si="204"/>
        <v>79844.671413484713</v>
      </c>
      <c r="AP54" s="374">
        <f t="shared" si="204"/>
        <v>89032.227139738185</v>
      </c>
      <c r="AQ54" s="374">
        <f t="shared" si="204"/>
        <v>95166.410458040307</v>
      </c>
      <c r="AR54" s="374">
        <f t="shared" si="204"/>
        <v>100062.97306975277</v>
      </c>
      <c r="AS54" s="374">
        <f t="shared" si="204"/>
        <v>103118.7595821382</v>
      </c>
      <c r="AT54" s="374">
        <f t="shared" si="204"/>
        <v>102837.01433737825</v>
      </c>
      <c r="AU54" s="374">
        <f t="shared" si="204"/>
        <v>101813.85327435884</v>
      </c>
      <c r="AV54" s="374">
        <f t="shared" si="204"/>
        <v>96673.920204420225</v>
      </c>
      <c r="AW54" s="374">
        <f t="shared" si="204"/>
        <v>88525.294451363545</v>
      </c>
      <c r="AX54" s="374">
        <f t="shared" si="204"/>
        <v>79452.422767415046</v>
      </c>
      <c r="AY54" s="374">
        <f t="shared" si="204"/>
        <v>73331.113084648008</v>
      </c>
      <c r="AZ54" s="374">
        <f t="shared" si="204"/>
        <v>66255.988443943555</v>
      </c>
      <c r="BA54" s="374">
        <f t="shared" si="204"/>
        <v>55107.485090240669</v>
      </c>
      <c r="BB54" s="374">
        <f t="shared" si="204"/>
        <v>43064.646749955486</v>
      </c>
      <c r="BC54" s="374">
        <f t="shared" si="204"/>
        <v>30548.03105816455</v>
      </c>
      <c r="BD54" s="374">
        <f t="shared" si="204"/>
        <v>17374.293042554604</v>
      </c>
      <c r="BE54" s="374">
        <f t="shared" si="204"/>
        <v>5347.1039791417761</v>
      </c>
      <c r="BF54" s="374">
        <f t="shared" si="204"/>
        <v>0</v>
      </c>
      <c r="BG54" s="374">
        <f t="shared" si="204"/>
        <v>0</v>
      </c>
      <c r="BH54" s="374">
        <f t="shared" si="204"/>
        <v>0</v>
      </c>
      <c r="BI54" s="374">
        <f t="shared" si="204"/>
        <v>0</v>
      </c>
      <c r="BJ54" s="374">
        <f t="shared" si="204"/>
        <v>0</v>
      </c>
      <c r="BK54" s="374">
        <f t="shared" ref="BK54:BU54" si="205">+BK186</f>
        <v>0</v>
      </c>
      <c r="BL54" s="374">
        <f t="shared" si="205"/>
        <v>0</v>
      </c>
      <c r="BM54" s="374">
        <f t="shared" si="205"/>
        <v>0</v>
      </c>
      <c r="BN54" s="374">
        <f t="shared" si="205"/>
        <v>0</v>
      </c>
      <c r="BO54" s="374">
        <f t="shared" si="205"/>
        <v>0</v>
      </c>
      <c r="BP54" s="374">
        <f t="shared" si="205"/>
        <v>0</v>
      </c>
      <c r="BQ54" s="374">
        <f t="shared" si="205"/>
        <v>0</v>
      </c>
      <c r="BR54" s="374">
        <f t="shared" si="205"/>
        <v>0</v>
      </c>
      <c r="BS54" s="374">
        <f t="shared" si="205"/>
        <v>0</v>
      </c>
      <c r="BT54" s="374">
        <f t="shared" si="205"/>
        <v>0</v>
      </c>
      <c r="BU54" s="374">
        <f t="shared" si="205"/>
        <v>0</v>
      </c>
    </row>
    <row r="55" spans="1:73" x14ac:dyDescent="0.2">
      <c r="A55" s="186"/>
      <c r="B55" s="186"/>
      <c r="C55" s="186" t="s">
        <v>120</v>
      </c>
      <c r="D55" s="186"/>
      <c r="E55" s="186"/>
      <c r="F55" s="186"/>
      <c r="G55" s="186"/>
      <c r="H55" s="186"/>
      <c r="I55" s="186"/>
      <c r="J55" s="186"/>
      <c r="K55" s="367" t="s">
        <v>63</v>
      </c>
      <c r="L55" s="186"/>
      <c r="M55" s="186"/>
      <c r="N55" s="374">
        <f t="shared" si="190"/>
        <v>-2099749.0930099306</v>
      </c>
      <c r="O55" s="186"/>
      <c r="P55" s="186"/>
      <c r="Q55" s="374"/>
      <c r="R55" s="374">
        <f t="shared" ref="R55:AJ55" si="206">+R187</f>
        <v>0</v>
      </c>
      <c r="S55" s="374">
        <f t="shared" si="206"/>
        <v>0</v>
      </c>
      <c r="T55" s="374">
        <f t="shared" si="206"/>
        <v>0</v>
      </c>
      <c r="U55" s="374">
        <f t="shared" si="206"/>
        <v>-16412.822664201249</v>
      </c>
      <c r="V55" s="374">
        <f t="shared" si="206"/>
        <v>-32750.321704929054</v>
      </c>
      <c r="W55" s="374">
        <f t="shared" si="206"/>
        <v>-32814.079874015799</v>
      </c>
      <c r="X55" s="374">
        <f t="shared" si="206"/>
        <v>-32903.727845076566</v>
      </c>
      <c r="Y55" s="374">
        <f t="shared" si="206"/>
        <v>-33112.514542848236</v>
      </c>
      <c r="Z55" s="374">
        <f t="shared" si="206"/>
        <v>-33388.969216310979</v>
      </c>
      <c r="AA55" s="374">
        <f t="shared" si="206"/>
        <v>-34452.596868116896</v>
      </c>
      <c r="AB55" s="374">
        <f t="shared" si="206"/>
        <v>-35618.23452764676</v>
      </c>
      <c r="AC55" s="374">
        <f t="shared" si="206"/>
        <v>-37053.351862237934</v>
      </c>
      <c r="AD55" s="374">
        <f t="shared" si="206"/>
        <v>-38472.209891977756</v>
      </c>
      <c r="AE55" s="374">
        <f t="shared" si="206"/>
        <v>-41725.699627232352</v>
      </c>
      <c r="AF55" s="374">
        <f t="shared" si="206"/>
        <v>-45230.570471691077</v>
      </c>
      <c r="AG55" s="374">
        <f t="shared" si="206"/>
        <v>-47468.690280112678</v>
      </c>
      <c r="AH55" s="374">
        <f t="shared" si="206"/>
        <v>-49557.418721092487</v>
      </c>
      <c r="AI55" s="374">
        <f t="shared" si="206"/>
        <v>-51890.657529058088</v>
      </c>
      <c r="AJ55" s="374">
        <f t="shared" si="206"/>
        <v>-54476.713723361318</v>
      </c>
      <c r="AK55" s="374">
        <f t="shared" ref="AK55:BJ55" si="207">+AK187</f>
        <v>-57877.97965661031</v>
      </c>
      <c r="AL55" s="374">
        <f t="shared" si="207"/>
        <v>-61497.073630970634</v>
      </c>
      <c r="AM55" s="374">
        <f t="shared" si="207"/>
        <v>-65430.024855249852</v>
      </c>
      <c r="AN55" s="374">
        <f t="shared" si="207"/>
        <v>-70059.227370452238</v>
      </c>
      <c r="AO55" s="374">
        <f t="shared" si="207"/>
        <v>-79844.671413484713</v>
      </c>
      <c r="AP55" s="374">
        <f t="shared" si="207"/>
        <v>-89032.227139738185</v>
      </c>
      <c r="AQ55" s="374">
        <f t="shared" si="207"/>
        <v>-95166.410458040307</v>
      </c>
      <c r="AR55" s="374">
        <f t="shared" si="207"/>
        <v>-100062.97306975277</v>
      </c>
      <c r="AS55" s="374">
        <f t="shared" si="207"/>
        <v>-103118.7595821382</v>
      </c>
      <c r="AT55" s="374">
        <f t="shared" si="207"/>
        <v>-102837.01433737825</v>
      </c>
      <c r="AU55" s="374">
        <f t="shared" si="207"/>
        <v>-101813.85327435884</v>
      </c>
      <c r="AV55" s="374">
        <f t="shared" si="207"/>
        <v>-96673.920204420225</v>
      </c>
      <c r="AW55" s="374">
        <f t="shared" si="207"/>
        <v>-88525.294451363545</v>
      </c>
      <c r="AX55" s="374">
        <f t="shared" si="207"/>
        <v>-79452.422767415046</v>
      </c>
      <c r="AY55" s="374">
        <f t="shared" si="207"/>
        <v>-73331.113084648008</v>
      </c>
      <c r="AZ55" s="374">
        <f t="shared" si="207"/>
        <v>-66255.988443943555</v>
      </c>
      <c r="BA55" s="374">
        <f t="shared" si="207"/>
        <v>-55107.485090240669</v>
      </c>
      <c r="BB55" s="374">
        <f t="shared" si="207"/>
        <v>-43064.646749955486</v>
      </c>
      <c r="BC55" s="374">
        <f t="shared" si="207"/>
        <v>-30548.03105816455</v>
      </c>
      <c r="BD55" s="374">
        <f t="shared" si="207"/>
        <v>-17374.293042554604</v>
      </c>
      <c r="BE55" s="374">
        <f t="shared" si="207"/>
        <v>-5347.1039791417761</v>
      </c>
      <c r="BF55" s="374">
        <f t="shared" si="207"/>
        <v>0</v>
      </c>
      <c r="BG55" s="374">
        <f t="shared" si="207"/>
        <v>0</v>
      </c>
      <c r="BH55" s="374">
        <f t="shared" si="207"/>
        <v>0</v>
      </c>
      <c r="BI55" s="374">
        <f t="shared" si="207"/>
        <v>0</v>
      </c>
      <c r="BJ55" s="374">
        <f t="shared" si="207"/>
        <v>0</v>
      </c>
      <c r="BK55" s="374">
        <f t="shared" ref="BK55:BU55" si="208">+BK187</f>
        <v>0</v>
      </c>
      <c r="BL55" s="374">
        <f t="shared" si="208"/>
        <v>0</v>
      </c>
      <c r="BM55" s="374">
        <f t="shared" si="208"/>
        <v>0</v>
      </c>
      <c r="BN55" s="374">
        <f t="shared" si="208"/>
        <v>0</v>
      </c>
      <c r="BO55" s="374">
        <f t="shared" si="208"/>
        <v>0</v>
      </c>
      <c r="BP55" s="374">
        <f t="shared" si="208"/>
        <v>0</v>
      </c>
      <c r="BQ55" s="374">
        <f t="shared" si="208"/>
        <v>0</v>
      </c>
      <c r="BR55" s="374">
        <f t="shared" si="208"/>
        <v>0</v>
      </c>
      <c r="BS55" s="374">
        <f t="shared" si="208"/>
        <v>0</v>
      </c>
      <c r="BT55" s="374">
        <f t="shared" si="208"/>
        <v>0</v>
      </c>
      <c r="BU55" s="374">
        <f t="shared" si="208"/>
        <v>0</v>
      </c>
    </row>
    <row r="56" spans="1:73" x14ac:dyDescent="0.2">
      <c r="A56" s="186"/>
      <c r="B56" s="186"/>
      <c r="C56" s="383" t="s">
        <v>150</v>
      </c>
      <c r="D56" s="383"/>
      <c r="E56" s="383"/>
      <c r="F56" s="383"/>
      <c r="G56" s="383"/>
      <c r="H56" s="383"/>
      <c r="I56" s="383"/>
      <c r="J56" s="383"/>
      <c r="K56" s="617" t="s">
        <v>63</v>
      </c>
      <c r="L56" s="383"/>
      <c r="M56" s="383"/>
      <c r="N56" s="384">
        <f t="shared" si="190"/>
        <v>-2055302.1613567595</v>
      </c>
      <c r="O56" s="383"/>
      <c r="P56" s="383"/>
      <c r="Q56" s="384"/>
      <c r="R56" s="384">
        <f t="shared" ref="R56:AJ56" si="209">+R188</f>
        <v>0</v>
      </c>
      <c r="S56" s="384">
        <f t="shared" si="209"/>
        <v>0</v>
      </c>
      <c r="T56" s="384">
        <f t="shared" si="209"/>
        <v>0</v>
      </c>
      <c r="U56" s="384">
        <f t="shared" si="209"/>
        <v>0</v>
      </c>
      <c r="V56" s="384">
        <f t="shared" si="209"/>
        <v>0</v>
      </c>
      <c r="W56" s="384">
        <f t="shared" si="209"/>
        <v>0</v>
      </c>
      <c r="X56" s="384">
        <f t="shared" si="209"/>
        <v>0</v>
      </c>
      <c r="Y56" s="384">
        <f t="shared" si="209"/>
        <v>0</v>
      </c>
      <c r="Z56" s="384">
        <f t="shared" si="209"/>
        <v>0</v>
      </c>
      <c r="AA56" s="384">
        <f t="shared" si="209"/>
        <v>0</v>
      </c>
      <c r="AB56" s="384">
        <f t="shared" si="209"/>
        <v>0</v>
      </c>
      <c r="AC56" s="384">
        <f t="shared" si="209"/>
        <v>0</v>
      </c>
      <c r="AD56" s="384">
        <f t="shared" si="209"/>
        <v>0</v>
      </c>
      <c r="AE56" s="384">
        <f t="shared" si="209"/>
        <v>0</v>
      </c>
      <c r="AF56" s="384">
        <f t="shared" si="209"/>
        <v>0</v>
      </c>
      <c r="AG56" s="384">
        <f t="shared" si="209"/>
        <v>0</v>
      </c>
      <c r="AH56" s="384">
        <f t="shared" si="209"/>
        <v>0</v>
      </c>
      <c r="AI56" s="384">
        <f t="shared" si="209"/>
        <v>0</v>
      </c>
      <c r="AJ56" s="384">
        <f t="shared" si="209"/>
        <v>0</v>
      </c>
      <c r="AK56" s="384">
        <f t="shared" ref="AK56:BJ56" si="210">+AK188</f>
        <v>0</v>
      </c>
      <c r="AL56" s="384">
        <f t="shared" si="210"/>
        <v>0</v>
      </c>
      <c r="AM56" s="384">
        <f t="shared" si="210"/>
        <v>0</v>
      </c>
      <c r="AN56" s="384">
        <f t="shared" si="210"/>
        <v>0</v>
      </c>
      <c r="AO56" s="384">
        <f t="shared" si="210"/>
        <v>0</v>
      </c>
      <c r="AP56" s="384">
        <f t="shared" si="210"/>
        <v>0</v>
      </c>
      <c r="AQ56" s="384">
        <f t="shared" si="210"/>
        <v>0</v>
      </c>
      <c r="AR56" s="384">
        <f t="shared" si="210"/>
        <v>0</v>
      </c>
      <c r="AS56" s="384">
        <f t="shared" si="210"/>
        <v>0</v>
      </c>
      <c r="AT56" s="384">
        <f t="shared" si="210"/>
        <v>0</v>
      </c>
      <c r="AU56" s="384">
        <f t="shared" si="210"/>
        <v>-76887.250136877992</v>
      </c>
      <c r="AV56" s="384">
        <f t="shared" si="210"/>
        <v>-155587.62314248437</v>
      </c>
      <c r="AW56" s="384">
        <f t="shared" si="210"/>
        <v>-163755.97335746483</v>
      </c>
      <c r="AX56" s="384">
        <f t="shared" si="210"/>
        <v>-172353.16195873168</v>
      </c>
      <c r="AY56" s="384">
        <f t="shared" si="210"/>
        <v>-189606.70873672073</v>
      </c>
      <c r="AZ56" s="384">
        <f t="shared" si="210"/>
        <v>-209522.18265871578</v>
      </c>
      <c r="BA56" s="384">
        <f t="shared" si="210"/>
        <v>-220522.09724829838</v>
      </c>
      <c r="BB56" s="384">
        <f t="shared" si="210"/>
        <v>-232099.50735383405</v>
      </c>
      <c r="BC56" s="384">
        <f t="shared" si="210"/>
        <v>-244284.73148991028</v>
      </c>
      <c r="BD56" s="384">
        <f t="shared" si="210"/>
        <v>-257109.67989313052</v>
      </c>
      <c r="BE56" s="384">
        <f t="shared" si="210"/>
        <v>-133573.24538059082</v>
      </c>
      <c r="BF56" s="384">
        <f t="shared" si="210"/>
        <v>0</v>
      </c>
      <c r="BG56" s="384">
        <f t="shared" si="210"/>
        <v>0</v>
      </c>
      <c r="BH56" s="384">
        <f t="shared" si="210"/>
        <v>0</v>
      </c>
      <c r="BI56" s="384">
        <f t="shared" si="210"/>
        <v>0</v>
      </c>
      <c r="BJ56" s="384">
        <f t="shared" si="210"/>
        <v>0</v>
      </c>
      <c r="BK56" s="384">
        <f t="shared" ref="BK56:BU56" si="211">+BK188</f>
        <v>0</v>
      </c>
      <c r="BL56" s="384">
        <f t="shared" si="211"/>
        <v>0</v>
      </c>
      <c r="BM56" s="384">
        <f t="shared" si="211"/>
        <v>0</v>
      </c>
      <c r="BN56" s="384">
        <f t="shared" si="211"/>
        <v>0</v>
      </c>
      <c r="BO56" s="384">
        <f t="shared" si="211"/>
        <v>0</v>
      </c>
      <c r="BP56" s="384">
        <f t="shared" si="211"/>
        <v>0</v>
      </c>
      <c r="BQ56" s="384">
        <f t="shared" si="211"/>
        <v>0</v>
      </c>
      <c r="BR56" s="384">
        <f t="shared" si="211"/>
        <v>0</v>
      </c>
      <c r="BS56" s="384">
        <f t="shared" si="211"/>
        <v>0</v>
      </c>
      <c r="BT56" s="384">
        <f t="shared" si="211"/>
        <v>0</v>
      </c>
      <c r="BU56" s="384">
        <f t="shared" si="211"/>
        <v>0</v>
      </c>
    </row>
    <row r="57" spans="1:73" ht="13.5" thickBot="1" x14ac:dyDescent="0.25">
      <c r="A57" s="186"/>
      <c r="B57" s="186"/>
      <c r="C57" s="186" t="s">
        <v>152</v>
      </c>
      <c r="D57" s="186"/>
      <c r="E57" s="186"/>
      <c r="F57" s="186"/>
      <c r="G57" s="186"/>
      <c r="H57" s="186"/>
      <c r="I57" s="186"/>
      <c r="J57" s="186"/>
      <c r="K57" s="367" t="s">
        <v>63</v>
      </c>
      <c r="L57" s="186"/>
      <c r="M57" s="186"/>
      <c r="N57" s="374"/>
      <c r="O57" s="186"/>
      <c r="P57" s="186"/>
      <c r="Q57" s="374"/>
      <c r="R57" s="374">
        <f t="shared" ref="R57:AJ57" si="212">SUM(R49:R56)</f>
        <v>0</v>
      </c>
      <c r="S57" s="374">
        <f t="shared" si="212"/>
        <v>0</v>
      </c>
      <c r="T57" s="374">
        <f t="shared" si="212"/>
        <v>0</v>
      </c>
      <c r="U57" s="374">
        <f t="shared" si="212"/>
        <v>615000.38086000003</v>
      </c>
      <c r="V57" s="374">
        <f t="shared" si="212"/>
        <v>616079.78397435579</v>
      </c>
      <c r="W57" s="374">
        <f t="shared" si="212"/>
        <v>617632.79516539979</v>
      </c>
      <c r="X57" s="374">
        <f t="shared" si="212"/>
        <v>619710.51714751939</v>
      </c>
      <c r="Y57" s="374">
        <f t="shared" si="212"/>
        <v>622368.36745941779</v>
      </c>
      <c r="Z57" s="374">
        <f t="shared" si="212"/>
        <v>641968.12248738576</v>
      </c>
      <c r="AA57" s="374">
        <f t="shared" si="212"/>
        <v>663097.04102255683</v>
      </c>
      <c r="AB57" s="374">
        <f t="shared" si="212"/>
        <v>687304.19173005095</v>
      </c>
      <c r="AC57" s="374">
        <f t="shared" si="212"/>
        <v>714919.4144857584</v>
      </c>
      <c r="AD57" s="374">
        <f t="shared" si="212"/>
        <v>746304.10458958591</v>
      </c>
      <c r="AE57" s="374">
        <f t="shared" si="212"/>
        <v>839958.00709337136</v>
      </c>
      <c r="AF57" s="374">
        <f t="shared" si="212"/>
        <v>879057.30183718016</v>
      </c>
      <c r="AG57" s="374">
        <f t="shared" si="212"/>
        <v>920200.6681737192</v>
      </c>
      <c r="AH57" s="374">
        <f t="shared" si="212"/>
        <v>963477.99330653611</v>
      </c>
      <c r="AI57" s="374">
        <f t="shared" si="212"/>
        <v>1008981.3803853443</v>
      </c>
      <c r="AJ57" s="374">
        <f t="shared" si="212"/>
        <v>1066804.9918715104</v>
      </c>
      <c r="AK57" s="374">
        <f t="shared" ref="AK57:BJ57" si="213">SUM(AK49:AK56)</f>
        <v>1137044.8581361251</v>
      </c>
      <c r="AL57" s="374">
        <f t="shared" si="213"/>
        <v>1210171.9371948976</v>
      </c>
      <c r="AM57" s="374">
        <f t="shared" si="213"/>
        <v>1286339.2851698955</v>
      </c>
      <c r="AN57" s="374">
        <f t="shared" si="213"/>
        <v>1405706.8627395625</v>
      </c>
      <c r="AO57" s="374">
        <f t="shared" si="213"/>
        <v>1642498.3723249221</v>
      </c>
      <c r="AP57" s="374">
        <f t="shared" si="213"/>
        <v>1762989.2708255206</v>
      </c>
      <c r="AQ57" s="374">
        <f t="shared" si="213"/>
        <v>1862480.6446442762</v>
      </c>
      <c r="AR57" s="374">
        <f t="shared" si="213"/>
        <v>1931967.3926395916</v>
      </c>
      <c r="AS57" s="374">
        <f t="shared" si="213"/>
        <v>1931967.3926395916</v>
      </c>
      <c r="AT57" s="374">
        <f t="shared" si="213"/>
        <v>1931967.3926395916</v>
      </c>
      <c r="AU57" s="374">
        <f t="shared" si="213"/>
        <v>1855080.1425027135</v>
      </c>
      <c r="AV57" s="374">
        <f t="shared" si="213"/>
        <v>1699492.5193602291</v>
      </c>
      <c r="AW57" s="374">
        <f t="shared" si="213"/>
        <v>1535736.5460027643</v>
      </c>
      <c r="AX57" s="374">
        <f t="shared" si="213"/>
        <v>1363383.3840440325</v>
      </c>
      <c r="AY57" s="374">
        <f t="shared" si="213"/>
        <v>1297111.4440244799</v>
      </c>
      <c r="AZ57" s="374">
        <f t="shared" si="213"/>
        <v>1087589.2613657641</v>
      </c>
      <c r="BA57" s="374">
        <f t="shared" si="213"/>
        <v>867067.16411746573</v>
      </c>
      <c r="BB57" s="374">
        <f t="shared" si="213"/>
        <v>634967.65676363162</v>
      </c>
      <c r="BC57" s="374">
        <f t="shared" si="213"/>
        <v>390682.92527372134</v>
      </c>
      <c r="BD57" s="374">
        <f t="shared" si="213"/>
        <v>133573.24538059082</v>
      </c>
      <c r="BE57" s="374">
        <f t="shared" si="213"/>
        <v>0</v>
      </c>
      <c r="BF57" s="374">
        <f t="shared" si="213"/>
        <v>0</v>
      </c>
      <c r="BG57" s="374">
        <f t="shared" si="213"/>
        <v>0</v>
      </c>
      <c r="BH57" s="374">
        <f t="shared" si="213"/>
        <v>0</v>
      </c>
      <c r="BI57" s="374">
        <f t="shared" si="213"/>
        <v>0</v>
      </c>
      <c r="BJ57" s="374">
        <f t="shared" si="213"/>
        <v>0</v>
      </c>
      <c r="BK57" s="374">
        <f t="shared" ref="BK57:BU57" si="214">SUM(BK49:BK56)</f>
        <v>0</v>
      </c>
      <c r="BL57" s="374">
        <f t="shared" si="214"/>
        <v>0</v>
      </c>
      <c r="BM57" s="374">
        <f t="shared" si="214"/>
        <v>0</v>
      </c>
      <c r="BN57" s="374">
        <f t="shared" si="214"/>
        <v>0</v>
      </c>
      <c r="BO57" s="374">
        <f t="shared" si="214"/>
        <v>0</v>
      </c>
      <c r="BP57" s="374">
        <f t="shared" si="214"/>
        <v>0</v>
      </c>
      <c r="BQ57" s="374">
        <f t="shared" si="214"/>
        <v>0</v>
      </c>
      <c r="BR57" s="374">
        <f t="shared" si="214"/>
        <v>0</v>
      </c>
      <c r="BS57" s="374">
        <f t="shared" si="214"/>
        <v>0</v>
      </c>
      <c r="BT57" s="374">
        <f t="shared" si="214"/>
        <v>0</v>
      </c>
      <c r="BU57" s="374">
        <f t="shared" si="214"/>
        <v>0</v>
      </c>
    </row>
    <row r="58" spans="1:73" ht="13.5" thickBot="1" x14ac:dyDescent="0.25">
      <c r="A58" s="186"/>
      <c r="B58" s="186"/>
      <c r="C58" s="186"/>
      <c r="D58" s="186"/>
      <c r="E58" s="186"/>
      <c r="F58" s="186"/>
      <c r="G58" s="186"/>
      <c r="H58" s="186"/>
      <c r="I58" s="186"/>
      <c r="J58" s="186"/>
      <c r="K58" s="367"/>
      <c r="L58" s="186"/>
      <c r="M58" s="186"/>
      <c r="N58" s="385">
        <f>IF(ROUND(SUM(N50:N56),0)&lt;&gt;0,1,0)</f>
        <v>0</v>
      </c>
      <c r="O58" s="186"/>
      <c r="P58" s="186"/>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row>
    <row r="59" spans="1:73" x14ac:dyDescent="0.2">
      <c r="A59" s="186"/>
      <c r="B59" s="380" t="s">
        <v>162</v>
      </c>
      <c r="C59" s="186"/>
      <c r="D59" s="186"/>
      <c r="E59" s="186"/>
      <c r="F59" s="186"/>
      <c r="G59" s="186"/>
      <c r="H59" s="186"/>
      <c r="I59" s="186"/>
      <c r="J59" s="186"/>
      <c r="K59" s="367"/>
      <c r="L59" s="186"/>
      <c r="M59" s="186"/>
      <c r="N59" s="374"/>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row>
    <row r="60" spans="1:73" x14ac:dyDescent="0.2">
      <c r="A60" s="186"/>
      <c r="B60" s="186"/>
      <c r="C60" s="186" t="s">
        <v>163</v>
      </c>
      <c r="D60" s="186"/>
      <c r="E60" s="186"/>
      <c r="F60" s="186"/>
      <c r="G60" s="186"/>
      <c r="H60" s="186"/>
      <c r="I60" s="186"/>
      <c r="J60" s="186"/>
      <c r="K60" s="367" t="s">
        <v>63</v>
      </c>
      <c r="L60" s="186"/>
      <c r="M60" s="186"/>
      <c r="N60" s="374">
        <f>SUM(Q60:BU60)</f>
        <v>7399.157934068744</v>
      </c>
      <c r="O60" s="186"/>
      <c r="P60" s="186"/>
      <c r="Q60" s="374"/>
      <c r="R60" s="374">
        <f>+Mac!R34</f>
        <v>0</v>
      </c>
      <c r="S60" s="374">
        <f>+Mac!S34</f>
        <v>0</v>
      </c>
      <c r="T60" s="374">
        <f>+Mac!T34</f>
        <v>0</v>
      </c>
      <c r="U60" s="374">
        <f>+Mac!U34</f>
        <v>0</v>
      </c>
      <c r="V60" s="374">
        <f>+Mac!V34</f>
        <v>214.60361445895464</v>
      </c>
      <c r="W60" s="374">
        <f>+Mac!W34</f>
        <v>204.55801434489464</v>
      </c>
      <c r="X60" s="374">
        <f>+Mac!X34</f>
        <v>191.72799714611077</v>
      </c>
      <c r="Y60" s="374">
        <f>+Mac!Y34</f>
        <v>175.3417843313382</v>
      </c>
      <c r="Z60" s="374">
        <f>+Mac!Z34</f>
        <v>154.41367751348707</v>
      </c>
      <c r="AA60" s="374">
        <f>+Mac!AA34</f>
        <v>127.68476462004948</v>
      </c>
      <c r="AB60" s="374">
        <f>+Mac!AB34</f>
        <v>93.547191131769083</v>
      </c>
      <c r="AC60" s="374">
        <f>+Mac!AC34</f>
        <v>62.209213881913925</v>
      </c>
      <c r="AD60" s="374">
        <f>+Mac!AD34</f>
        <v>33.441240128606935</v>
      </c>
      <c r="AE60" s="374">
        <f>+Mac!AE34</f>
        <v>0</v>
      </c>
      <c r="AF60" s="374">
        <f>+Mac!AF34</f>
        <v>485.52442828237349</v>
      </c>
      <c r="AG60" s="374">
        <f>+Mac!AG34</f>
        <v>463.26960180185034</v>
      </c>
      <c r="AH60" s="374">
        <f>+Mac!AH34</f>
        <v>433.09444834869271</v>
      </c>
      <c r="AI60" s="374">
        <f>+Mac!AI34</f>
        <v>392.18018255028295</v>
      </c>
      <c r="AJ60" s="374">
        <f>+Mac!AJ34</f>
        <v>336.70483431646147</v>
      </c>
      <c r="AK60" s="374">
        <f>+Mac!AK34</f>
        <v>261.48622287107719</v>
      </c>
      <c r="AL60" s="374">
        <f>+Mac!AL34</f>
        <v>159.4978679007825</v>
      </c>
      <c r="AM60" s="374">
        <f>+Mac!AM34</f>
        <v>90.467788475952574</v>
      </c>
      <c r="AN60" s="374">
        <f>+Mac!AN34</f>
        <v>43.745279158234538</v>
      </c>
      <c r="AO60" s="374">
        <f>+Mac!AO34</f>
        <v>0</v>
      </c>
      <c r="AP60" s="374">
        <f>+Mac!AP34</f>
        <v>528.32802467821818</v>
      </c>
      <c r="AQ60" s="374">
        <f>+Mac!AQ34</f>
        <v>513.84065580987499</v>
      </c>
      <c r="AR60" s="374">
        <f>+Mac!AR34</f>
        <v>493.7144174253682</v>
      </c>
      <c r="AS60" s="374">
        <f>+Mac!AS34</f>
        <v>465.75451144167295</v>
      </c>
      <c r="AT60" s="374">
        <f>+Mac!AT34</f>
        <v>426.91186595165027</v>
      </c>
      <c r="AU60" s="374">
        <f>+Mac!AU34</f>
        <v>372.95062911689837</v>
      </c>
      <c r="AV60" s="374">
        <f>+Mac!AV34</f>
        <v>297.9862428347094</v>
      </c>
      <c r="AW60" s="374">
        <f>+Mac!AW34</f>
        <v>224.30083897758612</v>
      </c>
      <c r="AX60" s="374">
        <f>+Mac!AX34</f>
        <v>151.87259656993265</v>
      </c>
      <c r="AY60" s="374">
        <f>+Mac!AY34</f>
        <v>0</v>
      </c>
      <c r="AZ60" s="374">
        <f>+Mac!AZ34</f>
        <v>0</v>
      </c>
      <c r="BA60" s="374">
        <f>+Mac!BA34</f>
        <v>0</v>
      </c>
      <c r="BB60" s="374">
        <f>+Mac!BB34</f>
        <v>0</v>
      </c>
      <c r="BC60" s="374">
        <f>+Mac!BC34</f>
        <v>0</v>
      </c>
      <c r="BD60" s="374">
        <f>+Mac!BD34</f>
        <v>0</v>
      </c>
      <c r="BE60" s="374">
        <f>+Mac!BE34</f>
        <v>0</v>
      </c>
      <c r="BF60" s="374">
        <f>+Mac!BF34</f>
        <v>0</v>
      </c>
      <c r="BG60" s="374">
        <f>+Mac!BG34</f>
        <v>0</v>
      </c>
      <c r="BH60" s="374">
        <f>+Mac!BH34</f>
        <v>0</v>
      </c>
      <c r="BI60" s="374">
        <f>+Mac!BI34</f>
        <v>0</v>
      </c>
      <c r="BJ60" s="374">
        <f>+Mac!BJ34</f>
        <v>0</v>
      </c>
      <c r="BK60" s="374">
        <f>+Mac!BK34</f>
        <v>0</v>
      </c>
      <c r="BL60" s="374">
        <f>+Mac!BL34</f>
        <v>0</v>
      </c>
      <c r="BM60" s="374">
        <f>+Mac!BM34</f>
        <v>0</v>
      </c>
      <c r="BN60" s="374">
        <f>+Mac!BN34</f>
        <v>0</v>
      </c>
      <c r="BO60" s="374">
        <f>+Mac!BO34</f>
        <v>0</v>
      </c>
      <c r="BP60" s="374">
        <f>+Mac!BP34</f>
        <v>0</v>
      </c>
      <c r="BQ60" s="374">
        <f>+Mac!BQ34</f>
        <v>0</v>
      </c>
      <c r="BR60" s="374">
        <f>+Mac!BR34</f>
        <v>0</v>
      </c>
      <c r="BS60" s="374">
        <f>+Mac!BS34</f>
        <v>0</v>
      </c>
      <c r="BT60" s="374">
        <f>+Mac!BT34</f>
        <v>0</v>
      </c>
      <c r="BU60" s="374">
        <f>+Mac!BU34</f>
        <v>0</v>
      </c>
    </row>
    <row r="61" spans="1:73" x14ac:dyDescent="0.2">
      <c r="A61" s="186"/>
      <c r="B61" s="186"/>
      <c r="C61" s="186" t="s">
        <v>164</v>
      </c>
      <c r="D61" s="186"/>
      <c r="E61" s="186"/>
      <c r="F61" s="186"/>
      <c r="G61" s="186"/>
      <c r="H61" s="186"/>
      <c r="I61" s="186"/>
      <c r="J61" s="186"/>
      <c r="K61" s="367" t="s">
        <v>63</v>
      </c>
      <c r="L61" s="186"/>
      <c r="M61" s="186"/>
      <c r="N61" s="374">
        <f>SUM(Q61:BU61)</f>
        <v>70623.29483583344</v>
      </c>
      <c r="O61" s="186"/>
      <c r="P61" s="186"/>
      <c r="Q61" s="374"/>
      <c r="R61" s="374">
        <f>+Mac!R35</f>
        <v>0</v>
      </c>
      <c r="S61" s="374">
        <f>+Mac!S35</f>
        <v>0</v>
      </c>
      <c r="T61" s="374">
        <f>+Mac!T35</f>
        <v>0</v>
      </c>
      <c r="U61" s="374">
        <f>+Mac!U35</f>
        <v>8044.9129312611758</v>
      </c>
      <c r="V61" s="374">
        <f>+Mac!V35</f>
        <v>12.952837372269016</v>
      </c>
      <c r="W61" s="374">
        <f>+Mac!W35</f>
        <v>18.636134292527334</v>
      </c>
      <c r="X61" s="374">
        <f>+Mac!X35</f>
        <v>24.932663785434912</v>
      </c>
      <c r="Y61" s="374">
        <f>+Mac!Y35</f>
        <v>31.894203742780025</v>
      </c>
      <c r="Z61" s="374">
        <f>+Mac!Z35</f>
        <v>235.19706033561496</v>
      </c>
      <c r="AA61" s="374">
        <f>+Mac!AA35</f>
        <v>253.54702242205224</v>
      </c>
      <c r="AB61" s="374">
        <f>+Mac!AB35</f>
        <v>290.48580848992941</v>
      </c>
      <c r="AC61" s="374">
        <f>+Mac!AC35</f>
        <v>331.38267306848871</v>
      </c>
      <c r="AD61" s="374">
        <f>+Mac!AD35</f>
        <v>376.61628124593085</v>
      </c>
      <c r="AE61" s="374">
        <f>+Mac!AE35</f>
        <v>11572.433831291479</v>
      </c>
      <c r="AF61" s="374">
        <f>+Mac!AF35</f>
        <v>469.19153692570563</v>
      </c>
      <c r="AG61" s="374">
        <f>+Mac!AG35</f>
        <v>493.72039603846775</v>
      </c>
      <c r="AH61" s="374">
        <f>+Mac!AH35</f>
        <v>519.32790159380295</v>
      </c>
      <c r="AI61" s="374">
        <f>+Mac!AI35</f>
        <v>546.04064494569786</v>
      </c>
      <c r="AJ61" s="374">
        <f>+Mac!AJ35</f>
        <v>693.88333783399366</v>
      </c>
      <c r="AK61" s="374">
        <f>+Mac!AK35</f>
        <v>842.87839517537623</v>
      </c>
      <c r="AL61" s="374">
        <f>+Mac!AL35</f>
        <v>877.52494870526903</v>
      </c>
      <c r="AM61" s="374">
        <f>+Mac!AM35</f>
        <v>914.00817569997537</v>
      </c>
      <c r="AN61" s="374">
        <f>+Mac!AN35</f>
        <v>1432.4109308360028</v>
      </c>
      <c r="AO61" s="374">
        <f>+Mac!AO35</f>
        <v>21327.071043861026</v>
      </c>
      <c r="AP61" s="374">
        <f>+Mac!AP35</f>
        <v>1445.8907820071804</v>
      </c>
      <c r="AQ61" s="374">
        <f>+Mac!AQ35</f>
        <v>1193.8964858250695</v>
      </c>
      <c r="AR61" s="374">
        <f>+Mac!AR35</f>
        <v>833.84097594378636</v>
      </c>
      <c r="AS61" s="374">
        <f>+Mac!AS35</f>
        <v>0</v>
      </c>
      <c r="AT61" s="374">
        <f>+Mac!AT35</f>
        <v>0</v>
      </c>
      <c r="AU61" s="374">
        <f>+Mac!AU35</f>
        <v>0</v>
      </c>
      <c r="AV61" s="374">
        <f>+Mac!AV35</f>
        <v>0</v>
      </c>
      <c r="AW61" s="374">
        <f>+Mac!AW35</f>
        <v>0</v>
      </c>
      <c r="AX61" s="374">
        <f>+Mac!AX35</f>
        <v>0</v>
      </c>
      <c r="AY61" s="374">
        <f>+Mac!AY35</f>
        <v>17840.617833134409</v>
      </c>
      <c r="AZ61" s="374">
        <f>+Mac!AZ35</f>
        <v>0</v>
      </c>
      <c r="BA61" s="374">
        <f>+Mac!BA35</f>
        <v>0</v>
      </c>
      <c r="BB61" s="374">
        <f>+Mac!BB35</f>
        <v>0</v>
      </c>
      <c r="BC61" s="374">
        <f>+Mac!BC35</f>
        <v>0</v>
      </c>
      <c r="BD61" s="374">
        <f>+Mac!BD35</f>
        <v>0</v>
      </c>
      <c r="BE61" s="374">
        <f>+Mac!BE35</f>
        <v>0</v>
      </c>
      <c r="BF61" s="374">
        <f>+Mac!BF35</f>
        <v>0</v>
      </c>
      <c r="BG61" s="374">
        <f>+Mac!BG35</f>
        <v>0</v>
      </c>
      <c r="BH61" s="374">
        <f>+Mac!BH35</f>
        <v>0</v>
      </c>
      <c r="BI61" s="374">
        <f>+Mac!BI35</f>
        <v>0</v>
      </c>
      <c r="BJ61" s="374">
        <f>+Mac!BJ35</f>
        <v>0</v>
      </c>
      <c r="BK61" s="374">
        <f>+Mac!BK35</f>
        <v>0</v>
      </c>
      <c r="BL61" s="374">
        <f>+Mac!BL35</f>
        <v>0</v>
      </c>
      <c r="BM61" s="374">
        <f>+Mac!BM35</f>
        <v>0</v>
      </c>
      <c r="BN61" s="374">
        <f>+Mac!BN35</f>
        <v>0</v>
      </c>
      <c r="BO61" s="374">
        <f>+Mac!BO35</f>
        <v>0</v>
      </c>
      <c r="BP61" s="374">
        <f>+Mac!BP35</f>
        <v>0</v>
      </c>
      <c r="BQ61" s="374">
        <f>+Mac!BQ35</f>
        <v>0</v>
      </c>
      <c r="BR61" s="374">
        <f>+Mac!BR35</f>
        <v>0</v>
      </c>
      <c r="BS61" s="374">
        <f>+Mac!BS35</f>
        <v>0</v>
      </c>
      <c r="BT61" s="374">
        <f>+Mac!BT35</f>
        <v>0</v>
      </c>
      <c r="BU61" s="374">
        <f>+Mac!BU35</f>
        <v>0</v>
      </c>
    </row>
    <row r="62" spans="1:73" x14ac:dyDescent="0.2">
      <c r="A62" s="186"/>
      <c r="B62" s="186"/>
      <c r="C62" s="186" t="s">
        <v>165</v>
      </c>
      <c r="D62" s="186"/>
      <c r="E62" s="186"/>
      <c r="F62" s="186"/>
      <c r="G62" s="186"/>
      <c r="H62" s="186"/>
      <c r="I62" s="186"/>
      <c r="J62" s="186"/>
      <c r="K62" s="367" t="s">
        <v>63</v>
      </c>
      <c r="L62" s="186"/>
      <c r="M62" s="186"/>
      <c r="N62" s="374">
        <f>SUM(Q62:BU62)</f>
        <v>4177.0064636804736</v>
      </c>
      <c r="O62" s="186"/>
      <c r="P62" s="186"/>
      <c r="Q62" s="374"/>
      <c r="R62" s="374">
        <f t="shared" ref="R62:AO62" si="215" xml:space="preserve">  R122</f>
        <v>0</v>
      </c>
      <c r="S62" s="374">
        <f t="shared" si="215"/>
        <v>0</v>
      </c>
      <c r="T62" s="374">
        <f t="shared" si="215"/>
        <v>125.60294148591835</v>
      </c>
      <c r="U62" s="374">
        <f t="shared" si="215"/>
        <v>128.42900766935151</v>
      </c>
      <c r="V62" s="374">
        <f t="shared" si="215"/>
        <v>131.31866034191191</v>
      </c>
      <c r="W62" s="374">
        <f t="shared" si="215"/>
        <v>134.33898952977586</v>
      </c>
      <c r="X62" s="374">
        <f t="shared" si="215"/>
        <v>137.42878628896068</v>
      </c>
      <c r="Y62" s="374">
        <f t="shared" si="215"/>
        <v>140.58964837360676</v>
      </c>
      <c r="Z62" s="374">
        <f t="shared" si="215"/>
        <v>143.8232102861997</v>
      </c>
      <c r="AA62" s="374">
        <f t="shared" si="215"/>
        <v>147.13114412278227</v>
      </c>
      <c r="AB62" s="374">
        <f t="shared" si="215"/>
        <v>150.51516043760626</v>
      </c>
      <c r="AC62" s="374">
        <f t="shared" si="215"/>
        <v>153.97700912767121</v>
      </c>
      <c r="AD62" s="374">
        <f t="shared" si="215"/>
        <v>157.51848033760763</v>
      </c>
      <c r="AE62" s="374">
        <f t="shared" si="215"/>
        <v>161.14140538537259</v>
      </c>
      <c r="AF62" s="374">
        <f t="shared" si="215"/>
        <v>164.84765770923616</v>
      </c>
      <c r="AG62" s="374">
        <f t="shared" si="215"/>
        <v>168.63915383654856</v>
      </c>
      <c r="AH62" s="374">
        <f t="shared" si="215"/>
        <v>172.51785437478915</v>
      </c>
      <c r="AI62" s="374">
        <f t="shared" si="215"/>
        <v>176.48576502540931</v>
      </c>
      <c r="AJ62" s="374">
        <f t="shared" si="215"/>
        <v>180.54493762099372</v>
      </c>
      <c r="AK62" s="374">
        <f t="shared" si="215"/>
        <v>184.69747118627654</v>
      </c>
      <c r="AL62" s="374">
        <f t="shared" si="215"/>
        <v>188.94551302356089</v>
      </c>
      <c r="AM62" s="374">
        <f t="shared" si="215"/>
        <v>193.29125982310276</v>
      </c>
      <c r="AN62" s="374">
        <f t="shared" si="215"/>
        <v>197.73695879903411</v>
      </c>
      <c r="AO62" s="374">
        <f t="shared" si="215"/>
        <v>202.28490885141187</v>
      </c>
      <c r="AP62" s="374">
        <f t="shared" ref="AP62:BU62" si="216" xml:space="preserve">  AP122</f>
        <v>206.93746175499433</v>
      </c>
      <c r="AQ62" s="374">
        <f t="shared" si="216"/>
        <v>211.69702337535921</v>
      </c>
      <c r="AR62" s="374">
        <f t="shared" si="216"/>
        <v>216.56605491299243</v>
      </c>
      <c r="AS62" s="374">
        <f t="shared" si="216"/>
        <v>0</v>
      </c>
      <c r="AT62" s="374">
        <f t="shared" si="216"/>
        <v>0</v>
      </c>
      <c r="AU62" s="374">
        <f t="shared" si="216"/>
        <v>0</v>
      </c>
      <c r="AV62" s="374">
        <f t="shared" si="216"/>
        <v>0</v>
      </c>
      <c r="AW62" s="374">
        <f t="shared" si="216"/>
        <v>0</v>
      </c>
      <c r="AX62" s="374">
        <f t="shared" si="216"/>
        <v>0</v>
      </c>
      <c r="AY62" s="374">
        <f t="shared" si="216"/>
        <v>0</v>
      </c>
      <c r="AZ62" s="374">
        <f t="shared" si="216"/>
        <v>0</v>
      </c>
      <c r="BA62" s="374">
        <f t="shared" si="216"/>
        <v>0</v>
      </c>
      <c r="BB62" s="374">
        <f t="shared" si="216"/>
        <v>0</v>
      </c>
      <c r="BC62" s="374">
        <f t="shared" si="216"/>
        <v>0</v>
      </c>
      <c r="BD62" s="374">
        <f t="shared" si="216"/>
        <v>0</v>
      </c>
      <c r="BE62" s="374">
        <f t="shared" si="216"/>
        <v>0</v>
      </c>
      <c r="BF62" s="374">
        <f t="shared" si="216"/>
        <v>0</v>
      </c>
      <c r="BG62" s="374">
        <f t="shared" si="216"/>
        <v>0</v>
      </c>
      <c r="BH62" s="374">
        <f t="shared" si="216"/>
        <v>0</v>
      </c>
      <c r="BI62" s="374">
        <f t="shared" si="216"/>
        <v>0</v>
      </c>
      <c r="BJ62" s="374">
        <f t="shared" si="216"/>
        <v>0</v>
      </c>
      <c r="BK62" s="374">
        <f t="shared" si="216"/>
        <v>0</v>
      </c>
      <c r="BL62" s="374">
        <f t="shared" si="216"/>
        <v>0</v>
      </c>
      <c r="BM62" s="374">
        <f t="shared" si="216"/>
        <v>0</v>
      </c>
      <c r="BN62" s="374">
        <f t="shared" si="216"/>
        <v>0</v>
      </c>
      <c r="BO62" s="374">
        <f t="shared" si="216"/>
        <v>0</v>
      </c>
      <c r="BP62" s="374">
        <f t="shared" si="216"/>
        <v>0</v>
      </c>
      <c r="BQ62" s="374">
        <f t="shared" si="216"/>
        <v>0</v>
      </c>
      <c r="BR62" s="374">
        <f t="shared" si="216"/>
        <v>0</v>
      </c>
      <c r="BS62" s="374">
        <f t="shared" si="216"/>
        <v>0</v>
      </c>
      <c r="BT62" s="374">
        <f t="shared" si="216"/>
        <v>0</v>
      </c>
      <c r="BU62" s="374">
        <f t="shared" si="216"/>
        <v>0</v>
      </c>
    </row>
    <row r="63" spans="1:73" x14ac:dyDescent="0.2">
      <c r="A63" s="186"/>
      <c r="B63" s="186"/>
      <c r="C63" s="186" t="s">
        <v>21</v>
      </c>
      <c r="D63" s="186"/>
      <c r="E63" s="186"/>
      <c r="F63" s="186"/>
      <c r="G63" s="186"/>
      <c r="H63" s="186"/>
      <c r="I63" s="186"/>
      <c r="J63" s="186"/>
      <c r="K63" s="367" t="s">
        <v>63</v>
      </c>
      <c r="L63" s="186"/>
      <c r="M63" s="186"/>
      <c r="N63" s="374">
        <f>SUM(Q63:BU63)</f>
        <v>3576.3836824642608</v>
      </c>
      <c r="O63" s="186"/>
      <c r="P63" s="186"/>
      <c r="Q63" s="374"/>
      <c r="R63" s="374">
        <f t="shared" ref="R63:AO63" si="217">R225</f>
        <v>0</v>
      </c>
      <c r="S63" s="374">
        <f t="shared" si="217"/>
        <v>0</v>
      </c>
      <c r="T63" s="374">
        <f t="shared" si="217"/>
        <v>59.973054530377503</v>
      </c>
      <c r="U63" s="374">
        <f t="shared" si="217"/>
        <v>61.322448257310988</v>
      </c>
      <c r="V63" s="374">
        <f t="shared" si="217"/>
        <v>62.702203343100479</v>
      </c>
      <c r="W63" s="374">
        <f t="shared" si="217"/>
        <v>64.144354019991795</v>
      </c>
      <c r="X63" s="374">
        <f t="shared" si="217"/>
        <v>65.619674162451588</v>
      </c>
      <c r="Y63" s="374">
        <f t="shared" si="217"/>
        <v>67.128926668187972</v>
      </c>
      <c r="Z63" s="374">
        <f t="shared" si="217"/>
        <v>68.67289198155629</v>
      </c>
      <c r="AA63" s="374">
        <f t="shared" si="217"/>
        <v>70.252368497132068</v>
      </c>
      <c r="AB63" s="374">
        <f t="shared" si="217"/>
        <v>71.8681729725661</v>
      </c>
      <c r="AC63" s="374">
        <f t="shared" si="217"/>
        <v>73.52114095093512</v>
      </c>
      <c r="AD63" s="374">
        <f t="shared" si="217"/>
        <v>75.212127192806619</v>
      </c>
      <c r="AE63" s="374">
        <f t="shared" si="217"/>
        <v>76.942006118241167</v>
      </c>
      <c r="AF63" s="374">
        <f t="shared" si="217"/>
        <v>78.711672258960704</v>
      </c>
      <c r="AG63" s="374">
        <f t="shared" si="217"/>
        <v>80.522040720916806</v>
      </c>
      <c r="AH63" s="374">
        <f t="shared" si="217"/>
        <v>82.374047657497869</v>
      </c>
      <c r="AI63" s="374">
        <f t="shared" si="217"/>
        <v>84.268650753620321</v>
      </c>
      <c r="AJ63" s="374">
        <f t="shared" si="217"/>
        <v>86.206829720953579</v>
      </c>
      <c r="AK63" s="374">
        <f t="shared" si="217"/>
        <v>88.189586804535509</v>
      </c>
      <c r="AL63" s="374">
        <f t="shared" si="217"/>
        <v>90.217947301039814</v>
      </c>
      <c r="AM63" s="374">
        <f t="shared" si="217"/>
        <v>92.29296008896371</v>
      </c>
      <c r="AN63" s="374">
        <f t="shared" si="217"/>
        <v>94.415698171009879</v>
      </c>
      <c r="AO63" s="374">
        <f t="shared" si="217"/>
        <v>96.587259228943083</v>
      </c>
      <c r="AP63" s="374">
        <f t="shared" ref="AP63:BU63" si="218">AP225</f>
        <v>98.808766191208775</v>
      </c>
      <c r="AQ63" s="374">
        <f t="shared" si="218"/>
        <v>101.08136781360658</v>
      </c>
      <c r="AR63" s="374">
        <f t="shared" si="218"/>
        <v>103.40623927331951</v>
      </c>
      <c r="AS63" s="374">
        <f t="shared" si="218"/>
        <v>105.78458277660584</v>
      </c>
      <c r="AT63" s="374">
        <f t="shared" si="218"/>
        <v>108.21762818046778</v>
      </c>
      <c r="AU63" s="374">
        <f t="shared" si="218"/>
        <v>110.70663362861852</v>
      </c>
      <c r="AV63" s="374">
        <f t="shared" si="218"/>
        <v>113.25288620207674</v>
      </c>
      <c r="AW63" s="374">
        <f t="shared" si="218"/>
        <v>115.85770258472449</v>
      </c>
      <c r="AX63" s="374">
        <f t="shared" si="218"/>
        <v>118.52242974417315</v>
      </c>
      <c r="AY63" s="374">
        <f t="shared" si="218"/>
        <v>121.24844562828912</v>
      </c>
      <c r="AZ63" s="374">
        <f t="shared" si="218"/>
        <v>124.03715987773975</v>
      </c>
      <c r="BA63" s="374">
        <f t="shared" si="218"/>
        <v>126.89001455492776</v>
      </c>
      <c r="BB63" s="374">
        <f t="shared" si="218"/>
        <v>129.8084848896911</v>
      </c>
      <c r="BC63" s="374">
        <f t="shared" si="218"/>
        <v>132.79408004215398</v>
      </c>
      <c r="BD63" s="374">
        <f t="shared" si="218"/>
        <v>135.84834388312353</v>
      </c>
      <c r="BE63" s="374">
        <f t="shared" si="218"/>
        <v>138.97285579243535</v>
      </c>
      <c r="BF63" s="374">
        <f t="shared" si="218"/>
        <v>0</v>
      </c>
      <c r="BG63" s="374">
        <f t="shared" si="218"/>
        <v>0</v>
      </c>
      <c r="BH63" s="374">
        <f t="shared" si="218"/>
        <v>0</v>
      </c>
      <c r="BI63" s="374">
        <f t="shared" si="218"/>
        <v>0</v>
      </c>
      <c r="BJ63" s="374">
        <f t="shared" si="218"/>
        <v>0</v>
      </c>
      <c r="BK63" s="374">
        <f t="shared" si="218"/>
        <v>0</v>
      </c>
      <c r="BL63" s="374">
        <f t="shared" si="218"/>
        <v>0</v>
      </c>
      <c r="BM63" s="374">
        <f t="shared" si="218"/>
        <v>0</v>
      </c>
      <c r="BN63" s="374">
        <f t="shared" si="218"/>
        <v>0</v>
      </c>
      <c r="BO63" s="374">
        <f t="shared" si="218"/>
        <v>0</v>
      </c>
      <c r="BP63" s="374">
        <f t="shared" si="218"/>
        <v>0</v>
      </c>
      <c r="BQ63" s="374">
        <f t="shared" si="218"/>
        <v>0</v>
      </c>
      <c r="BR63" s="374">
        <f t="shared" si="218"/>
        <v>0</v>
      </c>
      <c r="BS63" s="374">
        <f t="shared" si="218"/>
        <v>0</v>
      </c>
      <c r="BT63" s="374">
        <f t="shared" si="218"/>
        <v>0</v>
      </c>
      <c r="BU63" s="374">
        <f t="shared" si="218"/>
        <v>0</v>
      </c>
    </row>
    <row r="64" spans="1:73" x14ac:dyDescent="0.2">
      <c r="A64" s="186"/>
      <c r="B64" s="186"/>
      <c r="C64" s="186"/>
      <c r="D64" s="186"/>
      <c r="E64" s="186"/>
      <c r="F64" s="186"/>
      <c r="G64" s="186"/>
      <c r="H64" s="186"/>
      <c r="I64" s="186"/>
      <c r="J64" s="186"/>
      <c r="K64" s="367"/>
      <c r="L64" s="186"/>
      <c r="M64" s="186"/>
      <c r="N64" s="374"/>
      <c r="O64" s="186"/>
      <c r="P64" s="186"/>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row>
    <row r="65" spans="1:125" x14ac:dyDescent="0.2">
      <c r="A65" s="186"/>
      <c r="B65" s="380" t="s">
        <v>427</v>
      </c>
      <c r="C65" s="186"/>
      <c r="D65" s="186"/>
      <c r="E65" s="381"/>
      <c r="F65" s="186"/>
      <c r="G65" s="186"/>
      <c r="H65" s="186"/>
      <c r="I65" s="186"/>
      <c r="J65" s="186"/>
      <c r="K65" s="367"/>
      <c r="L65" s="186"/>
      <c r="M65" s="186"/>
      <c r="N65" s="374"/>
      <c r="O65" s="186"/>
      <c r="P65" s="186"/>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4"/>
      <c r="AZ65" s="374"/>
      <c r="BA65" s="374"/>
      <c r="BB65" s="374"/>
      <c r="BC65" s="374"/>
      <c r="BD65" s="374"/>
      <c r="BE65" s="374"/>
      <c r="BF65" s="374"/>
      <c r="BG65" s="374"/>
      <c r="BH65" s="374"/>
      <c r="BI65" s="374"/>
      <c r="BJ65" s="374"/>
      <c r="BK65" s="374"/>
      <c r="BL65" s="374"/>
      <c r="BM65" s="374"/>
      <c r="BN65" s="374"/>
      <c r="BO65" s="374"/>
      <c r="BP65" s="374"/>
      <c r="BQ65" s="374"/>
      <c r="BR65" s="374"/>
      <c r="BS65" s="374"/>
      <c r="BT65" s="374"/>
      <c r="BU65" s="374"/>
    </row>
    <row r="66" spans="1:125" x14ac:dyDescent="0.2">
      <c r="A66" s="186"/>
      <c r="B66" s="186"/>
      <c r="C66" s="186"/>
      <c r="D66" s="186"/>
      <c r="E66" s="186"/>
      <c r="F66" s="186"/>
      <c r="G66" s="186"/>
      <c r="H66" s="186"/>
      <c r="I66" s="186"/>
      <c r="J66" s="186"/>
      <c r="K66" s="367"/>
      <c r="L66" s="186"/>
      <c r="M66" s="186"/>
      <c r="N66" s="374"/>
      <c r="O66" s="186"/>
      <c r="P66" s="186"/>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4"/>
      <c r="AZ66" s="374"/>
      <c r="BA66" s="374"/>
      <c r="BB66" s="374"/>
      <c r="BC66" s="374"/>
      <c r="BD66" s="374"/>
      <c r="BE66" s="374"/>
      <c r="BF66" s="374"/>
      <c r="BG66" s="374"/>
      <c r="BH66" s="374"/>
      <c r="BI66" s="374"/>
      <c r="BJ66" s="374"/>
      <c r="BK66" s="374"/>
      <c r="BL66" s="374"/>
      <c r="BM66" s="374"/>
      <c r="BN66" s="374"/>
      <c r="BO66" s="374"/>
      <c r="BP66" s="374"/>
      <c r="BQ66" s="374"/>
      <c r="BR66" s="374"/>
      <c r="BS66" s="374"/>
      <c r="BT66" s="374"/>
      <c r="BU66" s="374"/>
    </row>
    <row r="67" spans="1:125" x14ac:dyDescent="0.2">
      <c r="A67" s="186"/>
      <c r="B67" s="186"/>
      <c r="C67" s="387" t="s">
        <v>272</v>
      </c>
      <c r="D67" s="186"/>
      <c r="E67" s="186"/>
      <c r="F67" s="186"/>
      <c r="G67" s="186"/>
      <c r="H67" s="186"/>
      <c r="I67" s="186"/>
      <c r="J67" s="186"/>
      <c r="K67" s="367"/>
      <c r="L67" s="186"/>
      <c r="M67" s="186"/>
      <c r="N67" s="374"/>
      <c r="O67" s="374"/>
      <c r="P67" s="374"/>
      <c r="Q67" s="374"/>
      <c r="R67" s="374">
        <f t="shared" ref="R67:AO67" si="219">R251</f>
        <v>20000</v>
      </c>
      <c r="S67" s="374">
        <f t="shared" si="219"/>
        <v>20000</v>
      </c>
      <c r="T67" s="374">
        <f t="shared" si="219"/>
        <v>20000</v>
      </c>
      <c r="U67" s="374">
        <f t="shared" si="219"/>
        <v>9878.1060939583367</v>
      </c>
      <c r="V67" s="374">
        <f t="shared" si="219"/>
        <v>12616.097558921861</v>
      </c>
      <c r="W67" s="374">
        <f t="shared" si="219"/>
        <v>15653.182921797337</v>
      </c>
      <c r="X67" s="374">
        <f t="shared" si="219"/>
        <v>18496.88491650908</v>
      </c>
      <c r="Y67" s="374">
        <f t="shared" si="219"/>
        <v>20565.408951782316</v>
      </c>
      <c r="Z67" s="374">
        <f t="shared" si="219"/>
        <v>21159.016610952393</v>
      </c>
      <c r="AA67" s="374">
        <f t="shared" si="219"/>
        <v>19423.781875152086</v>
      </c>
      <c r="AB67" s="374">
        <f t="shared" si="219"/>
        <v>18196.305968984969</v>
      </c>
      <c r="AC67" s="374">
        <f t="shared" si="219"/>
        <v>18052.281591187533</v>
      </c>
      <c r="AD67" s="374">
        <f t="shared" si="219"/>
        <v>19739.893757320926</v>
      </c>
      <c r="AE67" s="374">
        <f t="shared" si="219"/>
        <v>24243.865008533932</v>
      </c>
      <c r="AF67" s="374">
        <f t="shared" si="219"/>
        <v>32872.075977334389</v>
      </c>
      <c r="AG67" s="374">
        <f t="shared" si="219"/>
        <v>41973.934033036086</v>
      </c>
      <c r="AH67" s="374">
        <f t="shared" si="219"/>
        <v>49094.509709044716</v>
      </c>
      <c r="AI67" s="374">
        <f t="shared" si="219"/>
        <v>51752.984463308487</v>
      </c>
      <c r="AJ67" s="374">
        <f t="shared" si="219"/>
        <v>47159.463581367825</v>
      </c>
      <c r="AK67" s="374">
        <f t="shared" si="219"/>
        <v>31919.541379036604</v>
      </c>
      <c r="AL67" s="374">
        <f t="shared" si="219"/>
        <v>21991.531697785067</v>
      </c>
      <c r="AM67" s="374">
        <f t="shared" si="219"/>
        <v>16325.518905281609</v>
      </c>
      <c r="AN67" s="374">
        <f t="shared" si="219"/>
        <v>14470.359891956416</v>
      </c>
      <c r="AO67" s="374">
        <f t="shared" si="219"/>
        <v>16481.184737764808</v>
      </c>
      <c r="AP67" s="374">
        <f t="shared" ref="AP67:BU67" si="220">AP251</f>
        <v>22896.100451764207</v>
      </c>
      <c r="AQ67" s="374">
        <f t="shared" si="220"/>
        <v>30665.730209618927</v>
      </c>
      <c r="AR67" s="374">
        <f t="shared" si="220"/>
        <v>38813.995251982633</v>
      </c>
      <c r="AS67" s="374">
        <f t="shared" si="220"/>
        <v>46010.550278753377</v>
      </c>
      <c r="AT67" s="374">
        <f t="shared" si="220"/>
        <v>50432.455875650994</v>
      </c>
      <c r="AU67" s="374">
        <f t="shared" si="220"/>
        <v>49572.017634016469</v>
      </c>
      <c r="AV67" s="374">
        <f t="shared" si="220"/>
        <v>49078.557792993728</v>
      </c>
      <c r="AW67" s="374">
        <f t="shared" si="220"/>
        <v>49457.653113859822</v>
      </c>
      <c r="AX67" s="374">
        <f t="shared" si="220"/>
        <v>51267.429626476769</v>
      </c>
      <c r="AY67" s="374">
        <f t="shared" si="220"/>
        <v>55124.977731993538</v>
      </c>
      <c r="AZ67" s="374">
        <f t="shared" si="220"/>
        <v>61713.531747568784</v>
      </c>
      <c r="BA67" s="374">
        <f t="shared" si="220"/>
        <v>69167.390896627199</v>
      </c>
      <c r="BB67" s="374">
        <f t="shared" si="220"/>
        <v>77704.401350689863</v>
      </c>
      <c r="BC67" s="374">
        <f t="shared" si="220"/>
        <v>87584.085926721658</v>
      </c>
      <c r="BD67" s="374">
        <f t="shared" si="220"/>
        <v>99114.762919822184</v>
      </c>
      <c r="BE67" s="374">
        <f t="shared" si="220"/>
        <v>0</v>
      </c>
      <c r="BF67" s="374">
        <f t="shared" si="220"/>
        <v>0</v>
      </c>
      <c r="BG67" s="374">
        <f t="shared" si="220"/>
        <v>0</v>
      </c>
      <c r="BH67" s="374">
        <f t="shared" si="220"/>
        <v>0</v>
      </c>
      <c r="BI67" s="374">
        <f t="shared" si="220"/>
        <v>0</v>
      </c>
      <c r="BJ67" s="374">
        <f t="shared" si="220"/>
        <v>0</v>
      </c>
      <c r="BK67" s="374">
        <f t="shared" si="220"/>
        <v>0</v>
      </c>
      <c r="BL67" s="374">
        <f t="shared" si="220"/>
        <v>0</v>
      </c>
      <c r="BM67" s="374">
        <f t="shared" si="220"/>
        <v>0</v>
      </c>
      <c r="BN67" s="374">
        <f t="shared" si="220"/>
        <v>0</v>
      </c>
      <c r="BO67" s="374">
        <f t="shared" si="220"/>
        <v>0</v>
      </c>
      <c r="BP67" s="374">
        <f t="shared" si="220"/>
        <v>0</v>
      </c>
      <c r="BQ67" s="374">
        <f t="shared" si="220"/>
        <v>0</v>
      </c>
      <c r="BR67" s="374">
        <f t="shared" si="220"/>
        <v>0</v>
      </c>
      <c r="BS67" s="374">
        <f t="shared" si="220"/>
        <v>0</v>
      </c>
      <c r="BT67" s="374">
        <f t="shared" si="220"/>
        <v>0</v>
      </c>
      <c r="BU67" s="374">
        <f t="shared" si="220"/>
        <v>0</v>
      </c>
    </row>
    <row r="68" spans="1:125" x14ac:dyDescent="0.2">
      <c r="A68" s="186"/>
      <c r="B68" s="186"/>
      <c r="C68" s="387" t="s">
        <v>234</v>
      </c>
      <c r="D68" s="186"/>
      <c r="E68" s="186"/>
      <c r="F68" s="186"/>
      <c r="G68" s="186"/>
      <c r="H68" s="186"/>
      <c r="I68" s="186"/>
      <c r="J68" s="186"/>
      <c r="K68" s="367"/>
      <c r="L68" s="186"/>
      <c r="M68" s="186"/>
      <c r="N68" s="374"/>
      <c r="O68" s="374"/>
      <c r="P68" s="374"/>
      <c r="Q68" s="374"/>
      <c r="R68" s="374">
        <f t="shared" ref="R68:AO68" si="221">+R277</f>
        <v>61500</v>
      </c>
      <c r="S68" s="374">
        <f t="shared" si="221"/>
        <v>61500</v>
      </c>
      <c r="T68" s="374">
        <f t="shared" si="221"/>
        <v>61500</v>
      </c>
      <c r="U68" s="374">
        <f t="shared" si="221"/>
        <v>39769.130469647171</v>
      </c>
      <c r="V68" s="374">
        <f t="shared" si="221"/>
        <v>43742.437508790208</v>
      </c>
      <c r="W68" s="374">
        <f t="shared" si="221"/>
        <v>45929.219222449974</v>
      </c>
      <c r="X68" s="374">
        <f t="shared" si="221"/>
        <v>46333.374053113141</v>
      </c>
      <c r="Y68" s="374">
        <f t="shared" si="221"/>
        <v>46920.846023495702</v>
      </c>
      <c r="Z68" s="374">
        <f t="shared" si="221"/>
        <v>48359.600324604813</v>
      </c>
      <c r="AA68" s="374">
        <f t="shared" si="221"/>
        <v>49981.409461011019</v>
      </c>
      <c r="AB68" s="374">
        <f t="shared" si="221"/>
        <v>51784.800923033494</v>
      </c>
      <c r="AC68" s="374">
        <f t="shared" si="221"/>
        <v>53590.79935374346</v>
      </c>
      <c r="AD68" s="374">
        <f t="shared" si="221"/>
        <v>55695.913847119249</v>
      </c>
      <c r="AE68" s="374">
        <f t="shared" si="221"/>
        <v>58041.868639372362</v>
      </c>
      <c r="AF68" s="374">
        <f t="shared" si="221"/>
        <v>60563.467618229792</v>
      </c>
      <c r="AG68" s="374">
        <f t="shared" si="221"/>
        <v>63100.784660665151</v>
      </c>
      <c r="AH68" s="374">
        <f t="shared" si="221"/>
        <v>66018.801758976086</v>
      </c>
      <c r="AI68" s="374">
        <f t="shared" si="221"/>
        <v>69415.056481261141</v>
      </c>
      <c r="AJ68" s="374">
        <f t="shared" si="221"/>
        <v>73777.965910671934</v>
      </c>
      <c r="AK68" s="374">
        <f t="shared" si="221"/>
        <v>78539.241702383806</v>
      </c>
      <c r="AL68" s="374">
        <f t="shared" si="221"/>
        <v>83199.516004699966</v>
      </c>
      <c r="AM68" s="374">
        <f t="shared" si="221"/>
        <v>88303.629788663573</v>
      </c>
      <c r="AN68" s="374">
        <f t="shared" si="221"/>
        <v>89001.438474087801</v>
      </c>
      <c r="AO68" s="374">
        <f t="shared" si="221"/>
        <v>116327.44459041808</v>
      </c>
      <c r="AP68" s="374">
        <f t="shared" ref="AP68:BU68" si="222">+AP277</f>
        <v>113758.63942741184</v>
      </c>
      <c r="AQ68" s="374">
        <f t="shared" si="222"/>
        <v>109488.60843905996</v>
      </c>
      <c r="AR68" s="374">
        <f t="shared" si="222"/>
        <v>104207.95531981395</v>
      </c>
      <c r="AS68" s="374">
        <f t="shared" si="222"/>
        <v>104485.62767496044</v>
      </c>
      <c r="AT68" s="374">
        <f t="shared" si="222"/>
        <v>181126.87456639955</v>
      </c>
      <c r="AU68" s="374">
        <f t="shared" si="222"/>
        <v>255667.02541093878</v>
      </c>
      <c r="AV68" s="374">
        <f t="shared" si="222"/>
        <v>256649.74573748122</v>
      </c>
      <c r="AW68" s="374">
        <f t="shared" si="222"/>
        <v>257120.6286538869</v>
      </c>
      <c r="AX68" s="374">
        <f t="shared" si="222"/>
        <v>265830.93702550669</v>
      </c>
      <c r="AY68" s="374">
        <f t="shared" si="222"/>
        <v>275778.17110265931</v>
      </c>
      <c r="AZ68" s="374">
        <f t="shared" si="222"/>
        <v>275629.58233853907</v>
      </c>
      <c r="BA68" s="374">
        <f t="shared" si="222"/>
        <v>275164.15410378954</v>
      </c>
      <c r="BB68" s="374">
        <f t="shared" si="222"/>
        <v>274832.76254807482</v>
      </c>
      <c r="BC68" s="374">
        <f t="shared" si="222"/>
        <v>274483.97293568513</v>
      </c>
      <c r="BD68" s="374">
        <f t="shared" si="222"/>
        <v>138920.34935973259</v>
      </c>
      <c r="BE68" s="374">
        <f t="shared" si="222"/>
        <v>0</v>
      </c>
      <c r="BF68" s="374">
        <f t="shared" si="222"/>
        <v>0</v>
      </c>
      <c r="BG68" s="374">
        <f t="shared" si="222"/>
        <v>0</v>
      </c>
      <c r="BH68" s="374">
        <f t="shared" si="222"/>
        <v>0</v>
      </c>
      <c r="BI68" s="374">
        <f t="shared" si="222"/>
        <v>0</v>
      </c>
      <c r="BJ68" s="374">
        <f t="shared" si="222"/>
        <v>0</v>
      </c>
      <c r="BK68" s="374">
        <f t="shared" si="222"/>
        <v>0</v>
      </c>
      <c r="BL68" s="374">
        <f t="shared" si="222"/>
        <v>0</v>
      </c>
      <c r="BM68" s="374">
        <f t="shared" si="222"/>
        <v>0</v>
      </c>
      <c r="BN68" s="374">
        <f t="shared" si="222"/>
        <v>0</v>
      </c>
      <c r="BO68" s="374">
        <f t="shared" si="222"/>
        <v>0</v>
      </c>
      <c r="BP68" s="374">
        <f t="shared" si="222"/>
        <v>0</v>
      </c>
      <c r="BQ68" s="374">
        <f t="shared" si="222"/>
        <v>0</v>
      </c>
      <c r="BR68" s="374">
        <f t="shared" si="222"/>
        <v>0</v>
      </c>
      <c r="BS68" s="374">
        <f t="shared" si="222"/>
        <v>0</v>
      </c>
      <c r="BT68" s="374">
        <f t="shared" si="222"/>
        <v>0</v>
      </c>
      <c r="BU68" s="374">
        <f t="shared" si="222"/>
        <v>0</v>
      </c>
    </row>
    <row r="69" spans="1:125" x14ac:dyDescent="0.2">
      <c r="A69" s="186"/>
      <c r="B69" s="186"/>
      <c r="C69" s="387" t="s">
        <v>75</v>
      </c>
      <c r="D69" s="186"/>
      <c r="E69" s="186"/>
      <c r="F69" s="186"/>
      <c r="G69" s="186"/>
      <c r="H69" s="186"/>
      <c r="I69" s="186"/>
      <c r="J69" s="186"/>
      <c r="K69" s="367"/>
      <c r="L69" s="186"/>
      <c r="M69" s="186"/>
      <c r="N69" s="374"/>
      <c r="O69" s="374"/>
      <c r="P69" s="374"/>
      <c r="Q69" s="374"/>
      <c r="R69" s="374">
        <f t="shared" ref="R69:AO69" si="223">R307</f>
        <v>52505.482650000005</v>
      </c>
      <c r="S69" s="374">
        <f t="shared" si="223"/>
        <v>98594.688065482944</v>
      </c>
      <c r="T69" s="374">
        <f t="shared" si="223"/>
        <v>165130.7029326651</v>
      </c>
      <c r="U69" s="374">
        <f t="shared" si="223"/>
        <v>0</v>
      </c>
      <c r="V69" s="374">
        <f t="shared" si="223"/>
        <v>0</v>
      </c>
      <c r="W69" s="374">
        <f t="shared" si="223"/>
        <v>0</v>
      </c>
      <c r="X69" s="374">
        <f t="shared" si="223"/>
        <v>0</v>
      </c>
      <c r="Y69" s="374">
        <f t="shared" si="223"/>
        <v>0</v>
      </c>
      <c r="Z69" s="374">
        <f t="shared" si="223"/>
        <v>0</v>
      </c>
      <c r="AA69" s="374">
        <f t="shared" si="223"/>
        <v>0</v>
      </c>
      <c r="AB69" s="374">
        <f t="shared" si="223"/>
        <v>0</v>
      </c>
      <c r="AC69" s="374">
        <f t="shared" si="223"/>
        <v>0</v>
      </c>
      <c r="AD69" s="374">
        <f t="shared" si="223"/>
        <v>0</v>
      </c>
      <c r="AE69" s="374">
        <f t="shared" si="223"/>
        <v>0</v>
      </c>
      <c r="AF69" s="374">
        <f t="shared" si="223"/>
        <v>0</v>
      </c>
      <c r="AG69" s="374">
        <f t="shared" si="223"/>
        <v>0</v>
      </c>
      <c r="AH69" s="374">
        <f t="shared" si="223"/>
        <v>0</v>
      </c>
      <c r="AI69" s="374">
        <f t="shared" si="223"/>
        <v>0</v>
      </c>
      <c r="AJ69" s="374">
        <f t="shared" si="223"/>
        <v>0</v>
      </c>
      <c r="AK69" s="374">
        <f t="shared" si="223"/>
        <v>0</v>
      </c>
      <c r="AL69" s="374">
        <f t="shared" si="223"/>
        <v>0</v>
      </c>
      <c r="AM69" s="374">
        <f t="shared" si="223"/>
        <v>0</v>
      </c>
      <c r="AN69" s="374">
        <f t="shared" si="223"/>
        <v>0</v>
      </c>
      <c r="AO69" s="374">
        <f t="shared" si="223"/>
        <v>0</v>
      </c>
      <c r="AP69" s="374">
        <f t="shared" ref="AP69:BU69" si="224">AP307</f>
        <v>0</v>
      </c>
      <c r="AQ69" s="374">
        <f t="shared" si="224"/>
        <v>0</v>
      </c>
      <c r="AR69" s="374">
        <f t="shared" si="224"/>
        <v>0</v>
      </c>
      <c r="AS69" s="374">
        <f t="shared" si="224"/>
        <v>0</v>
      </c>
      <c r="AT69" s="374">
        <f t="shared" si="224"/>
        <v>0</v>
      </c>
      <c r="AU69" s="374">
        <f t="shared" si="224"/>
        <v>0</v>
      </c>
      <c r="AV69" s="374">
        <f t="shared" si="224"/>
        <v>0</v>
      </c>
      <c r="AW69" s="374">
        <f t="shared" si="224"/>
        <v>0</v>
      </c>
      <c r="AX69" s="374">
        <f t="shared" si="224"/>
        <v>0</v>
      </c>
      <c r="AY69" s="374">
        <f t="shared" si="224"/>
        <v>0</v>
      </c>
      <c r="AZ69" s="374">
        <f t="shared" si="224"/>
        <v>0</v>
      </c>
      <c r="BA69" s="374">
        <f t="shared" si="224"/>
        <v>0</v>
      </c>
      <c r="BB69" s="374">
        <f t="shared" si="224"/>
        <v>0</v>
      </c>
      <c r="BC69" s="374">
        <f t="shared" si="224"/>
        <v>0</v>
      </c>
      <c r="BD69" s="374">
        <f t="shared" si="224"/>
        <v>0</v>
      </c>
      <c r="BE69" s="374">
        <f t="shared" si="224"/>
        <v>0</v>
      </c>
      <c r="BF69" s="374">
        <f t="shared" si="224"/>
        <v>0</v>
      </c>
      <c r="BG69" s="374">
        <f t="shared" si="224"/>
        <v>0</v>
      </c>
      <c r="BH69" s="374">
        <f t="shared" si="224"/>
        <v>0</v>
      </c>
      <c r="BI69" s="374">
        <f t="shared" si="224"/>
        <v>0</v>
      </c>
      <c r="BJ69" s="374">
        <f t="shared" si="224"/>
        <v>0</v>
      </c>
      <c r="BK69" s="374">
        <f t="shared" si="224"/>
        <v>0</v>
      </c>
      <c r="BL69" s="374">
        <f t="shared" si="224"/>
        <v>0</v>
      </c>
      <c r="BM69" s="374">
        <f t="shared" si="224"/>
        <v>0</v>
      </c>
      <c r="BN69" s="374">
        <f t="shared" si="224"/>
        <v>0</v>
      </c>
      <c r="BO69" s="374">
        <f t="shared" si="224"/>
        <v>0</v>
      </c>
      <c r="BP69" s="374">
        <f t="shared" si="224"/>
        <v>0</v>
      </c>
      <c r="BQ69" s="374">
        <f t="shared" si="224"/>
        <v>0</v>
      </c>
      <c r="BR69" s="374">
        <f t="shared" si="224"/>
        <v>0</v>
      </c>
      <c r="BS69" s="374">
        <f t="shared" si="224"/>
        <v>0</v>
      </c>
      <c r="BT69" s="374">
        <f t="shared" si="224"/>
        <v>0</v>
      </c>
      <c r="BU69" s="374">
        <f t="shared" si="224"/>
        <v>0</v>
      </c>
    </row>
    <row r="70" spans="1:125" x14ac:dyDescent="0.2">
      <c r="A70" s="186"/>
      <c r="B70" s="186"/>
      <c r="C70" s="387" t="s">
        <v>352</v>
      </c>
      <c r="D70" s="186"/>
      <c r="E70" s="186"/>
      <c r="F70" s="186"/>
      <c r="G70" s="186"/>
      <c r="H70" s="186"/>
      <c r="I70" s="186"/>
      <c r="J70" s="186"/>
      <c r="K70" s="367"/>
      <c r="L70" s="186"/>
      <c r="M70" s="186"/>
      <c r="N70" s="374"/>
      <c r="O70" s="374"/>
      <c r="P70" s="374"/>
      <c r="Q70" s="374"/>
      <c r="R70" s="374">
        <f t="shared" ref="R70:AO70" si="225">R317</f>
        <v>1982.7223300000005</v>
      </c>
      <c r="S70" s="374">
        <f t="shared" si="225"/>
        <v>1982.7223300000005</v>
      </c>
      <c r="T70" s="374">
        <f t="shared" si="225"/>
        <v>1982.7223300000005</v>
      </c>
      <c r="U70" s="374">
        <f t="shared" si="225"/>
        <v>1982.7223300000005</v>
      </c>
      <c r="V70" s="374">
        <f t="shared" si="225"/>
        <v>1982.7223300000005</v>
      </c>
      <c r="W70" s="374">
        <f t="shared" si="225"/>
        <v>1982.7223300000005</v>
      </c>
      <c r="X70" s="374">
        <f t="shared" si="225"/>
        <v>1982.7223300000005</v>
      </c>
      <c r="Y70" s="374">
        <f t="shared" si="225"/>
        <v>1982.7223300000005</v>
      </c>
      <c r="Z70" s="374">
        <f t="shared" si="225"/>
        <v>1982.7223300000005</v>
      </c>
      <c r="AA70" s="374">
        <f t="shared" si="225"/>
        <v>1982.7223300000005</v>
      </c>
      <c r="AB70" s="374">
        <f t="shared" si="225"/>
        <v>1982.7223300000005</v>
      </c>
      <c r="AC70" s="374">
        <f t="shared" si="225"/>
        <v>1982.7223300000005</v>
      </c>
      <c r="AD70" s="374">
        <f t="shared" si="225"/>
        <v>1982.7223300000005</v>
      </c>
      <c r="AE70" s="374">
        <f t="shared" si="225"/>
        <v>1982.7223300000005</v>
      </c>
      <c r="AF70" s="374">
        <f t="shared" si="225"/>
        <v>1982.7223300000005</v>
      </c>
      <c r="AG70" s="374">
        <f t="shared" si="225"/>
        <v>1982.7223300000005</v>
      </c>
      <c r="AH70" s="374">
        <f t="shared" si="225"/>
        <v>1982.7223300000005</v>
      </c>
      <c r="AI70" s="374">
        <f t="shared" si="225"/>
        <v>1982.7223300000005</v>
      </c>
      <c r="AJ70" s="374">
        <f t="shared" si="225"/>
        <v>1982.7223300000005</v>
      </c>
      <c r="AK70" s="374">
        <f t="shared" si="225"/>
        <v>1982.7223300000005</v>
      </c>
      <c r="AL70" s="374">
        <f t="shared" si="225"/>
        <v>1982.7223300000005</v>
      </c>
      <c r="AM70" s="374">
        <f t="shared" si="225"/>
        <v>1982.7223300000005</v>
      </c>
      <c r="AN70" s="374">
        <f t="shared" si="225"/>
        <v>1982.7223300000005</v>
      </c>
      <c r="AO70" s="374">
        <f t="shared" si="225"/>
        <v>1982.7223300000005</v>
      </c>
      <c r="AP70" s="374">
        <f t="shared" ref="AP70:BU70" si="226">AP317</f>
        <v>1982.7223300000005</v>
      </c>
      <c r="AQ70" s="374">
        <f t="shared" si="226"/>
        <v>1982.7223300000005</v>
      </c>
      <c r="AR70" s="374">
        <f t="shared" si="226"/>
        <v>1982.7223300000005</v>
      </c>
      <c r="AS70" s="374">
        <f t="shared" si="226"/>
        <v>1982.7223300000005</v>
      </c>
      <c r="AT70" s="374">
        <f t="shared" si="226"/>
        <v>1982.7223300000005</v>
      </c>
      <c r="AU70" s="374">
        <f t="shared" si="226"/>
        <v>1982.7223300000005</v>
      </c>
      <c r="AV70" s="374">
        <f t="shared" si="226"/>
        <v>1982.7223300000005</v>
      </c>
      <c r="AW70" s="374">
        <f t="shared" si="226"/>
        <v>1982.7223300000005</v>
      </c>
      <c r="AX70" s="374">
        <f t="shared" si="226"/>
        <v>1982.7223300000005</v>
      </c>
      <c r="AY70" s="374">
        <f t="shared" si="226"/>
        <v>1982.7223300000005</v>
      </c>
      <c r="AZ70" s="374">
        <f t="shared" si="226"/>
        <v>1982.7223300000005</v>
      </c>
      <c r="BA70" s="374">
        <f t="shared" si="226"/>
        <v>1982.7223300000005</v>
      </c>
      <c r="BB70" s="374">
        <f t="shared" si="226"/>
        <v>1982.7223300000005</v>
      </c>
      <c r="BC70" s="374">
        <f t="shared" si="226"/>
        <v>1982.7223300000005</v>
      </c>
      <c r="BD70" s="374">
        <f t="shared" si="226"/>
        <v>1982.7223300000005</v>
      </c>
      <c r="BE70" s="374">
        <f t="shared" si="226"/>
        <v>1982.7223300000005</v>
      </c>
      <c r="BF70" s="374">
        <f t="shared" si="226"/>
        <v>1982.7223300000005</v>
      </c>
      <c r="BG70" s="374">
        <f t="shared" si="226"/>
        <v>1982.7223300000005</v>
      </c>
      <c r="BH70" s="374">
        <f t="shared" si="226"/>
        <v>1982.7223300000005</v>
      </c>
      <c r="BI70" s="374">
        <f t="shared" si="226"/>
        <v>1982.7223300000005</v>
      </c>
      <c r="BJ70" s="374">
        <f t="shared" si="226"/>
        <v>0</v>
      </c>
      <c r="BK70" s="374">
        <f t="shared" si="226"/>
        <v>0</v>
      </c>
      <c r="BL70" s="374">
        <f t="shared" si="226"/>
        <v>0</v>
      </c>
      <c r="BM70" s="374">
        <f t="shared" si="226"/>
        <v>0</v>
      </c>
      <c r="BN70" s="374">
        <f t="shared" si="226"/>
        <v>0</v>
      </c>
      <c r="BO70" s="374">
        <f t="shared" si="226"/>
        <v>0</v>
      </c>
      <c r="BP70" s="374">
        <f t="shared" si="226"/>
        <v>0</v>
      </c>
      <c r="BQ70" s="374">
        <f t="shared" si="226"/>
        <v>0</v>
      </c>
      <c r="BR70" s="374">
        <f t="shared" si="226"/>
        <v>0</v>
      </c>
      <c r="BS70" s="374">
        <f t="shared" si="226"/>
        <v>0</v>
      </c>
      <c r="BT70" s="374">
        <f t="shared" si="226"/>
        <v>0</v>
      </c>
      <c r="BU70" s="374">
        <f t="shared" si="226"/>
        <v>0</v>
      </c>
    </row>
    <row r="71" spans="1:125" x14ac:dyDescent="0.2">
      <c r="A71" s="186"/>
      <c r="B71" s="186"/>
      <c r="C71" s="388" t="s">
        <v>321</v>
      </c>
      <c r="D71" s="383"/>
      <c r="E71" s="383"/>
      <c r="F71" s="383"/>
      <c r="G71" s="383"/>
      <c r="H71" s="383"/>
      <c r="I71" s="383"/>
      <c r="J71" s="383"/>
      <c r="K71" s="617"/>
      <c r="L71" s="383"/>
      <c r="M71" s="383"/>
      <c r="N71" s="384"/>
      <c r="O71" s="384"/>
      <c r="P71" s="384"/>
      <c r="Q71" s="384"/>
      <c r="R71" s="384">
        <f t="shared" ref="R71:AO71" si="227">R291</f>
        <v>0</v>
      </c>
      <c r="S71" s="384">
        <f t="shared" si="227"/>
        <v>0</v>
      </c>
      <c r="T71" s="384">
        <f t="shared" si="227"/>
        <v>0</v>
      </c>
      <c r="U71" s="384">
        <f t="shared" si="227"/>
        <v>0</v>
      </c>
      <c r="V71" s="384">
        <f t="shared" si="227"/>
        <v>0</v>
      </c>
      <c r="W71" s="384">
        <f t="shared" si="227"/>
        <v>0</v>
      </c>
      <c r="X71" s="384">
        <f t="shared" si="227"/>
        <v>0</v>
      </c>
      <c r="Y71" s="384">
        <f t="shared" si="227"/>
        <v>0</v>
      </c>
      <c r="Z71" s="384">
        <f t="shared" si="227"/>
        <v>0</v>
      </c>
      <c r="AA71" s="384">
        <f t="shared" si="227"/>
        <v>0</v>
      </c>
      <c r="AB71" s="384">
        <f t="shared" si="227"/>
        <v>0</v>
      </c>
      <c r="AC71" s="384">
        <f t="shared" si="227"/>
        <v>0</v>
      </c>
      <c r="AD71" s="384">
        <f t="shared" si="227"/>
        <v>0</v>
      </c>
      <c r="AE71" s="384">
        <f t="shared" si="227"/>
        <v>0</v>
      </c>
      <c r="AF71" s="384">
        <f t="shared" si="227"/>
        <v>0</v>
      </c>
      <c r="AG71" s="384">
        <f t="shared" si="227"/>
        <v>0</v>
      </c>
      <c r="AH71" s="384">
        <f t="shared" si="227"/>
        <v>0</v>
      </c>
      <c r="AI71" s="384">
        <f t="shared" si="227"/>
        <v>0</v>
      </c>
      <c r="AJ71" s="384">
        <f t="shared" si="227"/>
        <v>0</v>
      </c>
      <c r="AK71" s="384">
        <f t="shared" si="227"/>
        <v>0</v>
      </c>
      <c r="AL71" s="384">
        <f t="shared" si="227"/>
        <v>0</v>
      </c>
      <c r="AM71" s="384">
        <f t="shared" si="227"/>
        <v>0</v>
      </c>
      <c r="AN71" s="384">
        <f t="shared" si="227"/>
        <v>0</v>
      </c>
      <c r="AO71" s="384">
        <f t="shared" si="227"/>
        <v>0</v>
      </c>
      <c r="AP71" s="384">
        <f t="shared" ref="AP71:BI71" si="228">AP291</f>
        <v>0</v>
      </c>
      <c r="AQ71" s="384">
        <f t="shared" si="228"/>
        <v>0</v>
      </c>
      <c r="AR71" s="384">
        <f t="shared" si="228"/>
        <v>0</v>
      </c>
      <c r="AS71" s="384">
        <f t="shared" si="228"/>
        <v>0</v>
      </c>
      <c r="AT71" s="384">
        <f t="shared" si="228"/>
        <v>0</v>
      </c>
      <c r="AU71" s="384">
        <f t="shared" si="228"/>
        <v>0</v>
      </c>
      <c r="AV71" s="384">
        <f t="shared" si="228"/>
        <v>0</v>
      </c>
      <c r="AW71" s="384">
        <f t="shared" si="228"/>
        <v>0</v>
      </c>
      <c r="AX71" s="384">
        <f t="shared" si="228"/>
        <v>0</v>
      </c>
      <c r="AY71" s="384">
        <f t="shared" si="228"/>
        <v>0</v>
      </c>
      <c r="AZ71" s="384">
        <f t="shared" si="228"/>
        <v>0</v>
      </c>
      <c r="BA71" s="384">
        <f t="shared" si="228"/>
        <v>0</v>
      </c>
      <c r="BB71" s="384">
        <f t="shared" si="228"/>
        <v>0</v>
      </c>
      <c r="BC71" s="384">
        <f t="shared" si="228"/>
        <v>0</v>
      </c>
      <c r="BD71" s="384">
        <f t="shared" si="228"/>
        <v>0</v>
      </c>
      <c r="BE71" s="384">
        <f t="shared" si="228"/>
        <v>225722.64849710948</v>
      </c>
      <c r="BF71" s="384">
        <f t="shared" si="228"/>
        <v>191349.00016544131</v>
      </c>
      <c r="BG71" s="384">
        <f t="shared" si="228"/>
        <v>152277.14797214835</v>
      </c>
      <c r="BH71" s="384">
        <f t="shared" si="228"/>
        <v>107864.93955352437</v>
      </c>
      <c r="BI71" s="384">
        <f t="shared" si="228"/>
        <v>57382.452906580053</v>
      </c>
      <c r="BJ71" s="384">
        <f t="shared" ref="BJ71:BU71" si="229">BJ291</f>
        <v>-133568.75352641862</v>
      </c>
      <c r="BK71" s="384">
        <f t="shared" si="229"/>
        <v>-133568.75352641862</v>
      </c>
      <c r="BL71" s="384">
        <f t="shared" si="229"/>
        <v>-133568.75352641862</v>
      </c>
      <c r="BM71" s="384">
        <f t="shared" si="229"/>
        <v>-133568.75352641862</v>
      </c>
      <c r="BN71" s="384">
        <f t="shared" si="229"/>
        <v>-133568.75352641862</v>
      </c>
      <c r="BO71" s="384">
        <f t="shared" si="229"/>
        <v>-133568.75352641862</v>
      </c>
      <c r="BP71" s="384">
        <f t="shared" si="229"/>
        <v>-133568.75352641862</v>
      </c>
      <c r="BQ71" s="384">
        <f t="shared" si="229"/>
        <v>-133568.75352641862</v>
      </c>
      <c r="BR71" s="384">
        <f t="shared" si="229"/>
        <v>-133568.75352641862</v>
      </c>
      <c r="BS71" s="384">
        <f t="shared" si="229"/>
        <v>-133568.75352641862</v>
      </c>
      <c r="BT71" s="384">
        <f t="shared" si="229"/>
        <v>-133568.75352641862</v>
      </c>
      <c r="BU71" s="384">
        <f t="shared" si="229"/>
        <v>-133568.75352641862</v>
      </c>
    </row>
    <row r="72" spans="1:125" x14ac:dyDescent="0.2">
      <c r="C72" s="389" t="s">
        <v>426</v>
      </c>
      <c r="N72" s="390"/>
      <c r="Q72" s="391"/>
      <c r="R72" s="742">
        <f t="shared" ref="R72:AO72" si="230">SUM(R67:R71)</f>
        <v>135988.20498000001</v>
      </c>
      <c r="S72" s="742">
        <f t="shared" si="230"/>
        <v>182077.41039548293</v>
      </c>
      <c r="T72" s="742">
        <f t="shared" si="230"/>
        <v>248613.42526266509</v>
      </c>
      <c r="U72" s="742">
        <f t="shared" si="230"/>
        <v>51629.958893605508</v>
      </c>
      <c r="V72" s="742">
        <f t="shared" si="230"/>
        <v>58341.257397712077</v>
      </c>
      <c r="W72" s="742">
        <f t="shared" si="230"/>
        <v>63565.124474247306</v>
      </c>
      <c r="X72" s="742">
        <f t="shared" si="230"/>
        <v>66812.981299622217</v>
      </c>
      <c r="Y72" s="742">
        <f t="shared" si="230"/>
        <v>69468.977305278022</v>
      </c>
      <c r="Z72" s="742">
        <f t="shared" si="230"/>
        <v>71501.33926555721</v>
      </c>
      <c r="AA72" s="742">
        <f t="shared" si="230"/>
        <v>71387.913666163106</v>
      </c>
      <c r="AB72" s="742">
        <f t="shared" si="230"/>
        <v>71963.829222018467</v>
      </c>
      <c r="AC72" s="742">
        <f t="shared" si="230"/>
        <v>73625.803274930993</v>
      </c>
      <c r="AD72" s="742">
        <f t="shared" si="230"/>
        <v>77418.529934440172</v>
      </c>
      <c r="AE72" s="742">
        <f t="shared" si="230"/>
        <v>84268.455977906298</v>
      </c>
      <c r="AF72" s="742">
        <f t="shared" si="230"/>
        <v>95418.265925564177</v>
      </c>
      <c r="AG72" s="742">
        <f t="shared" si="230"/>
        <v>107057.44102370123</v>
      </c>
      <c r="AH72" s="742">
        <f t="shared" si="230"/>
        <v>117096.03379802081</v>
      </c>
      <c r="AI72" s="742">
        <f t="shared" si="230"/>
        <v>123150.76327456963</v>
      </c>
      <c r="AJ72" s="742">
        <f t="shared" si="230"/>
        <v>122920.15182203976</v>
      </c>
      <c r="AK72" s="742">
        <f t="shared" si="230"/>
        <v>112441.50541142041</v>
      </c>
      <c r="AL72" s="742">
        <f t="shared" si="230"/>
        <v>107173.77003248503</v>
      </c>
      <c r="AM72" s="742">
        <f t="shared" si="230"/>
        <v>106611.87102394519</v>
      </c>
      <c r="AN72" s="742">
        <f t="shared" si="230"/>
        <v>105454.52069604422</v>
      </c>
      <c r="AO72" s="742">
        <f t="shared" si="230"/>
        <v>134791.35165818289</v>
      </c>
      <c r="AP72" s="742">
        <f t="shared" ref="AP72:BU72" si="231">SUM(AP67:AP71)</f>
        <v>138637.46220917604</v>
      </c>
      <c r="AQ72" s="742">
        <f t="shared" si="231"/>
        <v>142137.06097867887</v>
      </c>
      <c r="AR72" s="742">
        <f t="shared" si="231"/>
        <v>145004.67290179656</v>
      </c>
      <c r="AS72" s="742">
        <f t="shared" si="231"/>
        <v>152478.9002837138</v>
      </c>
      <c r="AT72" s="742">
        <f t="shared" si="231"/>
        <v>233542.05277205052</v>
      </c>
      <c r="AU72" s="742">
        <f t="shared" si="231"/>
        <v>307221.76537495526</v>
      </c>
      <c r="AV72" s="742">
        <f t="shared" si="231"/>
        <v>307711.02586047497</v>
      </c>
      <c r="AW72" s="742">
        <f t="shared" si="231"/>
        <v>308561.00409774674</v>
      </c>
      <c r="AX72" s="742">
        <f t="shared" si="231"/>
        <v>319081.08898198348</v>
      </c>
      <c r="AY72" s="742">
        <f t="shared" si="231"/>
        <v>332885.87116465287</v>
      </c>
      <c r="AZ72" s="742">
        <f t="shared" si="231"/>
        <v>339325.83641610789</v>
      </c>
      <c r="BA72" s="742">
        <f t="shared" si="231"/>
        <v>346314.26733041677</v>
      </c>
      <c r="BB72" s="742">
        <f t="shared" si="231"/>
        <v>354519.88622876472</v>
      </c>
      <c r="BC72" s="742">
        <f t="shared" si="231"/>
        <v>364050.78119240678</v>
      </c>
      <c r="BD72" s="742">
        <f t="shared" si="231"/>
        <v>240017.83460955476</v>
      </c>
      <c r="BE72" s="742">
        <f t="shared" si="231"/>
        <v>227705.37082710947</v>
      </c>
      <c r="BF72" s="742">
        <f t="shared" si="231"/>
        <v>193331.7224954413</v>
      </c>
      <c r="BG72" s="742">
        <f t="shared" si="231"/>
        <v>154259.87030214834</v>
      </c>
      <c r="BH72" s="742">
        <f t="shared" si="231"/>
        <v>109847.66188352437</v>
      </c>
      <c r="BI72" s="742">
        <f t="shared" si="231"/>
        <v>59365.175236580049</v>
      </c>
      <c r="BJ72" s="742">
        <f t="shared" si="231"/>
        <v>-133568.75352641862</v>
      </c>
      <c r="BK72" s="742">
        <f t="shared" si="231"/>
        <v>-133568.75352641862</v>
      </c>
      <c r="BL72" s="742">
        <f t="shared" si="231"/>
        <v>-133568.75352641862</v>
      </c>
      <c r="BM72" s="742">
        <f t="shared" si="231"/>
        <v>-133568.75352641862</v>
      </c>
      <c r="BN72" s="742">
        <f t="shared" si="231"/>
        <v>-133568.75352641862</v>
      </c>
      <c r="BO72" s="742">
        <f t="shared" si="231"/>
        <v>-133568.75352641862</v>
      </c>
      <c r="BP72" s="742">
        <f t="shared" si="231"/>
        <v>-133568.75352641862</v>
      </c>
      <c r="BQ72" s="742">
        <f t="shared" si="231"/>
        <v>-133568.75352641862</v>
      </c>
      <c r="BR72" s="742">
        <f t="shared" si="231"/>
        <v>-133568.75352641862</v>
      </c>
      <c r="BS72" s="742">
        <f t="shared" si="231"/>
        <v>-133568.75352641862</v>
      </c>
      <c r="BT72" s="742">
        <f t="shared" si="231"/>
        <v>-133568.75352641862</v>
      </c>
      <c r="BU72" s="742">
        <f t="shared" si="231"/>
        <v>-133568.75352641862</v>
      </c>
    </row>
    <row r="73" spans="1:125" x14ac:dyDescent="0.2">
      <c r="C73" s="389"/>
      <c r="N73" s="390"/>
      <c r="Q73" s="391"/>
      <c r="R73" s="391"/>
      <c r="S73" s="391"/>
      <c r="T73" s="391"/>
      <c r="U73" s="391"/>
      <c r="V73" s="391"/>
      <c r="W73" s="391"/>
      <c r="X73" s="391"/>
      <c r="Y73" s="391"/>
      <c r="Z73" s="391"/>
      <c r="AA73" s="391"/>
      <c r="AB73" s="391"/>
      <c r="AC73" s="391"/>
      <c r="AD73" s="391"/>
      <c r="AE73" s="391"/>
      <c r="AF73" s="391"/>
      <c r="AG73" s="391"/>
      <c r="AH73" s="391"/>
      <c r="AI73" s="391"/>
      <c r="AJ73" s="391"/>
      <c r="AK73" s="391"/>
      <c r="AL73" s="391"/>
      <c r="AM73" s="391"/>
      <c r="AN73" s="391"/>
      <c r="AO73" s="391"/>
      <c r="AP73" s="391"/>
      <c r="AQ73" s="391"/>
      <c r="AR73" s="391"/>
      <c r="AS73" s="391"/>
      <c r="AT73" s="391"/>
      <c r="AU73" s="391"/>
      <c r="AV73" s="391"/>
      <c r="AW73" s="391"/>
      <c r="AX73" s="391"/>
      <c r="AY73" s="391"/>
      <c r="AZ73" s="391"/>
      <c r="BA73" s="391"/>
      <c r="BB73" s="391"/>
      <c r="BC73" s="391"/>
      <c r="BD73" s="391"/>
      <c r="BE73" s="391"/>
      <c r="BF73" s="391"/>
      <c r="BG73" s="391"/>
      <c r="BH73" s="391"/>
      <c r="BI73" s="391"/>
      <c r="BJ73" s="391"/>
      <c r="BK73" s="391"/>
      <c r="BL73" s="391"/>
      <c r="BM73" s="391"/>
      <c r="BN73" s="391"/>
      <c r="BO73" s="391"/>
      <c r="BP73" s="391"/>
      <c r="BQ73" s="391"/>
      <c r="BR73" s="391"/>
      <c r="BS73" s="391"/>
      <c r="BT73" s="391"/>
      <c r="BU73" s="391"/>
    </row>
    <row r="74" spans="1:125" x14ac:dyDescent="0.2">
      <c r="B74" s="380" t="s">
        <v>382</v>
      </c>
      <c r="C74" s="392"/>
      <c r="Q74" s="391"/>
      <c r="R74" s="742">
        <f t="shared" ref="R74:AO74" si="232">+R340</f>
        <v>0</v>
      </c>
      <c r="S74" s="742">
        <f t="shared" si="232"/>
        <v>0</v>
      </c>
      <c r="T74" s="742">
        <f t="shared" si="232"/>
        <v>2692.085174796453</v>
      </c>
      <c r="U74" s="742">
        <f t="shared" si="232"/>
        <v>3887.4732955742647</v>
      </c>
      <c r="V74" s="742">
        <f t="shared" si="232"/>
        <v>1368.9413706881614</v>
      </c>
      <c r="W74" s="742">
        <f t="shared" si="232"/>
        <v>1585.1746377621182</v>
      </c>
      <c r="X74" s="742">
        <f t="shared" si="232"/>
        <v>1826.1460309171671</v>
      </c>
      <c r="Y74" s="742">
        <f t="shared" si="232"/>
        <v>2091.0309584081278</v>
      </c>
      <c r="Z74" s="742">
        <f t="shared" si="232"/>
        <v>2234.8612616227101</v>
      </c>
      <c r="AA74" s="742">
        <f t="shared" si="232"/>
        <v>2483.3469456730418</v>
      </c>
      <c r="AB74" s="742">
        <f t="shared" si="232"/>
        <v>2701.6488251499013</v>
      </c>
      <c r="AC74" s="742">
        <f t="shared" si="232"/>
        <v>2954.0066602775159</v>
      </c>
      <c r="AD74" s="742">
        <f t="shared" si="232"/>
        <v>3105.9081402819047</v>
      </c>
      <c r="AE74" s="742">
        <f t="shared" si="232"/>
        <v>3356.848176385216</v>
      </c>
      <c r="AF74" s="742">
        <f t="shared" si="232"/>
        <v>3734.4677636830684</v>
      </c>
      <c r="AG74" s="742">
        <f t="shared" si="232"/>
        <v>4031.6091928702144</v>
      </c>
      <c r="AH74" s="742">
        <f t="shared" si="232"/>
        <v>4407.9977848620492</v>
      </c>
      <c r="AI74" s="742">
        <f t="shared" si="232"/>
        <v>4834.9837245341078</v>
      </c>
      <c r="AJ74" s="742">
        <f t="shared" si="232"/>
        <v>5183.2973913445458</v>
      </c>
      <c r="AK74" s="742">
        <f t="shared" si="232"/>
        <v>5397.7403829528903</v>
      </c>
      <c r="AL74" s="742">
        <f t="shared" si="232"/>
        <v>5152.2009753896455</v>
      </c>
      <c r="AM74" s="742">
        <f t="shared" si="232"/>
        <v>5153.3683819462549</v>
      </c>
      <c r="AN74" s="742">
        <f t="shared" si="232"/>
        <v>5579.4166041562667</v>
      </c>
      <c r="AO74" s="742">
        <f t="shared" si="232"/>
        <v>5604.3686889780784</v>
      </c>
      <c r="AP74" s="742">
        <f t="shared" ref="AP74:BU74" si="233">+AP340</f>
        <v>6498.0922850655752</v>
      </c>
      <c r="AQ74" s="742">
        <f t="shared" si="233"/>
        <v>6693.7903799019577</v>
      </c>
      <c r="AR74" s="742">
        <f t="shared" si="233"/>
        <v>6953.5617772199748</v>
      </c>
      <c r="AS74" s="742">
        <f t="shared" si="233"/>
        <v>7273.9631759357089</v>
      </c>
      <c r="AT74" s="742">
        <f t="shared" si="233"/>
        <v>7703.6355831298733</v>
      </c>
      <c r="AU74" s="742">
        <f t="shared" si="233"/>
        <v>9674.9728346018928</v>
      </c>
      <c r="AV74" s="742">
        <f t="shared" si="233"/>
        <v>11195.996218899842</v>
      </c>
      <c r="AW74" s="742">
        <f t="shared" si="233"/>
        <v>11354.32538880326</v>
      </c>
      <c r="AX74" s="742">
        <f t="shared" si="233"/>
        <v>11665.94387593715</v>
      </c>
      <c r="AY74" s="742">
        <f t="shared" si="233"/>
        <v>12185.596123718682</v>
      </c>
      <c r="AZ74" s="742">
        <f t="shared" si="233"/>
        <v>12785.168145198666</v>
      </c>
      <c r="BA74" s="742">
        <f t="shared" si="233"/>
        <v>13265.638165528426</v>
      </c>
      <c r="BB74" s="742">
        <f t="shared" si="233"/>
        <v>13776.034553174752</v>
      </c>
      <c r="BC74" s="742">
        <f t="shared" si="233"/>
        <v>14330.629817677251</v>
      </c>
      <c r="BD74" s="742">
        <f t="shared" si="233"/>
        <v>14932.713615848705</v>
      </c>
      <c r="BE74" s="742">
        <f t="shared" si="233"/>
        <v>12981.616243807486</v>
      </c>
      <c r="BF74" s="742">
        <f t="shared" si="233"/>
        <v>13266.074581726716</v>
      </c>
      <c r="BG74" s="742">
        <f t="shared" si="233"/>
        <v>13209.619932323629</v>
      </c>
      <c r="BH74" s="742">
        <f t="shared" si="233"/>
        <v>13148.974364401478</v>
      </c>
      <c r="BI74" s="742">
        <f t="shared" si="233"/>
        <v>13042.999778069923</v>
      </c>
      <c r="BJ74" s="742">
        <f t="shared" si="233"/>
        <v>8604.564377373923</v>
      </c>
      <c r="BK74" s="742">
        <f t="shared" si="233"/>
        <v>0</v>
      </c>
      <c r="BL74" s="742">
        <f t="shared" si="233"/>
        <v>0</v>
      </c>
      <c r="BM74" s="742">
        <f t="shared" si="233"/>
        <v>0</v>
      </c>
      <c r="BN74" s="742">
        <f t="shared" si="233"/>
        <v>0</v>
      </c>
      <c r="BO74" s="742">
        <f t="shared" si="233"/>
        <v>0</v>
      </c>
      <c r="BP74" s="742">
        <f t="shared" si="233"/>
        <v>0</v>
      </c>
      <c r="BQ74" s="742">
        <f t="shared" si="233"/>
        <v>0</v>
      </c>
      <c r="BR74" s="742">
        <f t="shared" si="233"/>
        <v>0</v>
      </c>
      <c r="BS74" s="742">
        <f t="shared" si="233"/>
        <v>0</v>
      </c>
      <c r="BT74" s="742">
        <f t="shared" si="233"/>
        <v>0</v>
      </c>
      <c r="BU74" s="742">
        <f t="shared" si="233"/>
        <v>0</v>
      </c>
    </row>
    <row r="75" spans="1:125" x14ac:dyDescent="0.2"/>
    <row r="76" spans="1:125" s="395" customFormat="1" ht="15.75" x14ac:dyDescent="0.25">
      <c r="A76" s="375"/>
      <c r="B76" s="375" t="s">
        <v>166</v>
      </c>
      <c r="C76" s="375"/>
      <c r="D76" s="375"/>
      <c r="E76" s="375"/>
      <c r="F76" s="375"/>
      <c r="G76" s="375"/>
      <c r="H76" s="375"/>
      <c r="I76" s="375"/>
      <c r="J76" s="375"/>
      <c r="K76" s="615"/>
      <c r="L76" s="375"/>
      <c r="M76" s="375"/>
      <c r="N76" s="375"/>
      <c r="O76" s="376"/>
      <c r="P76" s="393"/>
      <c r="Q76" s="393"/>
      <c r="R76" s="393"/>
      <c r="S76" s="393"/>
      <c r="T76" s="393"/>
      <c r="U76" s="393"/>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c r="CA76" s="393"/>
      <c r="CB76" s="393"/>
      <c r="CC76" s="393"/>
      <c r="CD76" s="393"/>
      <c r="CE76" s="393"/>
      <c r="CF76" s="393"/>
      <c r="CG76" s="393"/>
      <c r="CH76" s="393"/>
      <c r="CI76" s="393"/>
      <c r="CJ76" s="393"/>
      <c r="CK76" s="393"/>
      <c r="CL76" s="393"/>
      <c r="CM76" s="393"/>
      <c r="CN76" s="393"/>
      <c r="CO76" s="393"/>
      <c r="CP76" s="393"/>
      <c r="CQ76" s="393"/>
      <c r="CR76" s="393"/>
      <c r="CS76" s="393"/>
      <c r="CT76" s="393"/>
      <c r="CU76" s="393"/>
      <c r="CV76" s="393"/>
      <c r="CW76" s="393"/>
      <c r="CX76" s="393"/>
      <c r="CY76" s="393"/>
      <c r="CZ76" s="393"/>
      <c r="DA76" s="393"/>
      <c r="DB76" s="393"/>
      <c r="DC76" s="393"/>
      <c r="DD76" s="393"/>
      <c r="DE76" s="393"/>
      <c r="DF76" s="393"/>
      <c r="DG76" s="393"/>
      <c r="DH76" s="393"/>
      <c r="DI76" s="393"/>
      <c r="DJ76" s="393"/>
      <c r="DK76" s="393"/>
      <c r="DL76" s="393"/>
      <c r="DM76" s="393"/>
      <c r="DN76" s="393"/>
      <c r="DO76" s="393"/>
      <c r="DP76" s="394"/>
      <c r="DQ76" s="393"/>
      <c r="DR76" s="393"/>
      <c r="DS76" s="393"/>
      <c r="DT76" s="393"/>
      <c r="DU76" s="393"/>
    </row>
    <row r="77" spans="1:125" x14ac:dyDescent="0.2">
      <c r="A77" s="186"/>
      <c r="B77" s="186"/>
      <c r="C77" s="186"/>
      <c r="D77" s="186"/>
      <c r="E77" s="186"/>
      <c r="F77" s="186"/>
      <c r="G77" s="186"/>
      <c r="H77" s="186"/>
      <c r="I77" s="186"/>
      <c r="J77" s="186"/>
      <c r="K77" s="367"/>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row>
    <row r="78" spans="1:125" x14ac:dyDescent="0.2">
      <c r="A78" s="186"/>
      <c r="B78" s="396" t="s">
        <v>167</v>
      </c>
      <c r="C78" s="186"/>
      <c r="D78" s="186"/>
      <c r="E78" s="186"/>
      <c r="F78" s="186"/>
      <c r="G78" s="186"/>
      <c r="H78" s="186"/>
      <c r="I78" s="186"/>
      <c r="J78" s="186"/>
      <c r="K78" s="367"/>
      <c r="L78" s="397"/>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row>
    <row r="79" spans="1:125" x14ac:dyDescent="0.2">
      <c r="A79" s="186"/>
      <c r="B79" s="186"/>
      <c r="C79" s="186"/>
      <c r="D79" s="186"/>
      <c r="E79" s="186"/>
      <c r="F79" s="186"/>
      <c r="G79" s="186"/>
      <c r="H79" s="186"/>
      <c r="I79" s="186"/>
      <c r="J79" s="186"/>
      <c r="K79" s="367"/>
      <c r="L79" s="398"/>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row>
    <row r="80" spans="1:125" x14ac:dyDescent="0.2">
      <c r="A80" s="186"/>
      <c r="B80" s="186" t="s">
        <v>330</v>
      </c>
      <c r="C80" s="186"/>
      <c r="D80" s="186"/>
      <c r="E80" s="186"/>
      <c r="F80" s="186"/>
      <c r="G80" s="186"/>
      <c r="H80" s="186"/>
      <c r="I80" s="186"/>
      <c r="J80" s="186"/>
      <c r="K80" s="620">
        <f>Inputs!L154</f>
        <v>44012</v>
      </c>
      <c r="L80" s="370"/>
      <c r="M80" s="370"/>
      <c r="N80" s="186"/>
      <c r="O80" s="186"/>
      <c r="P80" s="186"/>
      <c r="Q80" s="371">
        <f>+Q166</f>
        <v>0</v>
      </c>
      <c r="R80" s="371">
        <f t="shared" ref="R80:BJ80" si="234">+R166</f>
        <v>0</v>
      </c>
      <c r="S80" s="371">
        <f t="shared" si="234"/>
        <v>0</v>
      </c>
      <c r="T80" s="371">
        <f t="shared" si="234"/>
        <v>0</v>
      </c>
      <c r="U80" s="371">
        <f t="shared" si="234"/>
        <v>1</v>
      </c>
      <c r="V80" s="371">
        <f t="shared" si="234"/>
        <v>0</v>
      </c>
      <c r="W80" s="371">
        <f t="shared" si="234"/>
        <v>0</v>
      </c>
      <c r="X80" s="371">
        <f t="shared" si="234"/>
        <v>0</v>
      </c>
      <c r="Y80" s="371">
        <f t="shared" si="234"/>
        <v>0</v>
      </c>
      <c r="Z80" s="371">
        <f t="shared" si="234"/>
        <v>0</v>
      </c>
      <c r="AA80" s="371">
        <f t="shared" si="234"/>
        <v>0</v>
      </c>
      <c r="AB80" s="371">
        <f t="shared" si="234"/>
        <v>0</v>
      </c>
      <c r="AC80" s="371">
        <f t="shared" si="234"/>
        <v>0</v>
      </c>
      <c r="AD80" s="371">
        <f t="shared" si="234"/>
        <v>0</v>
      </c>
      <c r="AE80" s="371">
        <f t="shared" si="234"/>
        <v>0</v>
      </c>
      <c r="AF80" s="371">
        <f t="shared" si="234"/>
        <v>0</v>
      </c>
      <c r="AG80" s="371">
        <f t="shared" si="234"/>
        <v>0</v>
      </c>
      <c r="AH80" s="371">
        <f t="shared" si="234"/>
        <v>0</v>
      </c>
      <c r="AI80" s="371">
        <f t="shared" si="234"/>
        <v>0</v>
      </c>
      <c r="AJ80" s="371">
        <f t="shared" si="234"/>
        <v>0</v>
      </c>
      <c r="AK80" s="371">
        <f t="shared" si="234"/>
        <v>0</v>
      </c>
      <c r="AL80" s="371">
        <f t="shared" si="234"/>
        <v>0</v>
      </c>
      <c r="AM80" s="371">
        <f t="shared" si="234"/>
        <v>0</v>
      </c>
      <c r="AN80" s="371">
        <f t="shared" si="234"/>
        <v>0</v>
      </c>
      <c r="AO80" s="371">
        <f t="shared" si="234"/>
        <v>0</v>
      </c>
      <c r="AP80" s="371">
        <f t="shared" si="234"/>
        <v>0</v>
      </c>
      <c r="AQ80" s="371">
        <f t="shared" si="234"/>
        <v>0</v>
      </c>
      <c r="AR80" s="371">
        <f t="shared" si="234"/>
        <v>0</v>
      </c>
      <c r="AS80" s="371">
        <f t="shared" si="234"/>
        <v>0</v>
      </c>
      <c r="AT80" s="371">
        <f t="shared" si="234"/>
        <v>0</v>
      </c>
      <c r="AU80" s="371">
        <f t="shared" si="234"/>
        <v>0</v>
      </c>
      <c r="AV80" s="371">
        <f t="shared" si="234"/>
        <v>0</v>
      </c>
      <c r="AW80" s="371">
        <f t="shared" si="234"/>
        <v>0</v>
      </c>
      <c r="AX80" s="371">
        <f t="shared" si="234"/>
        <v>0</v>
      </c>
      <c r="AY80" s="371">
        <f t="shared" si="234"/>
        <v>0</v>
      </c>
      <c r="AZ80" s="371">
        <f t="shared" si="234"/>
        <v>0</v>
      </c>
      <c r="BA80" s="371">
        <f t="shared" si="234"/>
        <v>0</v>
      </c>
      <c r="BB80" s="371">
        <f t="shared" si="234"/>
        <v>0</v>
      </c>
      <c r="BC80" s="371">
        <f t="shared" si="234"/>
        <v>0</v>
      </c>
      <c r="BD80" s="371">
        <f t="shared" si="234"/>
        <v>0</v>
      </c>
      <c r="BE80" s="371">
        <f t="shared" si="234"/>
        <v>0</v>
      </c>
      <c r="BF80" s="371">
        <f t="shared" si="234"/>
        <v>0</v>
      </c>
      <c r="BG80" s="371">
        <f t="shared" si="234"/>
        <v>0</v>
      </c>
      <c r="BH80" s="371">
        <f t="shared" si="234"/>
        <v>0</v>
      </c>
      <c r="BI80" s="371">
        <f t="shared" si="234"/>
        <v>0</v>
      </c>
      <c r="BJ80" s="371">
        <f t="shared" si="234"/>
        <v>0</v>
      </c>
      <c r="BK80" s="371">
        <f t="shared" ref="BK80:BU80" si="235">+BK166</f>
        <v>0</v>
      </c>
      <c r="BL80" s="371">
        <f t="shared" si="235"/>
        <v>0</v>
      </c>
      <c r="BM80" s="371">
        <f t="shared" si="235"/>
        <v>0</v>
      </c>
      <c r="BN80" s="371">
        <f t="shared" si="235"/>
        <v>0</v>
      </c>
      <c r="BO80" s="371">
        <f t="shared" si="235"/>
        <v>0</v>
      </c>
      <c r="BP80" s="371">
        <f t="shared" si="235"/>
        <v>0</v>
      </c>
      <c r="BQ80" s="371">
        <f t="shared" si="235"/>
        <v>0</v>
      </c>
      <c r="BR80" s="371">
        <f t="shared" si="235"/>
        <v>0</v>
      </c>
      <c r="BS80" s="371">
        <f t="shared" si="235"/>
        <v>0</v>
      </c>
      <c r="BT80" s="371">
        <f t="shared" si="235"/>
        <v>0</v>
      </c>
      <c r="BU80" s="371">
        <f t="shared" si="235"/>
        <v>0</v>
      </c>
    </row>
    <row r="81" spans="1:73" x14ac:dyDescent="0.2">
      <c r="A81" s="186"/>
      <c r="B81" s="186"/>
      <c r="M81" s="370"/>
      <c r="N81" s="374"/>
      <c r="O81" s="186"/>
      <c r="P81" s="186"/>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4"/>
      <c r="AZ81" s="374"/>
      <c r="BA81" s="374"/>
      <c r="BB81" s="374"/>
      <c r="BC81" s="374"/>
      <c r="BD81" s="374"/>
      <c r="BE81" s="374"/>
      <c r="BF81" s="374"/>
      <c r="BG81" s="374"/>
      <c r="BH81" s="374"/>
      <c r="BI81" s="374"/>
      <c r="BJ81" s="374"/>
      <c r="BK81" s="374"/>
      <c r="BL81" s="374"/>
      <c r="BM81" s="374"/>
      <c r="BN81" s="374"/>
      <c r="BO81" s="374"/>
      <c r="BP81" s="374"/>
      <c r="BQ81" s="374"/>
      <c r="BR81" s="374"/>
      <c r="BS81" s="374"/>
      <c r="BT81" s="374"/>
      <c r="BU81" s="374"/>
    </row>
    <row r="82" spans="1:73" x14ac:dyDescent="0.2">
      <c r="A82" s="186"/>
      <c r="B82" s="186"/>
      <c r="C82" s="186" t="s">
        <v>331</v>
      </c>
      <c r="D82" s="186"/>
      <c r="E82" s="186"/>
      <c r="F82" s="186"/>
      <c r="G82" s="186"/>
      <c r="H82" s="186"/>
      <c r="I82" s="186"/>
      <c r="J82" s="186"/>
      <c r="K82" s="367" t="s">
        <v>20</v>
      </c>
      <c r="L82" s="370"/>
      <c r="M82" s="370"/>
      <c r="N82" s="374"/>
      <c r="O82" s="186"/>
      <c r="P82" s="186"/>
      <c r="Q82" s="399">
        <f t="shared" ref="Q82:AV82" si="236">+IF(AND($K$80&gt;=Q8,$K$80&lt;=Q9),0.5,IF(AND($K$80&gt;=Q8,$K$80&gt;=Q9),1,0))</f>
        <v>1</v>
      </c>
      <c r="R82" s="399">
        <f t="shared" si="236"/>
        <v>1</v>
      </c>
      <c r="S82" s="399">
        <f t="shared" si="236"/>
        <v>1</v>
      </c>
      <c r="T82" s="399">
        <f t="shared" si="236"/>
        <v>1</v>
      </c>
      <c r="U82" s="399">
        <f t="shared" si="236"/>
        <v>0.5</v>
      </c>
      <c r="V82" s="399">
        <f t="shared" si="236"/>
        <v>0</v>
      </c>
      <c r="W82" s="399">
        <f t="shared" si="236"/>
        <v>0</v>
      </c>
      <c r="X82" s="399">
        <f t="shared" si="236"/>
        <v>0</v>
      </c>
      <c r="Y82" s="399">
        <f t="shared" si="236"/>
        <v>0</v>
      </c>
      <c r="Z82" s="399">
        <f t="shared" si="236"/>
        <v>0</v>
      </c>
      <c r="AA82" s="399">
        <f t="shared" si="236"/>
        <v>0</v>
      </c>
      <c r="AB82" s="399">
        <f t="shared" si="236"/>
        <v>0</v>
      </c>
      <c r="AC82" s="399">
        <f t="shared" si="236"/>
        <v>0</v>
      </c>
      <c r="AD82" s="399">
        <f t="shared" si="236"/>
        <v>0</v>
      </c>
      <c r="AE82" s="399">
        <f t="shared" si="236"/>
        <v>0</v>
      </c>
      <c r="AF82" s="399">
        <f t="shared" si="236"/>
        <v>0</v>
      </c>
      <c r="AG82" s="399">
        <f t="shared" si="236"/>
        <v>0</v>
      </c>
      <c r="AH82" s="399">
        <f t="shared" si="236"/>
        <v>0</v>
      </c>
      <c r="AI82" s="399">
        <f t="shared" si="236"/>
        <v>0</v>
      </c>
      <c r="AJ82" s="399">
        <f t="shared" si="236"/>
        <v>0</v>
      </c>
      <c r="AK82" s="399">
        <f t="shared" si="236"/>
        <v>0</v>
      </c>
      <c r="AL82" s="399">
        <f t="shared" si="236"/>
        <v>0</v>
      </c>
      <c r="AM82" s="399">
        <f t="shared" si="236"/>
        <v>0</v>
      </c>
      <c r="AN82" s="399">
        <f t="shared" si="236"/>
        <v>0</v>
      </c>
      <c r="AO82" s="399">
        <f t="shared" si="236"/>
        <v>0</v>
      </c>
      <c r="AP82" s="399">
        <f t="shared" si="236"/>
        <v>0</v>
      </c>
      <c r="AQ82" s="399">
        <f t="shared" si="236"/>
        <v>0</v>
      </c>
      <c r="AR82" s="399">
        <f t="shared" si="236"/>
        <v>0</v>
      </c>
      <c r="AS82" s="399">
        <f t="shared" si="236"/>
        <v>0</v>
      </c>
      <c r="AT82" s="399">
        <f t="shared" si="236"/>
        <v>0</v>
      </c>
      <c r="AU82" s="399">
        <f t="shared" si="236"/>
        <v>0</v>
      </c>
      <c r="AV82" s="399">
        <f t="shared" si="236"/>
        <v>0</v>
      </c>
      <c r="AW82" s="399">
        <f t="shared" ref="AW82:BU82" si="237">+IF(AND($K$80&gt;=AW8,$K$80&lt;=AW9),0.5,IF(AND($K$80&gt;=AW8,$K$80&gt;=AW9),1,0))</f>
        <v>0</v>
      </c>
      <c r="AX82" s="399">
        <f t="shared" si="237"/>
        <v>0</v>
      </c>
      <c r="AY82" s="399">
        <f t="shared" si="237"/>
        <v>0</v>
      </c>
      <c r="AZ82" s="399">
        <f t="shared" si="237"/>
        <v>0</v>
      </c>
      <c r="BA82" s="399">
        <f t="shared" si="237"/>
        <v>0</v>
      </c>
      <c r="BB82" s="399">
        <f t="shared" si="237"/>
        <v>0</v>
      </c>
      <c r="BC82" s="399">
        <f t="shared" si="237"/>
        <v>0</v>
      </c>
      <c r="BD82" s="399">
        <f t="shared" si="237"/>
        <v>0</v>
      </c>
      <c r="BE82" s="399">
        <f t="shared" si="237"/>
        <v>0</v>
      </c>
      <c r="BF82" s="399">
        <f t="shared" si="237"/>
        <v>0</v>
      </c>
      <c r="BG82" s="399">
        <f t="shared" si="237"/>
        <v>0</v>
      </c>
      <c r="BH82" s="399">
        <f t="shared" si="237"/>
        <v>0</v>
      </c>
      <c r="BI82" s="399">
        <f t="shared" si="237"/>
        <v>0</v>
      </c>
      <c r="BJ82" s="399">
        <f t="shared" si="237"/>
        <v>0</v>
      </c>
      <c r="BK82" s="399">
        <f t="shared" si="237"/>
        <v>0</v>
      </c>
      <c r="BL82" s="399">
        <f t="shared" si="237"/>
        <v>0</v>
      </c>
      <c r="BM82" s="399">
        <f t="shared" si="237"/>
        <v>0</v>
      </c>
      <c r="BN82" s="399">
        <f t="shared" si="237"/>
        <v>0</v>
      </c>
      <c r="BO82" s="399">
        <f t="shared" si="237"/>
        <v>0</v>
      </c>
      <c r="BP82" s="399">
        <f t="shared" si="237"/>
        <v>0</v>
      </c>
      <c r="BQ82" s="399">
        <f t="shared" si="237"/>
        <v>0</v>
      </c>
      <c r="BR82" s="399">
        <f t="shared" si="237"/>
        <v>0</v>
      </c>
      <c r="BS82" s="399">
        <f t="shared" si="237"/>
        <v>0</v>
      </c>
      <c r="BT82" s="399">
        <f t="shared" si="237"/>
        <v>0</v>
      </c>
      <c r="BU82" s="399">
        <f t="shared" si="237"/>
        <v>0</v>
      </c>
    </row>
    <row r="83" spans="1:73" x14ac:dyDescent="0.2">
      <c r="A83" s="186"/>
      <c r="B83" s="186"/>
      <c r="C83" s="186"/>
      <c r="D83" s="186"/>
      <c r="E83" s="186"/>
      <c r="F83" s="186"/>
      <c r="G83" s="186"/>
      <c r="H83" s="186"/>
      <c r="I83" s="186"/>
      <c r="J83" s="186"/>
      <c r="K83" s="367"/>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row>
    <row r="84" spans="1:73" x14ac:dyDescent="0.2">
      <c r="A84" s="186"/>
      <c r="B84" s="396" t="s">
        <v>173</v>
      </c>
      <c r="C84" s="186"/>
      <c r="D84" s="186"/>
      <c r="E84" s="186"/>
      <c r="F84" s="186"/>
      <c r="G84" s="186"/>
      <c r="H84" s="186"/>
      <c r="I84" s="186"/>
      <c r="J84" s="186"/>
      <c r="K84" s="367"/>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row>
    <row r="85" spans="1:73" x14ac:dyDescent="0.2">
      <c r="A85" s="186"/>
      <c r="B85" s="186"/>
      <c r="C85" s="400" t="s">
        <v>328</v>
      </c>
      <c r="D85" s="401"/>
      <c r="E85" s="401"/>
      <c r="F85" s="401"/>
      <c r="G85" s="401"/>
      <c r="H85" s="401"/>
      <c r="I85" s="401"/>
      <c r="J85" s="401"/>
      <c r="K85" s="621" t="s">
        <v>20</v>
      </c>
      <c r="L85" s="401"/>
      <c r="M85" s="401"/>
      <c r="N85" s="401"/>
      <c r="O85" s="402"/>
      <c r="P85" s="400"/>
      <c r="Q85" s="403">
        <f>+Inputs!$L$119</f>
        <v>7.1150772357723588E-2</v>
      </c>
      <c r="R85" s="403">
        <f>+Inputs!$L$119</f>
        <v>7.1150772357723588E-2</v>
      </c>
      <c r="S85" s="403">
        <f>+Inputs!$L$119</f>
        <v>7.1150772357723588E-2</v>
      </c>
      <c r="T85" s="403">
        <f>+Inputs!$L$119</f>
        <v>7.1150772357723588E-2</v>
      </c>
      <c r="U85" s="403">
        <f>+Inputs!$L$119</f>
        <v>7.1150772357723588E-2</v>
      </c>
      <c r="V85" s="403">
        <f>+Inputs!$L$119</f>
        <v>7.1150772357723588E-2</v>
      </c>
      <c r="W85" s="403">
        <f>+Inputs!$L$119</f>
        <v>7.1150772357723588E-2</v>
      </c>
      <c r="X85" s="403">
        <f>+Inputs!$L$119</f>
        <v>7.1150772357723588E-2</v>
      </c>
      <c r="Y85" s="403">
        <f>+Inputs!$L$119</f>
        <v>7.1150772357723588E-2</v>
      </c>
      <c r="Z85" s="403">
        <f>+Inputs!$L$119</f>
        <v>7.1150772357723588E-2</v>
      </c>
      <c r="AA85" s="403">
        <f>+Inputs!$L$119</f>
        <v>7.1150772357723588E-2</v>
      </c>
      <c r="AB85" s="403">
        <f>+Inputs!$L$119</f>
        <v>7.1150772357723588E-2</v>
      </c>
      <c r="AC85" s="403">
        <f>+Inputs!$L$119</f>
        <v>7.1150772357723588E-2</v>
      </c>
      <c r="AD85" s="403">
        <f>+Inputs!$L$119</f>
        <v>7.1150772357723588E-2</v>
      </c>
      <c r="AE85" s="403">
        <f>+Inputs!$L$119</f>
        <v>7.1150772357723588E-2</v>
      </c>
      <c r="AF85" s="403">
        <f>+Inputs!$L$119</f>
        <v>7.1150772357723588E-2</v>
      </c>
      <c r="AG85" s="403">
        <f>+Inputs!$L$119</f>
        <v>7.1150772357723588E-2</v>
      </c>
      <c r="AH85" s="403">
        <f>+Inputs!$L$119</f>
        <v>7.1150772357723588E-2</v>
      </c>
      <c r="AI85" s="403">
        <f>+Inputs!$L$119</f>
        <v>7.1150772357723588E-2</v>
      </c>
      <c r="AJ85" s="403">
        <f>+Inputs!$L$119</f>
        <v>7.1150772357723588E-2</v>
      </c>
      <c r="AK85" s="403">
        <f>+Inputs!$L$119</f>
        <v>7.1150772357723588E-2</v>
      </c>
      <c r="AL85" s="403">
        <f>+Inputs!$L$119</f>
        <v>7.1150772357723588E-2</v>
      </c>
      <c r="AM85" s="403">
        <f>+Inputs!$L$119</f>
        <v>7.1150772357723588E-2</v>
      </c>
      <c r="AN85" s="403">
        <f>+Inputs!$L$119</f>
        <v>7.1150772357723588E-2</v>
      </c>
      <c r="AO85" s="403">
        <f>+Inputs!$L$119</f>
        <v>7.1150772357723588E-2</v>
      </c>
      <c r="AP85" s="403">
        <f>+Inputs!$L$119</f>
        <v>7.1150772357723588E-2</v>
      </c>
      <c r="AQ85" s="403">
        <f>+Inputs!$L$119</f>
        <v>7.1150772357723588E-2</v>
      </c>
      <c r="AR85" s="403">
        <f>+Inputs!$L$119</f>
        <v>7.1150772357723588E-2</v>
      </c>
      <c r="AS85" s="403">
        <f>+Inputs!$L$119</f>
        <v>7.1150772357723588E-2</v>
      </c>
      <c r="AT85" s="403">
        <f>+Inputs!$L$119</f>
        <v>7.1150772357723588E-2</v>
      </c>
      <c r="AU85" s="403">
        <f>+Inputs!$L$119</f>
        <v>7.1150772357723588E-2</v>
      </c>
      <c r="AV85" s="403">
        <f>+Inputs!$L$119</f>
        <v>7.1150772357723588E-2</v>
      </c>
      <c r="AW85" s="403">
        <f>+Inputs!$L$119</f>
        <v>7.1150772357723588E-2</v>
      </c>
      <c r="AX85" s="403">
        <f>+Inputs!$L$119</f>
        <v>7.1150772357723588E-2</v>
      </c>
      <c r="AY85" s="403">
        <f>+Inputs!$L$119</f>
        <v>7.1150772357723588E-2</v>
      </c>
      <c r="AZ85" s="403">
        <f>+Inputs!$L$119</f>
        <v>7.1150772357723588E-2</v>
      </c>
      <c r="BA85" s="403">
        <f>+Inputs!$L$119</f>
        <v>7.1150772357723588E-2</v>
      </c>
      <c r="BB85" s="403">
        <f>+Inputs!$L$119</f>
        <v>7.1150772357723588E-2</v>
      </c>
      <c r="BC85" s="403">
        <f>+Inputs!$L$119</f>
        <v>7.1150772357723588E-2</v>
      </c>
      <c r="BD85" s="403">
        <f>+Inputs!$L$119</f>
        <v>7.1150772357723588E-2</v>
      </c>
      <c r="BE85" s="403">
        <f>+Inputs!$L$119</f>
        <v>7.1150772357723588E-2</v>
      </c>
      <c r="BF85" s="403">
        <f>+Inputs!$L$119</f>
        <v>7.1150772357723588E-2</v>
      </c>
      <c r="BG85" s="403">
        <f>+Inputs!$L$119</f>
        <v>7.1150772357723588E-2</v>
      </c>
      <c r="BH85" s="403">
        <f>+Inputs!$L$119</f>
        <v>7.1150772357723588E-2</v>
      </c>
      <c r="BI85" s="403">
        <f>+Inputs!$L$119</f>
        <v>7.1150772357723588E-2</v>
      </c>
      <c r="BJ85" s="403">
        <f>+Inputs!$L$119</f>
        <v>7.1150772357723588E-2</v>
      </c>
      <c r="BK85" s="404">
        <v>7.1150772357723588E-2</v>
      </c>
      <c r="BL85" s="404">
        <v>7.1150772357723588E-2</v>
      </c>
      <c r="BM85" s="404">
        <v>7.1150772357723588E-2</v>
      </c>
      <c r="BN85" s="404">
        <v>7.1150772357723588E-2</v>
      </c>
      <c r="BO85" s="404">
        <v>7.1150772357723588E-2</v>
      </c>
      <c r="BP85" s="404">
        <v>7.1150772357723588E-2</v>
      </c>
      <c r="BQ85" s="404">
        <v>7.1150772357723588E-2</v>
      </c>
      <c r="BR85" s="404">
        <v>7.1150772357723588E-2</v>
      </c>
      <c r="BS85" s="404">
        <v>7.1150772357723588E-2</v>
      </c>
      <c r="BT85" s="404">
        <v>7.1150772357723588E-2</v>
      </c>
      <c r="BU85" s="404">
        <v>7.1150772357723588E-2</v>
      </c>
    </row>
    <row r="86" spans="1:73" x14ac:dyDescent="0.2">
      <c r="A86" s="186"/>
      <c r="B86" s="186"/>
      <c r="C86" s="186"/>
      <c r="D86" s="186"/>
      <c r="E86" s="405"/>
      <c r="F86" s="405"/>
      <c r="G86" s="186"/>
      <c r="H86" s="186"/>
      <c r="I86" s="406"/>
      <c r="J86" s="406"/>
      <c r="K86" s="406"/>
      <c r="L86" s="406"/>
      <c r="M86" s="406"/>
      <c r="N86" s="406"/>
      <c r="O86" s="406"/>
      <c r="P86" s="406"/>
      <c r="Q86" s="407"/>
      <c r="R86" s="407"/>
      <c r="S86" s="407"/>
      <c r="T86" s="407"/>
      <c r="U86" s="407"/>
      <c r="V86" s="407"/>
      <c r="W86" s="407"/>
      <c r="X86" s="407"/>
      <c r="Y86" s="407"/>
      <c r="Z86" s="407"/>
      <c r="AA86" s="407"/>
      <c r="AB86" s="407"/>
      <c r="AC86" s="407"/>
      <c r="AD86" s="407"/>
      <c r="AE86" s="407"/>
      <c r="AF86" s="407"/>
      <c r="AG86" s="407"/>
      <c r="AH86" s="407"/>
      <c r="AI86" s="407"/>
      <c r="AJ86" s="407"/>
      <c r="AK86" s="407"/>
      <c r="AL86" s="407"/>
      <c r="AM86" s="407"/>
      <c r="AN86" s="407"/>
      <c r="AO86" s="407"/>
      <c r="AP86" s="407"/>
      <c r="AQ86" s="407"/>
      <c r="AR86" s="407"/>
      <c r="AS86" s="407"/>
      <c r="AT86" s="407"/>
      <c r="AU86" s="407"/>
      <c r="AV86" s="407"/>
      <c r="AW86" s="407"/>
      <c r="AX86" s="407"/>
      <c r="AY86" s="407"/>
      <c r="AZ86" s="407"/>
      <c r="BA86" s="407"/>
      <c r="BB86" s="407"/>
      <c r="BC86" s="407"/>
      <c r="BD86" s="407"/>
      <c r="BE86" s="407"/>
      <c r="BF86" s="407"/>
      <c r="BG86" s="407"/>
      <c r="BH86" s="407"/>
      <c r="BI86" s="407"/>
      <c r="BJ86" s="407"/>
      <c r="BK86" s="407"/>
      <c r="BL86" s="407"/>
      <c r="BM86" s="407"/>
      <c r="BN86" s="407"/>
      <c r="BO86" s="407"/>
      <c r="BP86" s="407"/>
      <c r="BQ86" s="407"/>
      <c r="BR86" s="407"/>
      <c r="BS86" s="407"/>
      <c r="BT86" s="407"/>
      <c r="BU86" s="407"/>
    </row>
    <row r="87" spans="1:73" x14ac:dyDescent="0.2">
      <c r="A87" s="186"/>
      <c r="B87" s="396" t="s">
        <v>132</v>
      </c>
      <c r="C87" s="186"/>
      <c r="D87" s="186"/>
      <c r="E87" s="186"/>
      <c r="F87" s="186"/>
      <c r="G87" s="186"/>
      <c r="H87" s="186"/>
      <c r="I87" s="186"/>
      <c r="J87" s="186"/>
      <c r="K87" s="367"/>
      <c r="L87" s="186"/>
      <c r="M87" s="186"/>
      <c r="N87" s="374"/>
      <c r="O87" s="186"/>
      <c r="P87" s="186"/>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4"/>
      <c r="BN87" s="374"/>
      <c r="BO87" s="374"/>
      <c r="BP87" s="374"/>
      <c r="BQ87" s="374"/>
      <c r="BR87" s="374"/>
      <c r="BS87" s="374"/>
      <c r="BT87" s="374"/>
      <c r="BU87" s="374"/>
    </row>
    <row r="88" spans="1:73" x14ac:dyDescent="0.2">
      <c r="A88" s="186"/>
      <c r="B88" s="186"/>
      <c r="C88" s="186" t="s">
        <v>88</v>
      </c>
      <c r="D88" s="186"/>
      <c r="E88" s="186"/>
      <c r="F88" s="186"/>
      <c r="G88" s="186"/>
      <c r="H88" s="186"/>
      <c r="I88" s="186"/>
      <c r="J88" s="186"/>
      <c r="K88" s="367" t="s">
        <v>63</v>
      </c>
      <c r="L88" s="186"/>
      <c r="M88" s="186"/>
      <c r="N88" s="186"/>
      <c r="O88" s="186"/>
      <c r="P88" s="186"/>
      <c r="Q88" s="550"/>
      <c r="R88" s="741">
        <f>Inputs!$L$237</f>
        <v>615000.38086000003</v>
      </c>
      <c r="S88" s="374">
        <f t="shared" ref="S88:AO88" si="238">R93</f>
        <v>615000.38086000003</v>
      </c>
      <c r="T88" s="374">
        <f t="shared" si="238"/>
        <v>615000.38086000003</v>
      </c>
      <c r="U88" s="374">
        <f t="shared" si="238"/>
        <v>615000.38086000003</v>
      </c>
      <c r="V88" s="374">
        <f t="shared" si="238"/>
        <v>0</v>
      </c>
      <c r="W88" s="374">
        <f t="shared" si="238"/>
        <v>0</v>
      </c>
      <c r="X88" s="374">
        <f t="shared" si="238"/>
        <v>0</v>
      </c>
      <c r="Y88" s="374">
        <f t="shared" si="238"/>
        <v>0</v>
      </c>
      <c r="Z88" s="374">
        <f t="shared" si="238"/>
        <v>0</v>
      </c>
      <c r="AA88" s="374">
        <f t="shared" si="238"/>
        <v>0</v>
      </c>
      <c r="AB88" s="374">
        <f t="shared" si="238"/>
        <v>0</v>
      </c>
      <c r="AC88" s="374">
        <f t="shared" si="238"/>
        <v>0</v>
      </c>
      <c r="AD88" s="374">
        <f t="shared" si="238"/>
        <v>0</v>
      </c>
      <c r="AE88" s="374">
        <f t="shared" si="238"/>
        <v>0</v>
      </c>
      <c r="AF88" s="374">
        <f t="shared" si="238"/>
        <v>0</v>
      </c>
      <c r="AG88" s="374">
        <f t="shared" si="238"/>
        <v>0</v>
      </c>
      <c r="AH88" s="374">
        <f t="shared" si="238"/>
        <v>0</v>
      </c>
      <c r="AI88" s="374">
        <f t="shared" si="238"/>
        <v>0</v>
      </c>
      <c r="AJ88" s="374">
        <f t="shared" si="238"/>
        <v>0</v>
      </c>
      <c r="AK88" s="374">
        <f t="shared" si="238"/>
        <v>0</v>
      </c>
      <c r="AL88" s="374">
        <f t="shared" si="238"/>
        <v>0</v>
      </c>
      <c r="AM88" s="374">
        <f t="shared" si="238"/>
        <v>0</v>
      </c>
      <c r="AN88" s="374">
        <f t="shared" si="238"/>
        <v>0</v>
      </c>
      <c r="AO88" s="374">
        <f t="shared" si="238"/>
        <v>0</v>
      </c>
      <c r="AP88" s="374">
        <f t="shared" ref="AP88:BU88" si="239">AO93</f>
        <v>0</v>
      </c>
      <c r="AQ88" s="374">
        <f t="shared" si="239"/>
        <v>0</v>
      </c>
      <c r="AR88" s="374">
        <f t="shared" si="239"/>
        <v>0</v>
      </c>
      <c r="AS88" s="374">
        <f t="shared" si="239"/>
        <v>0</v>
      </c>
      <c r="AT88" s="374">
        <f t="shared" si="239"/>
        <v>0</v>
      </c>
      <c r="AU88" s="374">
        <f t="shared" si="239"/>
        <v>0</v>
      </c>
      <c r="AV88" s="374">
        <f t="shared" si="239"/>
        <v>0</v>
      </c>
      <c r="AW88" s="374">
        <f t="shared" si="239"/>
        <v>0</v>
      </c>
      <c r="AX88" s="374">
        <f t="shared" si="239"/>
        <v>0</v>
      </c>
      <c r="AY88" s="374">
        <f t="shared" si="239"/>
        <v>0</v>
      </c>
      <c r="AZ88" s="374">
        <f t="shared" si="239"/>
        <v>0</v>
      </c>
      <c r="BA88" s="374">
        <f t="shared" si="239"/>
        <v>0</v>
      </c>
      <c r="BB88" s="374">
        <f t="shared" si="239"/>
        <v>0</v>
      </c>
      <c r="BC88" s="374">
        <f t="shared" si="239"/>
        <v>0</v>
      </c>
      <c r="BD88" s="374">
        <f t="shared" si="239"/>
        <v>0</v>
      </c>
      <c r="BE88" s="374">
        <f t="shared" si="239"/>
        <v>0</v>
      </c>
      <c r="BF88" s="374">
        <f t="shared" si="239"/>
        <v>0</v>
      </c>
      <c r="BG88" s="374">
        <f t="shared" si="239"/>
        <v>0</v>
      </c>
      <c r="BH88" s="374">
        <f t="shared" si="239"/>
        <v>0</v>
      </c>
      <c r="BI88" s="374">
        <f t="shared" si="239"/>
        <v>0</v>
      </c>
      <c r="BJ88" s="374">
        <f t="shared" si="239"/>
        <v>0</v>
      </c>
      <c r="BK88" s="374">
        <f t="shared" si="239"/>
        <v>0</v>
      </c>
      <c r="BL88" s="374">
        <f t="shared" si="239"/>
        <v>0</v>
      </c>
      <c r="BM88" s="374">
        <f t="shared" si="239"/>
        <v>0</v>
      </c>
      <c r="BN88" s="374">
        <f t="shared" si="239"/>
        <v>0</v>
      </c>
      <c r="BO88" s="374">
        <f t="shared" si="239"/>
        <v>0</v>
      </c>
      <c r="BP88" s="374">
        <f t="shared" si="239"/>
        <v>0</v>
      </c>
      <c r="BQ88" s="374">
        <f t="shared" si="239"/>
        <v>0</v>
      </c>
      <c r="BR88" s="374">
        <f t="shared" si="239"/>
        <v>0</v>
      </c>
      <c r="BS88" s="374">
        <f t="shared" si="239"/>
        <v>0</v>
      </c>
      <c r="BT88" s="374">
        <f t="shared" si="239"/>
        <v>0</v>
      </c>
      <c r="BU88" s="374">
        <f t="shared" si="239"/>
        <v>0</v>
      </c>
    </row>
    <row r="89" spans="1:73" x14ac:dyDescent="0.2">
      <c r="A89" s="186"/>
      <c r="B89" s="186"/>
      <c r="C89" s="186" t="s">
        <v>176</v>
      </c>
      <c r="D89" s="186"/>
      <c r="E89" s="186"/>
      <c r="F89" s="186"/>
      <c r="G89" s="186"/>
      <c r="H89" s="186"/>
      <c r="I89" s="186"/>
      <c r="J89" s="186"/>
      <c r="K89" s="367" t="s">
        <v>63</v>
      </c>
      <c r="L89" s="186"/>
      <c r="M89" s="186"/>
      <c r="N89" s="374">
        <f>Q88</f>
        <v>0</v>
      </c>
      <c r="O89" s="186"/>
      <c r="P89" s="186"/>
      <c r="Q89" s="373"/>
      <c r="R89" s="373">
        <v>0</v>
      </c>
      <c r="S89" s="373">
        <v>0</v>
      </c>
      <c r="T89" s="373">
        <v>0</v>
      </c>
      <c r="U89" s="373">
        <v>0</v>
      </c>
      <c r="V89" s="373">
        <v>0</v>
      </c>
      <c r="W89" s="373">
        <v>0</v>
      </c>
      <c r="X89" s="373">
        <v>0</v>
      </c>
      <c r="Y89" s="373">
        <v>0</v>
      </c>
      <c r="Z89" s="373">
        <v>0</v>
      </c>
      <c r="AA89" s="373">
        <v>0</v>
      </c>
      <c r="AB89" s="373">
        <v>0</v>
      </c>
      <c r="AC89" s="373">
        <v>0</v>
      </c>
      <c r="AD89" s="373">
        <v>0</v>
      </c>
      <c r="AE89" s="373">
        <v>0</v>
      </c>
      <c r="AF89" s="373">
        <v>0</v>
      </c>
      <c r="AG89" s="373">
        <v>0</v>
      </c>
      <c r="AH89" s="373">
        <v>0</v>
      </c>
      <c r="AI89" s="373">
        <v>0</v>
      </c>
      <c r="AJ89" s="373">
        <v>0</v>
      </c>
      <c r="AK89" s="373">
        <v>0</v>
      </c>
      <c r="AL89" s="373">
        <v>0</v>
      </c>
      <c r="AM89" s="373">
        <v>0</v>
      </c>
      <c r="AN89" s="373">
        <v>0</v>
      </c>
      <c r="AO89" s="373">
        <v>0</v>
      </c>
      <c r="AP89" s="373">
        <v>0</v>
      </c>
      <c r="AQ89" s="373">
        <v>0</v>
      </c>
      <c r="AR89" s="373">
        <v>0</v>
      </c>
      <c r="AS89" s="373">
        <v>0</v>
      </c>
      <c r="AT89" s="373">
        <v>0</v>
      </c>
      <c r="AU89" s="373">
        <v>0</v>
      </c>
      <c r="AV89" s="373">
        <v>0</v>
      </c>
      <c r="AW89" s="373">
        <v>0</v>
      </c>
      <c r="AX89" s="373">
        <v>0</v>
      </c>
      <c r="AY89" s="373">
        <v>0</v>
      </c>
      <c r="AZ89" s="373">
        <v>0</v>
      </c>
      <c r="BA89" s="373">
        <v>0</v>
      </c>
      <c r="BB89" s="373">
        <v>0</v>
      </c>
      <c r="BC89" s="373">
        <v>0</v>
      </c>
      <c r="BD89" s="373">
        <v>0</v>
      </c>
      <c r="BE89" s="373">
        <v>0</v>
      </c>
      <c r="BF89" s="373">
        <v>0</v>
      </c>
      <c r="BG89" s="373">
        <v>0</v>
      </c>
      <c r="BH89" s="373">
        <v>0</v>
      </c>
      <c r="BI89" s="373">
        <v>0</v>
      </c>
      <c r="BJ89" s="373">
        <v>0</v>
      </c>
      <c r="BK89" s="373">
        <v>0</v>
      </c>
      <c r="BL89" s="373">
        <v>0</v>
      </c>
      <c r="BM89" s="373">
        <v>0</v>
      </c>
      <c r="BN89" s="373">
        <v>0</v>
      </c>
      <c r="BO89" s="373">
        <v>0</v>
      </c>
      <c r="BP89" s="373">
        <v>0</v>
      </c>
      <c r="BQ89" s="373">
        <v>0</v>
      </c>
      <c r="BR89" s="373">
        <v>0</v>
      </c>
      <c r="BS89" s="373">
        <v>0</v>
      </c>
      <c r="BT89" s="373">
        <v>0</v>
      </c>
      <c r="BU89" s="373">
        <v>0</v>
      </c>
    </row>
    <row r="90" spans="1:73" x14ac:dyDescent="0.2">
      <c r="A90" s="186"/>
      <c r="B90" s="186"/>
      <c r="C90" s="186" t="s">
        <v>179</v>
      </c>
      <c r="D90" s="186"/>
      <c r="E90" s="186"/>
      <c r="F90" s="186"/>
      <c r="G90" s="186"/>
      <c r="H90" s="186"/>
      <c r="I90" s="186"/>
      <c r="J90" s="186"/>
      <c r="K90" s="367" t="s">
        <v>63</v>
      </c>
      <c r="L90" s="186"/>
      <c r="M90" s="186"/>
      <c r="N90" s="374">
        <f>SUM(Q90:BU90)</f>
        <v>153152.13234469108</v>
      </c>
      <c r="O90" s="186"/>
      <c r="P90" s="186"/>
      <c r="Q90" s="257"/>
      <c r="R90" s="257">
        <f t="shared" ref="R90:BJ90" si="240">R88*R85*R$82</f>
        <v>43757.752098483172</v>
      </c>
      <c r="S90" s="257">
        <f t="shared" si="240"/>
        <v>43757.752098483172</v>
      </c>
      <c r="T90" s="257">
        <f t="shared" si="240"/>
        <v>43757.752098483172</v>
      </c>
      <c r="U90" s="257">
        <f t="shared" si="240"/>
        <v>21878.876049241586</v>
      </c>
      <c r="V90" s="257">
        <f t="shared" si="240"/>
        <v>0</v>
      </c>
      <c r="W90" s="257">
        <f t="shared" si="240"/>
        <v>0</v>
      </c>
      <c r="X90" s="257">
        <f t="shared" si="240"/>
        <v>0</v>
      </c>
      <c r="Y90" s="257">
        <f t="shared" si="240"/>
        <v>0</v>
      </c>
      <c r="Z90" s="257">
        <f t="shared" si="240"/>
        <v>0</v>
      </c>
      <c r="AA90" s="257">
        <f t="shared" si="240"/>
        <v>0</v>
      </c>
      <c r="AB90" s="257">
        <f t="shared" si="240"/>
        <v>0</v>
      </c>
      <c r="AC90" s="257">
        <f t="shared" si="240"/>
        <v>0</v>
      </c>
      <c r="AD90" s="257">
        <f t="shared" si="240"/>
        <v>0</v>
      </c>
      <c r="AE90" s="257">
        <f t="shared" si="240"/>
        <v>0</v>
      </c>
      <c r="AF90" s="257">
        <f t="shared" si="240"/>
        <v>0</v>
      </c>
      <c r="AG90" s="257">
        <f t="shared" si="240"/>
        <v>0</v>
      </c>
      <c r="AH90" s="257">
        <f t="shared" si="240"/>
        <v>0</v>
      </c>
      <c r="AI90" s="257">
        <f t="shared" si="240"/>
        <v>0</v>
      </c>
      <c r="AJ90" s="257">
        <f t="shared" si="240"/>
        <v>0</v>
      </c>
      <c r="AK90" s="257">
        <f t="shared" si="240"/>
        <v>0</v>
      </c>
      <c r="AL90" s="257">
        <f t="shared" si="240"/>
        <v>0</v>
      </c>
      <c r="AM90" s="257">
        <f t="shared" si="240"/>
        <v>0</v>
      </c>
      <c r="AN90" s="257">
        <f t="shared" si="240"/>
        <v>0</v>
      </c>
      <c r="AO90" s="257">
        <f t="shared" si="240"/>
        <v>0</v>
      </c>
      <c r="AP90" s="257">
        <f t="shared" si="240"/>
        <v>0</v>
      </c>
      <c r="AQ90" s="257">
        <f t="shared" si="240"/>
        <v>0</v>
      </c>
      <c r="AR90" s="257">
        <f t="shared" si="240"/>
        <v>0</v>
      </c>
      <c r="AS90" s="257">
        <f t="shared" si="240"/>
        <v>0</v>
      </c>
      <c r="AT90" s="257">
        <f t="shared" si="240"/>
        <v>0</v>
      </c>
      <c r="AU90" s="257">
        <f t="shared" si="240"/>
        <v>0</v>
      </c>
      <c r="AV90" s="257">
        <f t="shared" si="240"/>
        <v>0</v>
      </c>
      <c r="AW90" s="257">
        <f t="shared" si="240"/>
        <v>0</v>
      </c>
      <c r="AX90" s="257">
        <f t="shared" si="240"/>
        <v>0</v>
      </c>
      <c r="AY90" s="257">
        <f t="shared" si="240"/>
        <v>0</v>
      </c>
      <c r="AZ90" s="257">
        <f t="shared" si="240"/>
        <v>0</v>
      </c>
      <c r="BA90" s="257">
        <f t="shared" si="240"/>
        <v>0</v>
      </c>
      <c r="BB90" s="257">
        <f t="shared" si="240"/>
        <v>0</v>
      </c>
      <c r="BC90" s="257">
        <f t="shared" si="240"/>
        <v>0</v>
      </c>
      <c r="BD90" s="257">
        <f t="shared" si="240"/>
        <v>0</v>
      </c>
      <c r="BE90" s="257">
        <f t="shared" si="240"/>
        <v>0</v>
      </c>
      <c r="BF90" s="257">
        <f t="shared" si="240"/>
        <v>0</v>
      </c>
      <c r="BG90" s="257">
        <f t="shared" si="240"/>
        <v>0</v>
      </c>
      <c r="BH90" s="257">
        <f t="shared" si="240"/>
        <v>0</v>
      </c>
      <c r="BI90" s="257">
        <f t="shared" si="240"/>
        <v>0</v>
      </c>
      <c r="BJ90" s="257">
        <f t="shared" si="240"/>
        <v>0</v>
      </c>
      <c r="BK90" s="257">
        <f t="shared" ref="BK90:BU90" si="241">BK88*$Q$85*BK$82</f>
        <v>0</v>
      </c>
      <c r="BL90" s="257">
        <f t="shared" si="241"/>
        <v>0</v>
      </c>
      <c r="BM90" s="257">
        <f t="shared" si="241"/>
        <v>0</v>
      </c>
      <c r="BN90" s="257">
        <f t="shared" si="241"/>
        <v>0</v>
      </c>
      <c r="BO90" s="257">
        <f t="shared" si="241"/>
        <v>0</v>
      </c>
      <c r="BP90" s="257">
        <f t="shared" si="241"/>
        <v>0</v>
      </c>
      <c r="BQ90" s="257">
        <f t="shared" si="241"/>
        <v>0</v>
      </c>
      <c r="BR90" s="257">
        <f t="shared" si="241"/>
        <v>0</v>
      </c>
      <c r="BS90" s="257">
        <f t="shared" si="241"/>
        <v>0</v>
      </c>
      <c r="BT90" s="257">
        <f t="shared" si="241"/>
        <v>0</v>
      </c>
      <c r="BU90" s="257">
        <f t="shared" si="241"/>
        <v>0</v>
      </c>
    </row>
    <row r="91" spans="1:73" x14ac:dyDescent="0.2">
      <c r="A91" s="186"/>
      <c r="B91" s="186"/>
      <c r="C91" s="186" t="s">
        <v>120</v>
      </c>
      <c r="D91" s="186"/>
      <c r="E91" s="186"/>
      <c r="F91" s="186"/>
      <c r="G91" s="186"/>
      <c r="H91" s="186"/>
      <c r="I91" s="186"/>
      <c r="J91" s="186"/>
      <c r="K91" s="367" t="s">
        <v>63</v>
      </c>
      <c r="L91" s="186"/>
      <c r="M91" s="186"/>
      <c r="N91" s="374">
        <f>SUM(Q91:BU91)</f>
        <v>-153152.13234469108</v>
      </c>
      <c r="O91" s="186"/>
      <c r="P91" s="186"/>
      <c r="Q91" s="374"/>
      <c r="R91" s="374">
        <f t="shared" ref="R91:BU91" si="242">-R90</f>
        <v>-43757.752098483172</v>
      </c>
      <c r="S91" s="374">
        <f t="shared" si="242"/>
        <v>-43757.752098483172</v>
      </c>
      <c r="T91" s="374">
        <f t="shared" si="242"/>
        <v>-43757.752098483172</v>
      </c>
      <c r="U91" s="374">
        <f t="shared" si="242"/>
        <v>-21878.876049241586</v>
      </c>
      <c r="V91" s="374">
        <f t="shared" si="242"/>
        <v>0</v>
      </c>
      <c r="W91" s="374">
        <f t="shared" si="242"/>
        <v>0</v>
      </c>
      <c r="X91" s="374">
        <f t="shared" si="242"/>
        <v>0</v>
      </c>
      <c r="Y91" s="374">
        <f t="shared" si="242"/>
        <v>0</v>
      </c>
      <c r="Z91" s="374">
        <f t="shared" si="242"/>
        <v>0</v>
      </c>
      <c r="AA91" s="374">
        <f t="shared" si="242"/>
        <v>0</v>
      </c>
      <c r="AB91" s="374">
        <f t="shared" si="242"/>
        <v>0</v>
      </c>
      <c r="AC91" s="374">
        <f t="shared" si="242"/>
        <v>0</v>
      </c>
      <c r="AD91" s="374">
        <f t="shared" si="242"/>
        <v>0</v>
      </c>
      <c r="AE91" s="374">
        <f t="shared" si="242"/>
        <v>0</v>
      </c>
      <c r="AF91" s="374">
        <f t="shared" si="242"/>
        <v>0</v>
      </c>
      <c r="AG91" s="374">
        <f t="shared" si="242"/>
        <v>0</v>
      </c>
      <c r="AH91" s="374">
        <f t="shared" si="242"/>
        <v>0</v>
      </c>
      <c r="AI91" s="374">
        <f t="shared" si="242"/>
        <v>0</v>
      </c>
      <c r="AJ91" s="374">
        <f t="shared" si="242"/>
        <v>0</v>
      </c>
      <c r="AK91" s="374">
        <f t="shared" si="242"/>
        <v>0</v>
      </c>
      <c r="AL91" s="374">
        <f t="shared" si="242"/>
        <v>0</v>
      </c>
      <c r="AM91" s="374">
        <f t="shared" si="242"/>
        <v>0</v>
      </c>
      <c r="AN91" s="374">
        <f t="shared" si="242"/>
        <v>0</v>
      </c>
      <c r="AO91" s="374">
        <f t="shared" si="242"/>
        <v>0</v>
      </c>
      <c r="AP91" s="374">
        <f t="shared" si="242"/>
        <v>0</v>
      </c>
      <c r="AQ91" s="374">
        <f t="shared" si="242"/>
        <v>0</v>
      </c>
      <c r="AR91" s="374">
        <f t="shared" si="242"/>
        <v>0</v>
      </c>
      <c r="AS91" s="374">
        <f t="shared" si="242"/>
        <v>0</v>
      </c>
      <c r="AT91" s="374">
        <f t="shared" si="242"/>
        <v>0</v>
      </c>
      <c r="AU91" s="374">
        <f t="shared" si="242"/>
        <v>0</v>
      </c>
      <c r="AV91" s="374">
        <f t="shared" si="242"/>
        <v>0</v>
      </c>
      <c r="AW91" s="374">
        <f t="shared" si="242"/>
        <v>0</v>
      </c>
      <c r="AX91" s="374">
        <f t="shared" si="242"/>
        <v>0</v>
      </c>
      <c r="AY91" s="374">
        <f t="shared" si="242"/>
        <v>0</v>
      </c>
      <c r="AZ91" s="374">
        <f t="shared" si="242"/>
        <v>0</v>
      </c>
      <c r="BA91" s="374">
        <f t="shared" si="242"/>
        <v>0</v>
      </c>
      <c r="BB91" s="374">
        <f t="shared" si="242"/>
        <v>0</v>
      </c>
      <c r="BC91" s="374">
        <f t="shared" si="242"/>
        <v>0</v>
      </c>
      <c r="BD91" s="374">
        <f t="shared" si="242"/>
        <v>0</v>
      </c>
      <c r="BE91" s="374">
        <f t="shared" si="242"/>
        <v>0</v>
      </c>
      <c r="BF91" s="374">
        <f t="shared" si="242"/>
        <v>0</v>
      </c>
      <c r="BG91" s="374">
        <f t="shared" si="242"/>
        <v>0</v>
      </c>
      <c r="BH91" s="374">
        <f t="shared" si="242"/>
        <v>0</v>
      </c>
      <c r="BI91" s="374">
        <f t="shared" si="242"/>
        <v>0</v>
      </c>
      <c r="BJ91" s="374">
        <f t="shared" si="242"/>
        <v>0</v>
      </c>
      <c r="BK91" s="374">
        <f t="shared" si="242"/>
        <v>0</v>
      </c>
      <c r="BL91" s="374">
        <f t="shared" si="242"/>
        <v>0</v>
      </c>
      <c r="BM91" s="374">
        <f t="shared" si="242"/>
        <v>0</v>
      </c>
      <c r="BN91" s="374">
        <f t="shared" si="242"/>
        <v>0</v>
      </c>
      <c r="BO91" s="374">
        <f t="shared" si="242"/>
        <v>0</v>
      </c>
      <c r="BP91" s="374">
        <f t="shared" si="242"/>
        <v>0</v>
      </c>
      <c r="BQ91" s="374">
        <f t="shared" si="242"/>
        <v>0</v>
      </c>
      <c r="BR91" s="374">
        <f t="shared" si="242"/>
        <v>0</v>
      </c>
      <c r="BS91" s="374">
        <f t="shared" si="242"/>
        <v>0</v>
      </c>
      <c r="BT91" s="374">
        <f t="shared" si="242"/>
        <v>0</v>
      </c>
      <c r="BU91" s="374">
        <f t="shared" si="242"/>
        <v>0</v>
      </c>
    </row>
    <row r="92" spans="1:73" x14ac:dyDescent="0.2">
      <c r="A92" s="186"/>
      <c r="B92" s="186"/>
      <c r="C92" s="383" t="s">
        <v>151</v>
      </c>
      <c r="D92" s="383"/>
      <c r="E92" s="383"/>
      <c r="F92" s="383"/>
      <c r="G92" s="383"/>
      <c r="H92" s="383"/>
      <c r="I92" s="383"/>
      <c r="J92" s="383"/>
      <c r="K92" s="617" t="s">
        <v>63</v>
      </c>
      <c r="L92" s="408"/>
      <c r="M92" s="383"/>
      <c r="N92" s="384">
        <f>SUM(Q92:BU92)</f>
        <v>-615000.38086000003</v>
      </c>
      <c r="O92" s="383"/>
      <c r="P92" s="383"/>
      <c r="Q92" s="384"/>
      <c r="R92" s="384">
        <f t="shared" ref="R92:AW92" si="243" xml:space="preserve"> - SUM(R88:R91) * R80  * $L$164</f>
        <v>0</v>
      </c>
      <c r="S92" s="384">
        <f t="shared" si="243"/>
        <v>0</v>
      </c>
      <c r="T92" s="384">
        <f t="shared" si="243"/>
        <v>0</v>
      </c>
      <c r="U92" s="384">
        <f t="shared" si="243"/>
        <v>-615000.38086000003</v>
      </c>
      <c r="V92" s="384">
        <f t="shared" si="243"/>
        <v>0</v>
      </c>
      <c r="W92" s="384">
        <f t="shared" si="243"/>
        <v>0</v>
      </c>
      <c r="X92" s="384">
        <f t="shared" si="243"/>
        <v>0</v>
      </c>
      <c r="Y92" s="384">
        <f t="shared" si="243"/>
        <v>0</v>
      </c>
      <c r="Z92" s="384">
        <f t="shared" si="243"/>
        <v>0</v>
      </c>
      <c r="AA92" s="384">
        <f t="shared" si="243"/>
        <v>0</v>
      </c>
      <c r="AB92" s="384">
        <f t="shared" si="243"/>
        <v>0</v>
      </c>
      <c r="AC92" s="384">
        <f t="shared" si="243"/>
        <v>0</v>
      </c>
      <c r="AD92" s="384">
        <f t="shared" si="243"/>
        <v>0</v>
      </c>
      <c r="AE92" s="384">
        <f t="shared" si="243"/>
        <v>0</v>
      </c>
      <c r="AF92" s="384">
        <f t="shared" si="243"/>
        <v>0</v>
      </c>
      <c r="AG92" s="384">
        <f t="shared" si="243"/>
        <v>0</v>
      </c>
      <c r="AH92" s="384">
        <f t="shared" si="243"/>
        <v>0</v>
      </c>
      <c r="AI92" s="384">
        <f t="shared" si="243"/>
        <v>0</v>
      </c>
      <c r="AJ92" s="384">
        <f t="shared" si="243"/>
        <v>0</v>
      </c>
      <c r="AK92" s="384">
        <f t="shared" si="243"/>
        <v>0</v>
      </c>
      <c r="AL92" s="384">
        <f t="shared" si="243"/>
        <v>0</v>
      </c>
      <c r="AM92" s="384">
        <f t="shared" si="243"/>
        <v>0</v>
      </c>
      <c r="AN92" s="384">
        <f t="shared" si="243"/>
        <v>0</v>
      </c>
      <c r="AO92" s="384">
        <f t="shared" si="243"/>
        <v>0</v>
      </c>
      <c r="AP92" s="384">
        <f t="shared" si="243"/>
        <v>0</v>
      </c>
      <c r="AQ92" s="384">
        <f t="shared" si="243"/>
        <v>0</v>
      </c>
      <c r="AR92" s="384">
        <f t="shared" si="243"/>
        <v>0</v>
      </c>
      <c r="AS92" s="384">
        <f t="shared" si="243"/>
        <v>0</v>
      </c>
      <c r="AT92" s="384">
        <f t="shared" si="243"/>
        <v>0</v>
      </c>
      <c r="AU92" s="384">
        <f t="shared" si="243"/>
        <v>0</v>
      </c>
      <c r="AV92" s="384">
        <f t="shared" si="243"/>
        <v>0</v>
      </c>
      <c r="AW92" s="384">
        <f t="shared" si="243"/>
        <v>0</v>
      </c>
      <c r="AX92" s="384">
        <f t="shared" ref="AX92:BU92" si="244" xml:space="preserve"> - SUM(AX88:AX91) * AX80  * $L$164</f>
        <v>0</v>
      </c>
      <c r="AY92" s="384">
        <f t="shared" si="244"/>
        <v>0</v>
      </c>
      <c r="AZ92" s="384">
        <f t="shared" si="244"/>
        <v>0</v>
      </c>
      <c r="BA92" s="384">
        <f t="shared" si="244"/>
        <v>0</v>
      </c>
      <c r="BB92" s="384">
        <f t="shared" si="244"/>
        <v>0</v>
      </c>
      <c r="BC92" s="384">
        <f t="shared" si="244"/>
        <v>0</v>
      </c>
      <c r="BD92" s="384">
        <f t="shared" si="244"/>
        <v>0</v>
      </c>
      <c r="BE92" s="384">
        <f t="shared" si="244"/>
        <v>0</v>
      </c>
      <c r="BF92" s="384">
        <f t="shared" si="244"/>
        <v>0</v>
      </c>
      <c r="BG92" s="384">
        <f t="shared" si="244"/>
        <v>0</v>
      </c>
      <c r="BH92" s="384">
        <f t="shared" si="244"/>
        <v>0</v>
      </c>
      <c r="BI92" s="384">
        <f t="shared" si="244"/>
        <v>0</v>
      </c>
      <c r="BJ92" s="384">
        <f t="shared" si="244"/>
        <v>0</v>
      </c>
      <c r="BK92" s="384">
        <f t="shared" si="244"/>
        <v>0</v>
      </c>
      <c r="BL92" s="384">
        <f t="shared" si="244"/>
        <v>0</v>
      </c>
      <c r="BM92" s="384">
        <f t="shared" si="244"/>
        <v>0</v>
      </c>
      <c r="BN92" s="384">
        <f t="shared" si="244"/>
        <v>0</v>
      </c>
      <c r="BO92" s="384">
        <f t="shared" si="244"/>
        <v>0</v>
      </c>
      <c r="BP92" s="384">
        <f t="shared" si="244"/>
        <v>0</v>
      </c>
      <c r="BQ92" s="384">
        <f t="shared" si="244"/>
        <v>0</v>
      </c>
      <c r="BR92" s="384">
        <f t="shared" si="244"/>
        <v>0</v>
      </c>
      <c r="BS92" s="384">
        <f t="shared" si="244"/>
        <v>0</v>
      </c>
      <c r="BT92" s="384">
        <f t="shared" si="244"/>
        <v>0</v>
      </c>
      <c r="BU92" s="384">
        <f t="shared" si="244"/>
        <v>0</v>
      </c>
    </row>
    <row r="93" spans="1:73" x14ac:dyDescent="0.2">
      <c r="A93" s="186"/>
      <c r="B93" s="186"/>
      <c r="C93" s="186" t="s">
        <v>89</v>
      </c>
      <c r="D93" s="186"/>
      <c r="E93" s="186"/>
      <c r="F93" s="186"/>
      <c r="G93" s="186"/>
      <c r="H93" s="186"/>
      <c r="I93" s="186"/>
      <c r="J93" s="186"/>
      <c r="K93" s="367" t="s">
        <v>63</v>
      </c>
      <c r="L93" s="186"/>
      <c r="M93" s="186"/>
      <c r="N93" s="186"/>
      <c r="O93" s="186"/>
      <c r="P93" s="186"/>
      <c r="Q93" s="374"/>
      <c r="R93" s="374">
        <f t="shared" ref="R93:AO93" si="245">SUM(R88:R92)</f>
        <v>615000.38086000003</v>
      </c>
      <c r="S93" s="374">
        <f t="shared" si="245"/>
        <v>615000.38086000003</v>
      </c>
      <c r="T93" s="374">
        <f t="shared" si="245"/>
        <v>615000.38086000003</v>
      </c>
      <c r="U93" s="374">
        <f t="shared" si="245"/>
        <v>0</v>
      </c>
      <c r="V93" s="374">
        <f t="shared" si="245"/>
        <v>0</v>
      </c>
      <c r="W93" s="374">
        <f t="shared" si="245"/>
        <v>0</v>
      </c>
      <c r="X93" s="374">
        <f t="shared" si="245"/>
        <v>0</v>
      </c>
      <c r="Y93" s="374">
        <f t="shared" si="245"/>
        <v>0</v>
      </c>
      <c r="Z93" s="374">
        <f t="shared" si="245"/>
        <v>0</v>
      </c>
      <c r="AA93" s="374">
        <f t="shared" si="245"/>
        <v>0</v>
      </c>
      <c r="AB93" s="374">
        <f t="shared" si="245"/>
        <v>0</v>
      </c>
      <c r="AC93" s="374">
        <f t="shared" si="245"/>
        <v>0</v>
      </c>
      <c r="AD93" s="374">
        <f t="shared" si="245"/>
        <v>0</v>
      </c>
      <c r="AE93" s="374">
        <f t="shared" si="245"/>
        <v>0</v>
      </c>
      <c r="AF93" s="374">
        <f t="shared" si="245"/>
        <v>0</v>
      </c>
      <c r="AG93" s="374">
        <f t="shared" si="245"/>
        <v>0</v>
      </c>
      <c r="AH93" s="374">
        <f t="shared" si="245"/>
        <v>0</v>
      </c>
      <c r="AI93" s="374">
        <f t="shared" si="245"/>
        <v>0</v>
      </c>
      <c r="AJ93" s="374">
        <f t="shared" si="245"/>
        <v>0</v>
      </c>
      <c r="AK93" s="374">
        <f t="shared" si="245"/>
        <v>0</v>
      </c>
      <c r="AL93" s="374">
        <f t="shared" si="245"/>
        <v>0</v>
      </c>
      <c r="AM93" s="374">
        <f t="shared" si="245"/>
        <v>0</v>
      </c>
      <c r="AN93" s="374">
        <f t="shared" si="245"/>
        <v>0</v>
      </c>
      <c r="AO93" s="374">
        <f t="shared" si="245"/>
        <v>0</v>
      </c>
      <c r="AP93" s="374">
        <f t="shared" ref="AP93:BU93" si="246">SUM(AP88:AP92)</f>
        <v>0</v>
      </c>
      <c r="AQ93" s="374">
        <f t="shared" si="246"/>
        <v>0</v>
      </c>
      <c r="AR93" s="374">
        <f t="shared" si="246"/>
        <v>0</v>
      </c>
      <c r="AS93" s="374">
        <f t="shared" si="246"/>
        <v>0</v>
      </c>
      <c r="AT93" s="374">
        <f t="shared" si="246"/>
        <v>0</v>
      </c>
      <c r="AU93" s="374">
        <f t="shared" si="246"/>
        <v>0</v>
      </c>
      <c r="AV93" s="374">
        <f t="shared" si="246"/>
        <v>0</v>
      </c>
      <c r="AW93" s="374">
        <f t="shared" si="246"/>
        <v>0</v>
      </c>
      <c r="AX93" s="374">
        <f t="shared" si="246"/>
        <v>0</v>
      </c>
      <c r="AY93" s="374">
        <f t="shared" si="246"/>
        <v>0</v>
      </c>
      <c r="AZ93" s="374">
        <f t="shared" si="246"/>
        <v>0</v>
      </c>
      <c r="BA93" s="374">
        <f t="shared" si="246"/>
        <v>0</v>
      </c>
      <c r="BB93" s="374">
        <f t="shared" si="246"/>
        <v>0</v>
      </c>
      <c r="BC93" s="374">
        <f t="shared" si="246"/>
        <v>0</v>
      </c>
      <c r="BD93" s="374">
        <f t="shared" si="246"/>
        <v>0</v>
      </c>
      <c r="BE93" s="374">
        <f t="shared" si="246"/>
        <v>0</v>
      </c>
      <c r="BF93" s="374">
        <f t="shared" si="246"/>
        <v>0</v>
      </c>
      <c r="BG93" s="374">
        <f t="shared" si="246"/>
        <v>0</v>
      </c>
      <c r="BH93" s="374">
        <f t="shared" si="246"/>
        <v>0</v>
      </c>
      <c r="BI93" s="374">
        <f t="shared" si="246"/>
        <v>0</v>
      </c>
      <c r="BJ93" s="374">
        <f t="shared" si="246"/>
        <v>0</v>
      </c>
      <c r="BK93" s="374">
        <f t="shared" si="246"/>
        <v>0</v>
      </c>
      <c r="BL93" s="374">
        <f t="shared" si="246"/>
        <v>0</v>
      </c>
      <c r="BM93" s="374">
        <f t="shared" si="246"/>
        <v>0</v>
      </c>
      <c r="BN93" s="374">
        <f t="shared" si="246"/>
        <v>0</v>
      </c>
      <c r="BO93" s="374">
        <f t="shared" si="246"/>
        <v>0</v>
      </c>
      <c r="BP93" s="374">
        <f t="shared" si="246"/>
        <v>0</v>
      </c>
      <c r="BQ93" s="374">
        <f t="shared" si="246"/>
        <v>0</v>
      </c>
      <c r="BR93" s="374">
        <f t="shared" si="246"/>
        <v>0</v>
      </c>
      <c r="BS93" s="374">
        <f t="shared" si="246"/>
        <v>0</v>
      </c>
      <c r="BT93" s="374">
        <f t="shared" si="246"/>
        <v>0</v>
      </c>
      <c r="BU93" s="374">
        <f t="shared" si="246"/>
        <v>0</v>
      </c>
    </row>
    <row r="94" spans="1:73" s="192" customFormat="1" x14ac:dyDescent="0.2">
      <c r="A94" s="186"/>
      <c r="B94" s="396"/>
      <c r="C94" s="186"/>
      <c r="D94" s="186"/>
      <c r="E94" s="186"/>
      <c r="F94" s="186"/>
      <c r="G94" s="186"/>
      <c r="H94" s="186"/>
      <c r="I94" s="186"/>
      <c r="J94" s="186"/>
      <c r="K94" s="367"/>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row>
    <row r="95" spans="1:73" s="192" customFormat="1" ht="13.5" thickBot="1" x14ac:dyDescent="0.25">
      <c r="A95" s="186"/>
      <c r="B95" s="396"/>
      <c r="C95" s="186"/>
      <c r="D95" s="186"/>
      <c r="E95" s="186"/>
      <c r="F95" s="186"/>
      <c r="G95" s="186"/>
      <c r="H95" s="186"/>
      <c r="I95" s="186"/>
      <c r="J95" s="186"/>
      <c r="K95" s="367"/>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row>
    <row r="96" spans="1:73" s="192" customFormat="1" ht="13.5" thickBot="1" x14ac:dyDescent="0.25">
      <c r="A96" s="186"/>
      <c r="B96" s="186"/>
      <c r="C96" s="186"/>
      <c r="D96" s="186"/>
      <c r="E96" s="186"/>
      <c r="F96" s="186"/>
      <c r="G96" s="186"/>
      <c r="H96" s="186"/>
      <c r="I96" s="186"/>
      <c r="J96" s="186"/>
      <c r="K96" s="367"/>
      <c r="L96" s="186"/>
      <c r="M96" s="186"/>
      <c r="N96" s="385">
        <f>SUM(N89:N91)</f>
        <v>0</v>
      </c>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374"/>
      <c r="AL96" s="374"/>
      <c r="AM96" s="374"/>
      <c r="AN96" s="374"/>
      <c r="AO96" s="374"/>
      <c r="AP96" s="374"/>
      <c r="AQ96" s="374"/>
      <c r="AR96" s="374"/>
      <c r="AS96" s="374"/>
      <c r="AT96" s="374"/>
      <c r="AU96" s="374"/>
      <c r="AV96" s="374"/>
      <c r="AW96" s="374"/>
      <c r="AX96" s="374"/>
      <c r="AY96" s="374"/>
      <c r="AZ96" s="374"/>
      <c r="BA96" s="374"/>
      <c r="BB96" s="374"/>
      <c r="BC96" s="374"/>
      <c r="BD96" s="374"/>
      <c r="BE96" s="374"/>
      <c r="BF96" s="374"/>
      <c r="BG96" s="374"/>
      <c r="BH96" s="374"/>
      <c r="BI96" s="374"/>
      <c r="BJ96" s="374"/>
      <c r="BK96" s="374"/>
      <c r="BL96" s="374"/>
      <c r="BM96" s="374"/>
      <c r="BN96" s="374"/>
      <c r="BO96" s="374"/>
      <c r="BP96" s="374"/>
      <c r="BQ96" s="374"/>
      <c r="BR96" s="374"/>
      <c r="BS96" s="374"/>
      <c r="BT96" s="374"/>
      <c r="BU96" s="374"/>
    </row>
    <row r="97" spans="1:73" s="192" customFormat="1" x14ac:dyDescent="0.2">
      <c r="A97" s="186"/>
      <c r="B97" s="396"/>
      <c r="C97" s="186"/>
      <c r="D97" s="186"/>
      <c r="E97" s="186"/>
      <c r="F97" s="186"/>
      <c r="G97" s="186"/>
      <c r="H97" s="186"/>
      <c r="I97" s="186"/>
      <c r="J97" s="186"/>
      <c r="K97" s="367"/>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row>
    <row r="98" spans="1:73" ht="15.75" x14ac:dyDescent="0.25">
      <c r="A98" s="375"/>
      <c r="B98" s="375" t="s">
        <v>181</v>
      </c>
      <c r="C98" s="375"/>
      <c r="D98" s="375"/>
      <c r="E98" s="375"/>
      <c r="F98" s="375"/>
      <c r="G98" s="375"/>
      <c r="H98" s="375"/>
      <c r="I98" s="375"/>
      <c r="J98" s="375"/>
      <c r="K98" s="615"/>
      <c r="L98" s="375"/>
      <c r="M98" s="375"/>
      <c r="N98" s="375"/>
      <c r="O98" s="376"/>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c r="BI98" s="377"/>
      <c r="BJ98" s="378"/>
      <c r="BK98" s="377"/>
      <c r="BL98" s="377"/>
      <c r="BM98" s="377"/>
      <c r="BN98" s="377"/>
      <c r="BO98" s="377"/>
      <c r="BP98" s="377"/>
      <c r="BQ98" s="377"/>
      <c r="BR98" s="377"/>
      <c r="BS98" s="377"/>
      <c r="BT98" s="377"/>
      <c r="BU98" s="377"/>
    </row>
    <row r="99" spans="1:73" x14ac:dyDescent="0.2">
      <c r="A99" s="186"/>
      <c r="B99" s="186"/>
      <c r="C99" s="186"/>
      <c r="D99" s="186"/>
      <c r="E99" s="186"/>
      <c r="F99" s="186"/>
      <c r="G99" s="186"/>
      <c r="H99" s="186"/>
      <c r="I99" s="186"/>
      <c r="J99" s="186"/>
      <c r="K99" s="367"/>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row>
    <row r="100" spans="1:73" x14ac:dyDescent="0.2">
      <c r="A100" s="186"/>
      <c r="B100" s="396" t="s">
        <v>167</v>
      </c>
      <c r="C100" s="186"/>
      <c r="D100" s="186"/>
      <c r="E100" s="186"/>
      <c r="F100" s="186"/>
      <c r="G100" s="186"/>
      <c r="H100" s="186"/>
      <c r="I100" s="186"/>
      <c r="J100" s="186"/>
      <c r="K100" s="367"/>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row>
    <row r="101" spans="1:73" x14ac:dyDescent="0.2">
      <c r="A101" s="186"/>
      <c r="B101" s="186"/>
      <c r="C101" s="186"/>
      <c r="D101" s="186"/>
      <c r="E101" s="186"/>
      <c r="F101" s="186"/>
      <c r="G101" s="186"/>
      <c r="H101" s="186"/>
      <c r="I101" s="186"/>
      <c r="J101" s="186"/>
      <c r="K101" s="367"/>
      <c r="L101" s="219"/>
      <c r="M101" s="186"/>
      <c r="N101" s="186"/>
      <c r="O101" s="186"/>
      <c r="P101" s="186"/>
      <c r="Q101" s="412"/>
      <c r="R101" s="412"/>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row>
    <row r="102" spans="1:73" x14ac:dyDescent="0.2">
      <c r="A102" s="186"/>
      <c r="B102" s="186"/>
      <c r="C102" s="186" t="s">
        <v>170</v>
      </c>
      <c r="D102" s="186"/>
      <c r="E102" s="186"/>
      <c r="F102" s="186"/>
      <c r="G102" s="186"/>
      <c r="H102" s="186"/>
      <c r="I102" s="186"/>
      <c r="J102" s="186"/>
      <c r="K102" s="367" t="s">
        <v>51</v>
      </c>
      <c r="L102" s="370">
        <f>Inputs!L108</f>
        <v>51682</v>
      </c>
      <c r="M102" s="370">
        <f>Inputs!L109</f>
        <v>54788</v>
      </c>
      <c r="N102" s="374">
        <f>SUM(Q102:BU102)</f>
        <v>9</v>
      </c>
      <c r="O102" s="186"/>
      <c r="P102" s="186"/>
      <c r="Q102" s="371"/>
      <c r="R102" s="371">
        <f t="shared" ref="R102:BU102" si="247">IF((MIN(R$9,$M102) - MAX(R$8,$L102) &gt;= 0),1,0)</f>
        <v>0</v>
      </c>
      <c r="S102" s="371">
        <f t="shared" si="247"/>
        <v>0</v>
      </c>
      <c r="T102" s="371">
        <f t="shared" si="247"/>
        <v>0</v>
      </c>
      <c r="U102" s="371">
        <f t="shared" si="247"/>
        <v>0</v>
      </c>
      <c r="V102" s="371">
        <f t="shared" si="247"/>
        <v>0</v>
      </c>
      <c r="W102" s="371">
        <f t="shared" si="247"/>
        <v>0</v>
      </c>
      <c r="X102" s="371">
        <f t="shared" si="247"/>
        <v>0</v>
      </c>
      <c r="Y102" s="371">
        <f t="shared" si="247"/>
        <v>0</v>
      </c>
      <c r="Z102" s="371">
        <f t="shared" si="247"/>
        <v>0</v>
      </c>
      <c r="AA102" s="371">
        <f t="shared" si="247"/>
        <v>0</v>
      </c>
      <c r="AB102" s="371">
        <f t="shared" si="247"/>
        <v>0</v>
      </c>
      <c r="AC102" s="371">
        <f t="shared" si="247"/>
        <v>0</v>
      </c>
      <c r="AD102" s="371">
        <f t="shared" si="247"/>
        <v>0</v>
      </c>
      <c r="AE102" s="371">
        <f t="shared" si="247"/>
        <v>0</v>
      </c>
      <c r="AF102" s="371">
        <f t="shared" si="247"/>
        <v>0</v>
      </c>
      <c r="AG102" s="371">
        <f t="shared" si="247"/>
        <v>0</v>
      </c>
      <c r="AH102" s="371">
        <f t="shared" si="247"/>
        <v>0</v>
      </c>
      <c r="AI102" s="371">
        <f t="shared" si="247"/>
        <v>0</v>
      </c>
      <c r="AJ102" s="371">
        <f t="shared" si="247"/>
        <v>0</v>
      </c>
      <c r="AK102" s="371">
        <f t="shared" si="247"/>
        <v>0</v>
      </c>
      <c r="AL102" s="371">
        <f t="shared" si="247"/>
        <v>0</v>
      </c>
      <c r="AM102" s="371">
        <f t="shared" si="247"/>
        <v>0</v>
      </c>
      <c r="AN102" s="371">
        <f t="shared" si="247"/>
        <v>0</v>
      </c>
      <c r="AO102" s="371">
        <f t="shared" si="247"/>
        <v>0</v>
      </c>
      <c r="AP102" s="371">
        <f t="shared" si="247"/>
        <v>1</v>
      </c>
      <c r="AQ102" s="371">
        <f t="shared" si="247"/>
        <v>1</v>
      </c>
      <c r="AR102" s="371">
        <f t="shared" si="247"/>
        <v>1</v>
      </c>
      <c r="AS102" s="371">
        <f t="shared" si="247"/>
        <v>1</v>
      </c>
      <c r="AT102" s="371">
        <f t="shared" si="247"/>
        <v>1</v>
      </c>
      <c r="AU102" s="371">
        <f t="shared" si="247"/>
        <v>1</v>
      </c>
      <c r="AV102" s="371">
        <f t="shared" si="247"/>
        <v>1</v>
      </c>
      <c r="AW102" s="371">
        <f t="shared" si="247"/>
        <v>1</v>
      </c>
      <c r="AX102" s="371">
        <f t="shared" si="247"/>
        <v>1</v>
      </c>
      <c r="AY102" s="371">
        <f t="shared" si="247"/>
        <v>0</v>
      </c>
      <c r="AZ102" s="371">
        <f t="shared" si="247"/>
        <v>0</v>
      </c>
      <c r="BA102" s="371">
        <f t="shared" si="247"/>
        <v>0</v>
      </c>
      <c r="BB102" s="371">
        <f t="shared" si="247"/>
        <v>0</v>
      </c>
      <c r="BC102" s="371">
        <f t="shared" si="247"/>
        <v>0</v>
      </c>
      <c r="BD102" s="371">
        <f t="shared" si="247"/>
        <v>0</v>
      </c>
      <c r="BE102" s="371">
        <f t="shared" si="247"/>
        <v>0</v>
      </c>
      <c r="BF102" s="371">
        <f t="shared" si="247"/>
        <v>0</v>
      </c>
      <c r="BG102" s="371">
        <f t="shared" si="247"/>
        <v>0</v>
      </c>
      <c r="BH102" s="371">
        <f t="shared" si="247"/>
        <v>0</v>
      </c>
      <c r="BI102" s="371">
        <f t="shared" si="247"/>
        <v>0</v>
      </c>
      <c r="BJ102" s="371">
        <f t="shared" si="247"/>
        <v>0</v>
      </c>
      <c r="BK102" s="371">
        <f t="shared" si="247"/>
        <v>0</v>
      </c>
      <c r="BL102" s="371">
        <f t="shared" si="247"/>
        <v>0</v>
      </c>
      <c r="BM102" s="371">
        <f t="shared" si="247"/>
        <v>0</v>
      </c>
      <c r="BN102" s="371">
        <f t="shared" si="247"/>
        <v>0</v>
      </c>
      <c r="BO102" s="371">
        <f t="shared" si="247"/>
        <v>0</v>
      </c>
      <c r="BP102" s="371">
        <f t="shared" si="247"/>
        <v>0</v>
      </c>
      <c r="BQ102" s="371">
        <f t="shared" si="247"/>
        <v>0</v>
      </c>
      <c r="BR102" s="371">
        <f t="shared" si="247"/>
        <v>0</v>
      </c>
      <c r="BS102" s="371">
        <f t="shared" si="247"/>
        <v>0</v>
      </c>
      <c r="BT102" s="371">
        <f t="shared" si="247"/>
        <v>0</v>
      </c>
      <c r="BU102" s="371">
        <f t="shared" si="247"/>
        <v>0</v>
      </c>
    </row>
    <row r="103" spans="1:73" x14ac:dyDescent="0.2">
      <c r="A103" s="186"/>
      <c r="B103" s="186"/>
      <c r="C103" s="186" t="s">
        <v>182</v>
      </c>
      <c r="D103" s="186"/>
      <c r="E103" s="186"/>
      <c r="F103" s="186"/>
      <c r="G103" s="186"/>
      <c r="H103" s="186"/>
      <c r="I103" s="186"/>
      <c r="J103" s="186"/>
      <c r="K103" s="367" t="s">
        <v>51</v>
      </c>
      <c r="L103" s="370">
        <f>Inputs!L115</f>
        <v>44196</v>
      </c>
      <c r="M103" s="370">
        <f>+M102</f>
        <v>54788</v>
      </c>
      <c r="N103" s="374"/>
      <c r="O103" s="186"/>
      <c r="P103" s="186"/>
      <c r="Q103" s="371"/>
      <c r="R103" s="371">
        <f t="shared" ref="R103:BU103" si="248">IF((MIN(R$9,$M103) - MAX(R$8,$L103) &gt;= 0),1,0)</f>
        <v>0</v>
      </c>
      <c r="S103" s="371">
        <f t="shared" si="248"/>
        <v>0</v>
      </c>
      <c r="T103" s="371">
        <f t="shared" si="248"/>
        <v>0</v>
      </c>
      <c r="U103" s="371">
        <f t="shared" si="248"/>
        <v>1</v>
      </c>
      <c r="V103" s="371">
        <f t="shared" si="248"/>
        <v>1</v>
      </c>
      <c r="W103" s="371">
        <f t="shared" si="248"/>
        <v>1</v>
      </c>
      <c r="X103" s="371">
        <f t="shared" si="248"/>
        <v>1</v>
      </c>
      <c r="Y103" s="371">
        <f t="shared" si="248"/>
        <v>1</v>
      </c>
      <c r="Z103" s="371">
        <f t="shared" si="248"/>
        <v>1</v>
      </c>
      <c r="AA103" s="371">
        <f t="shared" si="248"/>
        <v>1</v>
      </c>
      <c r="AB103" s="371">
        <f t="shared" si="248"/>
        <v>1</v>
      </c>
      <c r="AC103" s="371">
        <f t="shared" si="248"/>
        <v>1</v>
      </c>
      <c r="AD103" s="371">
        <f t="shared" si="248"/>
        <v>1</v>
      </c>
      <c r="AE103" s="371">
        <f t="shared" si="248"/>
        <v>1</v>
      </c>
      <c r="AF103" s="371">
        <f t="shared" si="248"/>
        <v>1</v>
      </c>
      <c r="AG103" s="371">
        <f t="shared" si="248"/>
        <v>1</v>
      </c>
      <c r="AH103" s="371">
        <f t="shared" si="248"/>
        <v>1</v>
      </c>
      <c r="AI103" s="371">
        <f t="shared" si="248"/>
        <v>1</v>
      </c>
      <c r="AJ103" s="371">
        <f t="shared" si="248"/>
        <v>1</v>
      </c>
      <c r="AK103" s="371">
        <f t="shared" si="248"/>
        <v>1</v>
      </c>
      <c r="AL103" s="371">
        <f t="shared" si="248"/>
        <v>1</v>
      </c>
      <c r="AM103" s="371">
        <f t="shared" si="248"/>
        <v>1</v>
      </c>
      <c r="AN103" s="371">
        <f t="shared" si="248"/>
        <v>1</v>
      </c>
      <c r="AO103" s="371">
        <f t="shared" si="248"/>
        <v>1</v>
      </c>
      <c r="AP103" s="371">
        <f t="shared" si="248"/>
        <v>1</v>
      </c>
      <c r="AQ103" s="371">
        <f t="shared" si="248"/>
        <v>1</v>
      </c>
      <c r="AR103" s="371">
        <f t="shared" si="248"/>
        <v>1</v>
      </c>
      <c r="AS103" s="371">
        <f t="shared" si="248"/>
        <v>1</v>
      </c>
      <c r="AT103" s="371">
        <f t="shared" si="248"/>
        <v>1</v>
      </c>
      <c r="AU103" s="371">
        <f t="shared" si="248"/>
        <v>1</v>
      </c>
      <c r="AV103" s="371">
        <f t="shared" si="248"/>
        <v>1</v>
      </c>
      <c r="AW103" s="371">
        <f t="shared" si="248"/>
        <v>1</v>
      </c>
      <c r="AX103" s="371">
        <f t="shared" si="248"/>
        <v>1</v>
      </c>
      <c r="AY103" s="371">
        <f t="shared" si="248"/>
        <v>0</v>
      </c>
      <c r="AZ103" s="371">
        <f t="shared" si="248"/>
        <v>0</v>
      </c>
      <c r="BA103" s="371">
        <f t="shared" si="248"/>
        <v>0</v>
      </c>
      <c r="BB103" s="371">
        <f t="shared" si="248"/>
        <v>0</v>
      </c>
      <c r="BC103" s="371">
        <f t="shared" si="248"/>
        <v>0</v>
      </c>
      <c r="BD103" s="371">
        <f t="shared" si="248"/>
        <v>0</v>
      </c>
      <c r="BE103" s="371">
        <f t="shared" si="248"/>
        <v>0</v>
      </c>
      <c r="BF103" s="371">
        <f t="shared" si="248"/>
        <v>0</v>
      </c>
      <c r="BG103" s="371">
        <f t="shared" si="248"/>
        <v>0</v>
      </c>
      <c r="BH103" s="371">
        <f t="shared" si="248"/>
        <v>0</v>
      </c>
      <c r="BI103" s="371">
        <f t="shared" si="248"/>
        <v>0</v>
      </c>
      <c r="BJ103" s="371">
        <f t="shared" si="248"/>
        <v>0</v>
      </c>
      <c r="BK103" s="371">
        <f t="shared" si="248"/>
        <v>0</v>
      </c>
      <c r="BL103" s="371">
        <f t="shared" si="248"/>
        <v>0</v>
      </c>
      <c r="BM103" s="371">
        <f t="shared" si="248"/>
        <v>0</v>
      </c>
      <c r="BN103" s="371">
        <f t="shared" si="248"/>
        <v>0</v>
      </c>
      <c r="BO103" s="371">
        <f t="shared" si="248"/>
        <v>0</v>
      </c>
      <c r="BP103" s="371">
        <f t="shared" si="248"/>
        <v>0</v>
      </c>
      <c r="BQ103" s="371">
        <f t="shared" si="248"/>
        <v>0</v>
      </c>
      <c r="BR103" s="371">
        <f t="shared" si="248"/>
        <v>0</v>
      </c>
      <c r="BS103" s="371">
        <f t="shared" si="248"/>
        <v>0</v>
      </c>
      <c r="BT103" s="371">
        <f t="shared" si="248"/>
        <v>0</v>
      </c>
      <c r="BU103" s="371">
        <f t="shared" si="248"/>
        <v>0</v>
      </c>
    </row>
    <row r="104" spans="1:73" x14ac:dyDescent="0.2">
      <c r="A104" s="186"/>
      <c r="B104" s="186"/>
      <c r="C104" s="186" t="s">
        <v>183</v>
      </c>
      <c r="D104" s="186"/>
      <c r="E104" s="186"/>
      <c r="F104" s="186"/>
      <c r="G104" s="186"/>
      <c r="H104" s="186"/>
      <c r="I104" s="186"/>
      <c r="J104" s="186"/>
      <c r="K104" s="367" t="s">
        <v>51</v>
      </c>
      <c r="L104" s="370">
        <f>Inputs!L30</f>
        <v>42278</v>
      </c>
      <c r="M104" s="370">
        <f>EDATE(L104, 5*12) -1</f>
        <v>44104</v>
      </c>
      <c r="N104" s="374"/>
      <c r="O104" s="186"/>
      <c r="P104" s="186"/>
      <c r="Q104" s="371"/>
      <c r="R104" s="371">
        <f t="shared" ref="R104:BU104" si="249">IF((MIN(R$9,$M104) - MAX(R$8,$L104) &gt;= 0),1,0)</f>
        <v>1</v>
      </c>
      <c r="S104" s="371">
        <f t="shared" si="249"/>
        <v>1</v>
      </c>
      <c r="T104" s="371">
        <f t="shared" si="249"/>
        <v>1</v>
      </c>
      <c r="U104" s="371">
        <f t="shared" si="249"/>
        <v>1</v>
      </c>
      <c r="V104" s="371">
        <f t="shared" si="249"/>
        <v>0</v>
      </c>
      <c r="W104" s="371">
        <f t="shared" si="249"/>
        <v>0</v>
      </c>
      <c r="X104" s="371">
        <f t="shared" si="249"/>
        <v>0</v>
      </c>
      <c r="Y104" s="371">
        <f t="shared" si="249"/>
        <v>0</v>
      </c>
      <c r="Z104" s="371">
        <f t="shared" si="249"/>
        <v>0</v>
      </c>
      <c r="AA104" s="371">
        <f t="shared" si="249"/>
        <v>0</v>
      </c>
      <c r="AB104" s="371">
        <f t="shared" si="249"/>
        <v>0</v>
      </c>
      <c r="AC104" s="371">
        <f t="shared" si="249"/>
        <v>0</v>
      </c>
      <c r="AD104" s="371">
        <f t="shared" si="249"/>
        <v>0</v>
      </c>
      <c r="AE104" s="371">
        <f t="shared" si="249"/>
        <v>0</v>
      </c>
      <c r="AF104" s="371">
        <f t="shared" si="249"/>
        <v>0</v>
      </c>
      <c r="AG104" s="371">
        <f t="shared" si="249"/>
        <v>0</v>
      </c>
      <c r="AH104" s="371">
        <f t="shared" si="249"/>
        <v>0</v>
      </c>
      <c r="AI104" s="371">
        <f t="shared" si="249"/>
        <v>0</v>
      </c>
      <c r="AJ104" s="371">
        <f t="shared" si="249"/>
        <v>0</v>
      </c>
      <c r="AK104" s="371">
        <f t="shared" si="249"/>
        <v>0</v>
      </c>
      <c r="AL104" s="371">
        <f t="shared" si="249"/>
        <v>0</v>
      </c>
      <c r="AM104" s="371">
        <f t="shared" si="249"/>
        <v>0</v>
      </c>
      <c r="AN104" s="371">
        <f t="shared" si="249"/>
        <v>0</v>
      </c>
      <c r="AO104" s="371">
        <f t="shared" si="249"/>
        <v>0</v>
      </c>
      <c r="AP104" s="371">
        <f t="shared" si="249"/>
        <v>0</v>
      </c>
      <c r="AQ104" s="371">
        <f t="shared" si="249"/>
        <v>0</v>
      </c>
      <c r="AR104" s="371">
        <f t="shared" si="249"/>
        <v>0</v>
      </c>
      <c r="AS104" s="371">
        <f t="shared" si="249"/>
        <v>0</v>
      </c>
      <c r="AT104" s="371">
        <f t="shared" si="249"/>
        <v>0</v>
      </c>
      <c r="AU104" s="371">
        <f t="shared" si="249"/>
        <v>0</v>
      </c>
      <c r="AV104" s="371">
        <f t="shared" si="249"/>
        <v>0</v>
      </c>
      <c r="AW104" s="371">
        <f t="shared" si="249"/>
        <v>0</v>
      </c>
      <c r="AX104" s="371">
        <f t="shared" si="249"/>
        <v>0</v>
      </c>
      <c r="AY104" s="371">
        <f t="shared" si="249"/>
        <v>0</v>
      </c>
      <c r="AZ104" s="371">
        <f t="shared" si="249"/>
        <v>0</v>
      </c>
      <c r="BA104" s="371">
        <f t="shared" si="249"/>
        <v>0</v>
      </c>
      <c r="BB104" s="371">
        <f t="shared" si="249"/>
        <v>0</v>
      </c>
      <c r="BC104" s="371">
        <f t="shared" si="249"/>
        <v>0</v>
      </c>
      <c r="BD104" s="371">
        <f t="shared" si="249"/>
        <v>0</v>
      </c>
      <c r="BE104" s="371">
        <f t="shared" si="249"/>
        <v>0</v>
      </c>
      <c r="BF104" s="371">
        <f t="shared" si="249"/>
        <v>0</v>
      </c>
      <c r="BG104" s="371">
        <f t="shared" si="249"/>
        <v>0</v>
      </c>
      <c r="BH104" s="371">
        <f t="shared" si="249"/>
        <v>0</v>
      </c>
      <c r="BI104" s="371">
        <f t="shared" si="249"/>
        <v>0</v>
      </c>
      <c r="BJ104" s="371">
        <f t="shared" si="249"/>
        <v>0</v>
      </c>
      <c r="BK104" s="371">
        <f t="shared" si="249"/>
        <v>0</v>
      </c>
      <c r="BL104" s="371">
        <f t="shared" si="249"/>
        <v>0</v>
      </c>
      <c r="BM104" s="371">
        <f t="shared" si="249"/>
        <v>0</v>
      </c>
      <c r="BN104" s="371">
        <f t="shared" si="249"/>
        <v>0</v>
      </c>
      <c r="BO104" s="371">
        <f t="shared" si="249"/>
        <v>0</v>
      </c>
      <c r="BP104" s="371">
        <f t="shared" si="249"/>
        <v>0</v>
      </c>
      <c r="BQ104" s="371">
        <f t="shared" si="249"/>
        <v>0</v>
      </c>
      <c r="BR104" s="371">
        <f t="shared" si="249"/>
        <v>0</v>
      </c>
      <c r="BS104" s="371">
        <f t="shared" si="249"/>
        <v>0</v>
      </c>
      <c r="BT104" s="371">
        <f t="shared" si="249"/>
        <v>0</v>
      </c>
      <c r="BU104" s="371">
        <f t="shared" si="249"/>
        <v>0</v>
      </c>
    </row>
    <row r="105" spans="1:73" x14ac:dyDescent="0.2">
      <c r="A105" s="186"/>
      <c r="B105" s="186"/>
      <c r="C105" s="186" t="s">
        <v>184</v>
      </c>
      <c r="D105" s="186"/>
      <c r="E105" s="186"/>
      <c r="F105" s="186"/>
      <c r="G105" s="186"/>
      <c r="H105" s="186"/>
      <c r="I105" s="186"/>
      <c r="J105" s="186"/>
      <c r="K105" s="367" t="s">
        <v>51</v>
      </c>
      <c r="L105" s="370">
        <f>+L104</f>
        <v>42278</v>
      </c>
      <c r="M105" s="370">
        <f>+M102</f>
        <v>54788</v>
      </c>
      <c r="N105" s="374"/>
      <c r="O105" s="186"/>
      <c r="P105" s="186"/>
      <c r="Q105" s="371"/>
      <c r="R105" s="371">
        <f t="shared" ref="R105:AW105" si="250">((MIN(R$9,$M105)-MAX(R$8,$L105)&gt;= 0)) * IF(OR(MONTH(R9)=12,MONTH(R9)=6),1,0)</f>
        <v>1</v>
      </c>
      <c r="S105" s="371">
        <f t="shared" si="250"/>
        <v>1</v>
      </c>
      <c r="T105" s="371">
        <f t="shared" si="250"/>
        <v>1</v>
      </c>
      <c r="U105" s="371">
        <f t="shared" si="250"/>
        <v>1</v>
      </c>
      <c r="V105" s="371">
        <f t="shared" si="250"/>
        <v>1</v>
      </c>
      <c r="W105" s="371">
        <f t="shared" si="250"/>
        <v>1</v>
      </c>
      <c r="X105" s="371">
        <f t="shared" si="250"/>
        <v>1</v>
      </c>
      <c r="Y105" s="371">
        <f t="shared" si="250"/>
        <v>1</v>
      </c>
      <c r="Z105" s="371">
        <f t="shared" si="250"/>
        <v>1</v>
      </c>
      <c r="AA105" s="371">
        <f t="shared" si="250"/>
        <v>1</v>
      </c>
      <c r="AB105" s="371">
        <f t="shared" si="250"/>
        <v>1</v>
      </c>
      <c r="AC105" s="371">
        <f t="shared" si="250"/>
        <v>1</v>
      </c>
      <c r="AD105" s="371">
        <f t="shared" si="250"/>
        <v>1</v>
      </c>
      <c r="AE105" s="371">
        <f t="shared" si="250"/>
        <v>1</v>
      </c>
      <c r="AF105" s="371">
        <f t="shared" si="250"/>
        <v>1</v>
      </c>
      <c r="AG105" s="371">
        <f t="shared" si="250"/>
        <v>1</v>
      </c>
      <c r="AH105" s="371">
        <f t="shared" si="250"/>
        <v>1</v>
      </c>
      <c r="AI105" s="371">
        <f t="shared" si="250"/>
        <v>1</v>
      </c>
      <c r="AJ105" s="371">
        <f t="shared" si="250"/>
        <v>1</v>
      </c>
      <c r="AK105" s="371">
        <f t="shared" si="250"/>
        <v>1</v>
      </c>
      <c r="AL105" s="371">
        <f t="shared" si="250"/>
        <v>1</v>
      </c>
      <c r="AM105" s="371">
        <f t="shared" si="250"/>
        <v>1</v>
      </c>
      <c r="AN105" s="371">
        <f t="shared" si="250"/>
        <v>1</v>
      </c>
      <c r="AO105" s="371">
        <f t="shared" si="250"/>
        <v>1</v>
      </c>
      <c r="AP105" s="371">
        <f t="shared" si="250"/>
        <v>1</v>
      </c>
      <c r="AQ105" s="371">
        <f t="shared" si="250"/>
        <v>1</v>
      </c>
      <c r="AR105" s="371">
        <f t="shared" si="250"/>
        <v>1</v>
      </c>
      <c r="AS105" s="371">
        <f t="shared" si="250"/>
        <v>1</v>
      </c>
      <c r="AT105" s="371">
        <f t="shared" si="250"/>
        <v>1</v>
      </c>
      <c r="AU105" s="371">
        <f t="shared" si="250"/>
        <v>1</v>
      </c>
      <c r="AV105" s="371">
        <f t="shared" si="250"/>
        <v>1</v>
      </c>
      <c r="AW105" s="371">
        <f t="shared" si="250"/>
        <v>1</v>
      </c>
      <c r="AX105" s="371">
        <f t="shared" ref="AX105:BU105" si="251">((MIN(AX$9,$M105)-MAX(AX$8,$L105)&gt;= 0)) * IF(OR(MONTH(AX9)=12,MONTH(AX9)=6),1,0)</f>
        <v>1</v>
      </c>
      <c r="AY105" s="371">
        <f t="shared" si="251"/>
        <v>0</v>
      </c>
      <c r="AZ105" s="371">
        <f t="shared" si="251"/>
        <v>0</v>
      </c>
      <c r="BA105" s="371">
        <f t="shared" si="251"/>
        <v>0</v>
      </c>
      <c r="BB105" s="371">
        <f t="shared" si="251"/>
        <v>0</v>
      </c>
      <c r="BC105" s="371">
        <f t="shared" si="251"/>
        <v>0</v>
      </c>
      <c r="BD105" s="371">
        <f t="shared" si="251"/>
        <v>0</v>
      </c>
      <c r="BE105" s="371">
        <f t="shared" si="251"/>
        <v>0</v>
      </c>
      <c r="BF105" s="371">
        <f t="shared" si="251"/>
        <v>0</v>
      </c>
      <c r="BG105" s="371">
        <f t="shared" si="251"/>
        <v>0</v>
      </c>
      <c r="BH105" s="371">
        <f t="shared" si="251"/>
        <v>0</v>
      </c>
      <c r="BI105" s="371">
        <f t="shared" si="251"/>
        <v>0</v>
      </c>
      <c r="BJ105" s="371">
        <f t="shared" si="251"/>
        <v>0</v>
      </c>
      <c r="BK105" s="371">
        <f t="shared" si="251"/>
        <v>0</v>
      </c>
      <c r="BL105" s="371">
        <f t="shared" si="251"/>
        <v>0</v>
      </c>
      <c r="BM105" s="371">
        <f t="shared" si="251"/>
        <v>0</v>
      </c>
      <c r="BN105" s="371">
        <f t="shared" si="251"/>
        <v>0</v>
      </c>
      <c r="BO105" s="371">
        <f t="shared" si="251"/>
        <v>0</v>
      </c>
      <c r="BP105" s="371">
        <f t="shared" si="251"/>
        <v>0</v>
      </c>
      <c r="BQ105" s="371">
        <f t="shared" si="251"/>
        <v>0</v>
      </c>
      <c r="BR105" s="371">
        <f t="shared" si="251"/>
        <v>0</v>
      </c>
      <c r="BS105" s="371">
        <f t="shared" si="251"/>
        <v>0</v>
      </c>
      <c r="BT105" s="371">
        <f t="shared" si="251"/>
        <v>0</v>
      </c>
      <c r="BU105" s="371">
        <f t="shared" si="251"/>
        <v>0</v>
      </c>
    </row>
    <row r="106" spans="1:73" x14ac:dyDescent="0.2">
      <c r="A106" s="186"/>
      <c r="B106" s="186"/>
      <c r="C106" s="186" t="s">
        <v>18</v>
      </c>
      <c r="D106" s="186"/>
      <c r="E106" s="186"/>
      <c r="F106" s="186"/>
      <c r="G106" s="186"/>
      <c r="H106" s="186"/>
      <c r="I106" s="186"/>
      <c r="J106" s="186"/>
      <c r="K106" s="367" t="s">
        <v>51</v>
      </c>
      <c r="L106" s="370"/>
      <c r="M106" s="370"/>
      <c r="N106" s="374"/>
      <c r="O106" s="186"/>
      <c r="P106" s="186"/>
      <c r="Q106" s="371"/>
      <c r="R106" s="371">
        <f>IF(R9&gt;Inputs!$L$112,1,0) * R105</f>
        <v>0</v>
      </c>
      <c r="S106" s="371">
        <f>IF(S9&gt;Inputs!$L$112,1,0) * S105</f>
        <v>0</v>
      </c>
      <c r="T106" s="371">
        <f>IF(T9&gt;Inputs!$L$112,1,0) * T105</f>
        <v>0</v>
      </c>
      <c r="U106" s="371">
        <f>IF(U9&gt;Inputs!$L$112,1,0) * U105</f>
        <v>1</v>
      </c>
      <c r="V106" s="371">
        <f>IF(V9&gt;Inputs!$L$112,1,0) * V105</f>
        <v>1</v>
      </c>
      <c r="W106" s="371">
        <f>IF(W9&gt;Inputs!$L$112,1,0) * W105</f>
        <v>1</v>
      </c>
      <c r="X106" s="371">
        <f>IF(X9&gt;Inputs!$L$112,1,0) * X105</f>
        <v>1</v>
      </c>
      <c r="Y106" s="371">
        <f>IF(Y9&gt;Inputs!$L$112,1,0) * Y105</f>
        <v>1</v>
      </c>
      <c r="Z106" s="371">
        <f>IF(Z9&gt;Inputs!$L$112,1,0) * Z105</f>
        <v>1</v>
      </c>
      <c r="AA106" s="371">
        <f>IF(AA9&gt;Inputs!$L$112,1,0) * AA105</f>
        <v>1</v>
      </c>
      <c r="AB106" s="371">
        <f>IF(AB9&gt;Inputs!$L$112,1,0) * AB105</f>
        <v>1</v>
      </c>
      <c r="AC106" s="371">
        <f>IF(AC9&gt;Inputs!$L$112,1,0) * AC105</f>
        <v>1</v>
      </c>
      <c r="AD106" s="371">
        <f>IF(AD9&gt;Inputs!$L$112,1,0) * AD105</f>
        <v>1</v>
      </c>
      <c r="AE106" s="371">
        <f>IF(AE9&gt;Inputs!$L$112,1,0) * AE105</f>
        <v>1</v>
      </c>
      <c r="AF106" s="371">
        <f>IF(AF9&gt;Inputs!$L$112,1,0) * AF105</f>
        <v>1</v>
      </c>
      <c r="AG106" s="371">
        <f>IF(AG9&gt;Inputs!$L$112,1,0) * AG105</f>
        <v>1</v>
      </c>
      <c r="AH106" s="371">
        <f>IF(AH9&gt;Inputs!$L$112,1,0) * AH105</f>
        <v>1</v>
      </c>
      <c r="AI106" s="371">
        <f>IF(AI9&gt;Inputs!$L$112,1,0) * AI105</f>
        <v>1</v>
      </c>
      <c r="AJ106" s="371">
        <f>IF(AJ9&gt;Inputs!$L$112,1,0) * AJ105</f>
        <v>1</v>
      </c>
      <c r="AK106" s="371">
        <f>IF(AK9&gt;Inputs!$L$112,1,0) * AK105</f>
        <v>1</v>
      </c>
      <c r="AL106" s="371">
        <f>IF(AL9&gt;Inputs!$L$112,1,0) * AL105</f>
        <v>1</v>
      </c>
      <c r="AM106" s="371">
        <f>IF(AM9&gt;Inputs!$L$112,1,0) * AM105</f>
        <v>1</v>
      </c>
      <c r="AN106" s="371">
        <f>IF(AN9&gt;Inputs!$L$112,1,0) * AN105</f>
        <v>1</v>
      </c>
      <c r="AO106" s="371">
        <f>IF(AO9&gt;Inputs!$L$112,1,0) * AO105</f>
        <v>1</v>
      </c>
      <c r="AP106" s="371">
        <f>IF(AP9&gt;Inputs!$L$112,1,0) * AP105</f>
        <v>1</v>
      </c>
      <c r="AQ106" s="371">
        <f>IF(AQ9&gt;Inputs!$L$112,1,0) * AQ105</f>
        <v>1</v>
      </c>
      <c r="AR106" s="371">
        <f>IF(AR9&gt;Inputs!$L$112,1,0) * AR105</f>
        <v>1</v>
      </c>
      <c r="AS106" s="371">
        <f>IF(AS9&gt;Inputs!$L$112,1,0) * AS105</f>
        <v>1</v>
      </c>
      <c r="AT106" s="371">
        <f>IF(AT9&gt;Inputs!$L$112,1,0) * AT105</f>
        <v>1</v>
      </c>
      <c r="AU106" s="371">
        <f>IF(AU9&gt;Inputs!$L$112,1,0) * AU105</f>
        <v>1</v>
      </c>
      <c r="AV106" s="371">
        <f>IF(AV9&gt;Inputs!$L$112,1,0) * AV105</f>
        <v>1</v>
      </c>
      <c r="AW106" s="371">
        <f>IF(AW9&gt;Inputs!$L$112,1,0) * AW105</f>
        <v>1</v>
      </c>
      <c r="AX106" s="371">
        <f>IF(AX9&gt;Inputs!$L$112,1,0) * AX105</f>
        <v>1</v>
      </c>
      <c r="AY106" s="371">
        <f>IF(AY9&gt;Inputs!$L$112,1,0) * AY105</f>
        <v>0</v>
      </c>
      <c r="AZ106" s="371">
        <f>IF(AZ9&gt;Inputs!$L$112,1,0) * AZ105</f>
        <v>0</v>
      </c>
      <c r="BA106" s="371">
        <f>IF(BA9&gt;Inputs!$L$112,1,0) * BA105</f>
        <v>0</v>
      </c>
      <c r="BB106" s="371">
        <f>IF(BB9&gt;Inputs!$L$112,1,0) * BB105</f>
        <v>0</v>
      </c>
      <c r="BC106" s="371">
        <f>IF(BC9&gt;Inputs!$L$112,1,0) * BC105</f>
        <v>0</v>
      </c>
      <c r="BD106" s="371">
        <f>IF(BD9&gt;Inputs!$L$112,1,0) * BD105</f>
        <v>0</v>
      </c>
      <c r="BE106" s="371">
        <f>IF(BE9&gt;Inputs!$L$112,1,0) * BE105</f>
        <v>0</v>
      </c>
      <c r="BF106" s="371">
        <f>IF(BF9&gt;Inputs!$L$112,1,0) * BF105</f>
        <v>0</v>
      </c>
      <c r="BG106" s="371">
        <f>IF(BG9&gt;Inputs!$L$112,1,0) * BG105</f>
        <v>0</v>
      </c>
      <c r="BH106" s="371">
        <f>IF(BH9&gt;Inputs!$L$112,1,0) * BH105</f>
        <v>0</v>
      </c>
      <c r="BI106" s="371">
        <f>IF(BI9&gt;Inputs!$L$112,1,0) * BI105</f>
        <v>0</v>
      </c>
      <c r="BJ106" s="371">
        <f>IF(BJ9&gt;Inputs!$L$112,1,0) * BJ105</f>
        <v>0</v>
      </c>
      <c r="BK106" s="371">
        <f>IF(BK9&gt;Inputs!$L$112,1,0) * BK105</f>
        <v>0</v>
      </c>
      <c r="BL106" s="371">
        <f>IF(BL9&gt;Inputs!$L$112,1,0) * BL105</f>
        <v>0</v>
      </c>
      <c r="BM106" s="371">
        <f>IF(BM9&gt;Inputs!$L$112,1,0) * BM105</f>
        <v>0</v>
      </c>
      <c r="BN106" s="371">
        <f>IF(BN9&gt;Inputs!$L$112,1,0) * BN105</f>
        <v>0</v>
      </c>
      <c r="BO106" s="371">
        <f>IF(BO9&gt;Inputs!$L$112,1,0) * BO105</f>
        <v>0</v>
      </c>
      <c r="BP106" s="371">
        <f>IF(BP9&gt;Inputs!$L$112,1,0) * BP105</f>
        <v>0</v>
      </c>
      <c r="BQ106" s="371">
        <f>IF(BQ9&gt;Inputs!$L$112,1,0) * BQ105</f>
        <v>0</v>
      </c>
      <c r="BR106" s="371">
        <f>IF(BR9&gt;Inputs!$L$112,1,0) * BR105</f>
        <v>0</v>
      </c>
      <c r="BS106" s="371">
        <f>IF(BS9&gt;Inputs!$L$112,1,0) * BS105</f>
        <v>0</v>
      </c>
      <c r="BT106" s="371">
        <f>IF(BT9&gt;Inputs!$L$112,1,0) * BT105</f>
        <v>0</v>
      </c>
      <c r="BU106" s="371">
        <f>IF(BU9&gt;Inputs!$L$112,1,0) * BU105</f>
        <v>0</v>
      </c>
    </row>
    <row r="107" spans="1:73" x14ac:dyDescent="0.2">
      <c r="A107" s="186"/>
      <c r="B107" s="186"/>
      <c r="C107" s="186" t="s">
        <v>171</v>
      </c>
      <c r="D107" s="186"/>
      <c r="E107" s="186"/>
      <c r="F107" s="186"/>
      <c r="G107" s="186"/>
      <c r="H107" s="186"/>
      <c r="I107" s="186"/>
      <c r="J107" s="186"/>
      <c r="K107" s="367" t="s">
        <v>172</v>
      </c>
      <c r="L107" s="370"/>
      <c r="M107" s="370"/>
      <c r="N107" s="374"/>
      <c r="O107" s="186"/>
      <c r="P107" s="186"/>
      <c r="Q107" s="373"/>
      <c r="R107" s="374">
        <f t="shared" ref="R107:AW107" si="252">IF(R102,Q107 + R102,0)</f>
        <v>0</v>
      </c>
      <c r="S107" s="374">
        <f t="shared" si="252"/>
        <v>0</v>
      </c>
      <c r="T107" s="374">
        <f t="shared" si="252"/>
        <v>0</v>
      </c>
      <c r="U107" s="374">
        <f t="shared" si="252"/>
        <v>0</v>
      </c>
      <c r="V107" s="374">
        <f t="shared" si="252"/>
        <v>0</v>
      </c>
      <c r="W107" s="374">
        <f t="shared" si="252"/>
        <v>0</v>
      </c>
      <c r="X107" s="374">
        <f t="shared" si="252"/>
        <v>0</v>
      </c>
      <c r="Y107" s="374">
        <f t="shared" si="252"/>
        <v>0</v>
      </c>
      <c r="Z107" s="374">
        <f t="shared" si="252"/>
        <v>0</v>
      </c>
      <c r="AA107" s="374">
        <f t="shared" si="252"/>
        <v>0</v>
      </c>
      <c r="AB107" s="374">
        <f t="shared" si="252"/>
        <v>0</v>
      </c>
      <c r="AC107" s="374">
        <f t="shared" si="252"/>
        <v>0</v>
      </c>
      <c r="AD107" s="374">
        <f t="shared" si="252"/>
        <v>0</v>
      </c>
      <c r="AE107" s="374">
        <f t="shared" si="252"/>
        <v>0</v>
      </c>
      <c r="AF107" s="374">
        <f t="shared" si="252"/>
        <v>0</v>
      </c>
      <c r="AG107" s="374">
        <f t="shared" si="252"/>
        <v>0</v>
      </c>
      <c r="AH107" s="374">
        <f t="shared" si="252"/>
        <v>0</v>
      </c>
      <c r="AI107" s="374">
        <f t="shared" si="252"/>
        <v>0</v>
      </c>
      <c r="AJ107" s="374">
        <f t="shared" si="252"/>
        <v>0</v>
      </c>
      <c r="AK107" s="374">
        <f t="shared" si="252"/>
        <v>0</v>
      </c>
      <c r="AL107" s="374">
        <f t="shared" si="252"/>
        <v>0</v>
      </c>
      <c r="AM107" s="374">
        <f t="shared" si="252"/>
        <v>0</v>
      </c>
      <c r="AN107" s="374">
        <f t="shared" si="252"/>
        <v>0</v>
      </c>
      <c r="AO107" s="374">
        <f t="shared" si="252"/>
        <v>0</v>
      </c>
      <c r="AP107" s="374">
        <f t="shared" si="252"/>
        <v>1</v>
      </c>
      <c r="AQ107" s="374">
        <f t="shared" si="252"/>
        <v>2</v>
      </c>
      <c r="AR107" s="374">
        <f t="shared" si="252"/>
        <v>3</v>
      </c>
      <c r="AS107" s="374">
        <f t="shared" si="252"/>
        <v>4</v>
      </c>
      <c r="AT107" s="374">
        <f t="shared" si="252"/>
        <v>5</v>
      </c>
      <c r="AU107" s="374">
        <f t="shared" si="252"/>
        <v>6</v>
      </c>
      <c r="AV107" s="374">
        <f t="shared" si="252"/>
        <v>7</v>
      </c>
      <c r="AW107" s="374">
        <f t="shared" si="252"/>
        <v>8</v>
      </c>
      <c r="AX107" s="374">
        <f t="shared" ref="AX107:BU107" si="253">IF(AX102,AW107 + AX102,0)</f>
        <v>9</v>
      </c>
      <c r="AY107" s="374">
        <f t="shared" si="253"/>
        <v>0</v>
      </c>
      <c r="AZ107" s="374">
        <f t="shared" si="253"/>
        <v>0</v>
      </c>
      <c r="BA107" s="374">
        <f t="shared" si="253"/>
        <v>0</v>
      </c>
      <c r="BB107" s="374">
        <f t="shared" si="253"/>
        <v>0</v>
      </c>
      <c r="BC107" s="374">
        <f t="shared" si="253"/>
        <v>0</v>
      </c>
      <c r="BD107" s="374">
        <f t="shared" si="253"/>
        <v>0</v>
      </c>
      <c r="BE107" s="374">
        <f t="shared" si="253"/>
        <v>0</v>
      </c>
      <c r="BF107" s="374">
        <f t="shared" si="253"/>
        <v>0</v>
      </c>
      <c r="BG107" s="374">
        <f t="shared" si="253"/>
        <v>0</v>
      </c>
      <c r="BH107" s="374">
        <f t="shared" si="253"/>
        <v>0</v>
      </c>
      <c r="BI107" s="374">
        <f t="shared" si="253"/>
        <v>0</v>
      </c>
      <c r="BJ107" s="374">
        <f t="shared" si="253"/>
        <v>0</v>
      </c>
      <c r="BK107" s="374">
        <f t="shared" si="253"/>
        <v>0</v>
      </c>
      <c r="BL107" s="374">
        <f t="shared" si="253"/>
        <v>0</v>
      </c>
      <c r="BM107" s="374">
        <f t="shared" si="253"/>
        <v>0</v>
      </c>
      <c r="BN107" s="374">
        <f t="shared" si="253"/>
        <v>0</v>
      </c>
      <c r="BO107" s="374">
        <f t="shared" si="253"/>
        <v>0</v>
      </c>
      <c r="BP107" s="374">
        <f t="shared" si="253"/>
        <v>0</v>
      </c>
      <c r="BQ107" s="374">
        <f t="shared" si="253"/>
        <v>0</v>
      </c>
      <c r="BR107" s="374">
        <f t="shared" si="253"/>
        <v>0</v>
      </c>
      <c r="BS107" s="374">
        <f t="shared" si="253"/>
        <v>0</v>
      </c>
      <c r="BT107" s="374">
        <f t="shared" si="253"/>
        <v>0</v>
      </c>
      <c r="BU107" s="374">
        <f t="shared" si="253"/>
        <v>0</v>
      </c>
    </row>
    <row r="108" spans="1:73" x14ac:dyDescent="0.2">
      <c r="A108" s="186"/>
      <c r="B108" s="186"/>
      <c r="C108" s="186" t="s">
        <v>333</v>
      </c>
      <c r="D108" s="186"/>
      <c r="E108" s="186"/>
      <c r="F108" s="186"/>
      <c r="G108" s="186"/>
      <c r="H108" s="186"/>
      <c r="I108" s="186"/>
      <c r="J108" s="186"/>
      <c r="K108" s="367" t="s">
        <v>20</v>
      </c>
      <c r="L108" s="740">
        <v>44012</v>
      </c>
      <c r="M108" s="370"/>
      <c r="N108" s="374"/>
      <c r="O108" s="186"/>
      <c r="P108" s="186"/>
      <c r="Q108" s="413"/>
      <c r="R108" s="413">
        <f t="shared" ref="R108:AW108" si="254">+IF(AND($L$108&gt;=R8,$L$108&lt;=R9),0.753,IF(AND($L$108&gt;=R8,$L$108&gt;=R9),0,1))</f>
        <v>0</v>
      </c>
      <c r="S108" s="413">
        <f t="shared" si="254"/>
        <v>0</v>
      </c>
      <c r="T108" s="413">
        <f t="shared" si="254"/>
        <v>0</v>
      </c>
      <c r="U108" s="413">
        <f t="shared" si="254"/>
        <v>0.753</v>
      </c>
      <c r="V108" s="413">
        <f t="shared" si="254"/>
        <v>1</v>
      </c>
      <c r="W108" s="413">
        <f t="shared" si="254"/>
        <v>1</v>
      </c>
      <c r="X108" s="413">
        <f t="shared" si="254"/>
        <v>1</v>
      </c>
      <c r="Y108" s="413">
        <f t="shared" si="254"/>
        <v>1</v>
      </c>
      <c r="Z108" s="413">
        <f t="shared" si="254"/>
        <v>1</v>
      </c>
      <c r="AA108" s="413">
        <f t="shared" si="254"/>
        <v>1</v>
      </c>
      <c r="AB108" s="413">
        <f t="shared" si="254"/>
        <v>1</v>
      </c>
      <c r="AC108" s="413">
        <f t="shared" si="254"/>
        <v>1</v>
      </c>
      <c r="AD108" s="413">
        <f t="shared" si="254"/>
        <v>1</v>
      </c>
      <c r="AE108" s="413">
        <f t="shared" si="254"/>
        <v>1</v>
      </c>
      <c r="AF108" s="413">
        <f t="shared" si="254"/>
        <v>1</v>
      </c>
      <c r="AG108" s="413">
        <f t="shared" si="254"/>
        <v>1</v>
      </c>
      <c r="AH108" s="413">
        <f t="shared" si="254"/>
        <v>1</v>
      </c>
      <c r="AI108" s="413">
        <f t="shared" si="254"/>
        <v>1</v>
      </c>
      <c r="AJ108" s="413">
        <f t="shared" si="254"/>
        <v>1</v>
      </c>
      <c r="AK108" s="413">
        <f t="shared" si="254"/>
        <v>1</v>
      </c>
      <c r="AL108" s="413">
        <f t="shared" si="254"/>
        <v>1</v>
      </c>
      <c r="AM108" s="413">
        <f t="shared" si="254"/>
        <v>1</v>
      </c>
      <c r="AN108" s="413">
        <f t="shared" si="254"/>
        <v>1</v>
      </c>
      <c r="AO108" s="413">
        <f t="shared" si="254"/>
        <v>1</v>
      </c>
      <c r="AP108" s="413">
        <f t="shared" si="254"/>
        <v>1</v>
      </c>
      <c r="AQ108" s="413">
        <f t="shared" si="254"/>
        <v>1</v>
      </c>
      <c r="AR108" s="413">
        <f t="shared" si="254"/>
        <v>1</v>
      </c>
      <c r="AS108" s="413">
        <f t="shared" si="254"/>
        <v>1</v>
      </c>
      <c r="AT108" s="413">
        <f t="shared" si="254"/>
        <v>1</v>
      </c>
      <c r="AU108" s="413">
        <f t="shared" si="254"/>
        <v>1</v>
      </c>
      <c r="AV108" s="413">
        <f t="shared" si="254"/>
        <v>1</v>
      </c>
      <c r="AW108" s="413">
        <f t="shared" si="254"/>
        <v>1</v>
      </c>
      <c r="AX108" s="413">
        <f t="shared" ref="AX108:BU108" si="255">+IF(AND($L$108&gt;=AX8,$L$108&lt;=AX9),0.753,IF(AND($L$108&gt;=AX8,$L$108&gt;=AX9),0,1))</f>
        <v>1</v>
      </c>
      <c r="AY108" s="413">
        <f t="shared" si="255"/>
        <v>1</v>
      </c>
      <c r="AZ108" s="413">
        <f t="shared" si="255"/>
        <v>1</v>
      </c>
      <c r="BA108" s="413">
        <f t="shared" si="255"/>
        <v>1</v>
      </c>
      <c r="BB108" s="413">
        <f t="shared" si="255"/>
        <v>1</v>
      </c>
      <c r="BC108" s="413">
        <f t="shared" si="255"/>
        <v>1</v>
      </c>
      <c r="BD108" s="413">
        <f t="shared" si="255"/>
        <v>1</v>
      </c>
      <c r="BE108" s="413">
        <f t="shared" si="255"/>
        <v>1</v>
      </c>
      <c r="BF108" s="413">
        <f t="shared" si="255"/>
        <v>1</v>
      </c>
      <c r="BG108" s="413">
        <f t="shared" si="255"/>
        <v>1</v>
      </c>
      <c r="BH108" s="413">
        <f t="shared" si="255"/>
        <v>1</v>
      </c>
      <c r="BI108" s="413">
        <f t="shared" si="255"/>
        <v>1</v>
      </c>
      <c r="BJ108" s="413">
        <f t="shared" si="255"/>
        <v>1</v>
      </c>
      <c r="BK108" s="413">
        <f t="shared" si="255"/>
        <v>1</v>
      </c>
      <c r="BL108" s="413">
        <f t="shared" si="255"/>
        <v>1</v>
      </c>
      <c r="BM108" s="413">
        <f t="shared" si="255"/>
        <v>1</v>
      </c>
      <c r="BN108" s="413">
        <f t="shared" si="255"/>
        <v>1</v>
      </c>
      <c r="BO108" s="413">
        <f t="shared" si="255"/>
        <v>1</v>
      </c>
      <c r="BP108" s="413">
        <f t="shared" si="255"/>
        <v>1</v>
      </c>
      <c r="BQ108" s="413">
        <f t="shared" si="255"/>
        <v>1</v>
      </c>
      <c r="BR108" s="413">
        <f t="shared" si="255"/>
        <v>1</v>
      </c>
      <c r="BS108" s="413">
        <f t="shared" si="255"/>
        <v>1</v>
      </c>
      <c r="BT108" s="413">
        <f t="shared" si="255"/>
        <v>1</v>
      </c>
      <c r="BU108" s="413">
        <f t="shared" si="255"/>
        <v>1</v>
      </c>
    </row>
    <row r="109" spans="1:73" x14ac:dyDescent="0.2">
      <c r="A109" s="186"/>
      <c r="B109" s="232" t="s">
        <v>340</v>
      </c>
      <c r="C109" s="186"/>
      <c r="D109" s="186"/>
      <c r="E109" s="186"/>
      <c r="F109" s="186"/>
      <c r="G109" s="186"/>
      <c r="H109" s="186"/>
      <c r="I109" s="186"/>
      <c r="J109" s="186"/>
      <c r="K109" s="367"/>
      <c r="L109" s="186"/>
      <c r="M109" s="186"/>
      <c r="N109" s="186"/>
      <c r="O109" s="186"/>
      <c r="P109" s="186"/>
      <c r="Q109" s="414"/>
      <c r="R109" s="739">
        <v>1.1472538692212984</v>
      </c>
      <c r="S109" s="415">
        <f>R109*(1+Oper!S24)</f>
        <v>1.1730670812787776</v>
      </c>
      <c r="T109" s="415">
        <f>S109*(1+Oper!T24)</f>
        <v>1.19946109060755</v>
      </c>
      <c r="U109" s="415">
        <f>T109*(1+Oper!U24)</f>
        <v>1.2264489651462198</v>
      </c>
      <c r="V109" s="415">
        <f>U109*(1+Oper!V24)</f>
        <v>1.2540440668620096</v>
      </c>
      <c r="W109" s="415">
        <f>V109*(1+Oper!W24)</f>
        <v>1.2828870803998358</v>
      </c>
      <c r="X109" s="415">
        <f>W109*(1+Oper!X24)</f>
        <v>1.3123934832490318</v>
      </c>
      <c r="Y109" s="415">
        <f>X109*(1+Oper!Y24)</f>
        <v>1.3425785333637594</v>
      </c>
      <c r="Z109" s="415">
        <f>Y109*(1+Oper!Z24)</f>
        <v>1.3734578396311257</v>
      </c>
      <c r="AA109" s="415">
        <f>Z109*(1+Oper!AA24)</f>
        <v>1.4050473699426413</v>
      </c>
      <c r="AB109" s="415">
        <f>AA109*(1+Oper!AB24)</f>
        <v>1.437363459451322</v>
      </c>
      <c r="AC109" s="415">
        <f>AB109*(1+Oper!AC24)</f>
        <v>1.4704228190187023</v>
      </c>
      <c r="AD109" s="415">
        <f>AC109*(1+Oper!AD24)</f>
        <v>1.5042425438561324</v>
      </c>
      <c r="AE109" s="415">
        <f>AD109*(1+Oper!AE24)</f>
        <v>1.5388401223648234</v>
      </c>
      <c r="AF109" s="415">
        <f>AE109*(1+Oper!AF24)</f>
        <v>1.5742334451792142</v>
      </c>
      <c r="AG109" s="415">
        <f>AF109*(1+Oper!AG24)</f>
        <v>1.610440814418336</v>
      </c>
      <c r="AH109" s="415">
        <f>AG109*(1+Oper!AH24)</f>
        <v>1.6474809531499575</v>
      </c>
      <c r="AI109" s="415">
        <f>AH109*(1+Oper!AI24)</f>
        <v>1.6853730150724064</v>
      </c>
      <c r="AJ109" s="415">
        <f>AI109*(1+Oper!AJ24)</f>
        <v>1.7241365944190716</v>
      </c>
      <c r="AK109" s="415">
        <f>AJ109*(1+Oper!AK24)</f>
        <v>1.76379173609071</v>
      </c>
      <c r="AL109" s="415">
        <f>AK109*(1+Oper!AL24)</f>
        <v>1.8043589460207963</v>
      </c>
      <c r="AM109" s="415">
        <f>AL109*(1+Oper!AM24)</f>
        <v>1.8458592017792743</v>
      </c>
      <c r="AN109" s="415">
        <f>AM109*(1+Oper!AN24)</f>
        <v>1.8883139634201975</v>
      </c>
      <c r="AO109" s="415">
        <f>AN109*(1+Oper!AO24)</f>
        <v>1.9317451845788618</v>
      </c>
      <c r="AP109" s="415">
        <f>AO109*(1+Oper!AP24)</f>
        <v>1.9761753238241755</v>
      </c>
      <c r="AQ109" s="415">
        <f>AP109*(1+Oper!AQ24)</f>
        <v>2.0216273562721314</v>
      </c>
      <c r="AR109" s="415">
        <f>AQ109*(1+Oper!AR24)</f>
        <v>2.0681247854663902</v>
      </c>
      <c r="AS109" s="415">
        <f>AR109*(1+Oper!AS24)</f>
        <v>2.115691655532117</v>
      </c>
      <c r="AT109" s="415">
        <f>AS109*(1+Oper!AT24)</f>
        <v>2.1643525636093557</v>
      </c>
      <c r="AU109" s="415">
        <f>AT109*(1+Oper!AU24)</f>
        <v>2.2141326725723705</v>
      </c>
      <c r="AV109" s="415">
        <f>AU109*(1+Oper!AV24)</f>
        <v>2.2650577240415348</v>
      </c>
      <c r="AW109" s="415">
        <f>AV109*(1+Oper!AW24)</f>
        <v>2.31715405169449</v>
      </c>
      <c r="AX109" s="415">
        <f>AW109*(1+Oper!AX24)</f>
        <v>2.370448594883463</v>
      </c>
      <c r="AY109" s="415">
        <f>AX109*(1+Oper!AY24)</f>
        <v>2.4249689125657823</v>
      </c>
      <c r="AZ109" s="415">
        <f>AY109*(1+Oper!AZ24)</f>
        <v>2.4807431975547951</v>
      </c>
      <c r="BA109" s="415">
        <f>AZ109*(1+Oper!BA24)</f>
        <v>2.5378002910985553</v>
      </c>
      <c r="BB109" s="415">
        <f>BA109*(1+Oper!BB24)</f>
        <v>2.596169697793822</v>
      </c>
      <c r="BC109" s="415">
        <f>BB109*(1+Oper!BC24)</f>
        <v>2.6558816008430797</v>
      </c>
      <c r="BD109" s="415">
        <f>BC109*(1+Oper!BD24)</f>
        <v>2.7169668776624705</v>
      </c>
      <c r="BE109" s="415">
        <f>BD109*(1+Oper!BE24)</f>
        <v>2.7794571158487069</v>
      </c>
      <c r="BF109" s="415">
        <f>BE109*(1+Oper!BF24)</f>
        <v>2.8433846295132268</v>
      </c>
      <c r="BG109" s="415">
        <f>BF109*(1+Oper!BG24)</f>
        <v>2.9087824759920307</v>
      </c>
      <c r="BH109" s="415">
        <f>BG109*(1+Oper!BH24)</f>
        <v>2.9756844729398471</v>
      </c>
      <c r="BI109" s="415">
        <f>BH109*(1+Oper!BI24)</f>
        <v>3.0441252158174632</v>
      </c>
      <c r="BJ109" s="415">
        <f>BI109*(1+Oper!BJ24)</f>
        <v>3.1141400957812646</v>
      </c>
      <c r="BK109" s="415">
        <f>BJ109*(1+Oper!BK24)</f>
        <v>3.1857653179842336</v>
      </c>
      <c r="BL109" s="415">
        <f>BK109*(1+Oper!BL24)</f>
        <v>3.2590379202978705</v>
      </c>
      <c r="BM109" s="415">
        <f>BL109*(1+Oper!BM24)</f>
        <v>3.3339957924647212</v>
      </c>
      <c r="BN109" s="415">
        <f>BM109*(1+Oper!BN24)</f>
        <v>3.4106776956914095</v>
      </c>
      <c r="BO109" s="415">
        <f>BN109*(1+Oper!BO24)</f>
        <v>3.4891232826923115</v>
      </c>
      <c r="BP109" s="415">
        <f>BO109*(1+Oper!BP24)</f>
        <v>3.5693731181942345</v>
      </c>
      <c r="BQ109" s="415">
        <f>BP109*(1+Oper!BQ24)</f>
        <v>3.6514686999127015</v>
      </c>
      <c r="BR109" s="415">
        <f>BQ109*(1+Oper!BR24)</f>
        <v>3.7354524800106934</v>
      </c>
      <c r="BS109" s="415">
        <f>BR109*(1+Oper!BS24)</f>
        <v>3.8213678870509389</v>
      </c>
      <c r="BT109" s="415">
        <f>BS109*(1+Oper!BT24)</f>
        <v>3.90925934845311</v>
      </c>
      <c r="BU109" s="415">
        <f>BT109*(1+Oper!BU24)</f>
        <v>3.9991723134675312</v>
      </c>
    </row>
    <row r="110" spans="1:73" x14ac:dyDescent="0.2">
      <c r="A110" s="186"/>
      <c r="B110" s="232" t="s">
        <v>339</v>
      </c>
      <c r="C110" s="186"/>
      <c r="D110" s="186"/>
      <c r="E110" s="186"/>
      <c r="F110" s="186"/>
      <c r="G110" s="186"/>
      <c r="H110" s="186"/>
      <c r="I110" s="186"/>
      <c r="J110" s="186"/>
      <c r="K110" s="367"/>
      <c r="L110" s="186"/>
      <c r="M110" s="186"/>
      <c r="N110" s="186"/>
      <c r="O110" s="186"/>
      <c r="P110" s="186"/>
      <c r="Q110" s="414"/>
      <c r="R110" s="739">
        <v>1.1644626772596178</v>
      </c>
      <c r="S110" s="415">
        <f>R110*(1+Oper!S24)</f>
        <v>1.1906630874979591</v>
      </c>
      <c r="T110" s="415">
        <f>S110*(1+Oper!T24)</f>
        <v>1.2174530069666631</v>
      </c>
      <c r="U110" s="415">
        <f>T110*(1+Oper!U24)</f>
        <v>1.244845699623413</v>
      </c>
      <c r="V110" s="415">
        <f>U110*(1+Oper!V24)</f>
        <v>1.2728547278649398</v>
      </c>
      <c r="W110" s="415">
        <f>V110*(1+Oper!W24)</f>
        <v>1.3021303866058334</v>
      </c>
      <c r="X110" s="415">
        <f>W110*(1+Oper!X24)</f>
        <v>1.3320793854977675</v>
      </c>
      <c r="Y110" s="415">
        <f>X110*(1+Oper!Y24)</f>
        <v>1.3627172113642161</v>
      </c>
      <c r="Z110" s="415">
        <f>Y110*(1+Oper!Z24)</f>
        <v>1.3940597072255929</v>
      </c>
      <c r="AA110" s="415">
        <f>Z110*(1+Oper!AA24)</f>
        <v>1.4261230804917815</v>
      </c>
      <c r="AB110" s="415">
        <f>AA110*(1+Oper!AB24)</f>
        <v>1.4589239113430923</v>
      </c>
      <c r="AC110" s="415">
        <f>AB110*(1+Oper!AC24)</f>
        <v>1.4924791613039834</v>
      </c>
      <c r="AD110" s="415">
        <f>AC110*(1+Oper!AD24)</f>
        <v>1.5268061820139749</v>
      </c>
      <c r="AE110" s="415">
        <f>AD110*(1+Oper!AE24)</f>
        <v>1.5619227242002962</v>
      </c>
      <c r="AF110" s="415">
        <f>AE110*(1+Oper!AF24)</f>
        <v>1.597846946856903</v>
      </c>
      <c r="AG110" s="415">
        <f>AF110*(1+Oper!AG24)</f>
        <v>1.6345974266346117</v>
      </c>
      <c r="AH110" s="415">
        <f>AG110*(1+Oper!AH24)</f>
        <v>1.6721931674472077</v>
      </c>
      <c r="AI110" s="415">
        <f>AH110*(1+Oper!AI24)</f>
        <v>1.7106536102984933</v>
      </c>
      <c r="AJ110" s="415">
        <f>AI110*(1+Oper!AJ24)</f>
        <v>1.7499986433353585</v>
      </c>
      <c r="AK110" s="415">
        <f>AJ110*(1+Oper!AK24)</f>
        <v>1.7902486121320715</v>
      </c>
      <c r="AL110" s="415">
        <f>AK110*(1+Oper!AL24)</f>
        <v>1.8314243302111091</v>
      </c>
      <c r="AM110" s="415">
        <f>AL110*(1+Oper!AM24)</f>
        <v>1.8735470898059645</v>
      </c>
      <c r="AN110" s="415">
        <f>AM110*(1+Oper!AN24)</f>
        <v>1.9166386728715015</v>
      </c>
      <c r="AO110" s="415">
        <f>AN110*(1+Oper!AO24)</f>
        <v>1.9607213623475459</v>
      </c>
      <c r="AP110" s="415">
        <f>AO110*(1+Oper!AP24)</f>
        <v>2.0058179536815395</v>
      </c>
      <c r="AQ110" s="415">
        <f>AP110*(1+Oper!AQ24)</f>
        <v>2.0519517666162148</v>
      </c>
      <c r="AR110" s="415">
        <f>AQ110*(1+Oper!AR24)</f>
        <v>2.0991466572483874</v>
      </c>
      <c r="AS110" s="415">
        <f>AR110*(1+Oper!AS24)</f>
        <v>2.1474270303651002</v>
      </c>
      <c r="AT110" s="415">
        <f>AS110*(1+Oper!AT24)</f>
        <v>2.1968178520634973</v>
      </c>
      <c r="AU110" s="415">
        <f>AT110*(1+Oper!AU24)</f>
        <v>2.2473446626609577</v>
      </c>
      <c r="AV110" s="415">
        <f>AU110*(1+Oper!AV24)</f>
        <v>2.2990335899021597</v>
      </c>
      <c r="AW110" s="415">
        <f>AV110*(1+Oper!AW24)</f>
        <v>2.3519113624699091</v>
      </c>
      <c r="AX110" s="415">
        <f>AW110*(1+Oper!AX24)</f>
        <v>2.4060053238067169</v>
      </c>
      <c r="AY110" s="415">
        <f>AX110*(1+Oper!AY24)</f>
        <v>2.4613434462542712</v>
      </c>
      <c r="AZ110" s="415">
        <f>AY110*(1+Oper!AZ24)</f>
        <v>2.517954345518119</v>
      </c>
      <c r="BA110" s="415">
        <f>AZ110*(1+Oper!BA24)</f>
        <v>2.5758672954650357</v>
      </c>
      <c r="BB110" s="415">
        <f>BA110*(1+Oper!BB24)</f>
        <v>2.6351122432607315</v>
      </c>
      <c r="BC110" s="415">
        <f>BB110*(1+Oper!BC24)</f>
        <v>2.6957198248557281</v>
      </c>
      <c r="BD110" s="415">
        <f>BC110*(1+Oper!BD24)</f>
        <v>2.7577213808274097</v>
      </c>
      <c r="BE110" s="415">
        <f>BD110*(1+Oper!BE24)</f>
        <v>2.8211489725864398</v>
      </c>
      <c r="BF110" s="415">
        <f>BE110*(1+Oper!BF24)</f>
        <v>2.8860353989559275</v>
      </c>
      <c r="BG110" s="415">
        <f>BF110*(1+Oper!BG24)</f>
        <v>2.9524142131319135</v>
      </c>
      <c r="BH110" s="415">
        <f>BG110*(1+Oper!BH24)</f>
        <v>3.0203197400339472</v>
      </c>
      <c r="BI110" s="415">
        <f>BH110*(1+Oper!BI24)</f>
        <v>3.0897870940547278</v>
      </c>
      <c r="BJ110" s="415">
        <f>BI110*(1+Oper!BJ24)</f>
        <v>3.1608521972179862</v>
      </c>
      <c r="BK110" s="415">
        <f>BJ110*(1+Oper!BK24)</f>
        <v>3.2335517977539996</v>
      </c>
      <c r="BL110" s="415">
        <f>BK110*(1+Oper!BL24)</f>
        <v>3.3079234891023415</v>
      </c>
      <c r="BM110" s="415">
        <f>BL110*(1+Oper!BM24)</f>
        <v>3.3840057293516952</v>
      </c>
      <c r="BN110" s="415">
        <f>BM110*(1+Oper!BN24)</f>
        <v>3.4618378611267837</v>
      </c>
      <c r="BO110" s="415">
        <f>BN110*(1+Oper!BO24)</f>
        <v>3.5414601319326993</v>
      </c>
      <c r="BP110" s="415">
        <f>BO110*(1+Oper!BP24)</f>
        <v>3.6229137149671509</v>
      </c>
      <c r="BQ110" s="415">
        <f>BP110*(1+Oper!BQ24)</f>
        <v>3.7062407304113951</v>
      </c>
      <c r="BR110" s="415">
        <f>BQ110*(1+Oper!BR24)</f>
        <v>3.7914842672108571</v>
      </c>
      <c r="BS110" s="415">
        <f>BR110*(1+Oper!BS24)</f>
        <v>3.8786884053567063</v>
      </c>
      <c r="BT110" s="415">
        <f>BS110*(1+Oper!BT24)</f>
        <v>3.9678982386799104</v>
      </c>
      <c r="BU110" s="415">
        <f>BT110*(1+Oper!BU24)</f>
        <v>4.0591598981695478</v>
      </c>
    </row>
    <row r="111" spans="1:73" x14ac:dyDescent="0.2">
      <c r="A111" s="186"/>
      <c r="B111" s="186"/>
      <c r="C111" s="186"/>
      <c r="D111" s="186"/>
      <c r="E111" s="186"/>
      <c r="F111" s="186"/>
      <c r="G111" s="186"/>
      <c r="H111" s="186"/>
      <c r="I111" s="186"/>
      <c r="J111" s="186"/>
      <c r="K111" s="367"/>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row>
    <row r="112" spans="1:73" x14ac:dyDescent="0.2">
      <c r="A112" s="186"/>
      <c r="B112" s="396" t="s">
        <v>173</v>
      </c>
      <c r="C112" s="186"/>
      <c r="D112" s="186"/>
      <c r="E112" s="186"/>
      <c r="F112" s="186"/>
      <c r="G112" s="186"/>
      <c r="H112" s="186"/>
      <c r="I112" s="186"/>
      <c r="J112" s="186"/>
      <c r="K112" s="367"/>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row>
    <row r="113" spans="1:73" x14ac:dyDescent="0.2">
      <c r="A113" s="186"/>
      <c r="B113" s="186"/>
      <c r="C113" s="186" t="s">
        <v>9</v>
      </c>
      <c r="D113" s="186"/>
      <c r="E113" s="186"/>
      <c r="F113" s="186"/>
      <c r="G113" s="186"/>
      <c r="H113" s="186"/>
      <c r="I113" s="186"/>
      <c r="J113" s="186"/>
      <c r="K113" s="367" t="s">
        <v>20</v>
      </c>
      <c r="L113" s="416">
        <v>4.2200000000000001E-2</v>
      </c>
      <c r="M113" s="186"/>
      <c r="N113" s="186"/>
      <c r="O113" s="186"/>
      <c r="P113" s="186"/>
      <c r="Q113" s="194"/>
      <c r="R113" s="194">
        <f t="shared" ref="R113:AO113" si="256">+$L$113</f>
        <v>4.2200000000000001E-2</v>
      </c>
      <c r="S113" s="194">
        <f t="shared" si="256"/>
        <v>4.2200000000000001E-2</v>
      </c>
      <c r="T113" s="194">
        <f t="shared" si="256"/>
        <v>4.2200000000000001E-2</v>
      </c>
      <c r="U113" s="194">
        <f t="shared" si="256"/>
        <v>4.2200000000000001E-2</v>
      </c>
      <c r="V113" s="194">
        <f t="shared" si="256"/>
        <v>4.2200000000000001E-2</v>
      </c>
      <c r="W113" s="194">
        <f t="shared" si="256"/>
        <v>4.2200000000000001E-2</v>
      </c>
      <c r="X113" s="194">
        <f t="shared" si="256"/>
        <v>4.2200000000000001E-2</v>
      </c>
      <c r="Y113" s="194">
        <f t="shared" si="256"/>
        <v>4.2200000000000001E-2</v>
      </c>
      <c r="Z113" s="194">
        <f t="shared" si="256"/>
        <v>4.2200000000000001E-2</v>
      </c>
      <c r="AA113" s="194">
        <f t="shared" si="256"/>
        <v>4.2200000000000001E-2</v>
      </c>
      <c r="AB113" s="194">
        <f t="shared" si="256"/>
        <v>4.2200000000000001E-2</v>
      </c>
      <c r="AC113" s="194">
        <f t="shared" si="256"/>
        <v>4.2200000000000001E-2</v>
      </c>
      <c r="AD113" s="194">
        <f t="shared" si="256"/>
        <v>4.2200000000000001E-2</v>
      </c>
      <c r="AE113" s="194">
        <f t="shared" si="256"/>
        <v>4.2200000000000001E-2</v>
      </c>
      <c r="AF113" s="194">
        <f t="shared" si="256"/>
        <v>4.2200000000000001E-2</v>
      </c>
      <c r="AG113" s="194">
        <f t="shared" si="256"/>
        <v>4.2200000000000001E-2</v>
      </c>
      <c r="AH113" s="194">
        <f t="shared" si="256"/>
        <v>4.2200000000000001E-2</v>
      </c>
      <c r="AI113" s="194">
        <f t="shared" si="256"/>
        <v>4.2200000000000001E-2</v>
      </c>
      <c r="AJ113" s="194">
        <f t="shared" si="256"/>
        <v>4.2200000000000001E-2</v>
      </c>
      <c r="AK113" s="194">
        <f t="shared" si="256"/>
        <v>4.2200000000000001E-2</v>
      </c>
      <c r="AL113" s="194">
        <f t="shared" si="256"/>
        <v>4.2200000000000001E-2</v>
      </c>
      <c r="AM113" s="194">
        <f t="shared" si="256"/>
        <v>4.2200000000000001E-2</v>
      </c>
      <c r="AN113" s="194">
        <f t="shared" si="256"/>
        <v>4.2200000000000001E-2</v>
      </c>
      <c r="AO113" s="194">
        <f t="shared" si="256"/>
        <v>4.2200000000000001E-2</v>
      </c>
      <c r="AP113" s="194">
        <f t="shared" ref="AP113:BU113" si="257">+$L$113</f>
        <v>4.2200000000000001E-2</v>
      </c>
      <c r="AQ113" s="194">
        <f t="shared" si="257"/>
        <v>4.2200000000000001E-2</v>
      </c>
      <c r="AR113" s="194">
        <f t="shared" si="257"/>
        <v>4.2200000000000001E-2</v>
      </c>
      <c r="AS113" s="194">
        <f t="shared" si="257"/>
        <v>4.2200000000000001E-2</v>
      </c>
      <c r="AT113" s="194">
        <f t="shared" si="257"/>
        <v>4.2200000000000001E-2</v>
      </c>
      <c r="AU113" s="194">
        <f t="shared" si="257"/>
        <v>4.2200000000000001E-2</v>
      </c>
      <c r="AV113" s="194">
        <f t="shared" si="257"/>
        <v>4.2200000000000001E-2</v>
      </c>
      <c r="AW113" s="194">
        <f t="shared" si="257"/>
        <v>4.2200000000000001E-2</v>
      </c>
      <c r="AX113" s="194">
        <f t="shared" si="257"/>
        <v>4.2200000000000001E-2</v>
      </c>
      <c r="AY113" s="194">
        <f t="shared" si="257"/>
        <v>4.2200000000000001E-2</v>
      </c>
      <c r="AZ113" s="194">
        <f t="shared" si="257"/>
        <v>4.2200000000000001E-2</v>
      </c>
      <c r="BA113" s="194">
        <f t="shared" si="257"/>
        <v>4.2200000000000001E-2</v>
      </c>
      <c r="BB113" s="194">
        <f t="shared" si="257"/>
        <v>4.2200000000000001E-2</v>
      </c>
      <c r="BC113" s="194">
        <f t="shared" si="257"/>
        <v>4.2200000000000001E-2</v>
      </c>
      <c r="BD113" s="194">
        <f t="shared" si="257"/>
        <v>4.2200000000000001E-2</v>
      </c>
      <c r="BE113" s="194">
        <f t="shared" si="257"/>
        <v>4.2200000000000001E-2</v>
      </c>
      <c r="BF113" s="194">
        <f t="shared" si="257"/>
        <v>4.2200000000000001E-2</v>
      </c>
      <c r="BG113" s="194">
        <f t="shared" si="257"/>
        <v>4.2200000000000001E-2</v>
      </c>
      <c r="BH113" s="194">
        <f t="shared" si="257"/>
        <v>4.2200000000000001E-2</v>
      </c>
      <c r="BI113" s="194">
        <f t="shared" si="257"/>
        <v>4.2200000000000001E-2</v>
      </c>
      <c r="BJ113" s="194">
        <f t="shared" si="257"/>
        <v>4.2200000000000001E-2</v>
      </c>
      <c r="BK113" s="194">
        <f t="shared" si="257"/>
        <v>4.2200000000000001E-2</v>
      </c>
      <c r="BL113" s="194">
        <f t="shared" si="257"/>
        <v>4.2200000000000001E-2</v>
      </c>
      <c r="BM113" s="194">
        <f t="shared" si="257"/>
        <v>4.2200000000000001E-2</v>
      </c>
      <c r="BN113" s="194">
        <f t="shared" si="257"/>
        <v>4.2200000000000001E-2</v>
      </c>
      <c r="BO113" s="194">
        <f t="shared" si="257"/>
        <v>4.2200000000000001E-2</v>
      </c>
      <c r="BP113" s="194">
        <f t="shared" si="257"/>
        <v>4.2200000000000001E-2</v>
      </c>
      <c r="BQ113" s="194">
        <f t="shared" si="257"/>
        <v>4.2200000000000001E-2</v>
      </c>
      <c r="BR113" s="194">
        <f t="shared" si="257"/>
        <v>4.2200000000000001E-2</v>
      </c>
      <c r="BS113" s="194">
        <f t="shared" si="257"/>
        <v>4.2200000000000001E-2</v>
      </c>
      <c r="BT113" s="194">
        <f t="shared" si="257"/>
        <v>4.2200000000000001E-2</v>
      </c>
      <c r="BU113" s="194">
        <f t="shared" si="257"/>
        <v>4.2200000000000001E-2</v>
      </c>
    </row>
    <row r="114" spans="1:73" x14ac:dyDescent="0.2">
      <c r="A114" s="186"/>
      <c r="B114" s="186"/>
      <c r="C114" s="400" t="s">
        <v>174</v>
      </c>
      <c r="D114" s="401"/>
      <c r="E114" s="401"/>
      <c r="F114" s="401"/>
      <c r="G114" s="401"/>
      <c r="H114" s="401"/>
      <c r="I114" s="401"/>
      <c r="J114" s="401"/>
      <c r="K114" s="621" t="s">
        <v>20</v>
      </c>
      <c r="L114" s="401"/>
      <c r="M114" s="401"/>
      <c r="N114" s="401"/>
      <c r="O114" s="402"/>
      <c r="P114" s="400"/>
      <c r="Q114" s="417"/>
      <c r="R114" s="417">
        <f t="shared" ref="R114:AO114" si="258">+R113</f>
        <v>4.2200000000000001E-2</v>
      </c>
      <c r="S114" s="417">
        <f t="shared" si="258"/>
        <v>4.2200000000000001E-2</v>
      </c>
      <c r="T114" s="417">
        <f t="shared" si="258"/>
        <v>4.2200000000000001E-2</v>
      </c>
      <c r="U114" s="417">
        <f t="shared" si="258"/>
        <v>4.2200000000000001E-2</v>
      </c>
      <c r="V114" s="417">
        <f t="shared" si="258"/>
        <v>4.2200000000000001E-2</v>
      </c>
      <c r="W114" s="417">
        <f t="shared" si="258"/>
        <v>4.2200000000000001E-2</v>
      </c>
      <c r="X114" s="417">
        <f t="shared" si="258"/>
        <v>4.2200000000000001E-2</v>
      </c>
      <c r="Y114" s="417">
        <f t="shared" si="258"/>
        <v>4.2200000000000001E-2</v>
      </c>
      <c r="Z114" s="417">
        <f t="shared" si="258"/>
        <v>4.2200000000000001E-2</v>
      </c>
      <c r="AA114" s="417">
        <f t="shared" si="258"/>
        <v>4.2200000000000001E-2</v>
      </c>
      <c r="AB114" s="417">
        <f t="shared" si="258"/>
        <v>4.2200000000000001E-2</v>
      </c>
      <c r="AC114" s="417">
        <f t="shared" si="258"/>
        <v>4.2200000000000001E-2</v>
      </c>
      <c r="AD114" s="417">
        <f t="shared" si="258"/>
        <v>4.2200000000000001E-2</v>
      </c>
      <c r="AE114" s="417">
        <f t="shared" si="258"/>
        <v>4.2200000000000001E-2</v>
      </c>
      <c r="AF114" s="417">
        <f t="shared" si="258"/>
        <v>4.2200000000000001E-2</v>
      </c>
      <c r="AG114" s="417">
        <f t="shared" si="258"/>
        <v>4.2200000000000001E-2</v>
      </c>
      <c r="AH114" s="417">
        <f t="shared" si="258"/>
        <v>4.2200000000000001E-2</v>
      </c>
      <c r="AI114" s="417">
        <f t="shared" si="258"/>
        <v>4.2200000000000001E-2</v>
      </c>
      <c r="AJ114" s="417">
        <f t="shared" si="258"/>
        <v>4.2200000000000001E-2</v>
      </c>
      <c r="AK114" s="417">
        <f t="shared" si="258"/>
        <v>4.2200000000000001E-2</v>
      </c>
      <c r="AL114" s="417">
        <f t="shared" si="258"/>
        <v>4.2200000000000001E-2</v>
      </c>
      <c r="AM114" s="417">
        <f t="shared" si="258"/>
        <v>4.2200000000000001E-2</v>
      </c>
      <c r="AN114" s="417">
        <f t="shared" si="258"/>
        <v>4.2200000000000001E-2</v>
      </c>
      <c r="AO114" s="417">
        <f t="shared" si="258"/>
        <v>4.2200000000000001E-2</v>
      </c>
      <c r="AP114" s="417">
        <f t="shared" ref="AP114:BU114" si="259">+AP113</f>
        <v>4.2200000000000001E-2</v>
      </c>
      <c r="AQ114" s="417">
        <f t="shared" si="259"/>
        <v>4.2200000000000001E-2</v>
      </c>
      <c r="AR114" s="417">
        <f t="shared" si="259"/>
        <v>4.2200000000000001E-2</v>
      </c>
      <c r="AS114" s="417">
        <f t="shared" si="259"/>
        <v>4.2200000000000001E-2</v>
      </c>
      <c r="AT114" s="417">
        <f t="shared" si="259"/>
        <v>4.2200000000000001E-2</v>
      </c>
      <c r="AU114" s="417">
        <f t="shared" si="259"/>
        <v>4.2200000000000001E-2</v>
      </c>
      <c r="AV114" s="417">
        <f t="shared" si="259"/>
        <v>4.2200000000000001E-2</v>
      </c>
      <c r="AW114" s="417">
        <f t="shared" si="259"/>
        <v>4.2200000000000001E-2</v>
      </c>
      <c r="AX114" s="417">
        <f t="shared" si="259"/>
        <v>4.2200000000000001E-2</v>
      </c>
      <c r="AY114" s="417">
        <f t="shared" si="259"/>
        <v>4.2200000000000001E-2</v>
      </c>
      <c r="AZ114" s="417">
        <f t="shared" si="259"/>
        <v>4.2200000000000001E-2</v>
      </c>
      <c r="BA114" s="417">
        <f t="shared" si="259"/>
        <v>4.2200000000000001E-2</v>
      </c>
      <c r="BB114" s="417">
        <f t="shared" si="259"/>
        <v>4.2200000000000001E-2</v>
      </c>
      <c r="BC114" s="417">
        <f t="shared" si="259"/>
        <v>4.2200000000000001E-2</v>
      </c>
      <c r="BD114" s="417">
        <f t="shared" si="259"/>
        <v>4.2200000000000001E-2</v>
      </c>
      <c r="BE114" s="417">
        <f t="shared" si="259"/>
        <v>4.2200000000000001E-2</v>
      </c>
      <c r="BF114" s="417">
        <f t="shared" si="259"/>
        <v>4.2200000000000001E-2</v>
      </c>
      <c r="BG114" s="417">
        <f t="shared" si="259"/>
        <v>4.2200000000000001E-2</v>
      </c>
      <c r="BH114" s="417">
        <f t="shared" si="259"/>
        <v>4.2200000000000001E-2</v>
      </c>
      <c r="BI114" s="417">
        <f t="shared" si="259"/>
        <v>4.2200000000000001E-2</v>
      </c>
      <c r="BJ114" s="417">
        <f t="shared" si="259"/>
        <v>4.2200000000000001E-2</v>
      </c>
      <c r="BK114" s="417">
        <f t="shared" si="259"/>
        <v>4.2200000000000001E-2</v>
      </c>
      <c r="BL114" s="417">
        <f t="shared" si="259"/>
        <v>4.2200000000000001E-2</v>
      </c>
      <c r="BM114" s="417">
        <f t="shared" si="259"/>
        <v>4.2200000000000001E-2</v>
      </c>
      <c r="BN114" s="417">
        <f t="shared" si="259"/>
        <v>4.2200000000000001E-2</v>
      </c>
      <c r="BO114" s="417">
        <f t="shared" si="259"/>
        <v>4.2200000000000001E-2</v>
      </c>
      <c r="BP114" s="417">
        <f t="shared" si="259"/>
        <v>4.2200000000000001E-2</v>
      </c>
      <c r="BQ114" s="417">
        <f t="shared" si="259"/>
        <v>4.2200000000000001E-2</v>
      </c>
      <c r="BR114" s="417">
        <f t="shared" si="259"/>
        <v>4.2200000000000001E-2</v>
      </c>
      <c r="BS114" s="417">
        <f t="shared" si="259"/>
        <v>4.2200000000000001E-2</v>
      </c>
      <c r="BT114" s="417">
        <f t="shared" si="259"/>
        <v>4.2200000000000001E-2</v>
      </c>
      <c r="BU114" s="417">
        <f t="shared" si="259"/>
        <v>4.2200000000000001E-2</v>
      </c>
    </row>
    <row r="115" spans="1:73" x14ac:dyDescent="0.2">
      <c r="A115" s="186"/>
      <c r="B115" s="186"/>
      <c r="C115" s="186" t="s">
        <v>175</v>
      </c>
      <c r="D115" s="186"/>
      <c r="E115" s="405"/>
      <c r="F115" s="405"/>
      <c r="G115" s="186"/>
      <c r="H115" s="186"/>
      <c r="I115" s="406"/>
      <c r="J115" s="406"/>
      <c r="K115" s="406"/>
      <c r="L115" s="406"/>
      <c r="M115" s="406"/>
      <c r="N115" s="406"/>
      <c r="O115" s="406"/>
      <c r="P115" s="406"/>
      <c r="Q115" s="407"/>
      <c r="R115" s="407">
        <f>+CF!R15</f>
        <v>365</v>
      </c>
      <c r="S115" s="407">
        <f>+CF!S15</f>
        <v>365</v>
      </c>
      <c r="T115" s="407">
        <f>+CF!T15</f>
        <v>365</v>
      </c>
      <c r="U115" s="407">
        <f>+CF!U15</f>
        <v>366</v>
      </c>
      <c r="V115" s="407">
        <f>+CF!V15</f>
        <v>365</v>
      </c>
      <c r="W115" s="407">
        <f>+CF!W15</f>
        <v>365</v>
      </c>
      <c r="X115" s="407">
        <f>+CF!X15</f>
        <v>365</v>
      </c>
      <c r="Y115" s="407">
        <f>+CF!Y15</f>
        <v>366</v>
      </c>
      <c r="Z115" s="407">
        <f>+CF!Z15</f>
        <v>365</v>
      </c>
      <c r="AA115" s="407">
        <f>+CF!AA15</f>
        <v>365</v>
      </c>
      <c r="AB115" s="407">
        <f>+CF!AB15</f>
        <v>365</v>
      </c>
      <c r="AC115" s="407">
        <f>+CF!AC15</f>
        <v>366</v>
      </c>
      <c r="AD115" s="407">
        <f>+CF!AD15</f>
        <v>365</v>
      </c>
      <c r="AE115" s="407">
        <f>+CF!AE15</f>
        <v>365</v>
      </c>
      <c r="AF115" s="407">
        <f>+CF!AF15</f>
        <v>365</v>
      </c>
      <c r="AG115" s="407">
        <f>+CF!AG15</f>
        <v>366</v>
      </c>
      <c r="AH115" s="407">
        <f>+CF!AH15</f>
        <v>365</v>
      </c>
      <c r="AI115" s="407">
        <f>+CF!AI15</f>
        <v>365</v>
      </c>
      <c r="AJ115" s="407">
        <f>+CF!AJ15</f>
        <v>365</v>
      </c>
      <c r="AK115" s="407">
        <f>+CF!AK15</f>
        <v>366</v>
      </c>
      <c r="AL115" s="407">
        <f>+CF!AL15</f>
        <v>365</v>
      </c>
      <c r="AM115" s="407">
        <f>+CF!AM15</f>
        <v>365</v>
      </c>
      <c r="AN115" s="407">
        <f>+CF!AN15</f>
        <v>365</v>
      </c>
      <c r="AO115" s="407">
        <f>+CF!AO15</f>
        <v>366</v>
      </c>
      <c r="AP115" s="407">
        <f>+CF!AP15</f>
        <v>365</v>
      </c>
      <c r="AQ115" s="407">
        <f>+CF!AQ15</f>
        <v>365</v>
      </c>
      <c r="AR115" s="407">
        <f>+CF!AR15</f>
        <v>365</v>
      </c>
      <c r="AS115" s="407">
        <f>+CF!AS15</f>
        <v>366</v>
      </c>
      <c r="AT115" s="407">
        <f>+CF!AT15</f>
        <v>365</v>
      </c>
      <c r="AU115" s="407">
        <f>+CF!AU15</f>
        <v>365</v>
      </c>
      <c r="AV115" s="407">
        <f>+CF!AV15</f>
        <v>365</v>
      </c>
      <c r="AW115" s="407">
        <f>+CF!AW15</f>
        <v>366</v>
      </c>
      <c r="AX115" s="407">
        <f>+CF!AX15</f>
        <v>365</v>
      </c>
      <c r="AY115" s="407">
        <f>+CF!AY15</f>
        <v>365</v>
      </c>
      <c r="AZ115" s="407">
        <f>+CF!AZ15</f>
        <v>365</v>
      </c>
      <c r="BA115" s="407">
        <f>+CF!BA15</f>
        <v>366</v>
      </c>
      <c r="BB115" s="407">
        <f>+CF!BB15</f>
        <v>365</v>
      </c>
      <c r="BC115" s="407">
        <f>+CF!BC15</f>
        <v>365</v>
      </c>
      <c r="BD115" s="407">
        <f>+CF!BD15</f>
        <v>365</v>
      </c>
      <c r="BE115" s="407">
        <f>+CF!BE15</f>
        <v>366</v>
      </c>
      <c r="BF115" s="407">
        <f>+CF!BF15</f>
        <v>365</v>
      </c>
      <c r="BG115" s="407">
        <f>+CF!BG15</f>
        <v>365</v>
      </c>
      <c r="BH115" s="407">
        <f>+CF!BH15</f>
        <v>365</v>
      </c>
      <c r="BI115" s="407">
        <f>+CF!BI15</f>
        <v>366</v>
      </c>
      <c r="BJ115" s="407">
        <f>+CF!BJ15</f>
        <v>365</v>
      </c>
      <c r="BK115" s="407">
        <f>+CF!BK15</f>
        <v>365</v>
      </c>
      <c r="BL115" s="407">
        <f>+CF!BL15</f>
        <v>365</v>
      </c>
      <c r="BM115" s="407">
        <f>+CF!BM15</f>
        <v>366</v>
      </c>
      <c r="BN115" s="407">
        <f>+CF!BN15</f>
        <v>365</v>
      </c>
      <c r="BO115" s="407">
        <f>+CF!BO15</f>
        <v>365</v>
      </c>
      <c r="BP115" s="407">
        <f>+CF!BP15</f>
        <v>365</v>
      </c>
      <c r="BQ115" s="407">
        <f>+CF!BQ15</f>
        <v>366</v>
      </c>
      <c r="BR115" s="407">
        <f>+CF!BR15</f>
        <v>365</v>
      </c>
      <c r="BS115" s="407">
        <f>+CF!BS15</f>
        <v>365</v>
      </c>
      <c r="BT115" s="407">
        <f>+CF!BT15</f>
        <v>365</v>
      </c>
      <c r="BU115" s="407">
        <f>+CF!BU15</f>
        <v>366</v>
      </c>
    </row>
    <row r="116" spans="1:73" x14ac:dyDescent="0.2">
      <c r="A116" s="186"/>
      <c r="B116" s="186"/>
      <c r="C116" s="186"/>
      <c r="D116" s="186"/>
      <c r="E116" s="405"/>
      <c r="F116" s="405"/>
      <c r="G116" s="186"/>
      <c r="H116" s="18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6"/>
      <c r="BL116" s="406"/>
      <c r="BM116" s="406"/>
      <c r="BN116" s="406"/>
      <c r="BO116" s="406"/>
      <c r="BP116" s="406"/>
      <c r="BQ116" s="406"/>
      <c r="BR116" s="406"/>
      <c r="BS116" s="406"/>
      <c r="BT116" s="406"/>
      <c r="BU116" s="406"/>
    </row>
    <row r="117" spans="1:73" x14ac:dyDescent="0.2">
      <c r="A117" s="186"/>
      <c r="B117" s="186"/>
      <c r="C117" s="186" t="s">
        <v>185</v>
      </c>
      <c r="D117" s="186"/>
      <c r="E117" s="186"/>
      <c r="F117" s="186"/>
      <c r="G117" s="186"/>
      <c r="H117" s="186"/>
      <c r="I117" s="186"/>
      <c r="J117" s="186"/>
      <c r="K117" s="367" t="s">
        <v>63</v>
      </c>
      <c r="L117" s="186"/>
      <c r="M117" s="186"/>
      <c r="N117" s="374">
        <f>SUM(Q117:BU117)</f>
        <v>179986.8539196908</v>
      </c>
      <c r="O117" s="186"/>
      <c r="P117" s="186"/>
      <c r="Q117" s="374"/>
      <c r="R117" s="374">
        <f t="shared" ref="R117:AW117" si="260">+R129 * R104</f>
        <v>42306.89374814328</v>
      </c>
      <c r="S117" s="374">
        <f t="shared" si="260"/>
        <v>44111.109954011299</v>
      </c>
      <c r="T117" s="374">
        <f t="shared" si="260"/>
        <v>45992.237501333198</v>
      </c>
      <c r="U117" s="374">
        <f t="shared" si="260"/>
        <v>47576.61271620301</v>
      </c>
      <c r="V117" s="374">
        <f t="shared" si="260"/>
        <v>0</v>
      </c>
      <c r="W117" s="374">
        <f t="shared" si="260"/>
        <v>0</v>
      </c>
      <c r="X117" s="374">
        <f t="shared" si="260"/>
        <v>0</v>
      </c>
      <c r="Y117" s="374">
        <f t="shared" si="260"/>
        <v>0</v>
      </c>
      <c r="Z117" s="374">
        <f t="shared" si="260"/>
        <v>0</v>
      </c>
      <c r="AA117" s="374">
        <f t="shared" si="260"/>
        <v>0</v>
      </c>
      <c r="AB117" s="374">
        <f t="shared" si="260"/>
        <v>0</v>
      </c>
      <c r="AC117" s="374">
        <f t="shared" si="260"/>
        <v>0</v>
      </c>
      <c r="AD117" s="374">
        <f t="shared" si="260"/>
        <v>0</v>
      </c>
      <c r="AE117" s="374">
        <f t="shared" si="260"/>
        <v>0</v>
      </c>
      <c r="AF117" s="374">
        <f t="shared" si="260"/>
        <v>0</v>
      </c>
      <c r="AG117" s="374">
        <f t="shared" si="260"/>
        <v>0</v>
      </c>
      <c r="AH117" s="374">
        <f t="shared" si="260"/>
        <v>0</v>
      </c>
      <c r="AI117" s="374">
        <f t="shared" si="260"/>
        <v>0</v>
      </c>
      <c r="AJ117" s="374">
        <f t="shared" si="260"/>
        <v>0</v>
      </c>
      <c r="AK117" s="374">
        <f t="shared" si="260"/>
        <v>0</v>
      </c>
      <c r="AL117" s="374">
        <f t="shared" si="260"/>
        <v>0</v>
      </c>
      <c r="AM117" s="374">
        <f t="shared" si="260"/>
        <v>0</v>
      </c>
      <c r="AN117" s="374">
        <f t="shared" si="260"/>
        <v>0</v>
      </c>
      <c r="AO117" s="374">
        <f t="shared" si="260"/>
        <v>0</v>
      </c>
      <c r="AP117" s="374">
        <f t="shared" si="260"/>
        <v>0</v>
      </c>
      <c r="AQ117" s="374">
        <f t="shared" si="260"/>
        <v>0</v>
      </c>
      <c r="AR117" s="374">
        <f t="shared" si="260"/>
        <v>0</v>
      </c>
      <c r="AS117" s="374">
        <f t="shared" si="260"/>
        <v>0</v>
      </c>
      <c r="AT117" s="374">
        <f t="shared" si="260"/>
        <v>0</v>
      </c>
      <c r="AU117" s="374">
        <f t="shared" si="260"/>
        <v>0</v>
      </c>
      <c r="AV117" s="374">
        <f t="shared" si="260"/>
        <v>0</v>
      </c>
      <c r="AW117" s="374">
        <f t="shared" si="260"/>
        <v>0</v>
      </c>
      <c r="AX117" s="374">
        <f t="shared" ref="AX117:BU117" si="261">+AX129 * AX104</f>
        <v>0</v>
      </c>
      <c r="AY117" s="374">
        <f t="shared" si="261"/>
        <v>0</v>
      </c>
      <c r="AZ117" s="374">
        <f t="shared" si="261"/>
        <v>0</v>
      </c>
      <c r="BA117" s="374">
        <f t="shared" si="261"/>
        <v>0</v>
      </c>
      <c r="BB117" s="374">
        <f t="shared" si="261"/>
        <v>0</v>
      </c>
      <c r="BC117" s="374">
        <f t="shared" si="261"/>
        <v>0</v>
      </c>
      <c r="BD117" s="374">
        <f t="shared" si="261"/>
        <v>0</v>
      </c>
      <c r="BE117" s="374">
        <f t="shared" si="261"/>
        <v>0</v>
      </c>
      <c r="BF117" s="374">
        <f t="shared" si="261"/>
        <v>0</v>
      </c>
      <c r="BG117" s="374">
        <f t="shared" si="261"/>
        <v>0</v>
      </c>
      <c r="BH117" s="374">
        <f t="shared" si="261"/>
        <v>0</v>
      </c>
      <c r="BI117" s="374">
        <f t="shared" si="261"/>
        <v>0</v>
      </c>
      <c r="BJ117" s="374">
        <f t="shared" si="261"/>
        <v>0</v>
      </c>
      <c r="BK117" s="374">
        <f t="shared" si="261"/>
        <v>0</v>
      </c>
      <c r="BL117" s="374">
        <f t="shared" si="261"/>
        <v>0</v>
      </c>
      <c r="BM117" s="374">
        <f t="shared" si="261"/>
        <v>0</v>
      </c>
      <c r="BN117" s="374">
        <f t="shared" si="261"/>
        <v>0</v>
      </c>
      <c r="BO117" s="374">
        <f t="shared" si="261"/>
        <v>0</v>
      </c>
      <c r="BP117" s="374">
        <f t="shared" si="261"/>
        <v>0</v>
      </c>
      <c r="BQ117" s="374">
        <f t="shared" si="261"/>
        <v>0</v>
      </c>
      <c r="BR117" s="374">
        <f t="shared" si="261"/>
        <v>0</v>
      </c>
      <c r="BS117" s="374">
        <f t="shared" si="261"/>
        <v>0</v>
      </c>
      <c r="BT117" s="374">
        <f t="shared" si="261"/>
        <v>0</v>
      </c>
      <c r="BU117" s="374">
        <f t="shared" si="261"/>
        <v>0</v>
      </c>
    </row>
    <row r="118" spans="1:73" x14ac:dyDescent="0.2">
      <c r="A118" s="186"/>
      <c r="B118" s="186"/>
      <c r="C118" s="186" t="s">
        <v>186</v>
      </c>
      <c r="D118" s="186"/>
      <c r="E118" s="186"/>
      <c r="F118" s="186"/>
      <c r="G118" s="186"/>
      <c r="H118" s="186"/>
      <c r="I118" s="186"/>
      <c r="J118" s="186"/>
      <c r="K118" s="367" t="s">
        <v>63</v>
      </c>
      <c r="L118" s="186"/>
      <c r="M118" s="186"/>
      <c r="N118" s="374">
        <f>SUM(Q118:BU118)</f>
        <v>970299.77745660511</v>
      </c>
      <c r="O118" s="186"/>
      <c r="P118" s="186"/>
      <c r="Q118" s="374"/>
      <c r="R118" s="374">
        <f t="shared" ref="R118:AO118" si="262">+R129</f>
        <v>42306.89374814328</v>
      </c>
      <c r="S118" s="374">
        <f t="shared" si="262"/>
        <v>44111.109954011299</v>
      </c>
      <c r="T118" s="374">
        <f t="shared" si="262"/>
        <v>45992.237501333198</v>
      </c>
      <c r="U118" s="374">
        <f t="shared" si="262"/>
        <v>47576.61271620301</v>
      </c>
      <c r="V118" s="374">
        <f t="shared" si="262"/>
        <v>47943.17364064946</v>
      </c>
      <c r="W118" s="374">
        <f t="shared" si="262"/>
        <v>47895.124546619118</v>
      </c>
      <c r="X118" s="374">
        <f t="shared" si="262"/>
        <v>47826.819624934134</v>
      </c>
      <c r="Y118" s="374">
        <f t="shared" si="262"/>
        <v>47736.079580349106</v>
      </c>
      <c r="Z118" s="374">
        <f t="shared" si="262"/>
        <v>47534.549749809725</v>
      </c>
      <c r="AA118" s="374">
        <f t="shared" si="262"/>
        <v>46699.37375012898</v>
      </c>
      <c r="AB118" s="374">
        <f t="shared" si="262"/>
        <v>45791.495713235752</v>
      </c>
      <c r="AC118" s="374">
        <f t="shared" si="262"/>
        <v>44751.976373325175</v>
      </c>
      <c r="AD118" s="374">
        <f t="shared" si="262"/>
        <v>43566.73003277299</v>
      </c>
      <c r="AE118" s="374">
        <f t="shared" si="262"/>
        <v>42212.819742673069</v>
      </c>
      <c r="AF118" s="374">
        <f t="shared" si="262"/>
        <v>40641.356706786843</v>
      </c>
      <c r="AG118" s="374">
        <f t="shared" si="262"/>
        <v>38980.58399094647</v>
      </c>
      <c r="AH118" s="374">
        <f t="shared" si="262"/>
        <v>37233.077298894154</v>
      </c>
      <c r="AI118" s="374">
        <f t="shared" si="262"/>
        <v>35395.031701524174</v>
      </c>
      <c r="AJ118" s="374">
        <f t="shared" si="262"/>
        <v>33409.799583049651</v>
      </c>
      <c r="AK118" s="374">
        <f t="shared" si="262"/>
        <v>30904.14743437713</v>
      </c>
      <c r="AL118" s="374">
        <f t="shared" si="262"/>
        <v>27924.795030521207</v>
      </c>
      <c r="AM118" s="374">
        <f t="shared" si="262"/>
        <v>24822.794875707921</v>
      </c>
      <c r="AN118" s="374">
        <f t="shared" si="262"/>
        <v>21380.651580051126</v>
      </c>
      <c r="AO118" s="374">
        <f t="shared" si="262"/>
        <v>16378.327388164664</v>
      </c>
      <c r="AP118" s="374">
        <f t="shared" ref="AP118:BU118" si="263">+AP129</f>
        <v>11865.984284098999</v>
      </c>
      <c r="AQ118" s="374">
        <f t="shared" si="263"/>
        <v>6798.0230819313456</v>
      </c>
      <c r="AR118" s="374">
        <f t="shared" si="263"/>
        <v>2620.2078263631342</v>
      </c>
      <c r="AS118" s="374">
        <f t="shared" si="263"/>
        <v>0</v>
      </c>
      <c r="AT118" s="374">
        <f t="shared" si="263"/>
        <v>0</v>
      </c>
      <c r="AU118" s="374">
        <f t="shared" si="263"/>
        <v>0</v>
      </c>
      <c r="AV118" s="374">
        <f t="shared" si="263"/>
        <v>0</v>
      </c>
      <c r="AW118" s="374">
        <f t="shared" si="263"/>
        <v>0</v>
      </c>
      <c r="AX118" s="374">
        <f t="shared" si="263"/>
        <v>0</v>
      </c>
      <c r="AY118" s="374">
        <f t="shared" si="263"/>
        <v>0</v>
      </c>
      <c r="AZ118" s="374">
        <f t="shared" si="263"/>
        <v>0</v>
      </c>
      <c r="BA118" s="374">
        <f t="shared" si="263"/>
        <v>0</v>
      </c>
      <c r="BB118" s="374">
        <f t="shared" si="263"/>
        <v>0</v>
      </c>
      <c r="BC118" s="374">
        <f t="shared" si="263"/>
        <v>0</v>
      </c>
      <c r="BD118" s="374">
        <f t="shared" si="263"/>
        <v>0</v>
      </c>
      <c r="BE118" s="374">
        <f t="shared" si="263"/>
        <v>0</v>
      </c>
      <c r="BF118" s="374">
        <f t="shared" si="263"/>
        <v>0</v>
      </c>
      <c r="BG118" s="374">
        <f t="shared" si="263"/>
        <v>0</v>
      </c>
      <c r="BH118" s="374">
        <f t="shared" si="263"/>
        <v>0</v>
      </c>
      <c r="BI118" s="374">
        <f t="shared" si="263"/>
        <v>0</v>
      </c>
      <c r="BJ118" s="374">
        <f t="shared" si="263"/>
        <v>0</v>
      </c>
      <c r="BK118" s="374">
        <f t="shared" si="263"/>
        <v>0</v>
      </c>
      <c r="BL118" s="374">
        <f t="shared" si="263"/>
        <v>0</v>
      </c>
      <c r="BM118" s="374">
        <f t="shared" si="263"/>
        <v>0</v>
      </c>
      <c r="BN118" s="374">
        <f t="shared" si="263"/>
        <v>0</v>
      </c>
      <c r="BO118" s="374">
        <f t="shared" si="263"/>
        <v>0</v>
      </c>
      <c r="BP118" s="374">
        <f t="shared" si="263"/>
        <v>0</v>
      </c>
      <c r="BQ118" s="374">
        <f t="shared" si="263"/>
        <v>0</v>
      </c>
      <c r="BR118" s="374">
        <f t="shared" si="263"/>
        <v>0</v>
      </c>
      <c r="BS118" s="374">
        <f t="shared" si="263"/>
        <v>0</v>
      </c>
      <c r="BT118" s="374">
        <f t="shared" si="263"/>
        <v>0</v>
      </c>
      <c r="BU118" s="374">
        <f t="shared" si="263"/>
        <v>0</v>
      </c>
    </row>
    <row r="119" spans="1:73" x14ac:dyDescent="0.2">
      <c r="A119" s="186"/>
      <c r="B119" s="186"/>
      <c r="C119" s="186" t="s">
        <v>120</v>
      </c>
      <c r="D119" s="186"/>
      <c r="E119" s="186"/>
      <c r="F119" s="186"/>
      <c r="G119" s="186"/>
      <c r="H119" s="186"/>
      <c r="I119" s="186"/>
      <c r="J119" s="186"/>
      <c r="K119" s="367" t="s">
        <v>63</v>
      </c>
      <c r="L119" s="186"/>
      <c r="M119" s="186"/>
      <c r="N119" s="374">
        <f>SUM(Q119:BU119)</f>
        <v>826138.11291221529</v>
      </c>
      <c r="O119" s="186"/>
      <c r="P119" s="186"/>
      <c r="Q119" s="373"/>
      <c r="R119" s="374">
        <f t="shared" ref="R119:AO119" si="264" xml:space="preserve"> - R130 + -R131</f>
        <v>0</v>
      </c>
      <c r="S119" s="374">
        <f t="shared" si="264"/>
        <v>0</v>
      </c>
      <c r="T119" s="374">
        <f t="shared" si="264"/>
        <v>0</v>
      </c>
      <c r="U119" s="374">
        <f t="shared" si="264"/>
        <v>35825.18937530087</v>
      </c>
      <c r="V119" s="374">
        <f t="shared" si="264"/>
        <v>47943.17364064946</v>
      </c>
      <c r="W119" s="374">
        <f t="shared" si="264"/>
        <v>47895.124546619118</v>
      </c>
      <c r="X119" s="374">
        <f t="shared" si="264"/>
        <v>47826.819624934134</v>
      </c>
      <c r="Y119" s="374">
        <f t="shared" si="264"/>
        <v>47736.079580349106</v>
      </c>
      <c r="Z119" s="374">
        <f t="shared" si="264"/>
        <v>47534.549749809725</v>
      </c>
      <c r="AA119" s="374">
        <f t="shared" si="264"/>
        <v>46699.373750128972</v>
      </c>
      <c r="AB119" s="374">
        <f t="shared" si="264"/>
        <v>45791.495713235752</v>
      </c>
      <c r="AC119" s="374">
        <f t="shared" si="264"/>
        <v>44751.976373325175</v>
      </c>
      <c r="AD119" s="374">
        <f t="shared" si="264"/>
        <v>43566.73003277299</v>
      </c>
      <c r="AE119" s="374">
        <f t="shared" si="264"/>
        <v>42212.819742673069</v>
      </c>
      <c r="AF119" s="374">
        <f t="shared" si="264"/>
        <v>40641.356706786843</v>
      </c>
      <c r="AG119" s="374">
        <f t="shared" si="264"/>
        <v>38980.58399094647</v>
      </c>
      <c r="AH119" s="374">
        <f t="shared" si="264"/>
        <v>37233.077298894154</v>
      </c>
      <c r="AI119" s="374">
        <f t="shared" si="264"/>
        <v>35395.031701524174</v>
      </c>
      <c r="AJ119" s="374">
        <f t="shared" si="264"/>
        <v>33409.799583049651</v>
      </c>
      <c r="AK119" s="374">
        <f t="shared" si="264"/>
        <v>30904.147434377133</v>
      </c>
      <c r="AL119" s="374">
        <f t="shared" si="264"/>
        <v>27924.795030521207</v>
      </c>
      <c r="AM119" s="374">
        <f t="shared" si="264"/>
        <v>24822.794875707921</v>
      </c>
      <c r="AN119" s="374">
        <f t="shared" si="264"/>
        <v>21380.651580051126</v>
      </c>
      <c r="AO119" s="374">
        <f t="shared" si="264"/>
        <v>16378.327388164664</v>
      </c>
      <c r="AP119" s="374">
        <f t="shared" ref="AP119:BU119" si="265" xml:space="preserve"> - AP130 + -AP131</f>
        <v>11865.984284098999</v>
      </c>
      <c r="AQ119" s="374">
        <f t="shared" si="265"/>
        <v>6798.0230819313456</v>
      </c>
      <c r="AR119" s="374">
        <f t="shared" si="265"/>
        <v>2620.2078263631342</v>
      </c>
      <c r="AS119" s="374">
        <f t="shared" si="265"/>
        <v>0</v>
      </c>
      <c r="AT119" s="374">
        <f t="shared" si="265"/>
        <v>0</v>
      </c>
      <c r="AU119" s="374">
        <f t="shared" si="265"/>
        <v>0</v>
      </c>
      <c r="AV119" s="374">
        <f t="shared" si="265"/>
        <v>0</v>
      </c>
      <c r="AW119" s="374">
        <f t="shared" si="265"/>
        <v>0</v>
      </c>
      <c r="AX119" s="374">
        <f t="shared" si="265"/>
        <v>0</v>
      </c>
      <c r="AY119" s="374">
        <f t="shared" si="265"/>
        <v>0</v>
      </c>
      <c r="AZ119" s="374">
        <f t="shared" si="265"/>
        <v>0</v>
      </c>
      <c r="BA119" s="374">
        <f t="shared" si="265"/>
        <v>0</v>
      </c>
      <c r="BB119" s="374">
        <f t="shared" si="265"/>
        <v>0</v>
      </c>
      <c r="BC119" s="374">
        <f t="shared" si="265"/>
        <v>0</v>
      </c>
      <c r="BD119" s="374">
        <f t="shared" si="265"/>
        <v>0</v>
      </c>
      <c r="BE119" s="374">
        <f t="shared" si="265"/>
        <v>0</v>
      </c>
      <c r="BF119" s="374">
        <f t="shared" si="265"/>
        <v>0</v>
      </c>
      <c r="BG119" s="374">
        <f t="shared" si="265"/>
        <v>0</v>
      </c>
      <c r="BH119" s="374">
        <f t="shared" si="265"/>
        <v>0</v>
      </c>
      <c r="BI119" s="374">
        <f t="shared" si="265"/>
        <v>0</v>
      </c>
      <c r="BJ119" s="374">
        <f t="shared" si="265"/>
        <v>0</v>
      </c>
      <c r="BK119" s="374">
        <f t="shared" si="265"/>
        <v>0</v>
      </c>
      <c r="BL119" s="374">
        <f t="shared" si="265"/>
        <v>0</v>
      </c>
      <c r="BM119" s="374">
        <f t="shared" si="265"/>
        <v>0</v>
      </c>
      <c r="BN119" s="374">
        <f t="shared" si="265"/>
        <v>0</v>
      </c>
      <c r="BO119" s="374">
        <f t="shared" si="265"/>
        <v>0</v>
      </c>
      <c r="BP119" s="374">
        <f t="shared" si="265"/>
        <v>0</v>
      </c>
      <c r="BQ119" s="374">
        <f t="shared" si="265"/>
        <v>0</v>
      </c>
      <c r="BR119" s="374">
        <f t="shared" si="265"/>
        <v>0</v>
      </c>
      <c r="BS119" s="374">
        <f t="shared" si="265"/>
        <v>0</v>
      </c>
      <c r="BT119" s="374">
        <f t="shared" si="265"/>
        <v>0</v>
      </c>
      <c r="BU119" s="374">
        <f t="shared" si="265"/>
        <v>0</v>
      </c>
    </row>
    <row r="120" spans="1:73" x14ac:dyDescent="0.2">
      <c r="A120" s="186"/>
      <c r="B120" s="396"/>
      <c r="C120" s="186"/>
      <c r="D120" s="186"/>
      <c r="E120" s="186"/>
      <c r="F120" s="186"/>
      <c r="G120" s="186"/>
      <c r="H120" s="186"/>
      <c r="I120" s="186"/>
      <c r="J120" s="186"/>
      <c r="K120" s="367"/>
      <c r="L120" s="186"/>
      <c r="M120" s="186"/>
      <c r="N120" s="186"/>
      <c r="O120" s="186"/>
      <c r="P120" s="186"/>
      <c r="Q120" s="186"/>
      <c r="R120" s="418"/>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row>
    <row r="121" spans="1:73" x14ac:dyDescent="0.2">
      <c r="A121" s="186"/>
      <c r="B121" s="396" t="s">
        <v>162</v>
      </c>
      <c r="C121" s="186"/>
      <c r="D121" s="186"/>
      <c r="E121" s="186"/>
      <c r="F121" s="186"/>
      <c r="G121" s="186"/>
      <c r="H121" s="186"/>
      <c r="I121" s="186"/>
      <c r="J121" s="186"/>
      <c r="K121" s="367"/>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row>
    <row r="122" spans="1:73" x14ac:dyDescent="0.2">
      <c r="A122" s="186"/>
      <c r="B122" s="186"/>
      <c r="C122" s="186" t="s">
        <v>187</v>
      </c>
      <c r="D122" s="186"/>
      <c r="E122" s="186"/>
      <c r="F122" s="186"/>
      <c r="G122" s="186"/>
      <c r="H122" s="186"/>
      <c r="I122" s="186"/>
      <c r="J122" s="186"/>
      <c r="K122" s="367" t="s">
        <v>63</v>
      </c>
      <c r="L122" s="186"/>
      <c r="M122" s="186"/>
      <c r="N122" s="374">
        <f>SUM(Q122:BU122)</f>
        <v>4177.0064636804736</v>
      </c>
      <c r="O122" s="186"/>
      <c r="P122" s="186"/>
      <c r="Q122" s="373"/>
      <c r="R122" s="734">
        <v>0</v>
      </c>
      <c r="S122" s="734">
        <v>0</v>
      </c>
      <c r="T122" s="374">
        <f>IF(T142=1,IF(ROUND(T126,2)=0,0,Inputs!$L$110*T$109),IF(ROUND(T140,2)=0,0,Inputs!$L$110*T$109))+IF(T142=1,IF(ROUND(T126,2)=0,0,Inputs!$L$111*T$110),IF(ROUND(T140,2)=0,0,Inputs!$L$111*T$110))</f>
        <v>125.60294148591835</v>
      </c>
      <c r="U122" s="374">
        <f>IF(U142=1,IF(ROUND(U126,2)=0,0,Inputs!$L$110*U$109),IF(ROUND(U140,2)=0,0,Inputs!$L$110*U$109))+IF(U142=1,IF(ROUND(U126,2)=0,0,Inputs!$L$111*U$110),IF(ROUND(U140,2)=0,0,Inputs!$L$111*U$110))</f>
        <v>128.42900766935151</v>
      </c>
      <c r="V122" s="374">
        <f>IF(V142=1,IF(ROUND(V126,2)=0,0,Inputs!$L$110*V$109),IF(ROUND(V140,2)=0,0,Inputs!$L$110*V$109))+IF(V142=1,IF(ROUND(V126,2)=0,0,Inputs!$L$111*V$110),IF(ROUND(V140,2)=0,0,Inputs!$L$111*V$110))</f>
        <v>131.31866034191191</v>
      </c>
      <c r="W122" s="374">
        <f>IF(W142=1,IF(ROUND(W126,2)=0,0,Inputs!$L$110*W$109),IF(ROUND(W140,2)=0,0,Inputs!$L$110*W$109))+IF(W142=1,IF(ROUND(W126,2)=0,0,Inputs!$L$111*W$110),IF(ROUND(W140,2)=0,0,Inputs!$L$111*W$110))</f>
        <v>134.33898952977586</v>
      </c>
      <c r="X122" s="374">
        <f>IF(X142=1,IF(ROUND(X126,2)=0,0,Inputs!$L$110*X$109),IF(ROUND(X140,2)=0,0,Inputs!$L$110*X$109))+IF(X142=1,IF(ROUND(X126,2)=0,0,Inputs!$L$111*X$110),IF(ROUND(X140,2)=0,0,Inputs!$L$111*X$110))</f>
        <v>137.42878628896068</v>
      </c>
      <c r="Y122" s="374">
        <f>IF(Y142=1,IF(ROUND(Y126,2)=0,0,Inputs!$L$110*Y$109),IF(ROUND(Y140,2)=0,0,Inputs!$L$110*Y$109))+IF(Y142=1,IF(ROUND(Y126,2)=0,0,Inputs!$L$111*Y$110),IF(ROUND(Y140,2)=0,0,Inputs!$L$111*Y$110))</f>
        <v>140.58964837360676</v>
      </c>
      <c r="Z122" s="374">
        <f>IF(Z142=1,IF(ROUND(Z126,2)=0,0,Inputs!$L$110*Z$109),IF(ROUND(Z140,2)=0,0,Inputs!$L$110*Z$109))+IF(Z142=1,IF(ROUND(Z126,2)=0,0,Inputs!$L$111*Z$110),IF(ROUND(Z140,2)=0,0,Inputs!$L$111*Z$110))</f>
        <v>143.8232102861997</v>
      </c>
      <c r="AA122" s="374">
        <f>IF(AA142=1,IF(ROUND(AA126,2)=0,0,Inputs!$L$110*AA$109),IF(ROUND(AA140,2)=0,0,Inputs!$L$110*AA$109))+IF(AA142=1,IF(ROUND(AA126,2)=0,0,Inputs!$L$111*AA$110),IF(ROUND(AA140,2)=0,0,Inputs!$L$111*AA$110))</f>
        <v>147.13114412278227</v>
      </c>
      <c r="AB122" s="374">
        <f>IF(AB142=1,IF(ROUND(AB126,2)=0,0,Inputs!$L$110*AB$109),IF(ROUND(AB140,2)=0,0,Inputs!$L$110*AB$109))+IF(AB142=1,IF(ROUND(AB126,2)=0,0,Inputs!$L$111*AB$110),IF(ROUND(AB140,2)=0,0,Inputs!$L$111*AB$110))</f>
        <v>150.51516043760626</v>
      </c>
      <c r="AC122" s="374">
        <f>IF(AC142=1,IF(ROUND(AC126,2)=0,0,Inputs!$L$110*AC$109),IF(ROUND(AC140,2)=0,0,Inputs!$L$110*AC$109))+IF(AC142=1,IF(ROUND(AC126,2)=0,0,Inputs!$L$111*AC$110),IF(ROUND(AC140,2)=0,0,Inputs!$L$111*AC$110))</f>
        <v>153.97700912767121</v>
      </c>
      <c r="AD122" s="374">
        <f>IF(AD142=1,IF(ROUND(AD126,2)=0,0,Inputs!$L$110*AD$109),IF(ROUND(AD140,2)=0,0,Inputs!$L$110*AD$109))+IF(AD142=1,IF(ROUND(AD126,2)=0,0,Inputs!$L$111*AD$110),IF(ROUND(AD140,2)=0,0,Inputs!$L$111*AD$110))</f>
        <v>157.51848033760763</v>
      </c>
      <c r="AE122" s="374">
        <f>IF(AE142=1,IF(ROUND(AE126,2)=0,0,Inputs!$L$110*AE$109),IF(ROUND(AE140,2)=0,0,Inputs!$L$110*AE$109))+IF(AE142=1,IF(ROUND(AE126,2)=0,0,Inputs!$L$111*AE$110),IF(ROUND(AE140,2)=0,0,Inputs!$L$111*AE$110))</f>
        <v>161.14140538537259</v>
      </c>
      <c r="AF122" s="374">
        <f>IF(AF142=1,IF(ROUND(AF126,2)=0,0,Inputs!$L$110*AF$109),IF(ROUND(AF140,2)=0,0,Inputs!$L$110*AF$109))+IF(AF142=1,IF(ROUND(AF126,2)=0,0,Inputs!$L$111*AF$110),IF(ROUND(AF140,2)=0,0,Inputs!$L$111*AF$110))</f>
        <v>164.84765770923616</v>
      </c>
      <c r="AG122" s="374">
        <f>IF(AG142=1,IF(ROUND(AG126,2)=0,0,Inputs!$L$110*AG$109),IF(ROUND(AG140,2)=0,0,Inputs!$L$110*AG$109))+IF(AG142=1,IF(ROUND(AG126,2)=0,0,Inputs!$L$111*AG$110),IF(ROUND(AG140,2)=0,0,Inputs!$L$111*AG$110))</f>
        <v>168.63915383654856</v>
      </c>
      <c r="AH122" s="374">
        <f>IF(AH142=1,IF(ROUND(AH126,2)=0,0,Inputs!$L$110*AH$109),IF(ROUND(AH140,2)=0,0,Inputs!$L$110*AH$109))+IF(AH142=1,IF(ROUND(AH126,2)=0,0,Inputs!$L$111*AH$110),IF(ROUND(AH140,2)=0,0,Inputs!$L$111*AH$110))</f>
        <v>172.51785437478915</v>
      </c>
      <c r="AI122" s="374">
        <f>IF(AI142=1,IF(ROUND(AI126,2)=0,0,Inputs!$L$110*AI$109),IF(ROUND(AI140,2)=0,0,Inputs!$L$110*AI$109))+IF(AI142=1,IF(ROUND(AI126,2)=0,0,Inputs!$L$111*AI$110),IF(ROUND(AI140,2)=0,0,Inputs!$L$111*AI$110))</f>
        <v>176.48576502540931</v>
      </c>
      <c r="AJ122" s="374">
        <f>IF(AJ142=1,IF(ROUND(AJ126,2)=0,0,Inputs!$L$110*AJ$109),IF(ROUND(AJ140,2)=0,0,Inputs!$L$110*AJ$109))+IF(AJ142=1,IF(ROUND(AJ126,2)=0,0,Inputs!$L$111*AJ$110),IF(ROUND(AJ140,2)=0,0,Inputs!$L$111*AJ$110))</f>
        <v>180.54493762099372</v>
      </c>
      <c r="AK122" s="374">
        <f>IF(AK142=1,IF(ROUND(AK126,2)=0,0,Inputs!$L$110*AK$109),IF(ROUND(AK140,2)=0,0,Inputs!$L$110*AK$109))+IF(AK142=1,IF(ROUND(AK126,2)=0,0,Inputs!$L$111*AK$110),IF(ROUND(AK140,2)=0,0,Inputs!$L$111*AK$110))</f>
        <v>184.69747118627654</v>
      </c>
      <c r="AL122" s="374">
        <f>IF(AL142=1,IF(ROUND(AL126,2)=0,0,Inputs!$L$110*AL$109),IF(ROUND(AL140,2)=0,0,Inputs!$L$110*AL$109))+IF(AL142=1,IF(ROUND(AL126,2)=0,0,Inputs!$L$111*AL$110),IF(ROUND(AL140,2)=0,0,Inputs!$L$111*AL$110))</f>
        <v>188.94551302356089</v>
      </c>
      <c r="AM122" s="374">
        <f>IF(AM142=1,IF(ROUND(AM126,2)=0,0,Inputs!$L$110*AM$109),IF(ROUND(AM140,2)=0,0,Inputs!$L$110*AM$109))+IF(AM142=1,IF(ROUND(AM126,2)=0,0,Inputs!$L$111*AM$110),IF(ROUND(AM140,2)=0,0,Inputs!$L$111*AM$110))</f>
        <v>193.29125982310276</v>
      </c>
      <c r="AN122" s="374">
        <f>IF(AN142=1,IF(ROUND(AN126,2)=0,0,Inputs!$L$110*AN$109),IF(ROUND(AN140,2)=0,0,Inputs!$L$110*AN$109))+IF(AN142=1,IF(ROUND(AN126,2)=0,0,Inputs!$L$111*AN$110),IF(ROUND(AN140,2)=0,0,Inputs!$L$111*AN$110))</f>
        <v>197.73695879903411</v>
      </c>
      <c r="AO122" s="374">
        <f>IF(AO142=1,IF(ROUND(AO126,2)=0,0,Inputs!$L$110*AO$109),IF(ROUND(AO140,2)=0,0,Inputs!$L$110*AO$109))+IF(AO142=1,IF(ROUND(AO126,2)=0,0,Inputs!$L$111*AO$110),IF(ROUND(AO140,2)=0,0,Inputs!$L$111*AO$110))</f>
        <v>202.28490885141187</v>
      </c>
      <c r="AP122" s="374">
        <f>IF(AP142=1,IF(ROUND(AP126,2)=0,0,Inputs!$L$110*AP$109),IF(ROUND(AP140,2)=0,0,Inputs!$L$110*AP$109))+IF(AP142=1,IF(ROUND(AP126,2)=0,0,Inputs!$L$111*AP$110),IF(ROUND(AP140,2)=0,0,Inputs!$L$111*AP$110))</f>
        <v>206.93746175499433</v>
      </c>
      <c r="AQ122" s="374">
        <f>IF(AQ142=1,IF(ROUND(AQ126,2)=0,0,Inputs!$L$110*AQ$109),IF(ROUND(AQ140,2)=0,0,Inputs!$L$110*AQ$109))+IF(AQ142=1,IF(ROUND(AQ126,2)=0,0,Inputs!$L$111*AQ$110),IF(ROUND(AQ140,2)=0,0,Inputs!$L$111*AQ$110))</f>
        <v>211.69702337535921</v>
      </c>
      <c r="AR122" s="374">
        <f>IF(AR142=1,IF(ROUND(AR126,2)=0,0,Inputs!$L$110*AR$109),IF(ROUND(AR140,2)=0,0,Inputs!$L$110*AR$109))+IF(AR142=1,IF(ROUND(AR126,2)=0,0,Inputs!$L$111*AR$110),IF(ROUND(AR140,2)=0,0,Inputs!$L$111*AR$110))</f>
        <v>216.56605491299243</v>
      </c>
      <c r="AS122" s="374">
        <f>IF(AS142=1,IF(ROUND(AS126,2)=0,0,Inputs!$L$110*AS$109),IF(ROUND(AS140,2)=0,0,Inputs!$L$110*AS$109))+IF(AS142=1,IF(ROUND(AS126,2)=0,0,Inputs!$L$111*AS$110),IF(ROUND(AS140,2)=0,0,Inputs!$L$111*AS$110))</f>
        <v>0</v>
      </c>
      <c r="AT122" s="374">
        <f>IF(AT142=1,IF(ROUND(AT126,2)=0,0,Inputs!$L$110*AT$109),IF(ROUND(AT140,2)=0,0,Inputs!$L$110*AT$109))+IF(AT142=1,IF(ROUND(AT126,2)=0,0,Inputs!$L$111*AT$110),IF(ROUND(AT140,2)=0,0,Inputs!$L$111*AT$110))</f>
        <v>0</v>
      </c>
      <c r="AU122" s="374">
        <f>IF(AU142=1,IF(ROUND(AU126,2)=0,0,Inputs!$L$110*AU$109),IF(ROUND(AU140,2)=0,0,Inputs!$L$110*AU$109))+IF(AU142=1,IF(ROUND(AU126,2)=0,0,Inputs!$L$111*AU$110),IF(ROUND(AU140,2)=0,0,Inputs!$L$111*AU$110))</f>
        <v>0</v>
      </c>
      <c r="AV122" s="374">
        <f>IF(AV142=1,IF(ROUND(AV126,2)=0,0,Inputs!$L$110*AV$109),IF(ROUND(AV140,2)=0,0,Inputs!$L$110*AV$109))+IF(AV142=1,IF(ROUND(AV126,2)=0,0,Inputs!$L$111*AV$110),IF(ROUND(AV140,2)=0,0,Inputs!$L$111*AV$110))</f>
        <v>0</v>
      </c>
      <c r="AW122" s="374">
        <f>IF(AW142=1,IF(ROUND(AW126,2)=0,0,Inputs!$L$110*AW$109),IF(ROUND(AW140,2)=0,0,Inputs!$L$110*AW$109))+IF(AW142=1,IF(ROUND(AW126,2)=0,0,Inputs!$L$111*AW$110),IF(ROUND(AW140,2)=0,0,Inputs!$L$111*AW$110))</f>
        <v>0</v>
      </c>
      <c r="AX122" s="374">
        <f>IF(AX142=1,IF(ROUND(AX126,2)=0,0,Inputs!$L$110*AX$109),IF(ROUND(AX140,2)=0,0,Inputs!$L$110*AX$109))+IF(AX142=1,IF(ROUND(AX126,2)=0,0,Inputs!$L$111*AX$110),IF(ROUND(AX140,2)=0,0,Inputs!$L$111*AX$110))</f>
        <v>0</v>
      </c>
      <c r="AY122" s="374">
        <f>IF(AY142=1,IF(ROUND(AY126,2)=0,0,Inputs!$L$110*AY$109),IF(ROUND(AY140,2)=0,0,Inputs!$L$110*AY$109))+IF(AY142=1,IF(ROUND(AY126,2)=0,0,Inputs!$L$111*AY$110),IF(ROUND(AY140,2)=0,0,Inputs!$L$111*AY$110))</f>
        <v>0</v>
      </c>
      <c r="AZ122" s="374">
        <f>IF(AZ142=1,IF(ROUND(AZ126,2)=0,0,Inputs!$L$110*AZ$109),IF(ROUND(AZ140,2)=0,0,Inputs!$L$110*AZ$109))+IF(AZ142=1,IF(ROUND(AZ126,2)=0,0,Inputs!$L$111*AZ$110),IF(ROUND(AZ140,2)=0,0,Inputs!$L$111*AZ$110))</f>
        <v>0</v>
      </c>
      <c r="BA122" s="374">
        <f>IF(BA142=1,IF(ROUND(BA126,2)=0,0,Inputs!$L$110*BA$109),IF(ROUND(BA140,2)=0,0,Inputs!$L$110*BA$109))+IF(BA142=1,IF(ROUND(BA126,2)=0,0,Inputs!$L$111*BA$110),IF(ROUND(BA140,2)=0,0,Inputs!$L$111*BA$110))</f>
        <v>0</v>
      </c>
      <c r="BB122" s="374">
        <f>IF(BB142=1,IF(ROUND(BB126,2)=0,0,Inputs!$L$110*BB$109),IF(ROUND(BB140,2)=0,0,Inputs!$L$110*BB$109))+IF(BB142=1,IF(ROUND(BB126,2)=0,0,Inputs!$L$111*BB$110),IF(ROUND(BB140,2)=0,0,Inputs!$L$111*BB$110))</f>
        <v>0</v>
      </c>
      <c r="BC122" s="374">
        <f>IF(BC142=1,IF(ROUND(BC126,2)=0,0,Inputs!$L$110*BC$109),IF(ROUND(BC140,2)=0,0,Inputs!$L$110*BC$109))+IF(BC142=1,IF(ROUND(BC126,2)=0,0,Inputs!$L$111*BC$110),IF(ROUND(BC140,2)=0,0,Inputs!$L$111*BC$110))</f>
        <v>0</v>
      </c>
      <c r="BD122" s="374">
        <f>IF(BD142=1,IF(ROUND(BD126,2)=0,0,Inputs!$L$110*BD$109),IF(ROUND(BD140,2)=0,0,Inputs!$L$110*BD$109))+IF(BD142=1,IF(ROUND(BD126,2)=0,0,Inputs!$L$111*BD$110),IF(ROUND(BD140,2)=0,0,Inputs!$L$111*BD$110))</f>
        <v>0</v>
      </c>
      <c r="BE122" s="374">
        <f>IF(BE142=1,IF(ROUND(BE126,2)=0,0,Inputs!$L$110*BE$109),IF(ROUND(BE140,2)=0,0,Inputs!$L$110*BE$109))+IF(BE142=1,IF(ROUND(BE126,2)=0,0,Inputs!$L$111*BE$110),IF(ROUND(BE140,2)=0,0,Inputs!$L$111*BE$110))</f>
        <v>0</v>
      </c>
      <c r="BF122" s="374">
        <f>IF(BF142=1,IF(ROUND(BF126,2)=0,0,Inputs!$L$110*BF$109),IF(ROUND(BF140,2)=0,0,Inputs!$L$110*BF$109))+IF(BF142=1,IF(ROUND(BF126,2)=0,0,Inputs!$L$111*BF$110),IF(ROUND(BF140,2)=0,0,Inputs!$L$111*BF$110))</f>
        <v>0</v>
      </c>
      <c r="BG122" s="374">
        <f>IF(BG142=1,IF(ROUND(BG126,2)=0,0,Inputs!$L$110*BG$109),IF(ROUND(BG140,2)=0,0,Inputs!$L$110*BG$109))+IF(BG142=1,IF(ROUND(BG126,2)=0,0,Inputs!$L$111*BG$110),IF(ROUND(BG140,2)=0,0,Inputs!$L$111*BG$110))</f>
        <v>0</v>
      </c>
      <c r="BH122" s="374">
        <f>IF(BH142=1,IF(ROUND(BH126,2)=0,0,Inputs!$L$110*BH$109),IF(ROUND(BH140,2)=0,0,Inputs!$L$110*BH$109))+IF(BH142=1,IF(ROUND(BH126,2)=0,0,Inputs!$L$111*BH$110),IF(ROUND(BH140,2)=0,0,Inputs!$L$111*BH$110))</f>
        <v>0</v>
      </c>
      <c r="BI122" s="374">
        <f>IF(BI142=1,IF(ROUND(BI126,2)=0,0,Inputs!$L$110*BI$109),IF(ROUND(BI140,2)=0,0,Inputs!$L$110*BI$109))+IF(BI142=1,IF(ROUND(BI126,2)=0,0,Inputs!$L$111*BI$110),IF(ROUND(BI140,2)=0,0,Inputs!$L$111*BI$110))</f>
        <v>0</v>
      </c>
      <c r="BJ122" s="374">
        <f>IF(BJ142=1,IF(ROUND(BJ126,2)=0,0,Inputs!$L$110*BJ$109),IF(ROUND(BJ140,2)=0,0,Inputs!$L$110*BJ$109))+IF(BJ142=1,IF(ROUND(BJ126,2)=0,0,Inputs!$L$111*BJ$110),IF(ROUND(BJ140,2)=0,0,Inputs!$L$111*BJ$110))</f>
        <v>0</v>
      </c>
      <c r="BK122" s="374">
        <f>IF(BK142=1,0,IF(ROUND(BK140,2)=0,0,Inputs!$L$110*BK$109))</f>
        <v>0</v>
      </c>
      <c r="BL122" s="374">
        <f>IF(BL142=1,0,IF(ROUND(BL140,2)=0,0,Inputs!$L$110*BL$109))</f>
        <v>0</v>
      </c>
      <c r="BM122" s="374">
        <f>IF(BM142=1,0,IF(ROUND(BM140,2)=0,0,Inputs!$L$110*BM$109))</f>
        <v>0</v>
      </c>
      <c r="BN122" s="374">
        <f>IF(BN142=1,0,IF(ROUND(BN140,2)=0,0,Inputs!$L$110*BN$109))</f>
        <v>0</v>
      </c>
      <c r="BO122" s="374">
        <f>IF(BO142=1,0,IF(ROUND(BO140,2)=0,0,Inputs!$L$110*BO$109))</f>
        <v>0</v>
      </c>
      <c r="BP122" s="374">
        <f>IF(BP142=1,0,IF(ROUND(BP140,2)=0,0,Inputs!$L$110*BP$109))</f>
        <v>0</v>
      </c>
      <c r="BQ122" s="374">
        <f>IF(BQ142=1,0,IF(ROUND(BQ140,2)=0,0,Inputs!$L$110*BQ$109))</f>
        <v>0</v>
      </c>
      <c r="BR122" s="374">
        <f>IF(BR142=1,0,IF(ROUND(BR140,2)=0,0,Inputs!$L$110*BR$109))</f>
        <v>0</v>
      </c>
      <c r="BS122" s="374">
        <f>IF(BS142=1,0,IF(ROUND(BS140,2)=0,0,Inputs!$L$110*BS$109))</f>
        <v>0</v>
      </c>
      <c r="BT122" s="374">
        <f>IF(BT142=1,0,IF(ROUND(BT140,2)=0,0,Inputs!$L$110*BT$109))</f>
        <v>0</v>
      </c>
      <c r="BU122" s="374">
        <f>IF(BU142=1,0,IF(ROUND(BU140,2)=0,0,Inputs!$L$110*BU$109))</f>
        <v>0</v>
      </c>
    </row>
    <row r="123" spans="1:73" x14ac:dyDescent="0.2">
      <c r="A123" s="186"/>
      <c r="B123" s="186"/>
      <c r="C123" s="186"/>
      <c r="D123" s="186"/>
      <c r="E123" s="186"/>
      <c r="F123" s="186"/>
      <c r="G123" s="186"/>
      <c r="H123" s="186"/>
      <c r="I123" s="186"/>
      <c r="J123" s="186"/>
      <c r="K123" s="367"/>
      <c r="L123" s="186"/>
      <c r="M123" s="186"/>
      <c r="N123" s="374"/>
      <c r="O123" s="186"/>
      <c r="P123" s="186"/>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374"/>
      <c r="AM123" s="374"/>
      <c r="AN123" s="374"/>
      <c r="AO123" s="374"/>
      <c r="AP123" s="374"/>
      <c r="AQ123" s="374"/>
      <c r="AR123" s="374"/>
      <c r="AS123" s="374"/>
      <c r="AT123" s="374"/>
      <c r="AU123" s="374"/>
      <c r="AV123" s="374"/>
      <c r="AW123" s="374"/>
      <c r="AX123" s="374"/>
      <c r="AY123" s="374"/>
      <c r="AZ123" s="374"/>
      <c r="BA123" s="374"/>
      <c r="BB123" s="374"/>
      <c r="BC123" s="374"/>
      <c r="BD123" s="374"/>
      <c r="BE123" s="374"/>
      <c r="BF123" s="374"/>
      <c r="BG123" s="374"/>
      <c r="BH123" s="374"/>
      <c r="BI123" s="374"/>
      <c r="BJ123" s="374"/>
      <c r="BK123" s="374"/>
      <c r="BL123" s="374"/>
      <c r="BM123" s="374"/>
      <c r="BN123" s="374"/>
      <c r="BO123" s="374"/>
      <c r="BP123" s="374"/>
      <c r="BQ123" s="374"/>
      <c r="BR123" s="374"/>
      <c r="BS123" s="374"/>
      <c r="BT123" s="374"/>
      <c r="BU123" s="374"/>
    </row>
    <row r="124" spans="1:73" x14ac:dyDescent="0.2">
      <c r="A124" s="186"/>
      <c r="B124" s="396" t="s">
        <v>132</v>
      </c>
      <c r="C124" s="186"/>
      <c r="D124" s="186"/>
      <c r="E124" s="186"/>
      <c r="F124" s="186"/>
      <c r="G124" s="186"/>
      <c r="H124" s="186"/>
      <c r="I124" s="186"/>
      <c r="J124" s="186"/>
      <c r="K124" s="367"/>
      <c r="L124" s="186"/>
      <c r="M124" s="374"/>
      <c r="N124" s="186"/>
      <c r="O124" s="186"/>
      <c r="P124" s="186"/>
      <c r="Q124" s="420"/>
      <c r="R124" s="412">
        <f t="shared" ref="R124:AV124" si="266">Q124 + 1</f>
        <v>1</v>
      </c>
      <c r="S124" s="412">
        <f t="shared" si="266"/>
        <v>2</v>
      </c>
      <c r="T124" s="412">
        <f t="shared" si="266"/>
        <v>3</v>
      </c>
      <c r="U124" s="412">
        <f t="shared" si="266"/>
        <v>4</v>
      </c>
      <c r="V124" s="412">
        <f t="shared" si="266"/>
        <v>5</v>
      </c>
      <c r="W124" s="412">
        <f t="shared" si="266"/>
        <v>6</v>
      </c>
      <c r="X124" s="412">
        <f t="shared" si="266"/>
        <v>7</v>
      </c>
      <c r="Y124" s="412">
        <f t="shared" si="266"/>
        <v>8</v>
      </c>
      <c r="Z124" s="412">
        <f t="shared" si="266"/>
        <v>9</v>
      </c>
      <c r="AA124" s="412">
        <f t="shared" si="266"/>
        <v>10</v>
      </c>
      <c r="AB124" s="412">
        <f t="shared" si="266"/>
        <v>11</v>
      </c>
      <c r="AC124" s="412">
        <f t="shared" si="266"/>
        <v>12</v>
      </c>
      <c r="AD124" s="412">
        <f t="shared" si="266"/>
        <v>13</v>
      </c>
      <c r="AE124" s="412">
        <f t="shared" si="266"/>
        <v>14</v>
      </c>
      <c r="AF124" s="412">
        <f t="shared" si="266"/>
        <v>15</v>
      </c>
      <c r="AG124" s="412">
        <f t="shared" si="266"/>
        <v>16</v>
      </c>
      <c r="AH124" s="412">
        <f t="shared" si="266"/>
        <v>17</v>
      </c>
      <c r="AI124" s="412">
        <f t="shared" si="266"/>
        <v>18</v>
      </c>
      <c r="AJ124" s="412">
        <f t="shared" si="266"/>
        <v>19</v>
      </c>
      <c r="AK124" s="412">
        <f t="shared" si="266"/>
        <v>20</v>
      </c>
      <c r="AL124" s="412">
        <f t="shared" si="266"/>
        <v>21</v>
      </c>
      <c r="AM124" s="412">
        <f t="shared" si="266"/>
        <v>22</v>
      </c>
      <c r="AN124" s="412">
        <f t="shared" si="266"/>
        <v>23</v>
      </c>
      <c r="AO124" s="412">
        <f t="shared" si="266"/>
        <v>24</v>
      </c>
      <c r="AP124" s="412">
        <f t="shared" si="266"/>
        <v>25</v>
      </c>
      <c r="AQ124" s="412">
        <f t="shared" si="266"/>
        <v>26</v>
      </c>
      <c r="AR124" s="412">
        <f t="shared" si="266"/>
        <v>27</v>
      </c>
      <c r="AS124" s="412">
        <f t="shared" si="266"/>
        <v>28</v>
      </c>
      <c r="AT124" s="412">
        <f t="shared" si="266"/>
        <v>29</v>
      </c>
      <c r="AU124" s="412">
        <f t="shared" si="266"/>
        <v>30</v>
      </c>
      <c r="AV124" s="412">
        <f t="shared" si="266"/>
        <v>31</v>
      </c>
      <c r="AW124" s="412">
        <f t="shared" ref="AW124:BU124" si="267">AV124 + 1</f>
        <v>32</v>
      </c>
      <c r="AX124" s="412">
        <f t="shared" si="267"/>
        <v>33</v>
      </c>
      <c r="AY124" s="412">
        <f t="shared" si="267"/>
        <v>34</v>
      </c>
      <c r="AZ124" s="412">
        <f t="shared" si="267"/>
        <v>35</v>
      </c>
      <c r="BA124" s="412">
        <f t="shared" si="267"/>
        <v>36</v>
      </c>
      <c r="BB124" s="412">
        <f t="shared" si="267"/>
        <v>37</v>
      </c>
      <c r="BC124" s="412">
        <f t="shared" si="267"/>
        <v>38</v>
      </c>
      <c r="BD124" s="412">
        <f t="shared" si="267"/>
        <v>39</v>
      </c>
      <c r="BE124" s="412">
        <f t="shared" si="267"/>
        <v>40</v>
      </c>
      <c r="BF124" s="412">
        <f t="shared" si="267"/>
        <v>41</v>
      </c>
      <c r="BG124" s="412">
        <f t="shared" si="267"/>
        <v>42</v>
      </c>
      <c r="BH124" s="412">
        <f t="shared" si="267"/>
        <v>43</v>
      </c>
      <c r="BI124" s="412">
        <f t="shared" si="267"/>
        <v>44</v>
      </c>
      <c r="BJ124" s="412">
        <f t="shared" si="267"/>
        <v>45</v>
      </c>
      <c r="BK124" s="412">
        <f t="shared" si="267"/>
        <v>46</v>
      </c>
      <c r="BL124" s="412">
        <f t="shared" si="267"/>
        <v>47</v>
      </c>
      <c r="BM124" s="412">
        <f t="shared" si="267"/>
        <v>48</v>
      </c>
      <c r="BN124" s="412">
        <f t="shared" si="267"/>
        <v>49</v>
      </c>
      <c r="BO124" s="412">
        <f t="shared" si="267"/>
        <v>50</v>
      </c>
      <c r="BP124" s="412">
        <f t="shared" si="267"/>
        <v>51</v>
      </c>
      <c r="BQ124" s="412">
        <f t="shared" si="267"/>
        <v>52</v>
      </c>
      <c r="BR124" s="412">
        <f t="shared" si="267"/>
        <v>53</v>
      </c>
      <c r="BS124" s="412">
        <f t="shared" si="267"/>
        <v>54</v>
      </c>
      <c r="BT124" s="412">
        <f t="shared" si="267"/>
        <v>55</v>
      </c>
      <c r="BU124" s="412">
        <f t="shared" si="267"/>
        <v>56</v>
      </c>
    </row>
    <row r="125" spans="1:73" x14ac:dyDescent="0.2">
      <c r="A125" s="186"/>
      <c r="B125" s="186"/>
      <c r="C125" s="409"/>
      <c r="D125" s="186"/>
      <c r="E125" s="186"/>
      <c r="F125" s="186"/>
      <c r="G125" s="186"/>
      <c r="H125" s="186"/>
      <c r="I125" s="186"/>
      <c r="J125" s="186"/>
      <c r="K125" s="367"/>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row>
    <row r="126" spans="1:73" x14ac:dyDescent="0.2">
      <c r="A126" s="186"/>
      <c r="B126" s="186"/>
      <c r="C126" s="186" t="s">
        <v>88</v>
      </c>
      <c r="D126" s="186"/>
      <c r="E126" s="186"/>
      <c r="F126" s="186"/>
      <c r="G126" s="186"/>
      <c r="H126" s="186"/>
      <c r="I126" s="186"/>
      <c r="J126" s="186"/>
      <c r="K126" s="367"/>
      <c r="L126" s="186"/>
      <c r="M126" s="186"/>
      <c r="N126" s="186"/>
      <c r="O126" s="186"/>
      <c r="P126" s="186"/>
      <c r="Q126" s="373"/>
      <c r="R126" s="374">
        <f t="shared" ref="R126:AO126" si="268">+Q140</f>
        <v>0</v>
      </c>
      <c r="S126" s="374">
        <f t="shared" si="268"/>
        <v>1034374.3166937458</v>
      </c>
      <c r="T126" s="374">
        <f t="shared" si="268"/>
        <v>1078485.4266477572</v>
      </c>
      <c r="U126" s="374">
        <f t="shared" si="268"/>
        <v>1124477.6641490904</v>
      </c>
      <c r="V126" s="374">
        <f t="shared" si="268"/>
        <v>1136229.0874899926</v>
      </c>
      <c r="W126" s="374">
        <f t="shared" si="268"/>
        <v>1135149.6843756367</v>
      </c>
      <c r="X126" s="374">
        <f t="shared" si="268"/>
        <v>1133596.6731845927</v>
      </c>
      <c r="Y126" s="374">
        <f t="shared" si="268"/>
        <v>1131518.9512024731</v>
      </c>
      <c r="Z126" s="374">
        <f t="shared" si="268"/>
        <v>1128861.1008905747</v>
      </c>
      <c r="AA126" s="374">
        <f t="shared" si="268"/>
        <v>1109261.3458626068</v>
      </c>
      <c r="AB126" s="374">
        <f t="shared" si="268"/>
        <v>1088132.4273274357</v>
      </c>
      <c r="AC126" s="374">
        <f t="shared" si="268"/>
        <v>1063925.2766199415</v>
      </c>
      <c r="AD126" s="374">
        <f t="shared" si="268"/>
        <v>1036310.0538642341</v>
      </c>
      <c r="AE126" s="374">
        <f t="shared" si="268"/>
        <v>1004925.3637604066</v>
      </c>
      <c r="AF126" s="374">
        <f t="shared" si="268"/>
        <v>967952.73664835165</v>
      </c>
      <c r="AG126" s="374">
        <f t="shared" si="268"/>
        <v>928853.44190454285</v>
      </c>
      <c r="AH126" s="374">
        <f t="shared" si="268"/>
        <v>887710.07556800381</v>
      </c>
      <c r="AI126" s="374">
        <f t="shared" si="268"/>
        <v>844432.7504351869</v>
      </c>
      <c r="AJ126" s="374">
        <f t="shared" si="268"/>
        <v>798929.36335637874</v>
      </c>
      <c r="AK126" s="374">
        <f t="shared" si="268"/>
        <v>741105.75187021261</v>
      </c>
      <c r="AL126" s="374">
        <f t="shared" si="268"/>
        <v>670865.88560559787</v>
      </c>
      <c r="AM126" s="374">
        <f t="shared" si="268"/>
        <v>597738.80654682545</v>
      </c>
      <c r="AN126" s="374">
        <f t="shared" si="268"/>
        <v>521571.4585718275</v>
      </c>
      <c r="AO126" s="374">
        <f t="shared" si="268"/>
        <v>402203.8810021606</v>
      </c>
      <c r="AP126" s="374">
        <f t="shared" ref="AP126:BU126" si="269">+AO140</f>
        <v>289469.0203146697</v>
      </c>
      <c r="AQ126" s="374">
        <f t="shared" si="269"/>
        <v>168978.12181407132</v>
      </c>
      <c r="AR126" s="374">
        <f t="shared" si="269"/>
        <v>69486.747995315527</v>
      </c>
      <c r="AS126" s="374">
        <f t="shared" si="269"/>
        <v>0</v>
      </c>
      <c r="AT126" s="374">
        <f t="shared" si="269"/>
        <v>0</v>
      </c>
      <c r="AU126" s="374">
        <f t="shared" si="269"/>
        <v>0</v>
      </c>
      <c r="AV126" s="374">
        <f t="shared" si="269"/>
        <v>0</v>
      </c>
      <c r="AW126" s="374">
        <f t="shared" si="269"/>
        <v>0</v>
      </c>
      <c r="AX126" s="374">
        <f t="shared" si="269"/>
        <v>0</v>
      </c>
      <c r="AY126" s="374">
        <f t="shared" si="269"/>
        <v>0</v>
      </c>
      <c r="AZ126" s="374">
        <f t="shared" si="269"/>
        <v>0</v>
      </c>
      <c r="BA126" s="374">
        <f t="shared" si="269"/>
        <v>0</v>
      </c>
      <c r="BB126" s="374">
        <f t="shared" si="269"/>
        <v>0</v>
      </c>
      <c r="BC126" s="374">
        <f t="shared" si="269"/>
        <v>0</v>
      </c>
      <c r="BD126" s="374">
        <f t="shared" si="269"/>
        <v>0</v>
      </c>
      <c r="BE126" s="374">
        <f t="shared" si="269"/>
        <v>0</v>
      </c>
      <c r="BF126" s="374">
        <f t="shared" si="269"/>
        <v>0</v>
      </c>
      <c r="BG126" s="374">
        <f t="shared" si="269"/>
        <v>0</v>
      </c>
      <c r="BH126" s="374">
        <f t="shared" si="269"/>
        <v>0</v>
      </c>
      <c r="BI126" s="374">
        <f t="shared" si="269"/>
        <v>0</v>
      </c>
      <c r="BJ126" s="374">
        <f t="shared" si="269"/>
        <v>0</v>
      </c>
      <c r="BK126" s="374">
        <f t="shared" si="269"/>
        <v>0</v>
      </c>
      <c r="BL126" s="374">
        <f t="shared" si="269"/>
        <v>0</v>
      </c>
      <c r="BM126" s="374">
        <f t="shared" si="269"/>
        <v>0</v>
      </c>
      <c r="BN126" s="374">
        <f t="shared" si="269"/>
        <v>0</v>
      </c>
      <c r="BO126" s="374">
        <f t="shared" si="269"/>
        <v>0</v>
      </c>
      <c r="BP126" s="374">
        <f t="shared" si="269"/>
        <v>0</v>
      </c>
      <c r="BQ126" s="374">
        <f t="shared" si="269"/>
        <v>0</v>
      </c>
      <c r="BR126" s="374">
        <f t="shared" si="269"/>
        <v>0</v>
      </c>
      <c r="BS126" s="374">
        <f t="shared" si="269"/>
        <v>0</v>
      </c>
      <c r="BT126" s="374">
        <f t="shared" si="269"/>
        <v>0</v>
      </c>
      <c r="BU126" s="374">
        <f t="shared" si="269"/>
        <v>0</v>
      </c>
    </row>
    <row r="127" spans="1:73" x14ac:dyDescent="0.2">
      <c r="A127" s="186"/>
      <c r="B127" s="186"/>
      <c r="C127" s="186" t="s">
        <v>188</v>
      </c>
      <c r="D127" s="186"/>
      <c r="E127" s="186"/>
      <c r="F127" s="186"/>
      <c r="G127" s="186"/>
      <c r="H127" s="186"/>
      <c r="I127" s="186"/>
      <c r="J127" s="186"/>
      <c r="K127" s="367" t="s">
        <v>63</v>
      </c>
      <c r="L127" s="186"/>
      <c r="M127" s="186"/>
      <c r="N127" s="374">
        <f>SUM(Q127:BU127)</f>
        <v>992067.42294560256</v>
      </c>
      <c r="O127" s="186"/>
      <c r="P127" s="186"/>
      <c r="Q127" s="373"/>
      <c r="R127" s="373">
        <v>992067.42294560256</v>
      </c>
      <c r="S127" s="373">
        <v>0</v>
      </c>
      <c r="T127" s="373">
        <v>0</v>
      </c>
      <c r="U127" s="373">
        <v>0</v>
      </c>
      <c r="V127" s="373">
        <v>0</v>
      </c>
      <c r="W127" s="373">
        <v>0</v>
      </c>
      <c r="X127" s="373">
        <v>0</v>
      </c>
      <c r="Y127" s="373">
        <v>0</v>
      </c>
      <c r="Z127" s="373">
        <v>0</v>
      </c>
      <c r="AA127" s="373">
        <v>0</v>
      </c>
      <c r="AB127" s="373">
        <v>0</v>
      </c>
      <c r="AC127" s="373">
        <v>0</v>
      </c>
      <c r="AD127" s="373">
        <v>0</v>
      </c>
      <c r="AE127" s="373">
        <v>0</v>
      </c>
      <c r="AF127" s="373">
        <v>0</v>
      </c>
      <c r="AG127" s="373">
        <v>0</v>
      </c>
      <c r="AH127" s="373">
        <v>0</v>
      </c>
      <c r="AI127" s="373">
        <v>0</v>
      </c>
      <c r="AJ127" s="373">
        <v>0</v>
      </c>
      <c r="AK127" s="373">
        <v>0</v>
      </c>
      <c r="AL127" s="373">
        <v>0</v>
      </c>
      <c r="AM127" s="373">
        <v>0</v>
      </c>
      <c r="AN127" s="373">
        <v>0</v>
      </c>
      <c r="AO127" s="373">
        <v>0</v>
      </c>
      <c r="AP127" s="373">
        <v>0</v>
      </c>
      <c r="AQ127" s="373">
        <v>0</v>
      </c>
      <c r="AR127" s="373">
        <v>0</v>
      </c>
      <c r="AS127" s="373">
        <v>0</v>
      </c>
      <c r="AT127" s="373">
        <v>0</v>
      </c>
      <c r="AU127" s="373">
        <v>0</v>
      </c>
      <c r="AV127" s="373">
        <v>0</v>
      </c>
      <c r="AW127" s="373">
        <v>0</v>
      </c>
      <c r="AX127" s="373">
        <v>0</v>
      </c>
      <c r="AY127" s="373">
        <v>0</v>
      </c>
      <c r="AZ127" s="373">
        <v>0</v>
      </c>
      <c r="BA127" s="373">
        <v>0</v>
      </c>
      <c r="BB127" s="373">
        <v>0</v>
      </c>
      <c r="BC127" s="373">
        <v>0</v>
      </c>
      <c r="BD127" s="373">
        <v>0</v>
      </c>
      <c r="BE127" s="373">
        <v>0</v>
      </c>
      <c r="BF127" s="373">
        <v>0</v>
      </c>
      <c r="BG127" s="373">
        <v>0</v>
      </c>
      <c r="BH127" s="373">
        <v>0</v>
      </c>
      <c r="BI127" s="373">
        <v>0</v>
      </c>
      <c r="BJ127" s="373">
        <v>0</v>
      </c>
      <c r="BK127" s="373">
        <v>0</v>
      </c>
      <c r="BL127" s="373">
        <v>0</v>
      </c>
      <c r="BM127" s="373">
        <v>0</v>
      </c>
      <c r="BN127" s="373">
        <v>0</v>
      </c>
      <c r="BO127" s="373">
        <v>0</v>
      </c>
      <c r="BP127" s="373">
        <v>0</v>
      </c>
      <c r="BQ127" s="373">
        <v>0</v>
      </c>
      <c r="BR127" s="373">
        <v>0</v>
      </c>
      <c r="BS127" s="373">
        <v>0</v>
      </c>
      <c r="BT127" s="373">
        <v>0</v>
      </c>
      <c r="BU127" s="373">
        <v>0</v>
      </c>
    </row>
    <row r="128" spans="1:73" x14ac:dyDescent="0.2">
      <c r="A128" s="186"/>
      <c r="B128" s="186"/>
      <c r="C128" s="186"/>
      <c r="D128" s="186"/>
      <c r="E128" s="186"/>
      <c r="F128" s="186"/>
      <c r="G128" s="186"/>
      <c r="H128" s="186"/>
      <c r="I128" s="186"/>
      <c r="J128" s="186"/>
      <c r="K128" s="367"/>
      <c r="L128" s="186"/>
      <c r="M128" s="186"/>
      <c r="N128" s="374"/>
      <c r="O128" s="186"/>
      <c r="P128" s="186"/>
      <c r="Q128" s="373"/>
      <c r="R128" s="374"/>
      <c r="S128" s="374"/>
      <c r="T128" s="374"/>
      <c r="U128" s="374"/>
      <c r="V128" s="374"/>
      <c r="W128" s="374"/>
      <c r="X128" s="374"/>
      <c r="Y128" s="374"/>
      <c r="Z128" s="374"/>
      <c r="AA128" s="374"/>
      <c r="AB128" s="374"/>
      <c r="AC128" s="374"/>
      <c r="AD128" s="374"/>
      <c r="AE128" s="374"/>
      <c r="AF128" s="374"/>
      <c r="AG128" s="374"/>
      <c r="AH128" s="374"/>
      <c r="AI128" s="374"/>
      <c r="AJ128" s="374"/>
      <c r="AK128" s="374"/>
      <c r="AL128" s="374"/>
      <c r="AM128" s="374"/>
      <c r="AN128" s="374"/>
      <c r="AO128" s="374"/>
      <c r="AP128" s="374"/>
      <c r="AQ128" s="374"/>
      <c r="AR128" s="374"/>
      <c r="AS128" s="374"/>
      <c r="AT128" s="374"/>
      <c r="AU128" s="374"/>
      <c r="AV128" s="374"/>
      <c r="AW128" s="374"/>
      <c r="AX128" s="374"/>
      <c r="AY128" s="374"/>
      <c r="AZ128" s="374"/>
      <c r="BA128" s="374"/>
      <c r="BB128" s="374"/>
      <c r="BC128" s="374"/>
      <c r="BD128" s="374"/>
      <c r="BE128" s="374"/>
      <c r="BF128" s="374"/>
      <c r="BG128" s="374"/>
      <c r="BH128" s="374"/>
      <c r="BI128" s="374"/>
      <c r="BJ128" s="374"/>
      <c r="BK128" s="374"/>
      <c r="BL128" s="374"/>
      <c r="BM128" s="374"/>
      <c r="BN128" s="374"/>
      <c r="BO128" s="374"/>
      <c r="BP128" s="374"/>
      <c r="BQ128" s="374"/>
      <c r="BR128" s="374"/>
      <c r="BS128" s="374"/>
      <c r="BT128" s="374"/>
      <c r="BU128" s="374"/>
    </row>
    <row r="129" spans="1:74" x14ac:dyDescent="0.2">
      <c r="A129" s="186"/>
      <c r="B129" s="186"/>
      <c r="C129" s="186" t="s">
        <v>186</v>
      </c>
      <c r="D129" s="186"/>
      <c r="E129" s="186"/>
      <c r="F129" s="186"/>
      <c r="G129" s="186"/>
      <c r="H129" s="186"/>
      <c r="I129" s="186"/>
      <c r="J129" s="186"/>
      <c r="K129" s="367" t="s">
        <v>63</v>
      </c>
      <c r="L129" s="186"/>
      <c r="M129" s="186"/>
      <c r="N129" s="374">
        <f>SUM(Q129:BU129)</f>
        <v>970299.77745660511</v>
      </c>
      <c r="O129" s="186"/>
      <c r="P129" s="186"/>
      <c r="Q129" s="373"/>
      <c r="R129" s="373">
        <v>42306.89374814328</v>
      </c>
      <c r="S129" s="374">
        <f t="shared" ref="S129:AO129" si="270">+S126*S114/2+(S126+(S145+S159)/2)*S114/2+S126*S114/2*S114/2*(1-S108)</f>
        <v>44111.109954011299</v>
      </c>
      <c r="T129" s="374">
        <f t="shared" si="270"/>
        <v>45992.237501333198</v>
      </c>
      <c r="U129" s="374">
        <f t="shared" si="270"/>
        <v>47576.61271620301</v>
      </c>
      <c r="V129" s="374">
        <f t="shared" si="270"/>
        <v>47943.17364064946</v>
      </c>
      <c r="W129" s="374">
        <f t="shared" si="270"/>
        <v>47895.124546619118</v>
      </c>
      <c r="X129" s="374">
        <f t="shared" si="270"/>
        <v>47826.819624934134</v>
      </c>
      <c r="Y129" s="374">
        <f t="shared" si="270"/>
        <v>47736.079580349106</v>
      </c>
      <c r="Z129" s="374">
        <f t="shared" si="270"/>
        <v>47534.549749809725</v>
      </c>
      <c r="AA129" s="374">
        <f t="shared" si="270"/>
        <v>46699.37375012898</v>
      </c>
      <c r="AB129" s="374">
        <f t="shared" si="270"/>
        <v>45791.495713235752</v>
      </c>
      <c r="AC129" s="374">
        <f t="shared" si="270"/>
        <v>44751.976373325175</v>
      </c>
      <c r="AD129" s="374">
        <f t="shared" si="270"/>
        <v>43566.73003277299</v>
      </c>
      <c r="AE129" s="374">
        <f t="shared" si="270"/>
        <v>42212.819742673069</v>
      </c>
      <c r="AF129" s="374">
        <f t="shared" si="270"/>
        <v>40641.356706786843</v>
      </c>
      <c r="AG129" s="374">
        <f t="shared" si="270"/>
        <v>38980.58399094647</v>
      </c>
      <c r="AH129" s="374">
        <f t="shared" si="270"/>
        <v>37233.077298894154</v>
      </c>
      <c r="AI129" s="374">
        <f t="shared" si="270"/>
        <v>35395.031701524174</v>
      </c>
      <c r="AJ129" s="374">
        <f t="shared" si="270"/>
        <v>33409.799583049651</v>
      </c>
      <c r="AK129" s="374">
        <f t="shared" si="270"/>
        <v>30904.14743437713</v>
      </c>
      <c r="AL129" s="374">
        <f t="shared" si="270"/>
        <v>27924.795030521207</v>
      </c>
      <c r="AM129" s="374">
        <f t="shared" si="270"/>
        <v>24822.794875707921</v>
      </c>
      <c r="AN129" s="374">
        <f t="shared" si="270"/>
        <v>21380.651580051126</v>
      </c>
      <c r="AO129" s="374">
        <f t="shared" si="270"/>
        <v>16378.327388164664</v>
      </c>
      <c r="AP129" s="374">
        <f t="shared" ref="AP129:BJ129" si="271">+AP126*AP114/2+(AP126+(AP145+AP159)/2)*AP114/2+AP126*AP114/2*AP114/2*(1-AP108)</f>
        <v>11865.984284098999</v>
      </c>
      <c r="AQ129" s="374">
        <f t="shared" si="271"/>
        <v>6798.0230819313456</v>
      </c>
      <c r="AR129" s="374">
        <f t="shared" si="271"/>
        <v>2620.2078263631342</v>
      </c>
      <c r="AS129" s="374">
        <f t="shared" si="271"/>
        <v>0</v>
      </c>
      <c r="AT129" s="374">
        <f t="shared" si="271"/>
        <v>0</v>
      </c>
      <c r="AU129" s="374">
        <f t="shared" si="271"/>
        <v>0</v>
      </c>
      <c r="AV129" s="374">
        <f t="shared" si="271"/>
        <v>0</v>
      </c>
      <c r="AW129" s="374">
        <f t="shared" si="271"/>
        <v>0</v>
      </c>
      <c r="AX129" s="374">
        <f t="shared" si="271"/>
        <v>0</v>
      </c>
      <c r="AY129" s="374">
        <f t="shared" si="271"/>
        <v>0</v>
      </c>
      <c r="AZ129" s="374">
        <f t="shared" si="271"/>
        <v>0</v>
      </c>
      <c r="BA129" s="374">
        <f t="shared" si="271"/>
        <v>0</v>
      </c>
      <c r="BB129" s="374">
        <f t="shared" si="271"/>
        <v>0</v>
      </c>
      <c r="BC129" s="374">
        <f t="shared" si="271"/>
        <v>0</v>
      </c>
      <c r="BD129" s="374">
        <f t="shared" si="271"/>
        <v>0</v>
      </c>
      <c r="BE129" s="374">
        <f t="shared" si="271"/>
        <v>0</v>
      </c>
      <c r="BF129" s="374">
        <f t="shared" si="271"/>
        <v>0</v>
      </c>
      <c r="BG129" s="374">
        <f t="shared" si="271"/>
        <v>0</v>
      </c>
      <c r="BH129" s="374">
        <f t="shared" si="271"/>
        <v>0</v>
      </c>
      <c r="BI129" s="374">
        <f t="shared" si="271"/>
        <v>0</v>
      </c>
      <c r="BJ129" s="374">
        <f t="shared" si="271"/>
        <v>0</v>
      </c>
      <c r="BK129" s="374">
        <f t="shared" ref="BK129:BU129" si="272">+(BK$126*BK$114*BK12+IF(BK103,0,((BK$126*BK$114*BK12)*BK114/4)))</f>
        <v>0</v>
      </c>
      <c r="BL129" s="374">
        <f t="shared" si="272"/>
        <v>0</v>
      </c>
      <c r="BM129" s="374">
        <f t="shared" si="272"/>
        <v>0</v>
      </c>
      <c r="BN129" s="374">
        <f t="shared" si="272"/>
        <v>0</v>
      </c>
      <c r="BO129" s="374">
        <f t="shared" si="272"/>
        <v>0</v>
      </c>
      <c r="BP129" s="374">
        <f t="shared" si="272"/>
        <v>0</v>
      </c>
      <c r="BQ129" s="374">
        <f t="shared" si="272"/>
        <v>0</v>
      </c>
      <c r="BR129" s="374">
        <f t="shared" si="272"/>
        <v>0</v>
      </c>
      <c r="BS129" s="374">
        <f t="shared" si="272"/>
        <v>0</v>
      </c>
      <c r="BT129" s="374">
        <f t="shared" si="272"/>
        <v>0</v>
      </c>
      <c r="BU129" s="374">
        <f t="shared" si="272"/>
        <v>0</v>
      </c>
    </row>
    <row r="130" spans="1:74" x14ac:dyDescent="0.2">
      <c r="A130" s="186"/>
      <c r="B130" s="186"/>
      <c r="C130" s="186" t="s">
        <v>153</v>
      </c>
      <c r="D130" s="186"/>
      <c r="E130" s="186"/>
      <c r="F130" s="186"/>
      <c r="G130" s="186"/>
      <c r="H130" s="186"/>
      <c r="I130" s="186"/>
      <c r="J130" s="186"/>
      <c r="K130" s="367" t="s">
        <v>63</v>
      </c>
      <c r="L130" s="186"/>
      <c r="M130" s="186"/>
      <c r="N130" s="374">
        <f>SUM(Q130:BU130)</f>
        <v>-239887.77599999998</v>
      </c>
      <c r="O130" s="186"/>
      <c r="P130" s="186"/>
      <c r="Q130" s="374"/>
      <c r="R130" s="374">
        <f>-MIN(R129,-R144)</f>
        <v>0</v>
      </c>
      <c r="S130" s="374">
        <f t="shared" ref="S130:BJ130" si="273">-MIN(S129,-S144)</f>
        <v>0</v>
      </c>
      <c r="T130" s="374">
        <f t="shared" si="273"/>
        <v>0</v>
      </c>
      <c r="U130" s="374">
        <f t="shared" si="273"/>
        <v>-3741.5210000000002</v>
      </c>
      <c r="V130" s="374">
        <f t="shared" si="273"/>
        <v>-6893.5450000000001</v>
      </c>
      <c r="W130" s="374">
        <f t="shared" si="273"/>
        <v>-10662.109</v>
      </c>
      <c r="X130" s="374">
        <f t="shared" si="273"/>
        <v>-12579.18</v>
      </c>
      <c r="Y130" s="374">
        <f t="shared" si="273"/>
        <v>-12544.576000000001</v>
      </c>
      <c r="Z130" s="374">
        <f t="shared" si="273"/>
        <v>-12561.878000000001</v>
      </c>
      <c r="AA130" s="374">
        <f t="shared" si="273"/>
        <v>-12561.878000000001</v>
      </c>
      <c r="AB130" s="374">
        <f t="shared" si="273"/>
        <v>-12579.18</v>
      </c>
      <c r="AC130" s="374">
        <f t="shared" si="273"/>
        <v>-12544.576000000001</v>
      </c>
      <c r="AD130" s="374">
        <f t="shared" si="273"/>
        <v>-12561.878000000001</v>
      </c>
      <c r="AE130" s="374">
        <f t="shared" si="273"/>
        <v>-12561.878000000001</v>
      </c>
      <c r="AF130" s="374">
        <f t="shared" si="273"/>
        <v>-12579.18</v>
      </c>
      <c r="AG130" s="374">
        <f t="shared" si="273"/>
        <v>-12544.576000000001</v>
      </c>
      <c r="AH130" s="374">
        <f t="shared" si="273"/>
        <v>-12561.878000000001</v>
      </c>
      <c r="AI130" s="374">
        <f t="shared" si="273"/>
        <v>-12561.878000000001</v>
      </c>
      <c r="AJ130" s="374">
        <f t="shared" si="273"/>
        <v>-12579.18</v>
      </c>
      <c r="AK130" s="374">
        <f t="shared" si="273"/>
        <v>-12465.741</v>
      </c>
      <c r="AL130" s="374">
        <f t="shared" si="273"/>
        <v>-12377.47</v>
      </c>
      <c r="AM130" s="374">
        <f t="shared" si="273"/>
        <v>-12271.970000000001</v>
      </c>
      <c r="AN130" s="374">
        <f t="shared" si="273"/>
        <v>-12183.191000000001</v>
      </c>
      <c r="AO130" s="374">
        <f t="shared" si="273"/>
        <v>-5970.5129999999999</v>
      </c>
      <c r="AP130" s="374">
        <f t="shared" si="273"/>
        <v>0</v>
      </c>
      <c r="AQ130" s="374">
        <f t="shared" si="273"/>
        <v>0</v>
      </c>
      <c r="AR130" s="374">
        <f t="shared" si="273"/>
        <v>0</v>
      </c>
      <c r="AS130" s="374">
        <f t="shared" si="273"/>
        <v>0</v>
      </c>
      <c r="AT130" s="374">
        <f t="shared" si="273"/>
        <v>0</v>
      </c>
      <c r="AU130" s="374">
        <f t="shared" si="273"/>
        <v>0</v>
      </c>
      <c r="AV130" s="374">
        <f t="shared" si="273"/>
        <v>0</v>
      </c>
      <c r="AW130" s="374">
        <f t="shared" si="273"/>
        <v>0</v>
      </c>
      <c r="AX130" s="374">
        <f t="shared" si="273"/>
        <v>0</v>
      </c>
      <c r="AY130" s="374">
        <f t="shared" si="273"/>
        <v>0</v>
      </c>
      <c r="AZ130" s="374">
        <f t="shared" si="273"/>
        <v>0</v>
      </c>
      <c r="BA130" s="374">
        <f t="shared" si="273"/>
        <v>0</v>
      </c>
      <c r="BB130" s="374">
        <f t="shared" si="273"/>
        <v>0</v>
      </c>
      <c r="BC130" s="374">
        <f t="shared" si="273"/>
        <v>0</v>
      </c>
      <c r="BD130" s="374">
        <f t="shared" si="273"/>
        <v>0</v>
      </c>
      <c r="BE130" s="374">
        <f t="shared" si="273"/>
        <v>0</v>
      </c>
      <c r="BF130" s="374">
        <f t="shared" si="273"/>
        <v>0</v>
      </c>
      <c r="BG130" s="374">
        <f t="shared" si="273"/>
        <v>0</v>
      </c>
      <c r="BH130" s="374">
        <f t="shared" si="273"/>
        <v>0</v>
      </c>
      <c r="BI130" s="374">
        <f t="shared" si="273"/>
        <v>0</v>
      </c>
      <c r="BJ130" s="374">
        <f t="shared" si="273"/>
        <v>0</v>
      </c>
      <c r="BK130" s="374">
        <f t="shared" ref="BK130:BU130" si="274">+MIN(BK129,BK144)</f>
        <v>0</v>
      </c>
      <c r="BL130" s="374">
        <f t="shared" si="274"/>
        <v>0</v>
      </c>
      <c r="BM130" s="374">
        <f t="shared" si="274"/>
        <v>0</v>
      </c>
      <c r="BN130" s="374">
        <f t="shared" si="274"/>
        <v>0</v>
      </c>
      <c r="BO130" s="374">
        <f t="shared" si="274"/>
        <v>0</v>
      </c>
      <c r="BP130" s="374">
        <f t="shared" si="274"/>
        <v>0</v>
      </c>
      <c r="BQ130" s="374">
        <f t="shared" si="274"/>
        <v>0</v>
      </c>
      <c r="BR130" s="374">
        <f t="shared" si="274"/>
        <v>0</v>
      </c>
      <c r="BS130" s="374">
        <f t="shared" si="274"/>
        <v>0</v>
      </c>
      <c r="BT130" s="374">
        <f t="shared" si="274"/>
        <v>0</v>
      </c>
      <c r="BU130" s="374">
        <f t="shared" si="274"/>
        <v>0</v>
      </c>
    </row>
    <row r="131" spans="1:74" x14ac:dyDescent="0.2">
      <c r="A131" s="186"/>
      <c r="B131" s="186"/>
      <c r="C131" s="186" t="s">
        <v>189</v>
      </c>
      <c r="D131" s="186"/>
      <c r="E131" s="186"/>
      <c r="F131" s="186"/>
      <c r="G131" s="186"/>
      <c r="H131" s="186"/>
      <c r="I131" s="186"/>
      <c r="J131" s="186"/>
      <c r="K131" s="367" t="s">
        <v>63</v>
      </c>
      <c r="L131" s="186"/>
      <c r="M131" s="186"/>
      <c r="N131" s="374">
        <f>SUM(Q131:BU131)</f>
        <v>-586250.33691221534</v>
      </c>
      <c r="O131" s="186"/>
      <c r="P131" s="186"/>
      <c r="Q131" s="374"/>
      <c r="R131" s="738">
        <f t="shared" ref="R131:U131" si="275">-(R129 *R108+R130)* R$106</f>
        <v>0</v>
      </c>
      <c r="S131" s="738">
        <f t="shared" si="275"/>
        <v>0</v>
      </c>
      <c r="T131" s="738">
        <f t="shared" si="275"/>
        <v>0</v>
      </c>
      <c r="U131" s="738">
        <f t="shared" si="275"/>
        <v>-32083.668375300869</v>
      </c>
      <c r="V131" s="738">
        <f t="shared" ref="V131:AO131" si="276">-(V129 *V108+V130)* V$106</f>
        <v>-41049.628640649462</v>
      </c>
      <c r="W131" s="738">
        <f t="shared" si="276"/>
        <v>-37233.015546619121</v>
      </c>
      <c r="X131" s="738">
        <f t="shared" si="276"/>
        <v>-35247.639624934134</v>
      </c>
      <c r="Y131" s="738">
        <f t="shared" si="276"/>
        <v>-35191.503580349105</v>
      </c>
      <c r="Z131" s="738">
        <f t="shared" si="276"/>
        <v>-34972.671749809728</v>
      </c>
      <c r="AA131" s="738">
        <f t="shared" si="276"/>
        <v>-34137.495750128975</v>
      </c>
      <c r="AB131" s="738">
        <f t="shared" si="276"/>
        <v>-33212.315713235752</v>
      </c>
      <c r="AC131" s="738">
        <f t="shared" si="276"/>
        <v>-32207.400373325174</v>
      </c>
      <c r="AD131" s="738">
        <f t="shared" si="276"/>
        <v>-31004.852032772989</v>
      </c>
      <c r="AE131" s="738">
        <f t="shared" si="276"/>
        <v>-29650.941742673069</v>
      </c>
      <c r="AF131" s="738">
        <f t="shared" si="276"/>
        <v>-28062.176706786842</v>
      </c>
      <c r="AG131" s="738">
        <f t="shared" si="276"/>
        <v>-26436.007990946469</v>
      </c>
      <c r="AH131" s="738">
        <f t="shared" si="276"/>
        <v>-24671.199298894153</v>
      </c>
      <c r="AI131" s="738">
        <f t="shared" si="276"/>
        <v>-22833.153701524174</v>
      </c>
      <c r="AJ131" s="738">
        <f t="shared" si="276"/>
        <v>-20830.619583049651</v>
      </c>
      <c r="AK131" s="738">
        <f t="shared" si="276"/>
        <v>-18438.406434377132</v>
      </c>
      <c r="AL131" s="738">
        <f t="shared" si="276"/>
        <v>-15547.325030521208</v>
      </c>
      <c r="AM131" s="738">
        <f t="shared" si="276"/>
        <v>-12550.82487570792</v>
      </c>
      <c r="AN131" s="738">
        <f t="shared" si="276"/>
        <v>-9197.4605800511254</v>
      </c>
      <c r="AO131" s="738">
        <f t="shared" si="276"/>
        <v>-10407.814388164665</v>
      </c>
      <c r="AP131" s="738">
        <f t="shared" ref="AP131:BJ131" si="277">-(AP129 *AP108+AP130)* AP$106</f>
        <v>-11865.984284098999</v>
      </c>
      <c r="AQ131" s="738">
        <f t="shared" si="277"/>
        <v>-6798.0230819313456</v>
      </c>
      <c r="AR131" s="738">
        <f t="shared" si="277"/>
        <v>-2620.2078263631342</v>
      </c>
      <c r="AS131" s="738">
        <f t="shared" si="277"/>
        <v>0</v>
      </c>
      <c r="AT131" s="738">
        <f t="shared" si="277"/>
        <v>0</v>
      </c>
      <c r="AU131" s="738">
        <f t="shared" si="277"/>
        <v>0</v>
      </c>
      <c r="AV131" s="738">
        <f t="shared" si="277"/>
        <v>0</v>
      </c>
      <c r="AW131" s="738">
        <f t="shared" si="277"/>
        <v>0</v>
      </c>
      <c r="AX131" s="738">
        <f t="shared" si="277"/>
        <v>0</v>
      </c>
      <c r="AY131" s="738">
        <f t="shared" si="277"/>
        <v>0</v>
      </c>
      <c r="AZ131" s="738">
        <f t="shared" si="277"/>
        <v>0</v>
      </c>
      <c r="BA131" s="738">
        <f t="shared" si="277"/>
        <v>0</v>
      </c>
      <c r="BB131" s="738">
        <f t="shared" si="277"/>
        <v>0</v>
      </c>
      <c r="BC131" s="738">
        <f t="shared" si="277"/>
        <v>0</v>
      </c>
      <c r="BD131" s="738">
        <f t="shared" si="277"/>
        <v>0</v>
      </c>
      <c r="BE131" s="738">
        <f t="shared" si="277"/>
        <v>0</v>
      </c>
      <c r="BF131" s="738">
        <f t="shared" si="277"/>
        <v>0</v>
      </c>
      <c r="BG131" s="738">
        <f t="shared" si="277"/>
        <v>0</v>
      </c>
      <c r="BH131" s="738">
        <f t="shared" si="277"/>
        <v>0</v>
      </c>
      <c r="BI131" s="738">
        <f t="shared" si="277"/>
        <v>0</v>
      </c>
      <c r="BJ131" s="738">
        <f t="shared" si="277"/>
        <v>0</v>
      </c>
      <c r="BK131" s="738">
        <f t="shared" ref="BK131:BU131" si="278">-(BK129 *BK108+BK130)* BK$106</f>
        <v>0</v>
      </c>
      <c r="BL131" s="738">
        <f t="shared" si="278"/>
        <v>0</v>
      </c>
      <c r="BM131" s="738">
        <f t="shared" si="278"/>
        <v>0</v>
      </c>
      <c r="BN131" s="738">
        <f t="shared" si="278"/>
        <v>0</v>
      </c>
      <c r="BO131" s="738">
        <f t="shared" si="278"/>
        <v>0</v>
      </c>
      <c r="BP131" s="738">
        <f t="shared" si="278"/>
        <v>0</v>
      </c>
      <c r="BQ131" s="738">
        <f t="shared" si="278"/>
        <v>0</v>
      </c>
      <c r="BR131" s="738">
        <f t="shared" si="278"/>
        <v>0</v>
      </c>
      <c r="BS131" s="738">
        <f t="shared" si="278"/>
        <v>0</v>
      </c>
      <c r="BT131" s="738">
        <f t="shared" si="278"/>
        <v>0</v>
      </c>
      <c r="BU131" s="738">
        <f t="shared" si="278"/>
        <v>0</v>
      </c>
    </row>
    <row r="132" spans="1:74" x14ac:dyDescent="0.2">
      <c r="A132" s="186"/>
      <c r="B132" s="186"/>
      <c r="C132" s="186"/>
      <c r="D132" s="186"/>
      <c r="E132" s="186"/>
      <c r="F132" s="186"/>
      <c r="G132" s="186"/>
      <c r="H132" s="186"/>
      <c r="I132" s="186"/>
      <c r="J132" s="186"/>
      <c r="K132" s="367"/>
      <c r="L132" s="186"/>
      <c r="M132" s="186"/>
      <c r="N132" s="374"/>
      <c r="O132" s="186"/>
      <c r="P132" s="186"/>
      <c r="Q132" s="374"/>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c r="AP132" s="421"/>
      <c r="AQ132" s="421"/>
      <c r="AR132" s="421"/>
      <c r="AS132" s="421"/>
      <c r="AT132" s="421"/>
      <c r="AU132" s="421"/>
      <c r="AV132" s="421"/>
      <c r="AW132" s="421"/>
      <c r="AX132" s="421"/>
      <c r="AY132" s="421"/>
      <c r="AZ132" s="421"/>
      <c r="BA132" s="421"/>
      <c r="BB132" s="421"/>
      <c r="BC132" s="421"/>
      <c r="BD132" s="421"/>
      <c r="BE132" s="421"/>
      <c r="BF132" s="421"/>
      <c r="BG132" s="421"/>
      <c r="BH132" s="421"/>
      <c r="BI132" s="421"/>
      <c r="BJ132" s="421"/>
      <c r="BK132" s="421"/>
      <c r="BL132" s="421"/>
      <c r="BM132" s="421"/>
      <c r="BN132" s="421"/>
      <c r="BO132" s="421"/>
      <c r="BP132" s="421"/>
      <c r="BQ132" s="421"/>
      <c r="BR132" s="421"/>
      <c r="BS132" s="421"/>
      <c r="BT132" s="421"/>
      <c r="BU132" s="421"/>
    </row>
    <row r="133" spans="1:74" x14ac:dyDescent="0.2">
      <c r="A133" s="186"/>
      <c r="B133" s="186"/>
      <c r="C133" s="186" t="s">
        <v>155</v>
      </c>
      <c r="D133" s="186"/>
      <c r="E133" s="186"/>
      <c r="F133" s="186"/>
      <c r="G133" s="186"/>
      <c r="H133" s="186"/>
      <c r="I133" s="186"/>
      <c r="J133" s="186"/>
      <c r="K133" s="367" t="s">
        <v>63</v>
      </c>
      <c r="L133" s="186"/>
      <c r="M133" s="186"/>
      <c r="N133" s="374">
        <f>SUM(Q133:BU133)</f>
        <v>-54041.91429966467</v>
      </c>
      <c r="O133" s="186"/>
      <c r="P133" s="186"/>
      <c r="Q133" s="374"/>
      <c r="R133" s="738">
        <f t="shared" ref="R133:AW133" si="279">-MIN(SUM(R126:R127)+SUM(R129:R131),PPMT(R$114,1,$N$102+1-R$107,-R$126)) * (R$107&gt;0)</f>
        <v>0</v>
      </c>
      <c r="S133" s="738">
        <f t="shared" si="279"/>
        <v>0</v>
      </c>
      <c r="T133" s="738">
        <f t="shared" si="279"/>
        <v>0</v>
      </c>
      <c r="U133" s="738">
        <f t="shared" si="279"/>
        <v>0</v>
      </c>
      <c r="V133" s="738">
        <f t="shared" si="279"/>
        <v>0</v>
      </c>
      <c r="W133" s="738">
        <f t="shared" si="279"/>
        <v>0</v>
      </c>
      <c r="X133" s="738">
        <f t="shared" si="279"/>
        <v>0</v>
      </c>
      <c r="Y133" s="738">
        <f t="shared" si="279"/>
        <v>0</v>
      </c>
      <c r="Z133" s="738">
        <f t="shared" si="279"/>
        <v>0</v>
      </c>
      <c r="AA133" s="738">
        <f t="shared" si="279"/>
        <v>0</v>
      </c>
      <c r="AB133" s="738">
        <f t="shared" si="279"/>
        <v>0</v>
      </c>
      <c r="AC133" s="738">
        <f t="shared" si="279"/>
        <v>0</v>
      </c>
      <c r="AD133" s="738">
        <f t="shared" si="279"/>
        <v>0</v>
      </c>
      <c r="AE133" s="738">
        <f t="shared" si="279"/>
        <v>0</v>
      </c>
      <c r="AF133" s="738">
        <f t="shared" si="279"/>
        <v>0</v>
      </c>
      <c r="AG133" s="738">
        <f t="shared" si="279"/>
        <v>0</v>
      </c>
      <c r="AH133" s="738">
        <f t="shared" si="279"/>
        <v>0</v>
      </c>
      <c r="AI133" s="738">
        <f t="shared" si="279"/>
        <v>0</v>
      </c>
      <c r="AJ133" s="738">
        <f t="shared" si="279"/>
        <v>0</v>
      </c>
      <c r="AK133" s="738">
        <f t="shared" si="279"/>
        <v>0</v>
      </c>
      <c r="AL133" s="738">
        <f t="shared" si="279"/>
        <v>0</v>
      </c>
      <c r="AM133" s="738">
        <f t="shared" si="279"/>
        <v>0</v>
      </c>
      <c r="AN133" s="738">
        <f t="shared" si="279"/>
        <v>0</v>
      </c>
      <c r="AO133" s="738">
        <f t="shared" si="279"/>
        <v>0</v>
      </c>
      <c r="AP133" s="738">
        <f t="shared" si="279"/>
        <v>-27107.214825648691</v>
      </c>
      <c r="AQ133" s="738">
        <f t="shared" si="279"/>
        <v>-18195.577087343408</v>
      </c>
      <c r="AR133" s="738">
        <f t="shared" si="279"/>
        <v>-8739.1223866725704</v>
      </c>
      <c r="AS133" s="738">
        <f t="shared" si="279"/>
        <v>0</v>
      </c>
      <c r="AT133" s="738">
        <f t="shared" si="279"/>
        <v>0</v>
      </c>
      <c r="AU133" s="738">
        <f t="shared" si="279"/>
        <v>0</v>
      </c>
      <c r="AV133" s="738">
        <f t="shared" si="279"/>
        <v>0</v>
      </c>
      <c r="AW133" s="738">
        <f t="shared" si="279"/>
        <v>0</v>
      </c>
      <c r="AX133" s="738">
        <f t="shared" ref="AX133:BU133" si="280">-MIN(SUM(AX126:AX127)+SUM(AX129:AX131),PPMT(AX$114,1,$N$102+1-AX$107,-AX$126)) * (AX$107&gt;0)</f>
        <v>0</v>
      </c>
      <c r="AY133" s="738">
        <f t="shared" si="280"/>
        <v>0</v>
      </c>
      <c r="AZ133" s="738">
        <f t="shared" si="280"/>
        <v>0</v>
      </c>
      <c r="BA133" s="738">
        <f t="shared" si="280"/>
        <v>0</v>
      </c>
      <c r="BB133" s="738">
        <f t="shared" si="280"/>
        <v>0</v>
      </c>
      <c r="BC133" s="738">
        <f t="shared" si="280"/>
        <v>0</v>
      </c>
      <c r="BD133" s="738">
        <f t="shared" si="280"/>
        <v>0</v>
      </c>
      <c r="BE133" s="738">
        <f t="shared" si="280"/>
        <v>0</v>
      </c>
      <c r="BF133" s="738">
        <f t="shared" si="280"/>
        <v>0</v>
      </c>
      <c r="BG133" s="738">
        <f t="shared" si="280"/>
        <v>0</v>
      </c>
      <c r="BH133" s="738">
        <f t="shared" si="280"/>
        <v>0</v>
      </c>
      <c r="BI133" s="738">
        <f t="shared" si="280"/>
        <v>0</v>
      </c>
      <c r="BJ133" s="738">
        <f t="shared" si="280"/>
        <v>0</v>
      </c>
      <c r="BK133" s="738">
        <f t="shared" si="280"/>
        <v>0</v>
      </c>
      <c r="BL133" s="738">
        <f t="shared" si="280"/>
        <v>0</v>
      </c>
      <c r="BM133" s="738">
        <f t="shared" si="280"/>
        <v>0</v>
      </c>
      <c r="BN133" s="738">
        <f t="shared" si="280"/>
        <v>0</v>
      </c>
      <c r="BO133" s="738">
        <f t="shared" si="280"/>
        <v>0</v>
      </c>
      <c r="BP133" s="738">
        <f t="shared" si="280"/>
        <v>0</v>
      </c>
      <c r="BQ133" s="738">
        <f t="shared" si="280"/>
        <v>0</v>
      </c>
      <c r="BR133" s="738">
        <f t="shared" si="280"/>
        <v>0</v>
      </c>
      <c r="BS133" s="738">
        <f t="shared" si="280"/>
        <v>0</v>
      </c>
      <c r="BT133" s="738">
        <f t="shared" si="280"/>
        <v>0</v>
      </c>
      <c r="BU133" s="738">
        <f t="shared" si="280"/>
        <v>0</v>
      </c>
    </row>
    <row r="134" spans="1:74" x14ac:dyDescent="0.2">
      <c r="A134" s="186"/>
      <c r="B134" s="186"/>
      <c r="C134" s="186" t="s">
        <v>156</v>
      </c>
      <c r="D134" s="186"/>
      <c r="E134" s="186"/>
      <c r="F134" s="186"/>
      <c r="G134" s="186"/>
      <c r="H134" s="186"/>
      <c r="I134" s="186"/>
      <c r="J134" s="186"/>
      <c r="K134" s="367" t="s">
        <v>63</v>
      </c>
      <c r="L134" s="186"/>
      <c r="M134" s="186"/>
      <c r="N134" s="374">
        <f>SUM(Q134:BU134)</f>
        <v>-90000</v>
      </c>
      <c r="O134" s="186"/>
      <c r="P134" s="186"/>
      <c r="Q134" s="374"/>
      <c r="R134" s="738">
        <f t="shared" ref="R134:AW134" si="281">+-MIN(-R145,SUM(R126:R127)+SUM(R129:R133))</f>
        <v>0</v>
      </c>
      <c r="S134" s="738">
        <f t="shared" si="281"/>
        <v>0</v>
      </c>
      <c r="T134" s="738">
        <f t="shared" si="281"/>
        <v>0</v>
      </c>
      <c r="U134" s="738">
        <f t="shared" si="281"/>
        <v>0</v>
      </c>
      <c r="V134" s="738">
        <f t="shared" si="281"/>
        <v>0</v>
      </c>
      <c r="W134" s="738">
        <f t="shared" si="281"/>
        <v>0</v>
      </c>
      <c r="X134" s="738">
        <f t="shared" si="281"/>
        <v>0</v>
      </c>
      <c r="Y134" s="738">
        <f t="shared" si="281"/>
        <v>0</v>
      </c>
      <c r="Z134" s="738">
        <f t="shared" si="281"/>
        <v>0</v>
      </c>
      <c r="AA134" s="738">
        <f t="shared" si="281"/>
        <v>0</v>
      </c>
      <c r="AB134" s="738">
        <f t="shared" si="281"/>
        <v>0</v>
      </c>
      <c r="AC134" s="738">
        <f t="shared" si="281"/>
        <v>0</v>
      </c>
      <c r="AD134" s="738">
        <f t="shared" si="281"/>
        <v>0</v>
      </c>
      <c r="AE134" s="738">
        <f t="shared" si="281"/>
        <v>0</v>
      </c>
      <c r="AF134" s="738">
        <f t="shared" si="281"/>
        <v>0</v>
      </c>
      <c r="AG134" s="738">
        <f t="shared" si="281"/>
        <v>0</v>
      </c>
      <c r="AH134" s="738">
        <f t="shared" si="281"/>
        <v>0</v>
      </c>
      <c r="AI134" s="738">
        <f t="shared" si="281"/>
        <v>0</v>
      </c>
      <c r="AJ134" s="738">
        <f t="shared" si="281"/>
        <v>-5000</v>
      </c>
      <c r="AK134" s="738">
        <f t="shared" si="281"/>
        <v>-10000</v>
      </c>
      <c r="AL134" s="738">
        <f t="shared" si="281"/>
        <v>-10000</v>
      </c>
      <c r="AM134" s="738">
        <f t="shared" si="281"/>
        <v>-10000</v>
      </c>
      <c r="AN134" s="738">
        <f t="shared" si="281"/>
        <v>-30000</v>
      </c>
      <c r="AO134" s="738">
        <f t="shared" si="281"/>
        <v>-25000</v>
      </c>
      <c r="AP134" s="738">
        <f t="shared" si="281"/>
        <v>0</v>
      </c>
      <c r="AQ134" s="738">
        <f t="shared" si="281"/>
        <v>0</v>
      </c>
      <c r="AR134" s="738">
        <f t="shared" si="281"/>
        <v>0</v>
      </c>
      <c r="AS134" s="738">
        <f t="shared" si="281"/>
        <v>0</v>
      </c>
      <c r="AT134" s="738">
        <f t="shared" si="281"/>
        <v>0</v>
      </c>
      <c r="AU134" s="738">
        <f t="shared" si="281"/>
        <v>0</v>
      </c>
      <c r="AV134" s="738">
        <f t="shared" si="281"/>
        <v>0</v>
      </c>
      <c r="AW134" s="738">
        <f t="shared" si="281"/>
        <v>0</v>
      </c>
      <c r="AX134" s="738">
        <f t="shared" ref="AX134:BU134" si="282">+-MIN(-AX145,SUM(AX126:AX127)+SUM(AX129:AX133))</f>
        <v>0</v>
      </c>
      <c r="AY134" s="738">
        <f t="shared" si="282"/>
        <v>0</v>
      </c>
      <c r="AZ134" s="738">
        <f t="shared" si="282"/>
        <v>0</v>
      </c>
      <c r="BA134" s="738">
        <f t="shared" si="282"/>
        <v>0</v>
      </c>
      <c r="BB134" s="738">
        <f t="shared" si="282"/>
        <v>0</v>
      </c>
      <c r="BC134" s="738">
        <f t="shared" si="282"/>
        <v>0</v>
      </c>
      <c r="BD134" s="738">
        <f t="shared" si="282"/>
        <v>0</v>
      </c>
      <c r="BE134" s="738">
        <f t="shared" si="282"/>
        <v>0</v>
      </c>
      <c r="BF134" s="738">
        <f t="shared" si="282"/>
        <v>0</v>
      </c>
      <c r="BG134" s="738">
        <f t="shared" si="282"/>
        <v>0</v>
      </c>
      <c r="BH134" s="738">
        <f t="shared" si="282"/>
        <v>0</v>
      </c>
      <c r="BI134" s="738">
        <f t="shared" si="282"/>
        <v>0</v>
      </c>
      <c r="BJ134" s="738">
        <f t="shared" si="282"/>
        <v>0</v>
      </c>
      <c r="BK134" s="738">
        <f t="shared" si="282"/>
        <v>0</v>
      </c>
      <c r="BL134" s="738">
        <f t="shared" si="282"/>
        <v>0</v>
      </c>
      <c r="BM134" s="738">
        <f t="shared" si="282"/>
        <v>0</v>
      </c>
      <c r="BN134" s="738">
        <f t="shared" si="282"/>
        <v>0</v>
      </c>
      <c r="BO134" s="738">
        <f t="shared" si="282"/>
        <v>0</v>
      </c>
      <c r="BP134" s="738">
        <f t="shared" si="282"/>
        <v>0</v>
      </c>
      <c r="BQ134" s="738">
        <f t="shared" si="282"/>
        <v>0</v>
      </c>
      <c r="BR134" s="738">
        <f t="shared" si="282"/>
        <v>0</v>
      </c>
      <c r="BS134" s="738">
        <f t="shared" si="282"/>
        <v>0</v>
      </c>
      <c r="BT134" s="738">
        <f t="shared" si="282"/>
        <v>0</v>
      </c>
      <c r="BU134" s="738">
        <f t="shared" si="282"/>
        <v>0</v>
      </c>
    </row>
    <row r="135" spans="1:74" x14ac:dyDescent="0.2">
      <c r="A135" s="186"/>
      <c r="B135" s="186"/>
      <c r="C135" s="186"/>
      <c r="D135" s="186"/>
      <c r="E135" s="186"/>
      <c r="F135" s="186"/>
      <c r="G135" s="186"/>
      <c r="H135" s="186"/>
      <c r="I135" s="186"/>
      <c r="J135" s="186"/>
      <c r="K135" s="367"/>
      <c r="L135" s="186"/>
      <c r="M135" s="186"/>
      <c r="N135" s="374"/>
      <c r="O135" s="186"/>
      <c r="P135" s="186"/>
      <c r="Q135" s="374"/>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c r="AO135" s="421"/>
      <c r="AP135" s="421"/>
      <c r="AQ135" s="421"/>
      <c r="AR135" s="421"/>
      <c r="AS135" s="421"/>
      <c r="AT135" s="421"/>
      <c r="AU135" s="421"/>
      <c r="AV135" s="421"/>
      <c r="AW135" s="421"/>
      <c r="AX135" s="421"/>
      <c r="AY135" s="421"/>
      <c r="AZ135" s="421"/>
      <c r="BA135" s="421"/>
      <c r="BB135" s="421"/>
      <c r="BC135" s="421"/>
      <c r="BD135" s="421"/>
      <c r="BE135" s="421"/>
      <c r="BF135" s="421"/>
      <c r="BG135" s="421"/>
      <c r="BH135" s="421"/>
      <c r="BI135" s="421"/>
      <c r="BJ135" s="421"/>
      <c r="BK135" s="421"/>
      <c r="BL135" s="421"/>
      <c r="BM135" s="421"/>
      <c r="BN135" s="421"/>
      <c r="BO135" s="421"/>
      <c r="BP135" s="421"/>
      <c r="BQ135" s="421"/>
      <c r="BR135" s="421"/>
      <c r="BS135" s="421"/>
      <c r="BT135" s="421"/>
      <c r="BU135" s="421"/>
    </row>
    <row r="136" spans="1:74" x14ac:dyDescent="0.2">
      <c r="A136" s="186"/>
      <c r="B136" s="186"/>
      <c r="C136" s="186" t="s">
        <v>190</v>
      </c>
      <c r="D136" s="186"/>
      <c r="E136" s="186"/>
      <c r="F136" s="186"/>
      <c r="G136" s="186"/>
      <c r="H136" s="186"/>
      <c r="I136" s="186"/>
      <c r="J136" s="186"/>
      <c r="K136" s="367" t="s">
        <v>63</v>
      </c>
      <c r="L136" s="186"/>
      <c r="M136" s="186"/>
      <c r="N136" s="374">
        <f>SUM(Q136:BU136)</f>
        <v>-144041.91429966467</v>
      </c>
      <c r="O136" s="186"/>
      <c r="P136" s="186"/>
      <c r="Q136" s="374"/>
      <c r="R136" s="374">
        <f>-MIN(R184* Inputs!$L$116,R126+R133+R134)</f>
        <v>0</v>
      </c>
      <c r="S136" s="374">
        <f>-MIN(S184* Inputs!$L$116,S126+S133+S134)</f>
        <v>0</v>
      </c>
      <c r="T136" s="374">
        <f>-MIN(T184* Inputs!$L$116,T126+T133+T134)</f>
        <v>0</v>
      </c>
      <c r="U136" s="374">
        <f>-MIN(U184* Inputs!$L$116,U126+U133+U134)</f>
        <v>0</v>
      </c>
      <c r="V136" s="374">
        <f>-MIN(V184* Inputs!$L$116,V126+V133+V134)</f>
        <v>0</v>
      </c>
      <c r="W136" s="374">
        <f>-MIN(W184* Inputs!$L$116,W126+W133+W134)</f>
        <v>0</v>
      </c>
      <c r="X136" s="374">
        <f>-MIN(X184* Inputs!$L$116,X126+X133+X134)</f>
        <v>0</v>
      </c>
      <c r="Y136" s="374">
        <f>-MIN(Y184* Inputs!$L$116,Y126+Y133+Y134)</f>
        <v>0</v>
      </c>
      <c r="Z136" s="374">
        <f>-MIN(Z184* Inputs!$L$116,Z126+Z133+Z134)</f>
        <v>0</v>
      </c>
      <c r="AA136" s="374">
        <f>-MIN(AA184* Inputs!$L$116,AA126+AA133+AA134)</f>
        <v>0</v>
      </c>
      <c r="AB136" s="374">
        <f>-MIN(AB184* Inputs!$L$116,AB126+AB133+AB134)</f>
        <v>0</v>
      </c>
      <c r="AC136" s="374">
        <f>-MIN(AC184* Inputs!$L$116,AC126+AC133+AC134)</f>
        <v>0</v>
      </c>
      <c r="AD136" s="374">
        <f>-MIN(AD184* Inputs!$L$116,AD126+AD133+AD134)</f>
        <v>0</v>
      </c>
      <c r="AE136" s="374">
        <f>-MIN(AE184* Inputs!$L$116,AE126+AE133+AE134)</f>
        <v>0</v>
      </c>
      <c r="AF136" s="374">
        <f>-MIN(AF184* Inputs!$L$116,AF126+AF133+AF134)</f>
        <v>0</v>
      </c>
      <c r="AG136" s="374">
        <f>-MIN(AG184* Inputs!$L$116,AG126+AG133+AG134)</f>
        <v>0</v>
      </c>
      <c r="AH136" s="374">
        <f>-MIN(AH184* Inputs!$L$116,AH126+AH133+AH134)</f>
        <v>0</v>
      </c>
      <c r="AI136" s="374">
        <f>-MIN(AI184* Inputs!$L$116,AI126+AI133+AI134)</f>
        <v>0</v>
      </c>
      <c r="AJ136" s="374">
        <f>-MIN(AJ184* Inputs!$L$116,AJ126+AJ133+AJ134)</f>
        <v>-5000</v>
      </c>
      <c r="AK136" s="374">
        <f>-MIN(AK184* Inputs!$L$116,AK126+AK133+AK134)</f>
        <v>-10000</v>
      </c>
      <c r="AL136" s="374">
        <f>-MIN(AL184* Inputs!$L$116,AL126+AL133+AL134)</f>
        <v>-10000</v>
      </c>
      <c r="AM136" s="374">
        <f>-MIN(AM184* Inputs!$L$116,AM126+AM133+AM134)</f>
        <v>-10000</v>
      </c>
      <c r="AN136" s="374">
        <f>-MIN(AN184* Inputs!$L$116,AN126+AN133+AN134)</f>
        <v>-30000</v>
      </c>
      <c r="AO136" s="374">
        <f>-MIN(AO184* Inputs!$L$116,AO126+AO133+AO134)</f>
        <v>-25000</v>
      </c>
      <c r="AP136" s="374">
        <f>-MIN(AP184* Inputs!$L$116,AP126+AP133+AP134)</f>
        <v>-27107.214825648691</v>
      </c>
      <c r="AQ136" s="374">
        <f>-MIN(AQ184* Inputs!$L$116,AQ126+AQ133+AQ134)</f>
        <v>-18195.577087343408</v>
      </c>
      <c r="AR136" s="374">
        <f>-MIN(AR184* Inputs!$L$116,AR126+AR133+AR134)</f>
        <v>-8739.1223866725704</v>
      </c>
      <c r="AS136" s="374">
        <f>-MIN(AS184* Inputs!$L$116,AS126+AS133+AS134)</f>
        <v>0</v>
      </c>
      <c r="AT136" s="374">
        <f>-MIN(AT184* Inputs!$L$116,AT126+AT133+AT134)</f>
        <v>0</v>
      </c>
      <c r="AU136" s="374">
        <f>-MIN(AU184* Inputs!$L$116,AU126+AU133+AU134)</f>
        <v>0</v>
      </c>
      <c r="AV136" s="374">
        <f>-MIN(AV184* Inputs!$L$116,AV126+AV133+AV134)</f>
        <v>0</v>
      </c>
      <c r="AW136" s="374">
        <f>-MIN(AW184* Inputs!$L$116,AW126+AW133+AW134)</f>
        <v>0</v>
      </c>
      <c r="AX136" s="374">
        <f>-MIN(AX184* Inputs!$L$116,AX126+AX133+AX134)</f>
        <v>0</v>
      </c>
      <c r="AY136" s="374">
        <f>-MIN(AY184* Inputs!$L$116,AY126+AY133+AY134)</f>
        <v>0</v>
      </c>
      <c r="AZ136" s="374">
        <f>-MIN(AZ184* Inputs!$L$116,AZ126+AZ133+AZ134)</f>
        <v>0</v>
      </c>
      <c r="BA136" s="374">
        <f>-MIN(BA184* Inputs!$L$116,BA126+BA133+BA134)</f>
        <v>0</v>
      </c>
      <c r="BB136" s="374">
        <f>-MIN(BB184* Inputs!$L$116,BB126+BB133+BB134)</f>
        <v>0</v>
      </c>
      <c r="BC136" s="374">
        <f>-MIN(BC184* Inputs!$L$116,BC126+BC133+BC134)</f>
        <v>0</v>
      </c>
      <c r="BD136" s="374">
        <f>-MIN(BD184* Inputs!$L$116,BD126+BD133+BD134)</f>
        <v>0</v>
      </c>
      <c r="BE136" s="374">
        <f>-MIN(BE184* Inputs!$L$116,BE126+BE133+BE134)</f>
        <v>0</v>
      </c>
      <c r="BF136" s="374">
        <f>-MIN(BF184* Inputs!$L$116,BF126+BF133+BF134)</f>
        <v>0</v>
      </c>
      <c r="BG136" s="374">
        <f>-MIN(BG184* Inputs!$L$116,BG126+BG133+BG134)</f>
        <v>0</v>
      </c>
      <c r="BH136" s="374">
        <f>-MIN(BH184* Inputs!$L$116,BH126+BH133+BH134)</f>
        <v>0</v>
      </c>
      <c r="BI136" s="374">
        <f>-MIN(BI184* Inputs!$L$116,BI126+BI133+BI134)</f>
        <v>0</v>
      </c>
      <c r="BJ136" s="374">
        <f>-MIN(BJ184* Inputs!$L$116,BJ126+BJ133+BJ134)</f>
        <v>0</v>
      </c>
      <c r="BK136" s="374">
        <f>-MIN(BK184* Inputs!$L$116,BK126+BK133+BK134)</f>
        <v>0</v>
      </c>
      <c r="BL136" s="374">
        <f>-MIN(BL184* Inputs!$L$116,BL126+BL133+BL134)</f>
        <v>0</v>
      </c>
      <c r="BM136" s="374">
        <f>-MIN(BM184* Inputs!$L$116,BM126+BM133+BM134)</f>
        <v>0</v>
      </c>
      <c r="BN136" s="374">
        <f>-MIN(BN184* Inputs!$L$116,BN126+BN133+BN134)</f>
        <v>0</v>
      </c>
      <c r="BO136" s="374">
        <f>-MIN(BO184* Inputs!$L$116,BO126+BO133+BO134)</f>
        <v>0</v>
      </c>
      <c r="BP136" s="374">
        <f>-MIN(BP184* Inputs!$L$116,BP126+BP133+BP134)</f>
        <v>0</v>
      </c>
      <c r="BQ136" s="374">
        <f>-MIN(BQ184* Inputs!$L$116,BQ126+BQ133+BQ134)</f>
        <v>0</v>
      </c>
      <c r="BR136" s="374">
        <f>-MIN(BR184* Inputs!$L$116,BR126+BR133+BR134)</f>
        <v>0</v>
      </c>
      <c r="BS136" s="374">
        <f>-MIN(BS184* Inputs!$L$116,BS126+BS133+BS134)</f>
        <v>0</v>
      </c>
      <c r="BT136" s="374">
        <f>-MIN(BT184* Inputs!$L$116,BT126+BT133+BT134)</f>
        <v>0</v>
      </c>
      <c r="BU136" s="374">
        <f>-MIN(BU184* Inputs!$L$116,BU126+BU133+BU134)</f>
        <v>0</v>
      </c>
    </row>
    <row r="137" spans="1:74" x14ac:dyDescent="0.2">
      <c r="A137" s="186"/>
      <c r="B137" s="186"/>
      <c r="C137" s="186"/>
      <c r="D137" s="186"/>
      <c r="E137" s="186"/>
      <c r="F137" s="186"/>
      <c r="G137" s="186"/>
      <c r="H137" s="186"/>
      <c r="I137" s="186"/>
      <c r="J137" s="186"/>
      <c r="K137" s="367"/>
      <c r="L137" s="186"/>
      <c r="M137" s="186"/>
      <c r="N137" s="374"/>
      <c r="O137" s="186"/>
      <c r="P137" s="186"/>
      <c r="Q137" s="374"/>
      <c r="R137" s="374"/>
      <c r="S137" s="374"/>
      <c r="T137" s="374"/>
      <c r="U137" s="374"/>
      <c r="V137" s="374"/>
      <c r="W137" s="374"/>
      <c r="X137" s="374"/>
      <c r="Y137" s="374"/>
      <c r="Z137" s="374"/>
      <c r="AA137" s="374"/>
      <c r="AB137" s="374"/>
      <c r="AC137" s="374"/>
      <c r="AD137" s="374"/>
      <c r="AE137" s="374"/>
      <c r="AF137" s="374"/>
      <c r="AG137" s="374"/>
      <c r="AH137" s="374"/>
      <c r="AI137" s="374"/>
      <c r="AJ137" s="374"/>
      <c r="AK137" s="374"/>
      <c r="AL137" s="374"/>
      <c r="AM137" s="374"/>
      <c r="AN137" s="374"/>
      <c r="AO137" s="374"/>
      <c r="AP137" s="374"/>
      <c r="AQ137" s="374"/>
      <c r="AR137" s="374"/>
      <c r="AS137" s="374"/>
      <c r="AT137" s="374"/>
      <c r="AU137" s="374"/>
      <c r="AV137" s="374"/>
      <c r="AW137" s="374"/>
      <c r="AX137" s="374"/>
      <c r="AY137" s="374"/>
      <c r="AZ137" s="374"/>
      <c r="BA137" s="374"/>
      <c r="BB137" s="374"/>
      <c r="BC137" s="374"/>
      <c r="BD137" s="374"/>
      <c r="BE137" s="374"/>
      <c r="BF137" s="374"/>
      <c r="BG137" s="374"/>
      <c r="BH137" s="374"/>
      <c r="BI137" s="374"/>
      <c r="BJ137" s="374"/>
      <c r="BK137" s="374"/>
      <c r="BL137" s="374"/>
      <c r="BM137" s="374"/>
      <c r="BN137" s="374"/>
      <c r="BO137" s="374"/>
      <c r="BP137" s="374"/>
      <c r="BQ137" s="374"/>
      <c r="BR137" s="374"/>
      <c r="BS137" s="374"/>
      <c r="BT137" s="374"/>
      <c r="BU137" s="374"/>
    </row>
    <row r="138" spans="1:74" x14ac:dyDescent="0.2">
      <c r="A138" s="186"/>
      <c r="B138" s="186"/>
      <c r="C138" s="186" t="s">
        <v>154</v>
      </c>
      <c r="D138" s="186"/>
      <c r="E138" s="186"/>
      <c r="F138" s="186"/>
      <c r="G138" s="186"/>
      <c r="H138" s="186"/>
      <c r="I138" s="186"/>
      <c r="J138" s="186"/>
      <c r="K138" s="367" t="s">
        <v>63</v>
      </c>
      <c r="L138" s="186"/>
      <c r="M138" s="186"/>
      <c r="N138" s="374">
        <f>SUM(Q138:BU138)</f>
        <v>-427654.43840678042</v>
      </c>
      <c r="O138" s="186"/>
      <c r="P138" s="186"/>
      <c r="Q138" s="374"/>
      <c r="R138" s="374">
        <f t="shared" ref="R138:AW138" si="283">-MIN(-R159,SUM(R126:R127)+SUM(R129:R136))</f>
        <v>0</v>
      </c>
      <c r="S138" s="374">
        <f t="shared" si="283"/>
        <v>0</v>
      </c>
      <c r="T138" s="374">
        <f t="shared" si="283"/>
        <v>0</v>
      </c>
      <c r="U138" s="374">
        <f t="shared" si="283"/>
        <v>0</v>
      </c>
      <c r="V138" s="374">
        <f t="shared" si="283"/>
        <v>-539.70155717787566</v>
      </c>
      <c r="W138" s="374">
        <f t="shared" si="283"/>
        <v>-776.50559552197228</v>
      </c>
      <c r="X138" s="374">
        <f t="shared" si="283"/>
        <v>-1038.8609910597879</v>
      </c>
      <c r="Y138" s="374">
        <f t="shared" si="283"/>
        <v>-1328.9251559491677</v>
      </c>
      <c r="Z138" s="374">
        <f t="shared" si="283"/>
        <v>-9799.8775139839563</v>
      </c>
      <c r="AA138" s="374">
        <f t="shared" si="283"/>
        <v>-10564.459267585509</v>
      </c>
      <c r="AB138" s="374">
        <f t="shared" si="283"/>
        <v>-12103.575353747059</v>
      </c>
      <c r="AC138" s="374">
        <f t="shared" si="283"/>
        <v>-13807.611377853696</v>
      </c>
      <c r="AD138" s="374">
        <f t="shared" si="283"/>
        <v>-15692.345051913784</v>
      </c>
      <c r="AE138" s="374">
        <f t="shared" si="283"/>
        <v>-18486.313556027482</v>
      </c>
      <c r="AF138" s="374">
        <f t="shared" si="283"/>
        <v>-19549.647371904401</v>
      </c>
      <c r="AG138" s="374">
        <f t="shared" si="283"/>
        <v>-20571.68316826949</v>
      </c>
      <c r="AH138" s="374">
        <f t="shared" si="283"/>
        <v>-21638.662566408457</v>
      </c>
      <c r="AI138" s="374">
        <f t="shared" si="283"/>
        <v>-22751.693539404077</v>
      </c>
      <c r="AJ138" s="374">
        <f t="shared" si="283"/>
        <v>-23911.805743083067</v>
      </c>
      <c r="AK138" s="374">
        <f t="shared" si="283"/>
        <v>-25119.933132307342</v>
      </c>
      <c r="AL138" s="374">
        <f t="shared" si="283"/>
        <v>-26563.539529386209</v>
      </c>
      <c r="AM138" s="374">
        <f t="shared" si="283"/>
        <v>-28083.673987498973</v>
      </c>
      <c r="AN138" s="374">
        <f t="shared" si="283"/>
        <v>-29683.78878483345</v>
      </c>
      <c r="AO138" s="374">
        <f t="shared" si="283"/>
        <v>-31367.430343745451</v>
      </c>
      <c r="AP138" s="374">
        <f t="shared" si="283"/>
        <v>-33138.234424650494</v>
      </c>
      <c r="AQ138" s="374">
        <f t="shared" si="283"/>
        <v>-31550.109822034487</v>
      </c>
      <c r="AR138" s="374">
        <f t="shared" si="283"/>
        <v>-29586.060572434217</v>
      </c>
      <c r="AS138" s="374">
        <f t="shared" si="283"/>
        <v>0</v>
      </c>
      <c r="AT138" s="374">
        <f t="shared" si="283"/>
        <v>0</v>
      </c>
      <c r="AU138" s="374">
        <f t="shared" si="283"/>
        <v>0</v>
      </c>
      <c r="AV138" s="374">
        <f t="shared" si="283"/>
        <v>0</v>
      </c>
      <c r="AW138" s="374">
        <f t="shared" si="283"/>
        <v>0</v>
      </c>
      <c r="AX138" s="374">
        <f t="shared" ref="AX138:BU138" si="284">-MIN(-AX159,SUM(AX126:AX127)+SUM(AX129:AX136))</f>
        <v>0</v>
      </c>
      <c r="AY138" s="374">
        <f t="shared" si="284"/>
        <v>0</v>
      </c>
      <c r="AZ138" s="374">
        <f t="shared" si="284"/>
        <v>0</v>
      </c>
      <c r="BA138" s="374">
        <f t="shared" si="284"/>
        <v>0</v>
      </c>
      <c r="BB138" s="374">
        <f t="shared" si="284"/>
        <v>0</v>
      </c>
      <c r="BC138" s="374">
        <f t="shared" si="284"/>
        <v>0</v>
      </c>
      <c r="BD138" s="374">
        <f t="shared" si="284"/>
        <v>0</v>
      </c>
      <c r="BE138" s="374">
        <f t="shared" si="284"/>
        <v>0</v>
      </c>
      <c r="BF138" s="374">
        <f t="shared" si="284"/>
        <v>0</v>
      </c>
      <c r="BG138" s="374">
        <f t="shared" si="284"/>
        <v>0</v>
      </c>
      <c r="BH138" s="374">
        <f t="shared" si="284"/>
        <v>0</v>
      </c>
      <c r="BI138" s="374">
        <f t="shared" si="284"/>
        <v>0</v>
      </c>
      <c r="BJ138" s="374">
        <f t="shared" si="284"/>
        <v>0</v>
      </c>
      <c r="BK138" s="374">
        <f t="shared" si="284"/>
        <v>0</v>
      </c>
      <c r="BL138" s="374">
        <f t="shared" si="284"/>
        <v>0</v>
      </c>
      <c r="BM138" s="374">
        <f t="shared" si="284"/>
        <v>0</v>
      </c>
      <c r="BN138" s="374">
        <f t="shared" si="284"/>
        <v>0</v>
      </c>
      <c r="BO138" s="374">
        <f t="shared" si="284"/>
        <v>0</v>
      </c>
      <c r="BP138" s="374">
        <f t="shared" si="284"/>
        <v>0</v>
      </c>
      <c r="BQ138" s="374">
        <f t="shared" si="284"/>
        <v>0</v>
      </c>
      <c r="BR138" s="374">
        <f t="shared" si="284"/>
        <v>0</v>
      </c>
      <c r="BS138" s="374">
        <f t="shared" si="284"/>
        <v>0</v>
      </c>
      <c r="BT138" s="374">
        <f t="shared" si="284"/>
        <v>0</v>
      </c>
      <c r="BU138" s="374">
        <f t="shared" si="284"/>
        <v>0</v>
      </c>
    </row>
    <row r="139" spans="1:74" ht="13.5" thickBot="1" x14ac:dyDescent="0.25">
      <c r="A139" s="186"/>
      <c r="B139" s="186"/>
      <c r="C139" s="383" t="s">
        <v>191</v>
      </c>
      <c r="D139" s="383"/>
      <c r="E139" s="383"/>
      <c r="F139" s="383"/>
      <c r="G139" s="383"/>
      <c r="H139" s="383"/>
      <c r="I139" s="383"/>
      <c r="J139" s="383"/>
      <c r="K139" s="617" t="s">
        <v>63</v>
      </c>
      <c r="L139" s="383"/>
      <c r="M139" s="383"/>
      <c r="N139" s="384">
        <f>SUM(Q139:BU139)</f>
        <v>-420490.82048388239</v>
      </c>
      <c r="O139" s="383"/>
      <c r="P139" s="383"/>
      <c r="Q139" s="384"/>
      <c r="R139" s="384">
        <f>IF(ROUND(SUM(R126:R127)+SUM(R129:R138),0)=0,0,MAX(+R159,-SUM(R126:R127)-SUM(R129:R138))) * Inputs!$L$114</f>
        <v>0</v>
      </c>
      <c r="S139" s="384">
        <f>IF(ROUND(SUM(S126:S127)+SUM(S129:S138),0)=0,0,MAX(+S159,-SUM(S126:S127)-SUM(S129:S138))) * Inputs!$L$114</f>
        <v>0</v>
      </c>
      <c r="T139" s="384">
        <f>IF(ROUND(SUM(T126:T127)+SUM(T129:T138),0)=0,0,MAX(+T159,-SUM(T126:T127)-SUM(T129:T138))) * Inputs!$L$114</f>
        <v>0</v>
      </c>
      <c r="U139" s="384">
        <f>IF(ROUND(SUM(U126:U127)+SUM(U129:U138),0)=0,0,MAX(+U159,-SUM(U126:U127)-SUM(U129:U138))) * Inputs!$L$114</f>
        <v>0</v>
      </c>
      <c r="V139" s="384">
        <f>IF(ROUND(SUM(V126:V127)+SUM(V129:V138),0)=0,0,MAX(+V159,-SUM(V126:V127)-SUM(V129:V138))) * Inputs!$L$114</f>
        <v>-539.70155717787566</v>
      </c>
      <c r="W139" s="384">
        <f>IF(ROUND(SUM(W126:W127)+SUM(W129:W138),0)=0,0,MAX(+W159,-SUM(W126:W127)-SUM(W129:W138))) * Inputs!$L$114</f>
        <v>-776.50559552197228</v>
      </c>
      <c r="X139" s="384">
        <f>IF(ROUND(SUM(X126:X127)+SUM(X129:X138),0)=0,0,MAX(+X159,-SUM(X126:X127)-SUM(X129:X138))) * Inputs!$L$114</f>
        <v>-1038.8609910597879</v>
      </c>
      <c r="Y139" s="384">
        <f>IF(ROUND(SUM(Y126:Y127)+SUM(Y129:Y138),0)=0,0,MAX(+Y159,-SUM(Y126:Y127)-SUM(Y129:Y138))) * Inputs!$L$114</f>
        <v>-1328.9251559491677</v>
      </c>
      <c r="Z139" s="384">
        <f>IF(ROUND(SUM(Z126:Z127)+SUM(Z129:Z138),0)=0,0,MAX(+Z159,-SUM(Z126:Z127)-SUM(Z129:Z138))) * Inputs!$L$114</f>
        <v>-9799.8775139839563</v>
      </c>
      <c r="AA139" s="384">
        <f>IF(ROUND(SUM(AA126:AA127)+SUM(AA129:AA138),0)=0,0,MAX(+AA159,-SUM(AA126:AA127)-SUM(AA129:AA138))) * Inputs!$L$114</f>
        <v>-10564.459267585509</v>
      </c>
      <c r="AB139" s="384">
        <f>IF(ROUND(SUM(AB126:AB127)+SUM(AB129:AB138),0)=0,0,MAX(+AB159,-SUM(AB126:AB127)-SUM(AB129:AB138))) * Inputs!$L$114</f>
        <v>-12103.575353747059</v>
      </c>
      <c r="AC139" s="384">
        <f>IF(ROUND(SUM(AC126:AC127)+SUM(AC129:AC138),0)=0,0,MAX(+AC159,-SUM(AC126:AC127)-SUM(AC129:AC138))) * Inputs!$L$114</f>
        <v>-13807.611377853696</v>
      </c>
      <c r="AD139" s="384">
        <f>IF(ROUND(SUM(AD126:AD127)+SUM(AD129:AD138),0)=0,0,MAX(+AD159,-SUM(AD126:AD127)-SUM(AD129:AD138))) * Inputs!$L$114</f>
        <v>-15692.345051913784</v>
      </c>
      <c r="AE139" s="384">
        <f>IF(ROUND(SUM(AE126:AE127)+SUM(AE129:AE138),0)=0,0,MAX(+AE159,-SUM(AE126:AE127)-SUM(AE129:AE138))) * Inputs!$L$114</f>
        <v>-18486.313556027482</v>
      </c>
      <c r="AF139" s="384">
        <f>IF(ROUND(SUM(AF126:AF127)+SUM(AF129:AF138),0)=0,0,MAX(+AF159,-SUM(AF126:AF127)-SUM(AF129:AF138))) * Inputs!$L$114</f>
        <v>-19549.647371904401</v>
      </c>
      <c r="AG139" s="384">
        <f>IF(ROUND(SUM(AG126:AG127)+SUM(AG129:AG138),0)=0,0,MAX(+AG159,-SUM(AG126:AG127)-SUM(AG129:AG138))) * Inputs!$L$114</f>
        <v>-20571.68316826949</v>
      </c>
      <c r="AH139" s="384">
        <f>IF(ROUND(SUM(AH126:AH127)+SUM(AH129:AH138),0)=0,0,MAX(+AH159,-SUM(AH126:AH127)-SUM(AH129:AH138))) * Inputs!$L$114</f>
        <v>-21638.662566408457</v>
      </c>
      <c r="AI139" s="422">
        <f>IF(ROUND(SUM(AI126:AI127)+SUM(AI129:AI138),0)=0,0,MAX(+AI159,-SUM(AI126:AI127)-SUM(AI129:AI138))) * Inputs!$L$114</f>
        <v>-22751.693539404077</v>
      </c>
      <c r="AJ139" s="384">
        <f>IF(ROUND(SUM(AJ126:AJ127)+SUM(AJ129:AJ138),0)=0,0,MAX(+AJ159,-SUM(AJ126:AJ127)-SUM(AJ129:AJ138))) * Inputs!$L$114</f>
        <v>-23911.805743083067</v>
      </c>
      <c r="AK139" s="384">
        <f>IF(ROUND(SUM(AK126:AK127)+SUM(AK129:AK138),0)=0,0,MAX(+AK159,-SUM(AK126:AK127)-SUM(AK129:AK138))) * Inputs!$L$114</f>
        <v>-25119.933132307342</v>
      </c>
      <c r="AL139" s="384">
        <f>IF(ROUND(SUM(AL126:AL127)+SUM(AL129:AL138),0)=0,0,MAX(+AL159,-SUM(AL126:AL127)-SUM(AL129:AL138))) * Inputs!$L$114</f>
        <v>-26563.539529386209</v>
      </c>
      <c r="AM139" s="384">
        <f>IF(ROUND(SUM(AM126:AM127)+SUM(AM129:AM138),0)=0,0,MAX(+AM159,-SUM(AM126:AM127)-SUM(AM129:AM138))) * Inputs!$L$114</f>
        <v>-28083.673987498973</v>
      </c>
      <c r="AN139" s="384">
        <f>IF(ROUND(SUM(AN126:AN127)+SUM(AN129:AN138),0)=0,0,MAX(+AN159,-SUM(AN126:AN127)-SUM(AN129:AN138))) * Inputs!$L$114</f>
        <v>-29683.78878483345</v>
      </c>
      <c r="AO139" s="384">
        <f>IF(ROUND(SUM(AO126:AO127)+SUM(AO129:AO138),0)=0,0,MAX(+AO159,-SUM(AO126:AO127)-SUM(AO129:AO138))) * Inputs!$L$114</f>
        <v>-31367.430343745451</v>
      </c>
      <c r="AP139" s="384">
        <f>IF(ROUND(SUM(AP126:AP127)+SUM(AP129:AP138),0)=0,0,MAX(+AP159,-SUM(AP126:AP127)-SUM(AP129:AP138))) * Inputs!$L$114</f>
        <v>-33138.234424650494</v>
      </c>
      <c r="AQ139" s="384">
        <f>IF(ROUND(SUM(AQ126:AQ127)+SUM(AQ129:AQ138),0)=0,0,MAX(+AQ159,-SUM(AQ126:AQ127)-SUM(AQ129:AQ138))) * Inputs!$L$114</f>
        <v>-31550.109822034487</v>
      </c>
      <c r="AR139" s="384">
        <f>IF(ROUND(SUM(AR126:AR127)+SUM(AR129:AR138),0)=0,0,MAX(+AR159,-SUM(AR126:AR127)-SUM(AR129:AR138))) * Inputs!$L$114</f>
        <v>-22422.442649536169</v>
      </c>
      <c r="AS139" s="384">
        <f>IF(ROUND(SUM(AS126:AS127)+SUM(AS129:AS138),0)=0,0,MAX(+AS159,-SUM(AS126:AS127)-SUM(AS129:AS138))) * Inputs!$L$114</f>
        <v>0</v>
      </c>
      <c r="AT139" s="384">
        <f>IF(ROUND(SUM(AT126:AT127)+SUM(AT129:AT138),0)=0,0,MAX(+AT159,-SUM(AT126:AT127)-SUM(AT129:AT138))) * Inputs!$L$114</f>
        <v>0</v>
      </c>
      <c r="AU139" s="384">
        <f>IF(ROUND(SUM(AU126:AU127)+SUM(AU129:AU138),0)=0,0,MAX(+AU159,-SUM(AU126:AU127)-SUM(AU129:AU138))) * Inputs!$L$114</f>
        <v>0</v>
      </c>
      <c r="AV139" s="384">
        <f>IF(ROUND(SUM(AV126:AV127)+SUM(AV129:AV138),0)=0,0,MAX(+AV159,-SUM(AV126:AV127)-SUM(AV129:AV138))) * Inputs!$L$114</f>
        <v>0</v>
      </c>
      <c r="AW139" s="384">
        <f>IF(ROUND(SUM(AW126:AW127)+SUM(AW129:AW138),0)=0,0,MAX(+AW159,-SUM(AW126:AW127)-SUM(AW129:AW138))) * Inputs!$L$114</f>
        <v>0</v>
      </c>
      <c r="AX139" s="384">
        <f>IF(ROUND(SUM(AX126:AX127)+SUM(AX129:AX138),0)=0,0,MAX(+AX159,-SUM(AX126:AX127)-SUM(AX129:AX138))) * Inputs!$L$114</f>
        <v>0</v>
      </c>
      <c r="AY139" s="384">
        <f>IF(ROUND(SUM(AY126:AY127)+SUM(AY129:AY138),0)=0,0,MAX(+AY159,-SUM(AY126:AY127)-SUM(AY129:AY138))) * Inputs!$L$114</f>
        <v>0</v>
      </c>
      <c r="AZ139" s="384">
        <f>IF(ROUND(SUM(AZ126:AZ127)+SUM(AZ129:AZ138),0)=0,0,MAX(+AZ159,-SUM(AZ126:AZ127)-SUM(AZ129:AZ138))) * Inputs!$L$114</f>
        <v>0</v>
      </c>
      <c r="BA139" s="384">
        <f>IF(ROUND(SUM(BA126:BA127)+SUM(BA129:BA138),0)=0,0,MAX(+BA159,-SUM(BA126:BA127)-SUM(BA129:BA138))) * Inputs!$L$114</f>
        <v>0</v>
      </c>
      <c r="BB139" s="384">
        <f>IF(ROUND(SUM(BB126:BB127)+SUM(BB129:BB138),0)=0,0,MAX(+BB159,-SUM(BB126:BB127)-SUM(BB129:BB138))) * Inputs!$L$114</f>
        <v>0</v>
      </c>
      <c r="BC139" s="384">
        <f>IF(ROUND(SUM(BC126:BC127)+SUM(BC129:BC138),0)=0,0,MAX(+BC159,-SUM(BC126:BC127)-SUM(BC129:BC138))) * Inputs!$L$114</f>
        <v>0</v>
      </c>
      <c r="BD139" s="384">
        <f>IF(ROUND(SUM(BD126:BD127)+SUM(BD129:BD138),0)=0,0,MAX(+BD159,-SUM(BD126:BD127)-SUM(BD129:BD138))) * Inputs!$L$114</f>
        <v>0</v>
      </c>
      <c r="BE139" s="384">
        <f>IF(ROUND(SUM(BE126:BE127)+SUM(BE129:BE138),0)=0,0,MAX(+BE159,-SUM(BE126:BE127)-SUM(BE129:BE138))) * Inputs!$L$114</f>
        <v>0</v>
      </c>
      <c r="BF139" s="384">
        <f>IF(ROUND(SUM(BF126:BF127)+SUM(BF129:BF138),0)=0,0,MAX(+BF159,-SUM(BF126:BF127)-SUM(BF129:BF138))) * Inputs!$L$114</f>
        <v>0</v>
      </c>
      <c r="BG139" s="384">
        <f>IF(ROUND(SUM(BG126:BG127)+SUM(BG129:BG138),0)=0,0,MAX(+BG159,-SUM(BG126:BG127)-SUM(BG129:BG138))) * Inputs!$L$114</f>
        <v>0</v>
      </c>
      <c r="BH139" s="384">
        <f>IF(ROUND(SUM(BH126:BH127)+SUM(BH129:BH138),0)=0,0,MAX(+BH159,-SUM(BH126:BH127)-SUM(BH129:BH138))) * Inputs!$L$114</f>
        <v>0</v>
      </c>
      <c r="BI139" s="384">
        <f>IF(ROUND(SUM(BI126:BI127)+SUM(BI129:BI138),0)=0,0,MAX(+BI159,-SUM(BI126:BI127)-SUM(BI129:BI138))) * Inputs!$L$114</f>
        <v>0</v>
      </c>
      <c r="BJ139" s="384">
        <f>IF(ROUND(SUM(BJ126:BJ127)+SUM(BJ129:BJ138),0)=0,0,MAX(+BJ159,-SUM(BJ126:BJ127)-SUM(BJ129:BJ138))) * Inputs!$L$114</f>
        <v>0</v>
      </c>
      <c r="BK139" s="384">
        <f>IF(ROUND(SUM(BK126:BK127)+SUM(BK129:BK138),0)=0,0,MAX(+BK159,-SUM(BK126:BK127)-SUM(BK129:BK138))) * Inputs!$L$114</f>
        <v>0</v>
      </c>
      <c r="BL139" s="384">
        <f>IF(ROUND(SUM(BL126:BL127)+SUM(BL129:BL138),0)=0,0,MAX(+BL159,-SUM(BL126:BL127)-SUM(BL129:BL138))) * Inputs!$L$114</f>
        <v>0</v>
      </c>
      <c r="BM139" s="384">
        <f>IF(ROUND(SUM(BM126:BM127)+SUM(BM129:BM138),0)=0,0,MAX(+BM159,-SUM(BM126:BM127)-SUM(BM129:BM138))) * Inputs!$L$114</f>
        <v>0</v>
      </c>
      <c r="BN139" s="384">
        <f>IF(ROUND(SUM(BN126:BN127)+SUM(BN129:BN138),0)=0,0,MAX(+BN159,-SUM(BN126:BN127)-SUM(BN129:BN138))) * Inputs!$L$114</f>
        <v>0</v>
      </c>
      <c r="BO139" s="384">
        <f>IF(ROUND(SUM(BO126:BO127)+SUM(BO129:BO138),0)=0,0,MAX(+BO159,-SUM(BO126:BO127)-SUM(BO129:BO138))) * Inputs!$L$114</f>
        <v>0</v>
      </c>
      <c r="BP139" s="384">
        <f>IF(ROUND(SUM(BP126:BP127)+SUM(BP129:BP138),0)=0,0,MAX(+BP159,-SUM(BP126:BP127)-SUM(BP129:BP138))) * Inputs!$L$114</f>
        <v>0</v>
      </c>
      <c r="BQ139" s="384">
        <f>IF(ROUND(SUM(BQ126:BQ127)+SUM(BQ129:BQ138),0)=0,0,MAX(+BQ159,-SUM(BQ126:BQ127)-SUM(BQ129:BQ138))) * Inputs!$L$114</f>
        <v>0</v>
      </c>
      <c r="BR139" s="384">
        <f>IF(ROUND(SUM(BR126:BR127)+SUM(BR129:BR138),0)=0,0,MAX(+BR159,-SUM(BR126:BR127)-SUM(BR129:BR138))) * Inputs!$L$114</f>
        <v>0</v>
      </c>
      <c r="BS139" s="384">
        <f>IF(ROUND(SUM(BS126:BS127)+SUM(BS129:BS138),0)=0,0,MAX(+BS159,-SUM(BS126:BS127)-SUM(BS129:BS138))) * Inputs!$L$114</f>
        <v>0</v>
      </c>
      <c r="BT139" s="384">
        <f>IF(ROUND(SUM(BT126:BT127)+SUM(BT129:BT138),0)=0,0,MAX(+BT159,-SUM(BT126:BT127)-SUM(BT129:BT138))) * Inputs!$L$114</f>
        <v>0</v>
      </c>
      <c r="BU139" s="384">
        <f>IF(ROUND(SUM(BU126:BU127)+SUM(BU129:BU138),0)=0,0,MAX(+BU159,-SUM(BU126:BU127)-SUM(BU129:BU138))) * Inputs!$L$114</f>
        <v>0</v>
      </c>
    </row>
    <row r="140" spans="1:74" x14ac:dyDescent="0.2">
      <c r="A140" s="186"/>
      <c r="B140" s="186"/>
      <c r="C140" s="186" t="s">
        <v>89</v>
      </c>
      <c r="D140" s="186"/>
      <c r="E140" s="186"/>
      <c r="F140" s="186"/>
      <c r="G140" s="186"/>
      <c r="H140" s="186"/>
      <c r="I140" s="186"/>
      <c r="J140" s="186"/>
      <c r="K140" s="367"/>
      <c r="L140" s="186"/>
      <c r="M140" s="186"/>
      <c r="N140" s="423">
        <f>IF(ROUND(SUM(N127:N139),0)&lt;&gt;0,1,0)</f>
        <v>0</v>
      </c>
      <c r="O140" s="186"/>
      <c r="P140" s="186"/>
      <c r="Q140" s="374"/>
      <c r="R140" s="374">
        <f t="shared" ref="R140:AW140" si="285">SUM(R126:R127)+SUM(R129:R139)</f>
        <v>1034374.3166937458</v>
      </c>
      <c r="S140" s="374">
        <f t="shared" si="285"/>
        <v>1078485.4266477572</v>
      </c>
      <c r="T140" s="374">
        <f t="shared" si="285"/>
        <v>1124477.6641490904</v>
      </c>
      <c r="U140" s="374">
        <f t="shared" si="285"/>
        <v>1136229.0874899926</v>
      </c>
      <c r="V140" s="374">
        <f t="shared" si="285"/>
        <v>1135149.6843756367</v>
      </c>
      <c r="W140" s="374">
        <f t="shared" si="285"/>
        <v>1133596.6731845927</v>
      </c>
      <c r="X140" s="374">
        <f t="shared" si="285"/>
        <v>1131518.9512024731</v>
      </c>
      <c r="Y140" s="374">
        <f t="shared" si="285"/>
        <v>1128861.1008905747</v>
      </c>
      <c r="Z140" s="374">
        <f t="shared" si="285"/>
        <v>1109261.3458626068</v>
      </c>
      <c r="AA140" s="374">
        <f t="shared" si="285"/>
        <v>1088132.4273274357</v>
      </c>
      <c r="AB140" s="374">
        <f t="shared" si="285"/>
        <v>1063925.2766199415</v>
      </c>
      <c r="AC140" s="374">
        <f t="shared" si="285"/>
        <v>1036310.0538642341</v>
      </c>
      <c r="AD140" s="374">
        <f t="shared" si="285"/>
        <v>1004925.3637604066</v>
      </c>
      <c r="AE140" s="374">
        <f t="shared" si="285"/>
        <v>967952.73664835165</v>
      </c>
      <c r="AF140" s="374">
        <f t="shared" si="285"/>
        <v>928853.44190454285</v>
      </c>
      <c r="AG140" s="374">
        <f t="shared" si="285"/>
        <v>887710.07556800381</v>
      </c>
      <c r="AH140" s="374">
        <f t="shared" si="285"/>
        <v>844432.7504351869</v>
      </c>
      <c r="AI140" s="374">
        <f t="shared" si="285"/>
        <v>798929.36335637874</v>
      </c>
      <c r="AJ140" s="374">
        <f t="shared" si="285"/>
        <v>741105.75187021261</v>
      </c>
      <c r="AK140" s="374">
        <f t="shared" si="285"/>
        <v>670865.88560559787</v>
      </c>
      <c r="AL140" s="374">
        <f t="shared" si="285"/>
        <v>597738.80654682545</v>
      </c>
      <c r="AM140" s="374">
        <f t="shared" si="285"/>
        <v>521571.4585718275</v>
      </c>
      <c r="AN140" s="374">
        <f t="shared" si="285"/>
        <v>402203.8810021606</v>
      </c>
      <c r="AO140" s="374">
        <f t="shared" si="285"/>
        <v>289469.0203146697</v>
      </c>
      <c r="AP140" s="374">
        <f t="shared" si="285"/>
        <v>168978.12181407132</v>
      </c>
      <c r="AQ140" s="374">
        <f t="shared" si="285"/>
        <v>69486.747995315527</v>
      </c>
      <c r="AR140" s="374">
        <f t="shared" si="285"/>
        <v>0</v>
      </c>
      <c r="AS140" s="374">
        <f t="shared" si="285"/>
        <v>0</v>
      </c>
      <c r="AT140" s="374">
        <f t="shared" si="285"/>
        <v>0</v>
      </c>
      <c r="AU140" s="374">
        <f t="shared" si="285"/>
        <v>0</v>
      </c>
      <c r="AV140" s="374">
        <f t="shared" si="285"/>
        <v>0</v>
      </c>
      <c r="AW140" s="374">
        <f t="shared" si="285"/>
        <v>0</v>
      </c>
      <c r="AX140" s="374">
        <f t="shared" ref="AX140:BU140" si="286">SUM(AX126:AX127)+SUM(AX129:AX139)</f>
        <v>0</v>
      </c>
      <c r="AY140" s="374">
        <f t="shared" si="286"/>
        <v>0</v>
      </c>
      <c r="AZ140" s="374">
        <f t="shared" si="286"/>
        <v>0</v>
      </c>
      <c r="BA140" s="374">
        <f t="shared" si="286"/>
        <v>0</v>
      </c>
      <c r="BB140" s="374">
        <f t="shared" si="286"/>
        <v>0</v>
      </c>
      <c r="BC140" s="374">
        <f t="shared" si="286"/>
        <v>0</v>
      </c>
      <c r="BD140" s="374">
        <f t="shared" si="286"/>
        <v>0</v>
      </c>
      <c r="BE140" s="374">
        <f t="shared" si="286"/>
        <v>0</v>
      </c>
      <c r="BF140" s="374">
        <f t="shared" si="286"/>
        <v>0</v>
      </c>
      <c r="BG140" s="374">
        <f t="shared" si="286"/>
        <v>0</v>
      </c>
      <c r="BH140" s="374">
        <f t="shared" si="286"/>
        <v>0</v>
      </c>
      <c r="BI140" s="374">
        <f t="shared" si="286"/>
        <v>0</v>
      </c>
      <c r="BJ140" s="374">
        <f t="shared" si="286"/>
        <v>0</v>
      </c>
      <c r="BK140" s="374">
        <f t="shared" si="286"/>
        <v>0</v>
      </c>
      <c r="BL140" s="374">
        <f t="shared" si="286"/>
        <v>0</v>
      </c>
      <c r="BM140" s="374">
        <f t="shared" si="286"/>
        <v>0</v>
      </c>
      <c r="BN140" s="374">
        <f t="shared" si="286"/>
        <v>0</v>
      </c>
      <c r="BO140" s="374">
        <f t="shared" si="286"/>
        <v>0</v>
      </c>
      <c r="BP140" s="374">
        <f t="shared" si="286"/>
        <v>0</v>
      </c>
      <c r="BQ140" s="374">
        <f t="shared" si="286"/>
        <v>0</v>
      </c>
      <c r="BR140" s="374">
        <f t="shared" si="286"/>
        <v>0</v>
      </c>
      <c r="BS140" s="374">
        <f t="shared" si="286"/>
        <v>0</v>
      </c>
      <c r="BT140" s="374">
        <f t="shared" si="286"/>
        <v>0</v>
      </c>
      <c r="BU140" s="374">
        <f t="shared" si="286"/>
        <v>0</v>
      </c>
    </row>
    <row r="141" spans="1:74" x14ac:dyDescent="0.2">
      <c r="A141" s="186"/>
      <c r="B141" s="186"/>
      <c r="C141" s="186"/>
      <c r="D141" s="186"/>
      <c r="E141" s="186"/>
      <c r="F141" s="186"/>
      <c r="G141" s="186"/>
      <c r="H141" s="186"/>
      <c r="I141" s="186"/>
      <c r="J141" s="186"/>
      <c r="K141" s="367"/>
      <c r="L141" s="186"/>
      <c r="M141" s="186"/>
      <c r="N141" s="186"/>
      <c r="O141" s="186"/>
      <c r="P141" s="186"/>
      <c r="Q141" s="186"/>
      <c r="R141" s="186"/>
      <c r="S141" s="186"/>
      <c r="T141" s="186"/>
      <c r="U141" s="186"/>
      <c r="V141" s="186"/>
      <c r="W141" s="186"/>
      <c r="X141" s="374"/>
      <c r="Y141" s="374"/>
      <c r="Z141" s="374"/>
      <c r="AA141" s="374"/>
      <c r="AB141" s="374"/>
      <c r="AC141" s="374"/>
      <c r="AD141" s="374"/>
      <c r="AE141" s="374"/>
      <c r="AF141" s="374"/>
      <c r="AG141" s="374"/>
      <c r="AH141" s="374"/>
      <c r="AI141" s="374"/>
      <c r="AJ141" s="374"/>
      <c r="AK141" s="374"/>
      <c r="AL141" s="374"/>
      <c r="AM141" s="374"/>
      <c r="AN141" s="374"/>
      <c r="AO141" s="374"/>
      <c r="AP141" s="374"/>
      <c r="AQ141" s="374"/>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row>
    <row r="142" spans="1:74" x14ac:dyDescent="0.2">
      <c r="A142" s="186"/>
      <c r="B142" s="186"/>
      <c r="C142" s="186" t="s">
        <v>192</v>
      </c>
      <c r="D142" s="186"/>
      <c r="E142" s="186"/>
      <c r="F142" s="186"/>
      <c r="G142" s="186"/>
      <c r="H142" s="186"/>
      <c r="I142" s="186"/>
      <c r="J142" s="186"/>
      <c r="K142" s="367" t="s">
        <v>51</v>
      </c>
      <c r="L142" s="186"/>
      <c r="M142" s="186"/>
      <c r="N142" s="370"/>
      <c r="O142" s="186"/>
      <c r="P142" s="186"/>
      <c r="Q142" s="373"/>
      <c r="R142" s="371">
        <f t="shared" ref="R142:AO142" si="287">+IF(AND(ROUND(Q140,0)&gt;0,ROUND(R140,0)=0), 1,0)</f>
        <v>0</v>
      </c>
      <c r="S142" s="371">
        <f t="shared" si="287"/>
        <v>0</v>
      </c>
      <c r="T142" s="371">
        <f t="shared" si="287"/>
        <v>0</v>
      </c>
      <c r="U142" s="371">
        <f t="shared" si="287"/>
        <v>0</v>
      </c>
      <c r="V142" s="371">
        <f t="shared" si="287"/>
        <v>0</v>
      </c>
      <c r="W142" s="371">
        <f t="shared" si="287"/>
        <v>0</v>
      </c>
      <c r="X142" s="371">
        <f t="shared" si="287"/>
        <v>0</v>
      </c>
      <c r="Y142" s="371">
        <f t="shared" si="287"/>
        <v>0</v>
      </c>
      <c r="Z142" s="371">
        <f t="shared" si="287"/>
        <v>0</v>
      </c>
      <c r="AA142" s="371">
        <f t="shared" si="287"/>
        <v>0</v>
      </c>
      <c r="AB142" s="371">
        <f t="shared" si="287"/>
        <v>0</v>
      </c>
      <c r="AC142" s="371">
        <f t="shared" si="287"/>
        <v>0</v>
      </c>
      <c r="AD142" s="371">
        <f t="shared" si="287"/>
        <v>0</v>
      </c>
      <c r="AE142" s="371">
        <f t="shared" si="287"/>
        <v>0</v>
      </c>
      <c r="AF142" s="371">
        <f t="shared" si="287"/>
        <v>0</v>
      </c>
      <c r="AG142" s="371">
        <f t="shared" si="287"/>
        <v>0</v>
      </c>
      <c r="AH142" s="371">
        <f t="shared" si="287"/>
        <v>0</v>
      </c>
      <c r="AI142" s="371">
        <f t="shared" si="287"/>
        <v>0</v>
      </c>
      <c r="AJ142" s="371">
        <f t="shared" si="287"/>
        <v>0</v>
      </c>
      <c r="AK142" s="371">
        <f t="shared" si="287"/>
        <v>0</v>
      </c>
      <c r="AL142" s="371">
        <f t="shared" si="287"/>
        <v>0</v>
      </c>
      <c r="AM142" s="371">
        <f t="shared" si="287"/>
        <v>0</v>
      </c>
      <c r="AN142" s="371">
        <f t="shared" si="287"/>
        <v>0</v>
      </c>
      <c r="AO142" s="371">
        <f t="shared" si="287"/>
        <v>0</v>
      </c>
      <c r="AP142" s="371">
        <f t="shared" ref="AP142:BU142" si="288">+IF(AND(ROUND(AO140,0)&gt;0,ROUND(AP140,0)=0), 1,0)</f>
        <v>0</v>
      </c>
      <c r="AQ142" s="371">
        <f t="shared" si="288"/>
        <v>0</v>
      </c>
      <c r="AR142" s="371">
        <f t="shared" si="288"/>
        <v>1</v>
      </c>
      <c r="AS142" s="371">
        <f t="shared" si="288"/>
        <v>0</v>
      </c>
      <c r="AT142" s="371">
        <f t="shared" si="288"/>
        <v>0</v>
      </c>
      <c r="AU142" s="371">
        <f t="shared" si="288"/>
        <v>0</v>
      </c>
      <c r="AV142" s="371">
        <f t="shared" si="288"/>
        <v>0</v>
      </c>
      <c r="AW142" s="371">
        <f t="shared" si="288"/>
        <v>0</v>
      </c>
      <c r="AX142" s="371">
        <f t="shared" si="288"/>
        <v>0</v>
      </c>
      <c r="AY142" s="371">
        <f t="shared" si="288"/>
        <v>0</v>
      </c>
      <c r="AZ142" s="371">
        <f t="shared" si="288"/>
        <v>0</v>
      </c>
      <c r="BA142" s="371">
        <f t="shared" si="288"/>
        <v>0</v>
      </c>
      <c r="BB142" s="371">
        <f t="shared" si="288"/>
        <v>0</v>
      </c>
      <c r="BC142" s="371">
        <f t="shared" si="288"/>
        <v>0</v>
      </c>
      <c r="BD142" s="371">
        <f t="shared" si="288"/>
        <v>0</v>
      </c>
      <c r="BE142" s="371">
        <f t="shared" si="288"/>
        <v>0</v>
      </c>
      <c r="BF142" s="371">
        <f t="shared" si="288"/>
        <v>0</v>
      </c>
      <c r="BG142" s="371">
        <f t="shared" si="288"/>
        <v>0</v>
      </c>
      <c r="BH142" s="371">
        <f t="shared" si="288"/>
        <v>0</v>
      </c>
      <c r="BI142" s="371">
        <f t="shared" si="288"/>
        <v>0</v>
      </c>
      <c r="BJ142" s="371">
        <f t="shared" si="288"/>
        <v>0</v>
      </c>
      <c r="BK142" s="371">
        <f t="shared" si="288"/>
        <v>0</v>
      </c>
      <c r="BL142" s="371">
        <f t="shared" si="288"/>
        <v>0</v>
      </c>
      <c r="BM142" s="371">
        <f t="shared" si="288"/>
        <v>0</v>
      </c>
      <c r="BN142" s="371">
        <f t="shared" si="288"/>
        <v>0</v>
      </c>
      <c r="BO142" s="371">
        <f t="shared" si="288"/>
        <v>0</v>
      </c>
      <c r="BP142" s="371">
        <f t="shared" si="288"/>
        <v>0</v>
      </c>
      <c r="BQ142" s="371">
        <f t="shared" si="288"/>
        <v>0</v>
      </c>
      <c r="BR142" s="371">
        <f t="shared" si="288"/>
        <v>0</v>
      </c>
      <c r="BS142" s="371">
        <f t="shared" si="288"/>
        <v>0</v>
      </c>
      <c r="BT142" s="371">
        <f t="shared" si="288"/>
        <v>0</v>
      </c>
      <c r="BU142" s="371">
        <f t="shared" si="288"/>
        <v>0</v>
      </c>
    </row>
    <row r="143" spans="1:74" x14ac:dyDescent="0.2">
      <c r="A143" s="186"/>
      <c r="B143" s="186"/>
      <c r="C143" s="186"/>
      <c r="D143" s="186"/>
      <c r="E143" s="186"/>
      <c r="F143" s="186"/>
      <c r="G143" s="186"/>
      <c r="H143" s="186"/>
      <c r="I143" s="186"/>
      <c r="J143" s="186"/>
      <c r="K143" s="367"/>
      <c r="L143" s="186"/>
      <c r="M143" s="186"/>
      <c r="N143" s="370"/>
      <c r="O143" s="186"/>
      <c r="P143" s="186"/>
      <c r="Q143" s="371"/>
      <c r="R143" s="371"/>
      <c r="S143" s="424"/>
      <c r="T143" s="371"/>
      <c r="U143" s="371"/>
      <c r="V143" s="371"/>
      <c r="W143" s="371"/>
      <c r="X143" s="371"/>
      <c r="Y143" s="371"/>
      <c r="Z143" s="371"/>
      <c r="AA143" s="371"/>
      <c r="AB143" s="371"/>
      <c r="AC143" s="371"/>
      <c r="AD143" s="371"/>
      <c r="AE143" s="371"/>
      <c r="AF143" s="371"/>
      <c r="AG143" s="371"/>
      <c r="AH143" s="371"/>
      <c r="AI143" s="371"/>
      <c r="AJ143" s="371"/>
      <c r="AK143" s="371"/>
      <c r="AL143" s="371"/>
      <c r="AM143" s="371"/>
      <c r="AN143" s="371"/>
      <c r="AO143" s="371"/>
      <c r="AP143" s="371"/>
      <c r="AQ143" s="371"/>
      <c r="AR143" s="371"/>
      <c r="AS143" s="371"/>
      <c r="AT143" s="371"/>
      <c r="AU143" s="371"/>
      <c r="AV143" s="371"/>
      <c r="AW143" s="371"/>
      <c r="AX143" s="371"/>
      <c r="AY143" s="371"/>
      <c r="AZ143" s="371"/>
      <c r="BA143" s="371"/>
      <c r="BB143" s="371"/>
      <c r="BC143" s="371"/>
      <c r="BD143" s="371"/>
      <c r="BE143" s="371"/>
      <c r="BF143" s="371"/>
      <c r="BG143" s="371"/>
      <c r="BH143" s="371"/>
      <c r="BI143" s="371"/>
      <c r="BJ143" s="371"/>
      <c r="BK143" s="371"/>
      <c r="BL143" s="371"/>
      <c r="BM143" s="371"/>
      <c r="BN143" s="371"/>
      <c r="BO143" s="371"/>
      <c r="BP143" s="371"/>
      <c r="BQ143" s="371"/>
      <c r="BR143" s="371"/>
      <c r="BS143" s="371"/>
      <c r="BT143" s="371"/>
      <c r="BU143" s="371"/>
    </row>
    <row r="144" spans="1:74" x14ac:dyDescent="0.2">
      <c r="A144" s="210"/>
      <c r="B144" s="210"/>
      <c r="C144" s="210"/>
      <c r="D144" s="210" t="s">
        <v>193</v>
      </c>
      <c r="E144" s="210"/>
      <c r="F144" s="210"/>
      <c r="G144" s="210"/>
      <c r="H144" s="210"/>
      <c r="I144" s="210"/>
      <c r="J144" s="210"/>
      <c r="K144" s="622" t="s">
        <v>20</v>
      </c>
      <c r="L144" s="210"/>
      <c r="M144" s="210"/>
      <c r="N144" s="425">
        <f>+SUM(R144:BJ144)</f>
        <v>-239887.77599999998</v>
      </c>
      <c r="O144" s="210"/>
      <c r="P144" s="210"/>
      <c r="Q144" s="234"/>
      <c r="R144" s="737">
        <v>0</v>
      </c>
      <c r="S144" s="737">
        <v>0</v>
      </c>
      <c r="T144" s="737">
        <v>0</v>
      </c>
      <c r="U144" s="737">
        <v>-3741.5210000000002</v>
      </c>
      <c r="V144" s="737">
        <v>-6893.5450000000001</v>
      </c>
      <c r="W144" s="737">
        <v>-10662.109</v>
      </c>
      <c r="X144" s="737">
        <v>-12579.18</v>
      </c>
      <c r="Y144" s="737">
        <v>-12544.576000000001</v>
      </c>
      <c r="Z144" s="737">
        <v>-12561.878000000001</v>
      </c>
      <c r="AA144" s="737">
        <v>-12561.878000000001</v>
      </c>
      <c r="AB144" s="737">
        <v>-12579.18</v>
      </c>
      <c r="AC144" s="737">
        <v>-12544.576000000001</v>
      </c>
      <c r="AD144" s="737">
        <v>-12561.878000000001</v>
      </c>
      <c r="AE144" s="737">
        <v>-12561.878000000001</v>
      </c>
      <c r="AF144" s="737">
        <v>-12579.18</v>
      </c>
      <c r="AG144" s="737">
        <v>-12544.576000000001</v>
      </c>
      <c r="AH144" s="737">
        <v>-12561.878000000001</v>
      </c>
      <c r="AI144" s="737">
        <v>-12561.878000000001</v>
      </c>
      <c r="AJ144" s="737">
        <v>-12579.18</v>
      </c>
      <c r="AK144" s="737">
        <v>-12465.741</v>
      </c>
      <c r="AL144" s="737">
        <v>-12377.47</v>
      </c>
      <c r="AM144" s="737">
        <v>-12271.970000000001</v>
      </c>
      <c r="AN144" s="737">
        <v>-12183.191000000001</v>
      </c>
      <c r="AO144" s="737">
        <v>-5970.5129999999999</v>
      </c>
      <c r="AP144" s="737">
        <v>0</v>
      </c>
      <c r="AQ144" s="737">
        <v>0</v>
      </c>
      <c r="AR144" s="737">
        <v>0</v>
      </c>
      <c r="AS144" s="737">
        <v>0</v>
      </c>
      <c r="AT144" s="737">
        <v>0</v>
      </c>
      <c r="AU144" s="737">
        <v>0</v>
      </c>
      <c r="AV144" s="737">
        <v>0</v>
      </c>
      <c r="AW144" s="737">
        <v>0</v>
      </c>
      <c r="AX144" s="737">
        <v>0</v>
      </c>
      <c r="AY144" s="737">
        <v>0</v>
      </c>
      <c r="AZ144" s="737">
        <v>0</v>
      </c>
      <c r="BA144" s="737">
        <v>0</v>
      </c>
      <c r="BB144" s="737">
        <v>0</v>
      </c>
      <c r="BC144" s="737">
        <v>0</v>
      </c>
      <c r="BD144" s="737">
        <v>0</v>
      </c>
      <c r="BE144" s="737">
        <v>0</v>
      </c>
      <c r="BF144" s="737">
        <v>0</v>
      </c>
      <c r="BG144" s="737">
        <v>0</v>
      </c>
      <c r="BH144" s="737">
        <v>0</v>
      </c>
      <c r="BI144" s="737">
        <v>0</v>
      </c>
      <c r="BJ144" s="737">
        <v>0</v>
      </c>
      <c r="BK144" s="737">
        <v>0</v>
      </c>
      <c r="BL144" s="737">
        <v>0</v>
      </c>
      <c r="BM144" s="737">
        <v>0</v>
      </c>
      <c r="BN144" s="737">
        <v>0</v>
      </c>
      <c r="BO144" s="737">
        <v>0</v>
      </c>
      <c r="BP144" s="737">
        <v>0</v>
      </c>
      <c r="BQ144" s="737">
        <v>0</v>
      </c>
      <c r="BR144" s="737">
        <v>0</v>
      </c>
      <c r="BS144" s="737">
        <v>0</v>
      </c>
      <c r="BT144" s="737">
        <v>0</v>
      </c>
      <c r="BU144" s="737">
        <v>0</v>
      </c>
      <c r="BV144" s="255"/>
    </row>
    <row r="145" spans="1:74" x14ac:dyDescent="0.2">
      <c r="A145" s="210"/>
      <c r="B145" s="210"/>
      <c r="C145" s="210"/>
      <c r="D145" s="210" t="s">
        <v>156</v>
      </c>
      <c r="E145" s="210"/>
      <c r="F145" s="210"/>
      <c r="G145" s="210"/>
      <c r="H145" s="210"/>
      <c r="I145" s="210"/>
      <c r="J145" s="210"/>
      <c r="K145" s="622" t="s">
        <v>63</v>
      </c>
      <c r="L145" s="210"/>
      <c r="M145" s="210"/>
      <c r="N145" s="425">
        <f>SUM(Q145:BU145)</f>
        <v>-90000</v>
      </c>
      <c r="O145" s="210"/>
      <c r="P145" s="210"/>
      <c r="Q145" s="373"/>
      <c r="R145" s="734">
        <v>0</v>
      </c>
      <c r="S145" s="734">
        <v>0</v>
      </c>
      <c r="T145" s="734">
        <v>0</v>
      </c>
      <c r="U145" s="734">
        <v>0</v>
      </c>
      <c r="V145" s="734">
        <v>0</v>
      </c>
      <c r="W145" s="734">
        <v>0</v>
      </c>
      <c r="X145" s="734">
        <v>0</v>
      </c>
      <c r="Y145" s="734">
        <v>0</v>
      </c>
      <c r="Z145" s="734">
        <v>0</v>
      </c>
      <c r="AA145" s="734">
        <v>0</v>
      </c>
      <c r="AB145" s="734">
        <v>0</v>
      </c>
      <c r="AC145" s="734">
        <v>0</v>
      </c>
      <c r="AD145" s="734">
        <v>0</v>
      </c>
      <c r="AE145" s="734">
        <v>0</v>
      </c>
      <c r="AF145" s="734">
        <v>0</v>
      </c>
      <c r="AG145" s="734">
        <v>0</v>
      </c>
      <c r="AH145" s="734">
        <v>0</v>
      </c>
      <c r="AI145" s="734">
        <v>0</v>
      </c>
      <c r="AJ145" s="734">
        <v>-5000</v>
      </c>
      <c r="AK145" s="734">
        <v>-10000</v>
      </c>
      <c r="AL145" s="734">
        <v>-10000</v>
      </c>
      <c r="AM145" s="734">
        <v>-10000</v>
      </c>
      <c r="AN145" s="734">
        <v>-30000</v>
      </c>
      <c r="AO145" s="734">
        <v>-25000</v>
      </c>
      <c r="AP145" s="734">
        <v>0</v>
      </c>
      <c r="AQ145" s="734">
        <v>0</v>
      </c>
      <c r="AR145" s="734">
        <v>0</v>
      </c>
      <c r="AS145" s="734">
        <v>0</v>
      </c>
      <c r="AT145" s="734">
        <v>0</v>
      </c>
      <c r="AU145" s="734">
        <v>0</v>
      </c>
      <c r="AV145" s="734">
        <v>0</v>
      </c>
      <c r="AW145" s="734">
        <v>0</v>
      </c>
      <c r="AX145" s="734">
        <v>0</v>
      </c>
      <c r="AY145" s="734">
        <v>0</v>
      </c>
      <c r="AZ145" s="734">
        <v>0</v>
      </c>
      <c r="BA145" s="734">
        <v>0</v>
      </c>
      <c r="BB145" s="734">
        <v>0</v>
      </c>
      <c r="BC145" s="734">
        <v>0</v>
      </c>
      <c r="BD145" s="734">
        <v>0</v>
      </c>
      <c r="BE145" s="734">
        <v>0</v>
      </c>
      <c r="BF145" s="734">
        <v>0</v>
      </c>
      <c r="BG145" s="734">
        <v>0</v>
      </c>
      <c r="BH145" s="734">
        <v>0</v>
      </c>
      <c r="BI145" s="734">
        <v>0</v>
      </c>
      <c r="BJ145" s="734">
        <v>0</v>
      </c>
      <c r="BK145" s="734">
        <v>0</v>
      </c>
      <c r="BL145" s="734">
        <v>0</v>
      </c>
      <c r="BM145" s="734">
        <v>0</v>
      </c>
      <c r="BN145" s="734">
        <v>0</v>
      </c>
      <c r="BO145" s="734">
        <v>0</v>
      </c>
      <c r="BP145" s="734">
        <v>0</v>
      </c>
      <c r="BQ145" s="734">
        <v>0</v>
      </c>
      <c r="BR145" s="734">
        <v>0</v>
      </c>
      <c r="BS145" s="734">
        <v>0</v>
      </c>
      <c r="BT145" s="734">
        <v>0</v>
      </c>
      <c r="BU145" s="734">
        <v>0</v>
      </c>
      <c r="BV145" s="255"/>
    </row>
    <row r="146" spans="1:74" x14ac:dyDescent="0.2">
      <c r="A146" s="210"/>
      <c r="B146" s="210"/>
      <c r="C146" s="210"/>
      <c r="D146" s="210"/>
      <c r="E146" s="210"/>
      <c r="F146" s="210"/>
      <c r="G146" s="210"/>
      <c r="H146" s="210"/>
      <c r="I146" s="210"/>
      <c r="J146" s="210"/>
      <c r="K146" s="622"/>
      <c r="L146" s="210"/>
      <c r="M146" s="210"/>
      <c r="N146" s="425"/>
      <c r="O146" s="210"/>
      <c r="P146" s="210"/>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255"/>
    </row>
    <row r="147" spans="1:74" ht="15" x14ac:dyDescent="0.25">
      <c r="A147" s="186"/>
      <c r="B147" s="426"/>
      <c r="C147" s="427" t="s">
        <v>154</v>
      </c>
      <c r="D147" s="428"/>
      <c r="E147" s="429"/>
      <c r="F147" s="429"/>
      <c r="G147" s="430"/>
      <c r="H147" s="430"/>
      <c r="I147" s="430"/>
      <c r="J147" s="430"/>
      <c r="K147" s="623"/>
      <c r="L147" s="431"/>
      <c r="M147" s="432"/>
      <c r="N147" s="432"/>
      <c r="O147" s="432"/>
      <c r="P147" s="432"/>
      <c r="Q147" s="432"/>
      <c r="R147" s="432"/>
      <c r="S147" s="433"/>
      <c r="T147" s="433"/>
      <c r="U147" s="433">
        <f>+U148-U149</f>
        <v>-132272.98618289057</v>
      </c>
      <c r="V147" s="433">
        <f t="shared" ref="V147:BJ147" si="289">+V148-V149</f>
        <v>-138850.75270854111</v>
      </c>
      <c r="W147" s="433">
        <f t="shared" si="289"/>
        <v>-145694.21673355956</v>
      </c>
      <c r="X147" s="433">
        <f t="shared" si="289"/>
        <v>-152885.02845366462</v>
      </c>
      <c r="Y147" s="433">
        <f t="shared" si="289"/>
        <v>-160441.08837659092</v>
      </c>
      <c r="Z147" s="433">
        <f t="shared" si="289"/>
        <v>-156769.49000433134</v>
      </c>
      <c r="AA147" s="433">
        <f t="shared" si="289"/>
        <v>-164800.88804754606</v>
      </c>
      <c r="AB147" s="433">
        <f t="shared" si="289"/>
        <v>-173258.56524087914</v>
      </c>
      <c r="AC147" s="433">
        <f t="shared" si="289"/>
        <v>-182165.64193793311</v>
      </c>
      <c r="AD147" s="433">
        <f t="shared" si="289"/>
        <v>-191546.5327115473</v>
      </c>
      <c r="AE147" s="433">
        <f t="shared" si="289"/>
        <v>-200522.53900843149</v>
      </c>
      <c r="AF147" s="433">
        <f t="shared" si="289"/>
        <v>-212486.27904224434</v>
      </c>
      <c r="AG147" s="433">
        <f t="shared" si="289"/>
        <v>-223136.40153920089</v>
      </c>
      <c r="AH147" s="433">
        <f t="shared" si="289"/>
        <v>-234320.32372294879</v>
      </c>
      <c r="AI147" s="433">
        <f t="shared" si="289"/>
        <v>-246064.80041304039</v>
      </c>
      <c r="AJ147" s="433">
        <f t="shared" si="289"/>
        <v>-258397.92741964143</v>
      </c>
      <c r="AK147" s="433">
        <f t="shared" si="289"/>
        <v>-271349.20875593787</v>
      </c>
      <c r="AL147" s="433">
        <f t="shared" si="289"/>
        <v>-284949.62721932697</v>
      </c>
      <c r="AM147" s="433">
        <f t="shared" si="289"/>
        <v>-299231.71851024101</v>
      </c>
      <c r="AN147" s="433">
        <f t="shared" si="289"/>
        <v>-314229.64906591392</v>
      </c>
      <c r="AO147" s="433">
        <f t="shared" si="289"/>
        <v>-329979.29779529059</v>
      </c>
      <c r="AP147" s="433">
        <f t="shared" si="289"/>
        <v>-346518.34191060916</v>
      </c>
      <c r="AQ147" s="433">
        <f t="shared" si="289"/>
        <v>-363886.34706098674</v>
      </c>
      <c r="AR147" s="433">
        <f t="shared" si="289"/>
        <v>-382124.86198363308</v>
      </c>
      <c r="AS147" s="433">
        <f t="shared" si="289"/>
        <v>-401277.51789912046</v>
      </c>
      <c r="AT147" s="433">
        <f t="shared" si="289"/>
        <v>-421390.13288848987</v>
      </c>
      <c r="AU147" s="433">
        <f t="shared" si="289"/>
        <v>-442510.82150188979</v>
      </c>
      <c r="AV147" s="433">
        <f t="shared" si="289"/>
        <v>-464690.10986096109</v>
      </c>
      <c r="AW147" s="433">
        <f t="shared" si="289"/>
        <v>-487981.05653032026</v>
      </c>
      <c r="AX147" s="433">
        <f t="shared" si="289"/>
        <v>-512439.37944729778</v>
      </c>
      <c r="AY147" s="433">
        <f t="shared" si="289"/>
        <v>-538123.58921358187</v>
      </c>
      <c r="AZ147" s="433">
        <f t="shared" si="289"/>
        <v>-565095.12906763167</v>
      </c>
      <c r="BA147" s="433">
        <f t="shared" si="289"/>
        <v>-593418.52187271381</v>
      </c>
      <c r="BB147" s="433">
        <f t="shared" si="289"/>
        <v>-623161.52447219379</v>
      </c>
      <c r="BC147" s="433">
        <f t="shared" si="289"/>
        <v>-654395.28978133947</v>
      </c>
      <c r="BD147" s="433">
        <f t="shared" si="289"/>
        <v>-687194.53700340202</v>
      </c>
      <c r="BE147" s="433">
        <f t="shared" si="289"/>
        <v>-721637.7303771755</v>
      </c>
      <c r="BF147" s="433">
        <f t="shared" si="289"/>
        <v>-757807.2668836466</v>
      </c>
      <c r="BG147" s="433">
        <f t="shared" si="289"/>
        <v>-795789.67336077348</v>
      </c>
      <c r="BH147" s="433">
        <f t="shared" si="289"/>
        <v>-835675.81349794636</v>
      </c>
      <c r="BI147" s="433">
        <f t="shared" si="289"/>
        <v>-877561.10520531144</v>
      </c>
      <c r="BJ147" s="433">
        <f t="shared" si="289"/>
        <v>-624623.91094611178</v>
      </c>
      <c r="BK147" s="433"/>
      <c r="BL147" s="433"/>
      <c r="BM147" s="433"/>
      <c r="BN147" s="433"/>
      <c r="BO147" s="433"/>
      <c r="BP147" s="433"/>
      <c r="BQ147" s="433"/>
      <c r="BR147" s="433"/>
      <c r="BS147" s="433"/>
      <c r="BT147" s="433"/>
      <c r="BU147" s="433"/>
      <c r="BV147" s="255"/>
    </row>
    <row r="148" spans="1:74" x14ac:dyDescent="0.2">
      <c r="A148" s="186"/>
      <c r="B148" s="186"/>
      <c r="C148" s="434"/>
      <c r="D148" s="432"/>
      <c r="E148" s="432"/>
      <c r="F148" s="432"/>
      <c r="G148" s="432"/>
      <c r="H148" s="432"/>
      <c r="I148" s="432"/>
      <c r="J148" s="432"/>
      <c r="K148" s="624"/>
      <c r="L148" s="432"/>
      <c r="M148" s="432"/>
      <c r="N148" s="432"/>
      <c r="O148" s="432"/>
      <c r="P148" s="432"/>
      <c r="Q148" s="432"/>
      <c r="R148" s="432"/>
      <c r="S148" s="432"/>
      <c r="T148" s="432"/>
      <c r="U148" s="432"/>
      <c r="V148" s="432"/>
      <c r="W148" s="432"/>
      <c r="X148" s="432"/>
      <c r="Y148" s="432"/>
      <c r="Z148" s="432"/>
      <c r="AA148" s="432"/>
      <c r="AB148" s="432"/>
      <c r="AC148" s="432"/>
      <c r="AD148" s="432"/>
      <c r="AE148" s="432"/>
      <c r="AF148" s="432"/>
      <c r="AG148" s="432"/>
      <c r="AH148" s="432"/>
      <c r="AI148" s="432"/>
      <c r="AJ148" s="432"/>
      <c r="AK148" s="432"/>
      <c r="AL148" s="432"/>
      <c r="AM148" s="432"/>
      <c r="AN148" s="432"/>
      <c r="AO148" s="432"/>
      <c r="AP148" s="432"/>
      <c r="AQ148" s="432"/>
      <c r="AR148" s="432"/>
      <c r="AS148" s="432"/>
      <c r="AT148" s="432"/>
      <c r="AU148" s="432"/>
      <c r="AV148" s="432"/>
      <c r="AW148" s="432"/>
      <c r="AX148" s="432"/>
      <c r="AY148" s="432"/>
      <c r="AZ148" s="432"/>
      <c r="BA148" s="432"/>
      <c r="BB148" s="432"/>
      <c r="BC148" s="432"/>
      <c r="BD148" s="432"/>
      <c r="BE148" s="432"/>
      <c r="BF148" s="432"/>
      <c r="BG148" s="432"/>
      <c r="BH148" s="432"/>
      <c r="BI148" s="432"/>
      <c r="BJ148" s="432"/>
      <c r="BK148" s="432"/>
      <c r="BL148" s="432"/>
      <c r="BM148" s="432"/>
      <c r="BN148" s="432"/>
      <c r="BO148" s="432"/>
      <c r="BP148" s="432"/>
      <c r="BQ148" s="432"/>
      <c r="BR148" s="432"/>
      <c r="BS148" s="432"/>
      <c r="BT148" s="432"/>
      <c r="BU148" s="432"/>
      <c r="BV148" s="255"/>
    </row>
    <row r="149" spans="1:74" x14ac:dyDescent="0.2">
      <c r="A149" s="210"/>
      <c r="B149" s="210"/>
      <c r="C149" s="210"/>
      <c r="D149" s="210" t="s">
        <v>478</v>
      </c>
      <c r="E149" s="210"/>
      <c r="F149" s="210"/>
      <c r="G149" s="210"/>
      <c r="H149" s="210"/>
      <c r="I149" s="210"/>
      <c r="J149" s="210"/>
      <c r="K149" s="622" t="s">
        <v>63</v>
      </c>
      <c r="L149" s="210"/>
      <c r="M149" s="210"/>
      <c r="N149" s="425">
        <f>SUM(Q149:BU149)</f>
        <v>16925027.67827826</v>
      </c>
      <c r="O149" s="210"/>
      <c r="P149" s="210"/>
      <c r="Q149" s="373"/>
      <c r="R149" s="734">
        <v>112518.83567599757</v>
      </c>
      <c r="S149" s="734">
        <v>118030.90404228719</v>
      </c>
      <c r="T149" s="734">
        <v>123822.31490513879</v>
      </c>
      <c r="U149" s="734">
        <v>132272.98618289057</v>
      </c>
      <c r="V149" s="734">
        <v>138850.75270854111</v>
      </c>
      <c r="W149" s="734">
        <v>145694.21673355956</v>
      </c>
      <c r="X149" s="734">
        <v>152885.02845366462</v>
      </c>
      <c r="Y149" s="734">
        <v>160441.08837659092</v>
      </c>
      <c r="Z149" s="734">
        <v>156769.49000433134</v>
      </c>
      <c r="AA149" s="734">
        <v>164800.88804754606</v>
      </c>
      <c r="AB149" s="734">
        <v>173258.56524087914</v>
      </c>
      <c r="AC149" s="734">
        <v>182165.64193793311</v>
      </c>
      <c r="AD149" s="734">
        <v>191546.5327115473</v>
      </c>
      <c r="AE149" s="734">
        <v>200522.53900843149</v>
      </c>
      <c r="AF149" s="734">
        <v>212486.27904224434</v>
      </c>
      <c r="AG149" s="734">
        <v>223136.40153920089</v>
      </c>
      <c r="AH149" s="734">
        <v>234320.32372294879</v>
      </c>
      <c r="AI149" s="734">
        <v>246064.80041304039</v>
      </c>
      <c r="AJ149" s="734">
        <v>258397.92741964143</v>
      </c>
      <c r="AK149" s="734">
        <v>271349.20875593787</v>
      </c>
      <c r="AL149" s="734">
        <v>284949.62721932697</v>
      </c>
      <c r="AM149" s="734">
        <v>299231.71851024101</v>
      </c>
      <c r="AN149" s="734">
        <v>314229.64906591392</v>
      </c>
      <c r="AO149" s="734">
        <v>329979.29779529059</v>
      </c>
      <c r="AP149" s="734">
        <v>346518.34191060916</v>
      </c>
      <c r="AQ149" s="734">
        <v>363886.34706098674</v>
      </c>
      <c r="AR149" s="734">
        <v>382124.86198363308</v>
      </c>
      <c r="AS149" s="734">
        <v>401277.51789912046</v>
      </c>
      <c r="AT149" s="734">
        <v>421390.13288848987</v>
      </c>
      <c r="AU149" s="734">
        <v>442510.82150188979</v>
      </c>
      <c r="AV149" s="734">
        <v>464690.10986096109</v>
      </c>
      <c r="AW149" s="734">
        <v>487981.05653032026</v>
      </c>
      <c r="AX149" s="734">
        <v>512439.37944729778</v>
      </c>
      <c r="AY149" s="734">
        <v>538123.58921358187</v>
      </c>
      <c r="AZ149" s="734">
        <v>565095.12906763167</v>
      </c>
      <c r="BA149" s="734">
        <v>593418.52187271381</v>
      </c>
      <c r="BB149" s="734">
        <v>623161.52447219379</v>
      </c>
      <c r="BC149" s="734">
        <v>654395.28978133947</v>
      </c>
      <c r="BD149" s="734">
        <v>687194.53700340202</v>
      </c>
      <c r="BE149" s="734">
        <v>721637.7303771755</v>
      </c>
      <c r="BF149" s="734">
        <v>757807.2668836466</v>
      </c>
      <c r="BG149" s="734">
        <v>795789.67336077348</v>
      </c>
      <c r="BH149" s="734">
        <v>835675.81349794636</v>
      </c>
      <c r="BI149" s="734">
        <v>877561.10520531144</v>
      </c>
      <c r="BJ149" s="734">
        <v>624623.91094611178</v>
      </c>
      <c r="BK149" s="734">
        <v>0</v>
      </c>
      <c r="BL149" s="734">
        <v>0</v>
      </c>
      <c r="BM149" s="734">
        <v>0</v>
      </c>
      <c r="BN149" s="734">
        <v>0</v>
      </c>
      <c r="BO149" s="734">
        <v>0</v>
      </c>
      <c r="BP149" s="734">
        <v>0</v>
      </c>
      <c r="BQ149" s="734">
        <v>0</v>
      </c>
      <c r="BR149" s="734">
        <v>0</v>
      </c>
      <c r="BS149" s="734">
        <v>0</v>
      </c>
      <c r="BT149" s="734">
        <v>0</v>
      </c>
      <c r="BU149" s="734">
        <v>0</v>
      </c>
      <c r="BV149" s="255"/>
    </row>
    <row r="150" spans="1:74" s="192" customFormat="1" x14ac:dyDescent="0.2">
      <c r="A150" s="210"/>
      <c r="B150" s="210"/>
      <c r="C150" s="210"/>
      <c r="D150" s="210" t="s">
        <v>332</v>
      </c>
      <c r="E150" s="210"/>
      <c r="F150" s="210"/>
      <c r="G150" s="210"/>
      <c r="H150" s="210"/>
      <c r="I150" s="210"/>
      <c r="J150" s="210"/>
      <c r="K150" s="622"/>
      <c r="L150" s="210"/>
      <c r="M150" s="210"/>
      <c r="N150" s="425"/>
      <c r="O150" s="210"/>
      <c r="P150" s="210"/>
      <c r="Q150" s="435"/>
      <c r="R150" s="435">
        <f>Oper!R25</f>
        <v>1.1726824138049796</v>
      </c>
      <c r="S150" s="435">
        <f>Oper!S25</f>
        <v>1.1990677681155917</v>
      </c>
      <c r="T150" s="435">
        <f>Oper!T25</f>
        <v>1.2260467928981924</v>
      </c>
      <c r="U150" s="435">
        <f>Oper!U25</f>
        <v>1.2536328457384016</v>
      </c>
      <c r="V150" s="435">
        <f>Oper!V25</f>
        <v>1.2818395847675157</v>
      </c>
      <c r="W150" s="435">
        <f>Oper!W25</f>
        <v>1.3113218952171684</v>
      </c>
      <c r="X150" s="435">
        <f>Oper!X25</f>
        <v>1.3414822988071631</v>
      </c>
      <c r="Y150" s="435">
        <f>Oper!Y25</f>
        <v>1.3723363916797278</v>
      </c>
      <c r="Z150" s="435">
        <f>Oper!Z25</f>
        <v>1.4039001286883614</v>
      </c>
      <c r="AA150" s="435">
        <f>Oper!AA25</f>
        <v>1.4361898316481936</v>
      </c>
      <c r="AB150" s="435">
        <f>Oper!AB25</f>
        <v>1.469222197776102</v>
      </c>
      <c r="AC150" s="435">
        <f>Oper!AC25</f>
        <v>1.5030143083249521</v>
      </c>
      <c r="AD150" s="435">
        <f>Oper!AD25</f>
        <v>1.5375836374164258</v>
      </c>
      <c r="AE150" s="435">
        <f>Oper!AE25</f>
        <v>1.5729480610770035</v>
      </c>
      <c r="AF150" s="435">
        <f>Oper!AF25</f>
        <v>1.6091258664817745</v>
      </c>
      <c r="AG150" s="435">
        <f>Oper!AG25</f>
        <v>1.6461357614108552</v>
      </c>
      <c r="AH150" s="435">
        <f>Oper!AH25</f>
        <v>1.6839968839233046</v>
      </c>
      <c r="AI150" s="435">
        <f>Oper!AI25</f>
        <v>1.7227288122535405</v>
      </c>
      <c r="AJ150" s="435">
        <f>Oper!AJ25</f>
        <v>1.7623515749353718</v>
      </c>
      <c r="AK150" s="435">
        <f>Oper!AK25</f>
        <v>1.802885661158885</v>
      </c>
      <c r="AL150" s="435">
        <f>Oper!AL25</f>
        <v>1.8443520313655393</v>
      </c>
      <c r="AM150" s="435">
        <f>Oper!AM25</f>
        <v>1.8867721280869465</v>
      </c>
      <c r="AN150" s="435">
        <f>Oper!AN25</f>
        <v>1.9301678870329462</v>
      </c>
      <c r="AO150" s="435">
        <f>Oper!AO25</f>
        <v>1.9745617484347038</v>
      </c>
      <c r="AP150" s="435">
        <f>Oper!AP25</f>
        <v>2.019976668648702</v>
      </c>
      <c r="AQ150" s="435">
        <f>Oper!AQ25</f>
        <v>2.0664361320276221</v>
      </c>
      <c r="AR150" s="435">
        <f>Oper!AR25</f>
        <v>2.1139641630642574</v>
      </c>
      <c r="AS150" s="435">
        <f>Oper!AS25</f>
        <v>2.1625853388147349</v>
      </c>
      <c r="AT150" s="435">
        <f>Oper!AT25</f>
        <v>2.2123248016074735</v>
      </c>
      <c r="AU150" s="435">
        <f>Oper!AU25</f>
        <v>2.2632082720444453</v>
      </c>
      <c r="AV150" s="435">
        <f>Oper!AV25</f>
        <v>2.3152620623014672</v>
      </c>
      <c r="AW150" s="435">
        <f>Oper!AW25</f>
        <v>2.3685130897344009</v>
      </c>
      <c r="AX150" s="435">
        <f>Oper!AX25</f>
        <v>2.4229888907982917</v>
      </c>
      <c r="AY150" s="435">
        <f>Oper!AY25</f>
        <v>2.4787176352866522</v>
      </c>
      <c r="AZ150" s="435">
        <f>Oper!AZ25</f>
        <v>2.5357281408982448</v>
      </c>
      <c r="BA150" s="435">
        <f>Oper!BA25</f>
        <v>2.5940498881389042</v>
      </c>
      <c r="BB150" s="435">
        <f>Oper!BB25</f>
        <v>2.6537130355660987</v>
      </c>
      <c r="BC150" s="435">
        <f>Oper!BC25</f>
        <v>2.7147484353841187</v>
      </c>
      <c r="BD150" s="435">
        <f>Oper!BD25</f>
        <v>2.7771876493979533</v>
      </c>
      <c r="BE150" s="435">
        <f>Oper!BE25</f>
        <v>2.841062965334106</v>
      </c>
      <c r="BF150" s="435">
        <f>Oper!BF25</f>
        <v>2.9064074135367903</v>
      </c>
      <c r="BG150" s="435">
        <f>Oper!BG25</f>
        <v>2.973254784048136</v>
      </c>
      <c r="BH150" s="435">
        <f>Oper!BH25</f>
        <v>3.041639644081243</v>
      </c>
      <c r="BI150" s="435">
        <f>Oper!BI25</f>
        <v>3.1115973558951113</v>
      </c>
      <c r="BJ150" s="435">
        <f>Oper!BJ25</f>
        <v>3.1831640950806985</v>
      </c>
      <c r="BK150" s="435">
        <f>Oper!BK25</f>
        <v>3.2563768692675543</v>
      </c>
      <c r="BL150" s="435">
        <f>Oper!BL25</f>
        <v>3.3312735372607079</v>
      </c>
      <c r="BM150" s="435">
        <f>Oper!BM25</f>
        <v>3.4078928286177037</v>
      </c>
      <c r="BN150" s="435">
        <f>Oper!BN25</f>
        <v>3.4862743636759106</v>
      </c>
      <c r="BO150" s="435">
        <f>Oper!BO25</f>
        <v>3.5664586740404562</v>
      </c>
      <c r="BP150" s="435">
        <f>Oper!BP25</f>
        <v>3.6484872235433863</v>
      </c>
      <c r="BQ150" s="435">
        <f>Oper!BQ25</f>
        <v>3.7324024296848837</v>
      </c>
      <c r="BR150" s="435">
        <f>Oper!BR25</f>
        <v>3.8182476855676355</v>
      </c>
      <c r="BS150" s="435">
        <f>Oper!BS25</f>
        <v>3.9060673823356908</v>
      </c>
      <c r="BT150" s="435">
        <f>Oper!BT25</f>
        <v>3.9959069321294112</v>
      </c>
      <c r="BU150" s="435">
        <f>Oper!BU25</f>
        <v>4.0878127915683873</v>
      </c>
      <c r="BV150" s="254"/>
    </row>
    <row r="151" spans="1:74" x14ac:dyDescent="0.2">
      <c r="A151" s="210"/>
      <c r="B151" s="210"/>
      <c r="C151" s="210"/>
      <c r="D151" s="210" t="s">
        <v>326</v>
      </c>
      <c r="E151" s="210"/>
      <c r="F151" s="210"/>
      <c r="G151" s="210"/>
      <c r="H151" s="210"/>
      <c r="I151" s="210"/>
      <c r="J151" s="210"/>
      <c r="K151" s="622" t="s">
        <v>63</v>
      </c>
      <c r="L151" s="210"/>
      <c r="M151" s="210"/>
      <c r="N151" s="425">
        <f>SUM(Q151:BU151)</f>
        <v>39859906.207577161</v>
      </c>
      <c r="O151" s="210"/>
      <c r="P151" s="210"/>
      <c r="Q151" s="257"/>
      <c r="R151" s="257">
        <f t="shared" ref="R151:BU151" si="290">R149*R150</f>
        <v>131948.85981905469</v>
      </c>
      <c r="S151" s="257">
        <f t="shared" si="290"/>
        <v>141527.05267865086</v>
      </c>
      <c r="T151" s="257">
        <f t="shared" si="290"/>
        <v>151811.95207867547</v>
      </c>
      <c r="U151" s="257">
        <f t="shared" si="290"/>
        <v>165821.76008277337</v>
      </c>
      <c r="V151" s="257">
        <f t="shared" si="290"/>
        <v>177984.39119657336</v>
      </c>
      <c r="W151" s="257">
        <f t="shared" si="290"/>
        <v>191052.01640923219</v>
      </c>
      <c r="X151" s="257">
        <f t="shared" si="290"/>
        <v>205092.55942322055</v>
      </c>
      <c r="Y151" s="257">
        <f t="shared" si="290"/>
        <v>220179.14429989911</v>
      </c>
      <c r="Z151" s="257">
        <f t="shared" si="290"/>
        <v>220088.70719148955</v>
      </c>
      <c r="AA151" s="257">
        <f t="shared" si="290"/>
        <v>236685.35966047799</v>
      </c>
      <c r="AB151" s="257">
        <f t="shared" si="290"/>
        <v>254555.3300067386</v>
      </c>
      <c r="AC151" s="257">
        <f t="shared" si="290"/>
        <v>273797.56631791341</v>
      </c>
      <c r="AD151" s="257">
        <f t="shared" si="290"/>
        <v>294518.81450112531</v>
      </c>
      <c r="AE151" s="257">
        <f t="shared" si="290"/>
        <v>315411.53893555008</v>
      </c>
      <c r="AF151" s="257">
        <f t="shared" si="290"/>
        <v>341917.16787933954</v>
      </c>
      <c r="AG151" s="257">
        <f t="shared" si="290"/>
        <v>367312.81024621078</v>
      </c>
      <c r="AH151" s="257">
        <f t="shared" si="290"/>
        <v>394594.69498934573</v>
      </c>
      <c r="AI151" s="257">
        <f t="shared" si="290"/>
        <v>423902.92135296157</v>
      </c>
      <c r="AJ151" s="257">
        <f t="shared" si="290"/>
        <v>455387.99434804096</v>
      </c>
      <c r="AK151" s="257">
        <f t="shared" si="290"/>
        <v>489211.59763288934</v>
      </c>
      <c r="AL151" s="257">
        <f t="shared" si="290"/>
        <v>525547.42379881884</v>
      </c>
      <c r="AM151" s="257">
        <f t="shared" si="290"/>
        <v>564582.06632468163</v>
      </c>
      <c r="AN151" s="257">
        <f t="shared" si="290"/>
        <v>606515.97778065922</v>
      </c>
      <c r="AO151" s="257">
        <f t="shared" si="290"/>
        <v>651564.49920192477</v>
      </c>
      <c r="AP151" s="257">
        <f t="shared" si="290"/>
        <v>699958.96591826412</v>
      </c>
      <c r="AQ151" s="257">
        <f t="shared" si="290"/>
        <v>751947.89551836636</v>
      </c>
      <c r="AR151" s="257">
        <f t="shared" si="290"/>
        <v>807798.26404927578</v>
      </c>
      <c r="AS151" s="257">
        <f t="shared" si="290"/>
        <v>867796.87700460525</v>
      </c>
      <c r="AT151" s="257">
        <f t="shared" si="290"/>
        <v>932251.84214187518</v>
      </c>
      <c r="AU151" s="257">
        <f t="shared" si="290"/>
        <v>1001494.1516922599</v>
      </c>
      <c r="AV151" s="257">
        <f t="shared" si="290"/>
        <v>1075879.3820877841</v>
      </c>
      <c r="AW151" s="257">
        <f t="shared" si="290"/>
        <v>1155789.5199344861</v>
      </c>
      <c r="AX151" s="257">
        <f t="shared" si="290"/>
        <v>1241634.9236083729</v>
      </c>
      <c r="AY151" s="257">
        <f t="shared" si="290"/>
        <v>1333856.4305474556</v>
      </c>
      <c r="AZ151" s="257">
        <f t="shared" si="290"/>
        <v>1432927.6210613195</v>
      </c>
      <c r="BA151" s="257">
        <f t="shared" si="290"/>
        <v>1539357.2502834671</v>
      </c>
      <c r="BB151" s="257">
        <f t="shared" si="290"/>
        <v>1653691.8607551032</v>
      </c>
      <c r="BC151" s="257">
        <f t="shared" si="290"/>
        <v>1776518.5890566283</v>
      </c>
      <c r="BD151" s="257">
        <f t="shared" si="290"/>
        <v>1908468.1808995928</v>
      </c>
      <c r="BE151" s="257">
        <f t="shared" si="290"/>
        <v>2050218.2301623523</v>
      </c>
      <c r="BF151" s="257">
        <f t="shared" si="290"/>
        <v>2202496.6585026835</v>
      </c>
      <c r="BG151" s="257">
        <f t="shared" si="290"/>
        <v>2366085.4534160234</v>
      </c>
      <c r="BH151" s="257">
        <f t="shared" si="290"/>
        <v>2541824.6839351966</v>
      </c>
      <c r="BI151" s="257">
        <f t="shared" si="290"/>
        <v>2730616.8145932388</v>
      </c>
      <c r="BJ151" s="257">
        <f t="shared" si="290"/>
        <v>1988280.4062525467</v>
      </c>
      <c r="BK151" s="257">
        <f t="shared" si="290"/>
        <v>0</v>
      </c>
      <c r="BL151" s="257">
        <f t="shared" si="290"/>
        <v>0</v>
      </c>
      <c r="BM151" s="257">
        <f t="shared" si="290"/>
        <v>0</v>
      </c>
      <c r="BN151" s="257">
        <f t="shared" si="290"/>
        <v>0</v>
      </c>
      <c r="BO151" s="257">
        <f t="shared" si="290"/>
        <v>0</v>
      </c>
      <c r="BP151" s="257">
        <f t="shared" si="290"/>
        <v>0</v>
      </c>
      <c r="BQ151" s="257">
        <f t="shared" si="290"/>
        <v>0</v>
      </c>
      <c r="BR151" s="257">
        <f t="shared" si="290"/>
        <v>0</v>
      </c>
      <c r="BS151" s="257">
        <f t="shared" si="290"/>
        <v>0</v>
      </c>
      <c r="BT151" s="257">
        <f t="shared" si="290"/>
        <v>0</v>
      </c>
      <c r="BU151" s="257">
        <f t="shared" si="290"/>
        <v>0</v>
      </c>
      <c r="BV151" s="255"/>
    </row>
    <row r="152" spans="1:74" x14ac:dyDescent="0.2">
      <c r="A152" s="210"/>
      <c r="B152" s="210"/>
      <c r="C152" s="210"/>
      <c r="D152" s="210" t="s">
        <v>327</v>
      </c>
      <c r="E152" s="210"/>
      <c r="F152" s="210"/>
      <c r="G152" s="210"/>
      <c r="H152" s="210"/>
      <c r="I152" s="210"/>
      <c r="J152" s="210"/>
      <c r="K152" s="622" t="s">
        <v>63</v>
      </c>
      <c r="L152" s="210"/>
      <c r="M152" s="210"/>
      <c r="N152" s="425">
        <f>SUM(Q152:BU152)</f>
        <v>39545578.786975168</v>
      </c>
      <c r="O152" s="210"/>
      <c r="P152" s="210"/>
      <c r="Q152" s="425"/>
      <c r="R152" s="425">
        <f>+CF!R25</f>
        <v>0</v>
      </c>
      <c r="S152" s="425">
        <f>+CF!S25</f>
        <v>120885.88824258334</v>
      </c>
      <c r="T152" s="425">
        <f>+CF!T25</f>
        <v>137801.19959581227</v>
      </c>
      <c r="U152" s="425">
        <f>+CF!U25</f>
        <v>157083.43534639102</v>
      </c>
      <c r="V152" s="425">
        <f>+CF!V25</f>
        <v>179063.79431092911</v>
      </c>
      <c r="W152" s="425">
        <f>+CF!W25</f>
        <v>192605.02760027614</v>
      </c>
      <c r="X152" s="425">
        <f>+CF!X25</f>
        <v>207170.28140534012</v>
      </c>
      <c r="Y152" s="425">
        <f>+CF!Y25</f>
        <v>222836.99461179745</v>
      </c>
      <c r="Z152" s="425">
        <f>+CF!Z25</f>
        <v>239688.46221945746</v>
      </c>
      <c r="AA152" s="425">
        <f>+CF!AA25</f>
        <v>257814.27819564901</v>
      </c>
      <c r="AB152" s="425">
        <f>+CF!AB25</f>
        <v>278762.48071423272</v>
      </c>
      <c r="AC152" s="425">
        <f>+CF!AC25</f>
        <v>301412.78907362081</v>
      </c>
      <c r="AD152" s="425">
        <f>+CF!AD25</f>
        <v>325903.50460495288</v>
      </c>
      <c r="AE152" s="425">
        <f>+CF!AE25</f>
        <v>352384.16604760505</v>
      </c>
      <c r="AF152" s="425">
        <f>+CF!AF25</f>
        <v>381016.46262314834</v>
      </c>
      <c r="AG152" s="425">
        <f>+CF!AG25</f>
        <v>408456.17658274976</v>
      </c>
      <c r="AH152" s="425">
        <f>+CF!AH25</f>
        <v>437872.02012216265</v>
      </c>
      <c r="AI152" s="425">
        <f>+CF!AI25</f>
        <v>469406.30843176972</v>
      </c>
      <c r="AJ152" s="425">
        <f>+CF!AJ25</f>
        <v>503211.60583420709</v>
      </c>
      <c r="AK152" s="425">
        <f>+CF!AK25</f>
        <v>539451.46389750403</v>
      </c>
      <c r="AL152" s="425">
        <f>+CF!AL25</f>
        <v>578674.50285759126</v>
      </c>
      <c r="AM152" s="425">
        <f>+CF!AM25</f>
        <v>620749.41429967957</v>
      </c>
      <c r="AN152" s="425">
        <f>+CF!AN25</f>
        <v>665883.55535032612</v>
      </c>
      <c r="AO152" s="425">
        <f>+CF!AO25</f>
        <v>714299.35988941567</v>
      </c>
      <c r="AP152" s="425">
        <f>+CF!AP25</f>
        <v>766235.43476756511</v>
      </c>
      <c r="AQ152" s="425">
        <f>+CF!AQ25</f>
        <v>815048.11516243534</v>
      </c>
      <c r="AR152" s="425">
        <f>+CF!AR25</f>
        <v>866970.38519414421</v>
      </c>
      <c r="AS152" s="425">
        <f>+CF!AS25</f>
        <v>922200.33985832217</v>
      </c>
      <c r="AT152" s="425">
        <f>+CF!AT25</f>
        <v>980948.69370233372</v>
      </c>
      <c r="AU152" s="425">
        <f>+CF!AU25</f>
        <v>1043439.5847480897</v>
      </c>
      <c r="AV152" s="425">
        <f>+CF!AV25</f>
        <v>1107893.3127959436</v>
      </c>
      <c r="AW152" s="425">
        <f>+CF!AW25</f>
        <v>1176328.376342268</v>
      </c>
      <c r="AX152" s="425">
        <f>+CF!AX25</f>
        <v>1248990.7042546622</v>
      </c>
      <c r="AY152" s="425">
        <f>+CF!AY25</f>
        <v>1326141.4165364497</v>
      </c>
      <c r="AZ152" s="425">
        <f>+CF!AZ25</f>
        <v>1408057.7626899001</v>
      </c>
      <c r="BA152" s="425">
        <f>+CF!BA25</f>
        <v>1496985.9829482075</v>
      </c>
      <c r="BB152" s="425">
        <f>+CF!BB25</f>
        <v>1591530.6122543954</v>
      </c>
      <c r="BC152" s="425">
        <f>+CF!BC25</f>
        <v>1692046.3642246984</v>
      </c>
      <c r="BD152" s="425">
        <f>+CF!BD25</f>
        <v>1798910.355001319</v>
      </c>
      <c r="BE152" s="425">
        <f>+CF!BE25</f>
        <v>1912523.5181210623</v>
      </c>
      <c r="BF152" s="425">
        <f>+CF!BF25</f>
        <v>2058733.5943873224</v>
      </c>
      <c r="BG152" s="425">
        <f>+CF!BG25</f>
        <v>2216121.2515822537</v>
      </c>
      <c r="BH152" s="425">
        <f>+CF!BH25</f>
        <v>2385541.0020527993</v>
      </c>
      <c r="BI152" s="425">
        <f>+CF!BI25</f>
        <v>2567912.6845663274</v>
      </c>
      <c r="BJ152" s="425">
        <f>+CF!BJ25</f>
        <v>1870586.1239274591</v>
      </c>
      <c r="BK152" s="425">
        <f>+CF!BK25</f>
        <v>0</v>
      </c>
      <c r="BL152" s="425">
        <f>+CF!BL25</f>
        <v>0</v>
      </c>
      <c r="BM152" s="425">
        <f>+CF!BM25</f>
        <v>0</v>
      </c>
      <c r="BN152" s="425">
        <f>+CF!BN25</f>
        <v>0</v>
      </c>
      <c r="BO152" s="425">
        <f>+CF!BO25</f>
        <v>0</v>
      </c>
      <c r="BP152" s="425">
        <f>+CF!BP25</f>
        <v>0</v>
      </c>
      <c r="BQ152" s="425">
        <f>+CF!BQ25</f>
        <v>0</v>
      </c>
      <c r="BR152" s="425">
        <f>+CF!BR25</f>
        <v>0</v>
      </c>
      <c r="BS152" s="425">
        <f>+CF!BS25</f>
        <v>0</v>
      </c>
      <c r="BT152" s="425">
        <f>+CF!BT25</f>
        <v>0</v>
      </c>
      <c r="BU152" s="425">
        <f>+CF!BU25</f>
        <v>0</v>
      </c>
      <c r="BV152" s="255"/>
    </row>
    <row r="153" spans="1:74" x14ac:dyDescent="0.2">
      <c r="A153" s="210"/>
      <c r="B153" s="210"/>
      <c r="C153" s="210"/>
      <c r="D153" s="210"/>
      <c r="E153" s="210"/>
      <c r="F153" s="210"/>
      <c r="G153" s="210"/>
      <c r="H153" s="210"/>
      <c r="I153" s="210"/>
      <c r="J153" s="210"/>
      <c r="K153" s="622"/>
      <c r="L153" s="210"/>
      <c r="M153" s="210"/>
      <c r="N153" s="210"/>
      <c r="O153" s="210"/>
      <c r="P153" s="210"/>
      <c r="Q153" s="436"/>
      <c r="R153" s="210"/>
      <c r="S153" s="210"/>
      <c r="T153" s="210"/>
      <c r="U153" s="210"/>
      <c r="V153" s="210"/>
      <c r="W153" s="425"/>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55"/>
    </row>
    <row r="154" spans="1:74" x14ac:dyDescent="0.2">
      <c r="A154" s="210"/>
      <c r="B154" s="210"/>
      <c r="C154" s="210"/>
      <c r="D154" s="210" t="s">
        <v>195</v>
      </c>
      <c r="E154" s="210"/>
      <c r="F154" s="210"/>
      <c r="G154" s="210"/>
      <c r="H154" s="210"/>
      <c r="I154" s="210"/>
      <c r="J154" s="210"/>
      <c r="K154" s="622" t="s">
        <v>20</v>
      </c>
      <c r="L154" s="437">
        <f>+Inputs!$L$113</f>
        <v>0.5</v>
      </c>
      <c r="M154" s="210"/>
      <c r="N154" s="210"/>
      <c r="O154" s="210"/>
      <c r="P154" s="210"/>
      <c r="Q154" s="210"/>
      <c r="R154" s="425"/>
      <c r="S154" s="438"/>
      <c r="T154" s="210"/>
      <c r="U154" s="210"/>
      <c r="V154" s="210"/>
      <c r="W154" s="425"/>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55"/>
    </row>
    <row r="155" spans="1:74" x14ac:dyDescent="0.2">
      <c r="A155" s="210"/>
      <c r="B155" s="210"/>
      <c r="C155" s="210"/>
      <c r="D155" s="210"/>
      <c r="E155" s="210"/>
      <c r="F155" s="210"/>
      <c r="G155" s="210"/>
      <c r="H155" s="210"/>
      <c r="I155" s="210"/>
      <c r="J155" s="210"/>
      <c r="K155" s="622"/>
      <c r="L155" s="210"/>
      <c r="M155" s="210"/>
      <c r="N155" s="210"/>
      <c r="O155" s="210"/>
      <c r="P155" s="210"/>
      <c r="Q155" s="210"/>
      <c r="R155" s="425"/>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55"/>
    </row>
    <row r="156" spans="1:74" x14ac:dyDescent="0.2">
      <c r="A156" s="210"/>
      <c r="B156" s="210"/>
      <c r="C156" s="210"/>
      <c r="D156" s="210" t="s">
        <v>196</v>
      </c>
      <c r="E156" s="210"/>
      <c r="F156" s="210"/>
      <c r="G156" s="210"/>
      <c r="H156" s="210"/>
      <c r="I156" s="210"/>
      <c r="J156" s="210"/>
      <c r="K156" s="622" t="s">
        <v>63</v>
      </c>
      <c r="L156" s="210"/>
      <c r="M156" s="210"/>
      <c r="N156" s="425">
        <f>SUM(Q156:BU156)</f>
        <v>30216314.973365799</v>
      </c>
      <c r="O156" s="210"/>
      <c r="P156" s="210"/>
      <c r="Q156" s="425"/>
      <c r="R156" s="425">
        <f>+CF!R52</f>
        <v>0</v>
      </c>
      <c r="S156" s="425">
        <f>+CF!S52</f>
        <v>0</v>
      </c>
      <c r="T156" s="425">
        <f>+CF!T52</f>
        <v>0</v>
      </c>
      <c r="U156" s="425">
        <f>+CF!U52</f>
        <v>247570.44432824073</v>
      </c>
      <c r="V156" s="425">
        <f>+CF!V52</f>
        <v>64936.703322905654</v>
      </c>
      <c r="W156" s="425">
        <f>+CF!W52</f>
        <v>78791.618545604462</v>
      </c>
      <c r="X156" s="425">
        <f>+CF!X52</f>
        <v>94084.949761677388</v>
      </c>
      <c r="Y156" s="425">
        <f>+CF!Y52</f>
        <v>108916.77205663553</v>
      </c>
      <c r="Z156" s="425">
        <f>+CF!Z52</f>
        <v>124570.63434382016</v>
      </c>
      <c r="AA156" s="425">
        <f>+CF!AA52</f>
        <v>143016.37432390204</v>
      </c>
      <c r="AB156" s="425">
        <f>+CF!AB52</f>
        <v>161032.80369670255</v>
      </c>
      <c r="AC156" s="425">
        <f>+CF!AC52</f>
        <v>180188.636978233</v>
      </c>
      <c r="AD156" s="425">
        <f>+CF!AD52</f>
        <v>200132.27931181935</v>
      </c>
      <c r="AE156" s="425">
        <f>+CF!AE52</f>
        <v>209843.0785368963</v>
      </c>
      <c r="AF156" s="425">
        <f>+CF!AF52</f>
        <v>242256.37419751709</v>
      </c>
      <c r="AG156" s="425">
        <f>+CF!AG52</f>
        <v>265555.01824693044</v>
      </c>
      <c r="AH156" s="425">
        <f>+CF!AH52</f>
        <v>292616.36552417465</v>
      </c>
      <c r="AI156" s="425">
        <f>+CF!AI52</f>
        <v>323258.91351240419</v>
      </c>
      <c r="AJ156" s="425">
        <f>+CF!AJ52</f>
        <v>357082.81061343057</v>
      </c>
      <c r="AK156" s="425">
        <f>+CF!AK52</f>
        <v>395420.17085327074</v>
      </c>
      <c r="AL156" s="425">
        <f>+CF!AL52</f>
        <v>423676.42416936788</v>
      </c>
      <c r="AM156" s="425">
        <f>+CF!AM52</f>
        <v>455492.88145072729</v>
      </c>
      <c r="AN156" s="425">
        <f>+CF!AN52</f>
        <v>495274.75144114264</v>
      </c>
      <c r="AO156" s="425">
        <f>+CF!AO52</f>
        <v>487072.89874041325</v>
      </c>
      <c r="AP156" s="425">
        <f>+CF!AP52</f>
        <v>578420.87642062781</v>
      </c>
      <c r="AQ156" s="425">
        <f>+CF!AQ52</f>
        <v>622462.31660118187</v>
      </c>
      <c r="AR156" s="425">
        <f>+CF!AR52</f>
        <v>670123.04279516125</v>
      </c>
      <c r="AS156" s="425">
        <f>+CF!AS52</f>
        <v>716555.59271697851</v>
      </c>
      <c r="AT156" s="425">
        <f>+CF!AT52</f>
        <v>696910.7845384276</v>
      </c>
      <c r="AU156" s="425">
        <f>+CF!AU52</f>
        <v>686909.87386723165</v>
      </c>
      <c r="AV156" s="425">
        <f>+CF!AV52</f>
        <v>746033.98516871454</v>
      </c>
      <c r="AW156" s="425">
        <f>+CF!AW52</f>
        <v>807502.83337323822</v>
      </c>
      <c r="AX156" s="425">
        <f>+CF!AX52</f>
        <v>864251.51904584584</v>
      </c>
      <c r="AY156" s="425">
        <f>+CF!AY52</f>
        <v>897016.12517696293</v>
      </c>
      <c r="AZ156" s="425">
        <f>+CF!AZ52</f>
        <v>979532.58161589003</v>
      </c>
      <c r="BA156" s="425">
        <f>+CF!BA52</f>
        <v>1059170.9752302826</v>
      </c>
      <c r="BB156" s="425">
        <f>+CF!BB52</f>
        <v>1143471.7474454443</v>
      </c>
      <c r="BC156" s="425">
        <f>+CF!BC52</f>
        <v>1232863.2869510818</v>
      </c>
      <c r="BD156" s="425">
        <f>+CF!BD52</f>
        <v>1462819.6715564479</v>
      </c>
      <c r="BE156" s="425">
        <f>+CF!BE52</f>
        <v>1586118.7054500782</v>
      </c>
      <c r="BF156" s="425">
        <f>+CF!BF52</f>
        <v>1877951.2000004875</v>
      </c>
      <c r="BG156" s="425">
        <f>+CF!BG52</f>
        <v>2022875.7896959386</v>
      </c>
      <c r="BH156" s="425">
        <f>+CF!BH52</f>
        <v>2179018.6750670709</v>
      </c>
      <c r="BI156" s="425">
        <f>+CF!BI52</f>
        <v>2347204.8376066857</v>
      </c>
      <c r="BJ156" s="425">
        <f>+CF!BJ52</f>
        <v>1688309.6490862106</v>
      </c>
      <c r="BK156" s="425">
        <f>+CF!BK52</f>
        <v>0</v>
      </c>
      <c r="BL156" s="425">
        <f>+CF!BL52</f>
        <v>0</v>
      </c>
      <c r="BM156" s="425">
        <f>+CF!BM52</f>
        <v>0</v>
      </c>
      <c r="BN156" s="425">
        <f>+CF!BN52</f>
        <v>0</v>
      </c>
      <c r="BO156" s="425">
        <f>+CF!BO52</f>
        <v>0</v>
      </c>
      <c r="BP156" s="425">
        <f>+CF!BP52</f>
        <v>0</v>
      </c>
      <c r="BQ156" s="425">
        <f>+CF!BQ52</f>
        <v>0</v>
      </c>
      <c r="BR156" s="425">
        <f>+CF!BR52</f>
        <v>0</v>
      </c>
      <c r="BS156" s="425">
        <f>+CF!BS52</f>
        <v>0</v>
      </c>
      <c r="BT156" s="425">
        <f>+CF!BT52</f>
        <v>0</v>
      </c>
      <c r="BU156" s="425">
        <f>+CF!BU52</f>
        <v>0</v>
      </c>
      <c r="BV156" s="255"/>
    </row>
    <row r="157" spans="1:74" x14ac:dyDescent="0.2">
      <c r="A157" s="210"/>
      <c r="B157" s="210"/>
      <c r="C157" s="210"/>
      <c r="D157" s="210" t="s">
        <v>197</v>
      </c>
      <c r="E157" s="210"/>
      <c r="F157" s="210"/>
      <c r="G157" s="210"/>
      <c r="H157" s="210"/>
      <c r="I157" s="210"/>
      <c r="J157" s="210"/>
      <c r="K157" s="622" t="s">
        <v>63</v>
      </c>
      <c r="L157" s="210"/>
      <c r="M157" s="210"/>
      <c r="N157" s="425">
        <f>SUM(Q157:BU157)</f>
        <v>-530131.59602289833</v>
      </c>
      <c r="O157" s="210"/>
      <c r="P157" s="210"/>
      <c r="Q157" s="425"/>
      <c r="R157" s="425">
        <f>IF(R142=1,(((MAX(R152-R151,0))) *- $L$154),(IF(R106=0,0,-MIN(MAX(0,R156),MAX(0,(R152-R151)) * $L$154))) * (IF(AND(Q106=0,R106=1),((R9-Inputs!$L$112)/365),1)))</f>
        <v>0</v>
      </c>
      <c r="S157" s="425">
        <f>IF(S142=1,(((MAX(S152-S151,0))) *- $L$154),(IF(S106=0,0,-MIN(MAX(0,S156),MAX(0,(S152-S151)) * $L$154))) * (IF(AND(R106=0,S106=1),((S9-Inputs!$L$112)/365),1)))</f>
        <v>0</v>
      </c>
      <c r="T157" s="425">
        <f>IF(T142=1,(((MAX(T152-T151,0))) *- $L$154),(IF(T106=0,0,-MIN(MAX(0,T156),MAX(0,(T152-T151)) * $L$154))) * (IF(AND(S106=0,T106=1),((T9-Inputs!$L$112)/365),1)))</f>
        <v>0</v>
      </c>
      <c r="U157" s="425">
        <f>IF(U142=1,(((MAX(U152-U151,0))) *- $L$154),(IF(U106=0,0,-MIN(MAX(0,U156),MAX(0,(U152-U151)) * $L$154))) * (IF(AND(T106=0,U106=1),((U9-Inputs!$L$112)/365),1)))</f>
        <v>0</v>
      </c>
      <c r="V157" s="425">
        <f>IF(V142=1,(((MAX(V152-V151,0))) *- $L$154),(IF(V106=0,0,-MIN(MAX(0,V156),MAX(0,(V152-V151)) * $L$154))) * (IF(AND(U106=0,V106=1),((V9-Inputs!$L$112)/365),1)))</f>
        <v>-539.70155717787566</v>
      </c>
      <c r="W157" s="425">
        <f>IF(W142=1,(((MAX(W152-W151,0))) *- $L$154),(IF(W106=0,0,-MIN(MAX(0,W156),MAX(0,(W152-W151)) * $L$154))) * (IF(AND(V106=0,W106=1),((W9-Inputs!$L$112)/365),1)))</f>
        <v>-776.50559552197228</v>
      </c>
      <c r="X157" s="425">
        <f>IF(X142=1,(((MAX(X152-X151,0))) *- $L$154),(IF(X106=0,0,-MIN(MAX(0,X156),MAX(0,(X152-X151)) * $L$154))) * (IF(AND(W106=0,X106=1),((X9-Inputs!$L$112)/365),1)))</f>
        <v>-1038.8609910597879</v>
      </c>
      <c r="Y157" s="425">
        <f>IF(Y142=1,(((MAX(Y152-Y151,0))) *- $L$154),(IF(Y106=0,0,-MIN(MAX(0,Y156),MAX(0,(Y152-Y151)) * $L$154))) * (IF(AND(X106=0,Y106=1),((Y9-Inputs!$L$112)/365),1)))</f>
        <v>-1328.9251559491677</v>
      </c>
      <c r="Z157" s="425">
        <f>IF(Z142=1,(((MAX(Z152-Z151,0))) *- $L$154),(IF(Z106=0,0,-MIN(MAX(0,Z156),MAX(0,(Z152-Z151)) * $L$154))) * (IF(AND(Y106=0,Z106=1),((Z9-Inputs!$L$112)/365),1)))</f>
        <v>-9799.8775139839563</v>
      </c>
      <c r="AA157" s="425">
        <f>IF(AA142=1,(((MAX(AA152-AA151,0))) *- $L$154),(IF(AA106=0,0,-MIN(MAX(0,AA156),MAX(0,(AA152-AA151)) * $L$154))) * (IF(AND(Z106=0,AA106=1),((AA9-Inputs!$L$112)/365),1)))</f>
        <v>-10564.459267585509</v>
      </c>
      <c r="AB157" s="425">
        <f>IF(AB142=1,(((MAX(AB152-AB151,0))) *- $L$154),(IF(AB106=0,0,-MIN(MAX(0,AB156),MAX(0,(AB152-AB151)) * $L$154))) * (IF(AND(AA106=0,AB106=1),((AB9-Inputs!$L$112)/365),1)))</f>
        <v>-12103.575353747059</v>
      </c>
      <c r="AC157" s="425">
        <f>IF(AC142=1,(((MAX(AC152-AC151,0))) *- $L$154),(IF(AC106=0,0,-MIN(MAX(0,AC156),MAX(0,(AC152-AC151)) * $L$154))) * (IF(AND(AB106=0,AC106=1),((AC9-Inputs!$L$112)/365),1)))</f>
        <v>-13807.611377853696</v>
      </c>
      <c r="AD157" s="425">
        <f>IF(AD142=1,(((MAX(AD152-AD151,0))) *- $L$154),(IF(AD106=0,0,-MIN(MAX(0,AD156),MAX(0,(AD152-AD151)) * $L$154))) * (IF(AND(AC106=0,AD106=1),((AD9-Inputs!$L$112)/365),1)))</f>
        <v>-15692.345051913784</v>
      </c>
      <c r="AE157" s="425">
        <f>IF(AE142=1,(((MAX(AE152-AE151,0))) *- $L$154),(IF(AE106=0,0,-MIN(MAX(0,AE156),MAX(0,(AE152-AE151)) * $L$154))) * (IF(AND(AD106=0,AE106=1),((AE9-Inputs!$L$112)/365),1)))</f>
        <v>-18486.313556027482</v>
      </c>
      <c r="AF157" s="425">
        <f>IF(AF142=1,(((MAX(AF152-AF151,0))) *- $L$154),(IF(AF106=0,0,-MIN(MAX(0,AF156),MAX(0,(AF152-AF151)) * $L$154))) * (IF(AND(AE106=0,AF106=1),((AF9-Inputs!$L$112)/365),1)))</f>
        <v>-19549.647371904401</v>
      </c>
      <c r="AG157" s="425">
        <f>IF(AG142=1,(((MAX(AG152-AG151,0))) *- $L$154),(IF(AG106=0,0,-MIN(MAX(0,AG156),MAX(0,(AG152-AG151)) * $L$154))) * (IF(AND(AF106=0,AG106=1),((AG9-Inputs!$L$112)/365),1)))</f>
        <v>-20571.68316826949</v>
      </c>
      <c r="AH157" s="425">
        <f>IF(AH142=1,(((MAX(AH152-AH151,0))) *- $L$154),(IF(AH106=0,0,-MIN(MAX(0,AH156),MAX(0,(AH152-AH151)) * $L$154))) * (IF(AND(AG106=0,AH106=1),((AH9-Inputs!$L$112)/365),1)))</f>
        <v>-21638.662566408457</v>
      </c>
      <c r="AI157" s="425">
        <f>IF(AI142=1,(((MAX(AI152-AI151,0))) *- $L$154),(IF(AI106=0,0,-MIN(MAX(0,AI156),MAX(0,(AI152-AI151)) * $L$154))) * (IF(AND(AH106=0,AI106=1),((AI9-Inputs!$L$112)/365),1)))</f>
        <v>-22751.693539404077</v>
      </c>
      <c r="AJ157" s="425">
        <f>IF(AJ142=1,(((MAX(AJ152-AJ151,0))) *- $L$154),(IF(AJ106=0,0,-MIN(MAX(0,AJ156),MAX(0,(AJ152-AJ151)) * $L$154))) * (IF(AND(AI106=0,AJ106=1),((AJ9-Inputs!$L$112)/365),1)))</f>
        <v>-23911.805743083067</v>
      </c>
      <c r="AK157" s="425">
        <f>IF(AK142=1,(((MAX(AK152-AK151,0))) *- $L$154),(IF(AK106=0,0,-MIN(MAX(0,AK156),MAX(0,(AK152-AK151)) * $L$154))) * (IF(AND(AJ106=0,AK106=1),((AK9-Inputs!$L$112)/365),1)))</f>
        <v>-25119.933132307342</v>
      </c>
      <c r="AL157" s="425">
        <f>IF(AL142=1,(((MAX(AL152-AL151,0))) *- $L$154),(IF(AL106=0,0,-MIN(MAX(0,AL156),MAX(0,(AL152-AL151)) * $L$154))) * (IF(AND(AK106=0,AL106=1),((AL9-Inputs!$L$112)/365),1)))</f>
        <v>-26563.539529386209</v>
      </c>
      <c r="AM157" s="425">
        <f>IF(AM142=1,(((MAX(AM152-AM151,0))) *- $L$154),(IF(AM106=0,0,-MIN(MAX(0,AM156),MAX(0,(AM152-AM151)) * $L$154))) * (IF(AND(AL106=0,AM106=1),((AM9-Inputs!$L$112)/365),1)))</f>
        <v>-28083.673987498973</v>
      </c>
      <c r="AN157" s="425">
        <f>IF(AN142=1,(((MAX(AN152-AN151,0))) *- $L$154),(IF(AN106=0,0,-MIN(MAX(0,AN156),MAX(0,(AN152-AN151)) * $L$154))) * (IF(AND(AM106=0,AN106=1),((AN9-Inputs!$L$112)/365),1)))</f>
        <v>-29683.78878483345</v>
      </c>
      <c r="AO157" s="425">
        <f>IF(AO142=1,(((MAX(AO152-AO151,0))) *- $L$154),(IF(AO106=0,0,-MIN(MAX(0,AO156),MAX(0,(AO152-AO151)) * $L$154))) * (IF(AND(AN106=0,AO106=1),((AO9-Inputs!$L$112)/365),1)))</f>
        <v>-31367.430343745451</v>
      </c>
      <c r="AP157" s="425">
        <f>IF(AP142=1,(((MAX(AP152-AP151,0))) *- $L$154),(IF(AP106=0,0,-MIN(MAX(0,AP156),MAX(0,(AP152-AP151)) * $L$154))) * (IF(AND(AO106=0,AP106=1),((AP9-Inputs!$L$112)/365),1)))</f>
        <v>-33138.234424650494</v>
      </c>
      <c r="AQ157" s="425">
        <f>IF(AQ142=1,(((MAX(AQ152-AQ151,0))) *- $L$154),(IF(AQ106=0,0,-MIN(MAX(0,AQ156),MAX(0,(AQ152-AQ151)) * $L$154))) * (IF(AND(AP106=0,AQ106=1),((AQ9-Inputs!$L$112)/365),1)))</f>
        <v>-31550.109822034487</v>
      </c>
      <c r="AR157" s="425">
        <f>IF(AR142=1,(((MAX(AR152-AR151,0))) *- $L$154),(IF(AR106=0,0,-MIN(MAX(0,AR156),MAX(0,(AR152-AR151)) * $L$154))) * (IF(AND(AQ106=0,AR106=1),((AR9-Inputs!$L$112)/365),1)))</f>
        <v>-29586.060572434217</v>
      </c>
      <c r="AS157" s="425">
        <f>IF(AS142=1,(((MAX(AS152-AS151,0))) *- $L$154),(IF(AS106=0,0,-MIN(MAX(0,AS156),MAX(0,(AS152-AS151)) * $L$154))) * (IF(AND(AR106=0,AS106=1),((AS9-Inputs!$L$112)/365),1)))</f>
        <v>-27201.73142685846</v>
      </c>
      <c r="AT157" s="425">
        <f>IF(AT142=1,(((MAX(AT152-AT151,0))) *- $L$154),(IF(AT106=0,0,-MIN(MAX(0,AT156),MAX(0,(AT152-AT151)) * $L$154))) * (IF(AND(AS106=0,AT106=1),((AT9-Inputs!$L$112)/365),1)))</f>
        <v>-24348.42578022927</v>
      </c>
      <c r="AU157" s="425">
        <f>IF(AU142=1,(((MAX(AU152-AU151,0))) *- $L$154),(IF(AU106=0,0,-MIN(MAX(0,AU156),MAX(0,(AU152-AU151)) * $L$154))) * (IF(AND(AT106=0,AU106=1),((AU9-Inputs!$L$112)/365),1)))</f>
        <v>-20972.716527914861</v>
      </c>
      <c r="AV157" s="425">
        <f>IF(AV142=1,(((MAX(AV152-AV151,0))) *- $L$154),(IF(AV106=0,0,-MIN(MAX(0,AV156),MAX(0,(AV152-AV151)) * $L$154))) * (IF(AND(AU106=0,AV106=1),((AV9-Inputs!$L$112)/365),1)))</f>
        <v>-16006.96535407973</v>
      </c>
      <c r="AW157" s="425">
        <f>IF(AW142=1,(((MAX(AW152-AW151,0))) *- $L$154),(IF(AW106=0,0,-MIN(MAX(0,AW156),MAX(0,(AW152-AW151)) * $L$154))) * (IF(AND(AV106=0,AW106=1),((AW9-Inputs!$L$112)/365),1)))</f>
        <v>-10269.428203890915</v>
      </c>
      <c r="AX157" s="425">
        <f>IF(AX142=1,(((MAX(AX152-AX151,0))) *- $L$154),(IF(AX106=0,0,-MIN(MAX(0,AX156),MAX(0,(AX152-AX151)) * $L$154))) * (IF(AND(AW106=0,AX106=1),((AX9-Inputs!$L$112)/365),1)))</f>
        <v>-3677.8903231446166</v>
      </c>
      <c r="AY157" s="425">
        <f>IF(AY142=1,(((MAX(AY152-AY151,0))) *- $L$154),(IF(AY106=0,0,-MIN(MAX(0,AY156),MAX(0,(AY152-AY151)) * $L$154))) * (IF(AND(AX106=0,AY106=1),((AY9-Inputs!$L$112)/365),1)))</f>
        <v>0</v>
      </c>
      <c r="AZ157" s="425">
        <f>IF(AZ142=1,(((MAX(AZ152-AZ151,0))) *- $L$154),(IF(AZ106=0,0,-MIN(MAX(0,AZ156),MAX(0,(AZ152-AZ151)) * $L$154))) * (IF(AND(AY106=0,AZ106=1),((AZ9-Inputs!$L$112)/365),1)))</f>
        <v>0</v>
      </c>
      <c r="BA157" s="425">
        <f>IF(BA142=1,(((MAX(BA152-BA151,0))) *- $L$154),(IF(BA106=0,0,-MIN(MAX(0,BA156),MAX(0,(BA152-BA151)) * $L$154))) * (IF(AND(AZ106=0,BA106=1),((BA9-Inputs!$L$112)/365),1)))</f>
        <v>0</v>
      </c>
      <c r="BB157" s="425">
        <f>IF(BB142=1,(((MAX(BB152-BB151,0))) *- $L$154),(IF(BB106=0,0,-MIN(MAX(0,BB156),MAX(0,(BB152-BB151)) * $L$154))) * (IF(AND(BA106=0,BB106=1),((BB9-Inputs!$L$112)/365),1)))</f>
        <v>0</v>
      </c>
      <c r="BC157" s="425">
        <f>IF(BC142=1,(((MAX(BC152-BC151,0))) *- $L$154),(IF(BC106=0,0,-MIN(MAX(0,BC156),MAX(0,(BC152-BC151)) * $L$154))) * (IF(AND(BB106=0,BC106=1),((BC9-Inputs!$L$112)/365),1)))</f>
        <v>0</v>
      </c>
      <c r="BD157" s="425">
        <f>IF(BD142=1,(((MAX(BD152-BD151,0))) *- $L$154),(IF(BD106=0,0,-MIN(MAX(0,BD156),MAX(0,(BD152-BD151)) * $L$154))) * (IF(AND(BC106=0,BD106=1),((BD9-Inputs!$L$112)/365),1)))</f>
        <v>0</v>
      </c>
      <c r="BE157" s="425">
        <f>IF(BE142=1,(((MAX(BE152-BE151,0))) *- $L$154),(IF(BE106=0,0,-MIN(MAX(0,BE156),MAX(0,(BE152-BE151)) * $L$154))) * (IF(AND(BD106=0,BE106=1),((BE9-Inputs!$L$112)/365),1)))</f>
        <v>0</v>
      </c>
      <c r="BF157" s="425">
        <f>IF(BF142=1,(((MAX(BF152-BF151,0))) *- $L$154),(IF(BF106=0,0,-MIN(MAX(0,BF156),MAX(0,(BF152-BF151)) * $L$154))) * (IF(AND(BE106=0,BF106=1),((BF9-Inputs!$L$112)/365),1)))</f>
        <v>0</v>
      </c>
      <c r="BG157" s="425">
        <f>IF(BG142=1,(((MAX(BG152-BG151,0))) *- $L$154),(IF(BG106=0,0,-MIN(MAX(0,BG156),MAX(0,(BG152-BG151)) * $L$154))) * (IF(AND(BF106=0,BG106=1),((BG9-Inputs!$L$112)/365),1)))</f>
        <v>0</v>
      </c>
      <c r="BH157" s="425">
        <f>IF(BH142=1,(((MAX(BH152-BH151,0))) *- $L$154),(IF(BH106=0,0,-MIN(MAX(0,BH156),MAX(0,(BH152-BH151)) * $L$154))) * (IF(AND(BG106=0,BH106=1),((BH9-Inputs!$L$112)/365),1)))</f>
        <v>0</v>
      </c>
      <c r="BI157" s="425">
        <f>IF(BI142=1,(((MAX(BI152-BI151,0))) *- $L$154),(IF(BI106=0,0,-MIN(MAX(0,BI156),MAX(0,(BI152-BI151)) * $L$154))) * (IF(AND(BH106=0,BI106=1),((BI9-Inputs!$L$112)/365),1)))</f>
        <v>0</v>
      </c>
      <c r="BJ157" s="425">
        <f>IF(BJ142=1,(((MAX(BJ152-BJ151,0))) *- $L$154),(IF(BJ106=0,0,-MIN(MAX(0,BJ156),MAX(0,(BJ152-BJ151)) * $L$154))) * (IF(AND(BI106=0,BJ106=1),((BJ9-Inputs!$L$112)/365),1)))</f>
        <v>0</v>
      </c>
      <c r="BK157" s="425">
        <f>IF(BK142=1,(((BK152-BK151)) *- $L$154),(IF(BK106=0,0,-MIN(MAX(0,BK156),MAX(0,(BK152-BK151)) * $L$154))) * (IF(AND(BJ106=0,BK106=1),((BK9-Inputs!$L$112)/365),1)))</f>
        <v>0</v>
      </c>
      <c r="BL157" s="425">
        <f>IF(BL142=1,(((BL152-BL151)) *- $L$154),(IF(BL106=0,0,-MIN(MAX(0,BL156),MAX(0,(BL152-BL151)) * $L$154))) * (IF(AND(BK106=0,BL106=1),((BL9-Inputs!$L$112)/365),1)))</f>
        <v>0</v>
      </c>
      <c r="BM157" s="425">
        <f>IF(BM142=1,(((BM152-BM151)) *- $L$154),(IF(BM106=0,0,-MIN(MAX(0,BM156),MAX(0,(BM152-BM151)) * $L$154))) * (IF(AND(BL106=0,BM106=1),((BM9-Inputs!$L$112)/365),1)))</f>
        <v>0</v>
      </c>
      <c r="BN157" s="425">
        <f>IF(BN142=1,(((BN152-BN151)) *- $L$154),(IF(BN106=0,0,-MIN(MAX(0,BN156),MAX(0,(BN152-BN151)) * $L$154))) * (IF(AND(BM106=0,BN106=1),((BN9-Inputs!$L$112)/365),1)))</f>
        <v>0</v>
      </c>
      <c r="BO157" s="425">
        <f>IF(BO142=1,(((BO152-BO151)) *- $L$154),(IF(BO106=0,0,-MIN(MAX(0,BO156),MAX(0,(BO152-BO151)) * $L$154))) * (IF(AND(BN106=0,BO106=1),((BO9-Inputs!$L$112)/365),1)))</f>
        <v>0</v>
      </c>
      <c r="BP157" s="425">
        <f>IF(BP142=1,(((BP152-BP151)) *- $L$154),(IF(BP106=0,0,-MIN(MAX(0,BP156),MAX(0,(BP152-BP151)) * $L$154))) * (IF(AND(BO106=0,BP106=1),((BP9-Inputs!$L$112)/365),1)))</f>
        <v>0</v>
      </c>
      <c r="BQ157" s="425">
        <f>IF(BQ142=1,(((BQ152-BQ151)) *- $L$154),(IF(BQ106=0,0,-MIN(MAX(0,BQ156),MAX(0,(BQ152-BQ151)) * $L$154))) * (IF(AND(BP106=0,BQ106=1),((BQ9-Inputs!$L$112)/365),1)))</f>
        <v>0</v>
      </c>
      <c r="BR157" s="425">
        <f>IF(BR142=1,(((BR152-BR151)) *- $L$154),(IF(BR106=0,0,-MIN(MAX(0,BR156),MAX(0,(BR152-BR151)) * $L$154))) * (IF(AND(BQ106=0,BR106=1),((BR9-Inputs!$L$112)/365),1)))</f>
        <v>0</v>
      </c>
      <c r="BS157" s="425">
        <f>IF(BS142=1,(((BS152-BS151)) *- $L$154),(IF(BS106=0,0,-MIN(MAX(0,BS156),MAX(0,(BS152-BS151)) * $L$154))) * (IF(AND(BR106=0,BS106=1),((BS9-Inputs!$L$112)/365),1)))</f>
        <v>0</v>
      </c>
      <c r="BT157" s="425">
        <f>IF(BT142=1,(((BT152-BT151)) *- $L$154),(IF(BT106=0,0,-MIN(MAX(0,BT156),MAX(0,(BT152-BT151)) * $L$154))) * (IF(AND(BS106=0,BT106=1),((BT9-Inputs!$L$112)/365),1)))</f>
        <v>0</v>
      </c>
      <c r="BU157" s="425">
        <f>IF(BU142=1,(((BU152-BU151)) *- $L$154),(IF(BU106=0,0,-MIN(MAX(0,BU156),MAX(0,(BU152-BU151)) * $L$154))) * (IF(AND(BT106=0,BU106=1),((BU9-Inputs!$L$112)/365),1)))</f>
        <v>0</v>
      </c>
      <c r="BV157" s="255"/>
    </row>
    <row r="158" spans="1:74" x14ac:dyDescent="0.2">
      <c r="A158" s="210"/>
      <c r="B158" s="210"/>
      <c r="C158" s="210"/>
      <c r="D158" s="187" t="s">
        <v>198</v>
      </c>
      <c r="E158" s="210"/>
      <c r="F158" s="210"/>
      <c r="G158" s="210"/>
      <c r="H158" s="210"/>
      <c r="I158" s="210"/>
      <c r="J158" s="210"/>
      <c r="K158" s="622" t="s">
        <v>63</v>
      </c>
      <c r="L158" s="210"/>
      <c r="M158" s="210"/>
      <c r="N158" s="425">
        <f>SUM(Q158:BU158)</f>
        <v>-427654.43840678042</v>
      </c>
      <c r="O158" s="210"/>
      <c r="P158" s="210"/>
      <c r="Q158" s="425"/>
      <c r="R158" s="425">
        <f t="shared" ref="R158:AO158" si="291">IF(-MIN(-SUM(R157:R157),SUM(R126:R127)+SUM(R129:R136))&gt;0,0, -MIN(-SUM(R157:R157),SUM(R126:R127)+SUM(R129:R136)))</f>
        <v>0</v>
      </c>
      <c r="S158" s="425">
        <f t="shared" si="291"/>
        <v>0</v>
      </c>
      <c r="T158" s="425">
        <f t="shared" si="291"/>
        <v>0</v>
      </c>
      <c r="U158" s="425">
        <f t="shared" si="291"/>
        <v>0</v>
      </c>
      <c r="V158" s="425">
        <f t="shared" si="291"/>
        <v>-539.70155717787566</v>
      </c>
      <c r="W158" s="425">
        <f t="shared" si="291"/>
        <v>-776.50559552197228</v>
      </c>
      <c r="X158" s="425">
        <f t="shared" si="291"/>
        <v>-1038.8609910597879</v>
      </c>
      <c r="Y158" s="425">
        <f t="shared" si="291"/>
        <v>-1328.9251559491677</v>
      </c>
      <c r="Z158" s="425">
        <f t="shared" si="291"/>
        <v>-9799.8775139839563</v>
      </c>
      <c r="AA158" s="425">
        <f t="shared" si="291"/>
        <v>-10564.459267585509</v>
      </c>
      <c r="AB158" s="425">
        <f t="shared" si="291"/>
        <v>-12103.575353747059</v>
      </c>
      <c r="AC158" s="425">
        <f t="shared" si="291"/>
        <v>-13807.611377853696</v>
      </c>
      <c r="AD158" s="425">
        <f t="shared" si="291"/>
        <v>-15692.345051913784</v>
      </c>
      <c r="AE158" s="425">
        <f t="shared" si="291"/>
        <v>-18486.313556027482</v>
      </c>
      <c r="AF158" s="425">
        <f t="shared" si="291"/>
        <v>-19549.647371904401</v>
      </c>
      <c r="AG158" s="425">
        <f t="shared" si="291"/>
        <v>-20571.68316826949</v>
      </c>
      <c r="AH158" s="425">
        <f t="shared" si="291"/>
        <v>-21638.662566408457</v>
      </c>
      <c r="AI158" s="425">
        <f t="shared" si="291"/>
        <v>-22751.693539404077</v>
      </c>
      <c r="AJ158" s="425">
        <f t="shared" si="291"/>
        <v>-23911.805743083067</v>
      </c>
      <c r="AK158" s="425">
        <f t="shared" si="291"/>
        <v>-25119.933132307342</v>
      </c>
      <c r="AL158" s="425">
        <f t="shared" si="291"/>
        <v>-26563.539529386209</v>
      </c>
      <c r="AM158" s="425">
        <f t="shared" si="291"/>
        <v>-28083.673987498973</v>
      </c>
      <c r="AN158" s="425">
        <f t="shared" si="291"/>
        <v>-29683.78878483345</v>
      </c>
      <c r="AO158" s="425">
        <f t="shared" si="291"/>
        <v>-31367.430343745451</v>
      </c>
      <c r="AP158" s="425">
        <f t="shared" ref="AP158:BU158" si="292">IF(-MIN(-SUM(AP157:AP157),SUM(AP126:AP127)+SUM(AP129:AP136))&gt;0,0, -MIN(-SUM(AP157:AP157),SUM(AP126:AP127)+SUM(AP129:AP136)))</f>
        <v>-33138.234424650494</v>
      </c>
      <c r="AQ158" s="425">
        <f t="shared" si="292"/>
        <v>-31550.109822034487</v>
      </c>
      <c r="AR158" s="425">
        <f t="shared" si="292"/>
        <v>-29586.060572434217</v>
      </c>
      <c r="AS158" s="425">
        <f t="shared" si="292"/>
        <v>0</v>
      </c>
      <c r="AT158" s="425">
        <f t="shared" si="292"/>
        <v>0</v>
      </c>
      <c r="AU158" s="425">
        <f t="shared" si="292"/>
        <v>0</v>
      </c>
      <c r="AV158" s="425">
        <f t="shared" si="292"/>
        <v>0</v>
      </c>
      <c r="AW158" s="425">
        <f t="shared" si="292"/>
        <v>0</v>
      </c>
      <c r="AX158" s="425">
        <f t="shared" si="292"/>
        <v>0</v>
      </c>
      <c r="AY158" s="425">
        <f t="shared" si="292"/>
        <v>0</v>
      </c>
      <c r="AZ158" s="425">
        <f t="shared" si="292"/>
        <v>0</v>
      </c>
      <c r="BA158" s="425">
        <f t="shared" si="292"/>
        <v>0</v>
      </c>
      <c r="BB158" s="425">
        <f t="shared" si="292"/>
        <v>0</v>
      </c>
      <c r="BC158" s="425">
        <f t="shared" si="292"/>
        <v>0</v>
      </c>
      <c r="BD158" s="425">
        <f t="shared" si="292"/>
        <v>0</v>
      </c>
      <c r="BE158" s="425">
        <f t="shared" si="292"/>
        <v>0</v>
      </c>
      <c r="BF158" s="425">
        <f t="shared" si="292"/>
        <v>0</v>
      </c>
      <c r="BG158" s="425">
        <f t="shared" si="292"/>
        <v>0</v>
      </c>
      <c r="BH158" s="425">
        <f t="shared" si="292"/>
        <v>0</v>
      </c>
      <c r="BI158" s="425">
        <f t="shared" si="292"/>
        <v>0</v>
      </c>
      <c r="BJ158" s="425">
        <f t="shared" si="292"/>
        <v>0</v>
      </c>
      <c r="BK158" s="425">
        <f t="shared" si="292"/>
        <v>0</v>
      </c>
      <c r="BL158" s="425">
        <f t="shared" si="292"/>
        <v>0</v>
      </c>
      <c r="BM158" s="425">
        <f t="shared" si="292"/>
        <v>0</v>
      </c>
      <c r="BN158" s="425">
        <f t="shared" si="292"/>
        <v>0</v>
      </c>
      <c r="BO158" s="425">
        <f t="shared" si="292"/>
        <v>0</v>
      </c>
      <c r="BP158" s="425">
        <f t="shared" si="292"/>
        <v>0</v>
      </c>
      <c r="BQ158" s="425">
        <f t="shared" si="292"/>
        <v>0</v>
      </c>
      <c r="BR158" s="425">
        <f t="shared" si="292"/>
        <v>0</v>
      </c>
      <c r="BS158" s="425">
        <f t="shared" si="292"/>
        <v>0</v>
      </c>
      <c r="BT158" s="425">
        <f t="shared" si="292"/>
        <v>0</v>
      </c>
      <c r="BU158" s="425">
        <f t="shared" si="292"/>
        <v>0</v>
      </c>
      <c r="BV158" s="255"/>
    </row>
    <row r="159" spans="1:74" x14ac:dyDescent="0.2">
      <c r="A159" s="210"/>
      <c r="B159" s="439"/>
      <c r="C159" s="210"/>
      <c r="D159" s="440" t="s">
        <v>199</v>
      </c>
      <c r="E159" s="440"/>
      <c r="F159" s="440"/>
      <c r="G159" s="440"/>
      <c r="H159" s="440"/>
      <c r="I159" s="440"/>
      <c r="J159" s="440"/>
      <c r="K159" s="625" t="s">
        <v>63</v>
      </c>
      <c r="L159" s="440"/>
      <c r="M159" s="440"/>
      <c r="N159" s="736">
        <f>SUM(Q159:BU159)</f>
        <v>-427654.43840678042</v>
      </c>
      <c r="O159" s="440"/>
      <c r="P159" s="440"/>
      <c r="Q159" s="441"/>
      <c r="R159" s="736">
        <f>-Mac!R32</f>
        <v>0</v>
      </c>
      <c r="S159" s="736">
        <f>-Mac!S32</f>
        <v>0</v>
      </c>
      <c r="T159" s="736">
        <f>-Mac!T32</f>
        <v>0</v>
      </c>
      <c r="U159" s="736">
        <f>-Mac!U32</f>
        <v>0</v>
      </c>
      <c r="V159" s="736">
        <f>-Mac!V32</f>
        <v>-539.70155717787566</v>
      </c>
      <c r="W159" s="736">
        <f>-Mac!W32</f>
        <v>-776.50559552197228</v>
      </c>
      <c r="X159" s="736">
        <f>-Mac!X32</f>
        <v>-1038.8609910597879</v>
      </c>
      <c r="Y159" s="736">
        <f>-Mac!Y32</f>
        <v>-1328.9251559491677</v>
      </c>
      <c r="Z159" s="736">
        <f>-Mac!Z32</f>
        <v>-9799.8775139839563</v>
      </c>
      <c r="AA159" s="736">
        <f>-Mac!AA32</f>
        <v>-10564.459267585509</v>
      </c>
      <c r="AB159" s="736">
        <f>-Mac!AB32</f>
        <v>-12103.575353747059</v>
      </c>
      <c r="AC159" s="736">
        <f>-Mac!AC32</f>
        <v>-13807.611377853696</v>
      </c>
      <c r="AD159" s="736">
        <f>-Mac!AD32</f>
        <v>-15692.345051913784</v>
      </c>
      <c r="AE159" s="736">
        <f>-Mac!AE32</f>
        <v>-18486.313556027482</v>
      </c>
      <c r="AF159" s="736">
        <f>-Mac!AF32</f>
        <v>-19549.647371904401</v>
      </c>
      <c r="AG159" s="736">
        <f>-Mac!AG32</f>
        <v>-20571.68316826949</v>
      </c>
      <c r="AH159" s="736">
        <f>-Mac!AH32</f>
        <v>-21638.662566408457</v>
      </c>
      <c r="AI159" s="736">
        <f>-Mac!AI32</f>
        <v>-22751.693539404077</v>
      </c>
      <c r="AJ159" s="736">
        <f>-Mac!AJ32</f>
        <v>-23911.805743083067</v>
      </c>
      <c r="AK159" s="736">
        <f>-Mac!AK32</f>
        <v>-25119.933132307342</v>
      </c>
      <c r="AL159" s="736">
        <f>-Mac!AL32</f>
        <v>-26563.539529386209</v>
      </c>
      <c r="AM159" s="736">
        <f>-Mac!AM32</f>
        <v>-28083.673987498973</v>
      </c>
      <c r="AN159" s="736">
        <f>-Mac!AN32</f>
        <v>-29683.78878483345</v>
      </c>
      <c r="AO159" s="736">
        <f>-Mac!AO32</f>
        <v>-31367.430343745451</v>
      </c>
      <c r="AP159" s="736">
        <f>-Mac!AP32</f>
        <v>-33138.234424650494</v>
      </c>
      <c r="AQ159" s="736">
        <f>-Mac!AQ32</f>
        <v>-31550.109822034487</v>
      </c>
      <c r="AR159" s="736">
        <f>-Mac!AR32</f>
        <v>-29586.060572434217</v>
      </c>
      <c r="AS159" s="736">
        <f>-Mac!AS32</f>
        <v>0</v>
      </c>
      <c r="AT159" s="736">
        <f>-Mac!AT32</f>
        <v>0</v>
      </c>
      <c r="AU159" s="736">
        <f>-Mac!AU32</f>
        <v>0</v>
      </c>
      <c r="AV159" s="736">
        <f>-Mac!AV32</f>
        <v>0</v>
      </c>
      <c r="AW159" s="736">
        <f>-Mac!AW32</f>
        <v>0</v>
      </c>
      <c r="AX159" s="736">
        <f>-Mac!AX32</f>
        <v>0</v>
      </c>
      <c r="AY159" s="736">
        <f>-Mac!AY32</f>
        <v>0</v>
      </c>
      <c r="AZ159" s="736">
        <f>-Mac!AZ32</f>
        <v>0</v>
      </c>
      <c r="BA159" s="736">
        <f>-Mac!BA32</f>
        <v>0</v>
      </c>
      <c r="BB159" s="736">
        <f>-Mac!BB32</f>
        <v>0</v>
      </c>
      <c r="BC159" s="736">
        <f>-Mac!BC32</f>
        <v>0</v>
      </c>
      <c r="BD159" s="736">
        <f>-Mac!BD32</f>
        <v>0</v>
      </c>
      <c r="BE159" s="736">
        <f>-Mac!BE32</f>
        <v>0</v>
      </c>
      <c r="BF159" s="736">
        <f>-Mac!BF32</f>
        <v>0</v>
      </c>
      <c r="BG159" s="736">
        <f>-Mac!BG32</f>
        <v>0</v>
      </c>
      <c r="BH159" s="736">
        <f>-Mac!BH32</f>
        <v>0</v>
      </c>
      <c r="BI159" s="736">
        <f>-Mac!BI32</f>
        <v>0</v>
      </c>
      <c r="BJ159" s="736">
        <f>-Mac!BJ32</f>
        <v>0</v>
      </c>
      <c r="BK159" s="736">
        <f>-Mac!BK32</f>
        <v>0</v>
      </c>
      <c r="BL159" s="736">
        <f>-Mac!BL32</f>
        <v>0</v>
      </c>
      <c r="BM159" s="736">
        <f>-Mac!BM32</f>
        <v>0</v>
      </c>
      <c r="BN159" s="736">
        <f>-Mac!BN32</f>
        <v>0</v>
      </c>
      <c r="BO159" s="736">
        <f>-Mac!BO32</f>
        <v>0</v>
      </c>
      <c r="BP159" s="736">
        <f>-Mac!BP32</f>
        <v>0</v>
      </c>
      <c r="BQ159" s="736">
        <f>-Mac!BQ32</f>
        <v>0</v>
      </c>
      <c r="BR159" s="736">
        <f>-Mac!BR32</f>
        <v>0</v>
      </c>
      <c r="BS159" s="736">
        <f>-Mac!BS32</f>
        <v>0</v>
      </c>
      <c r="BT159" s="736">
        <f>-Mac!BT32</f>
        <v>0</v>
      </c>
      <c r="BU159" s="736">
        <f>-Mac!BU32</f>
        <v>0</v>
      </c>
      <c r="BV159" s="255"/>
    </row>
    <row r="160" spans="1:74" x14ac:dyDescent="0.2">
      <c r="A160" s="186"/>
      <c r="B160" s="442"/>
      <c r="C160" s="411"/>
      <c r="D160" s="411"/>
      <c r="E160" s="411"/>
      <c r="F160" s="411"/>
      <c r="G160" s="411"/>
      <c r="H160" s="411"/>
      <c r="I160" s="411"/>
      <c r="J160" s="411"/>
      <c r="K160" s="626"/>
      <c r="L160" s="411"/>
      <c r="M160" s="411"/>
      <c r="N160" s="411"/>
      <c r="O160" s="411"/>
      <c r="P160" s="411"/>
      <c r="Q160" s="411"/>
      <c r="R160" s="411"/>
      <c r="S160" s="411"/>
      <c r="T160" s="411"/>
      <c r="U160" s="411"/>
      <c r="V160" s="411"/>
      <c r="W160" s="411"/>
      <c r="X160" s="411"/>
      <c r="Y160" s="411"/>
      <c r="Z160" s="411"/>
      <c r="AA160" s="411"/>
      <c r="AB160" s="411"/>
      <c r="AC160" s="411"/>
      <c r="AD160" s="411"/>
      <c r="AE160" s="411"/>
      <c r="AF160" s="411"/>
      <c r="AG160" s="411"/>
      <c r="AH160" s="411"/>
      <c r="AI160" s="411"/>
      <c r="AJ160" s="411"/>
      <c r="AK160" s="411"/>
      <c r="AL160" s="411"/>
      <c r="AM160" s="411"/>
      <c r="AN160" s="411"/>
      <c r="AO160" s="411"/>
      <c r="AP160" s="411"/>
      <c r="AQ160" s="411"/>
      <c r="AR160" s="411"/>
      <c r="AS160" s="411"/>
      <c r="AT160" s="411"/>
      <c r="AU160" s="411"/>
      <c r="AV160" s="411"/>
      <c r="AW160" s="411"/>
      <c r="AX160" s="411"/>
      <c r="AY160" s="411"/>
      <c r="AZ160" s="411"/>
      <c r="BA160" s="411"/>
      <c r="BB160" s="411"/>
      <c r="BC160" s="411"/>
      <c r="BD160" s="411"/>
      <c r="BE160" s="411"/>
      <c r="BF160" s="411"/>
      <c r="BG160" s="411"/>
      <c r="BH160" s="411"/>
      <c r="BI160" s="411"/>
      <c r="BJ160" s="411"/>
      <c r="BK160" s="411"/>
      <c r="BL160" s="411"/>
      <c r="BM160" s="411"/>
      <c r="BN160" s="411"/>
      <c r="BO160" s="411"/>
      <c r="BP160" s="411"/>
      <c r="BQ160" s="411"/>
      <c r="BR160" s="411"/>
      <c r="BS160" s="411"/>
      <c r="BT160" s="411"/>
      <c r="BU160" s="411"/>
      <c r="BV160" s="255"/>
    </row>
    <row r="161" spans="1:73" ht="15.75" x14ac:dyDescent="0.25">
      <c r="A161" s="375"/>
      <c r="B161" s="375" t="s">
        <v>28</v>
      </c>
      <c r="C161" s="375"/>
      <c r="D161" s="375"/>
      <c r="E161" s="375"/>
      <c r="F161" s="375"/>
      <c r="G161" s="375"/>
      <c r="H161" s="375"/>
      <c r="I161" s="375"/>
      <c r="J161" s="375"/>
      <c r="K161" s="615"/>
      <c r="L161" s="375"/>
      <c r="M161" s="375"/>
      <c r="N161" s="375"/>
      <c r="O161" s="376"/>
      <c r="P161" s="377"/>
      <c r="Q161" s="377"/>
      <c r="R161" s="377"/>
      <c r="S161" s="377"/>
      <c r="T161" s="377"/>
      <c r="U161" s="377"/>
      <c r="V161" s="377"/>
      <c r="W161" s="377"/>
      <c r="X161" s="377"/>
      <c r="Y161" s="377"/>
      <c r="Z161" s="377"/>
      <c r="AA161" s="377"/>
      <c r="AB161" s="377"/>
      <c r="AC161" s="377"/>
      <c r="AD161" s="377"/>
      <c r="AE161" s="377"/>
      <c r="AF161" s="377"/>
      <c r="AG161" s="377"/>
      <c r="AH161" s="377"/>
      <c r="AI161" s="377"/>
      <c r="AJ161" s="377"/>
      <c r="AK161" s="377"/>
      <c r="AL161" s="377"/>
      <c r="AM161" s="377"/>
      <c r="AN161" s="377"/>
      <c r="AO161" s="377"/>
      <c r="AP161" s="377"/>
      <c r="AQ161" s="377"/>
      <c r="AR161" s="377"/>
      <c r="AS161" s="377"/>
      <c r="AT161" s="377"/>
      <c r="AU161" s="377"/>
      <c r="AV161" s="377"/>
      <c r="AW161" s="377"/>
      <c r="AX161" s="377"/>
      <c r="AY161" s="377"/>
      <c r="AZ161" s="377"/>
      <c r="BA161" s="377"/>
      <c r="BB161" s="377"/>
      <c r="BC161" s="377"/>
      <c r="BD161" s="377"/>
      <c r="BE161" s="377"/>
      <c r="BF161" s="377"/>
      <c r="BG161" s="377"/>
      <c r="BH161" s="377"/>
      <c r="BI161" s="377"/>
      <c r="BJ161" s="378"/>
      <c r="BK161" s="377"/>
      <c r="BL161" s="377"/>
      <c r="BM161" s="377"/>
      <c r="BN161" s="377"/>
      <c r="BO161" s="377"/>
      <c r="BP161" s="377"/>
      <c r="BQ161" s="377"/>
      <c r="BR161" s="377"/>
      <c r="BS161" s="377"/>
      <c r="BT161" s="377"/>
      <c r="BU161" s="377"/>
    </row>
    <row r="162" spans="1:73" ht="15.75" x14ac:dyDescent="0.25">
      <c r="A162" s="220"/>
      <c r="B162" s="220"/>
      <c r="C162" s="220"/>
      <c r="D162" s="220"/>
      <c r="E162" s="220"/>
      <c r="F162" s="220"/>
      <c r="G162" s="220"/>
      <c r="H162" s="220"/>
      <c r="I162" s="220"/>
      <c r="J162" s="220"/>
      <c r="K162" s="627"/>
      <c r="L162" s="220"/>
      <c r="M162" s="220"/>
      <c r="N162" s="220"/>
      <c r="O162" s="220"/>
      <c r="P162" s="443"/>
      <c r="Q162" s="443"/>
      <c r="R162" s="443"/>
      <c r="S162" s="443"/>
      <c r="T162" s="443"/>
      <c r="U162" s="443"/>
      <c r="V162" s="443"/>
      <c r="W162" s="443"/>
      <c r="X162" s="443"/>
      <c r="Y162" s="443"/>
      <c r="Z162" s="443"/>
      <c r="AA162" s="443"/>
      <c r="AB162" s="443"/>
      <c r="AC162" s="443"/>
      <c r="AD162" s="443"/>
      <c r="AE162" s="443"/>
      <c r="AF162" s="443"/>
      <c r="AG162" s="443"/>
      <c r="AH162" s="443"/>
      <c r="AI162" s="443"/>
      <c r="AJ162" s="443"/>
      <c r="AK162" s="443"/>
      <c r="AL162" s="443"/>
      <c r="AM162" s="443"/>
      <c r="AN162" s="443"/>
      <c r="AO162" s="443"/>
      <c r="AP162" s="443"/>
      <c r="AQ162" s="443"/>
      <c r="AR162" s="443"/>
      <c r="AS162" s="443"/>
      <c r="AT162" s="443"/>
      <c r="AU162" s="443"/>
      <c r="AV162" s="443"/>
      <c r="AW162" s="443"/>
      <c r="AX162" s="443"/>
      <c r="AY162" s="443"/>
      <c r="AZ162" s="443"/>
      <c r="BA162" s="443"/>
      <c r="BB162" s="443"/>
      <c r="BC162" s="443"/>
      <c r="BD162" s="443"/>
      <c r="BE162" s="443"/>
      <c r="BF162" s="443"/>
      <c r="BG162" s="443"/>
      <c r="BH162" s="443"/>
      <c r="BI162" s="443"/>
      <c r="BJ162" s="443"/>
      <c r="BK162" s="443"/>
      <c r="BL162" s="443"/>
      <c r="BM162" s="443"/>
      <c r="BN162" s="443"/>
      <c r="BO162" s="443"/>
      <c r="BP162" s="443"/>
      <c r="BQ162" s="443"/>
      <c r="BR162" s="443"/>
      <c r="BS162" s="443"/>
      <c r="BT162" s="443"/>
      <c r="BU162" s="443"/>
    </row>
    <row r="163" spans="1:73" x14ac:dyDescent="0.2">
      <c r="A163" s="186"/>
      <c r="B163" s="396" t="s">
        <v>167</v>
      </c>
      <c r="C163" s="186"/>
      <c r="D163" s="186"/>
      <c r="E163" s="186"/>
      <c r="F163" s="186"/>
      <c r="G163" s="186"/>
      <c r="H163" s="186"/>
      <c r="I163" s="186"/>
      <c r="J163" s="186"/>
      <c r="K163" s="367"/>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row>
    <row r="164" spans="1:73" x14ac:dyDescent="0.2">
      <c r="A164" s="186"/>
      <c r="B164" s="186"/>
      <c r="C164" s="186" t="s">
        <v>129</v>
      </c>
      <c r="D164" s="186"/>
      <c r="E164" s="186"/>
      <c r="F164" s="186"/>
      <c r="G164" s="186"/>
      <c r="H164" s="186"/>
      <c r="I164" s="186"/>
      <c r="J164" s="186"/>
      <c r="K164" s="367" t="s">
        <v>130</v>
      </c>
      <c r="L164" s="444">
        <f>+Inputs!L153</f>
        <v>1</v>
      </c>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row>
    <row r="165" spans="1:73" x14ac:dyDescent="0.2">
      <c r="A165" s="186"/>
      <c r="B165" s="186"/>
      <c r="C165" s="186"/>
      <c r="D165" s="186"/>
      <c r="E165" s="186"/>
      <c r="F165" s="186"/>
      <c r="G165" s="186"/>
      <c r="H165" s="186"/>
      <c r="I165" s="186"/>
      <c r="J165" s="186"/>
      <c r="K165" s="367"/>
      <c r="L165" s="374"/>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row>
    <row r="166" spans="1:73" s="270" customFormat="1" x14ac:dyDescent="0.2">
      <c r="A166" s="258"/>
      <c r="B166" s="258"/>
      <c r="C166" s="258" t="s">
        <v>200</v>
      </c>
      <c r="D166" s="258"/>
      <c r="E166" s="258"/>
      <c r="F166" s="258"/>
      <c r="G166" s="258"/>
      <c r="H166" s="258"/>
      <c r="I166" s="258"/>
      <c r="J166" s="258"/>
      <c r="K166" s="628" t="s">
        <v>51</v>
      </c>
      <c r="L166" s="485">
        <f>+Inputs!L154</f>
        <v>44012</v>
      </c>
      <c r="M166" s="485"/>
      <c r="N166" s="258"/>
      <c r="O166" s="258"/>
      <c r="P166" s="258"/>
      <c r="Q166" s="486"/>
      <c r="R166" s="486">
        <f t="shared" ref="R166:BJ166" si="293" xml:space="preserve"> ($L$166&lt;=R9)*($L$166&gt;=R8)*$L$164</f>
        <v>0</v>
      </c>
      <c r="S166" s="486">
        <f t="shared" si="293"/>
        <v>0</v>
      </c>
      <c r="T166" s="486">
        <f t="shared" si="293"/>
        <v>0</v>
      </c>
      <c r="U166" s="486">
        <f t="shared" si="293"/>
        <v>1</v>
      </c>
      <c r="V166" s="486">
        <f t="shared" si="293"/>
        <v>0</v>
      </c>
      <c r="W166" s="486">
        <f t="shared" si="293"/>
        <v>0</v>
      </c>
      <c r="X166" s="486">
        <f t="shared" si="293"/>
        <v>0</v>
      </c>
      <c r="Y166" s="486">
        <f t="shared" si="293"/>
        <v>0</v>
      </c>
      <c r="Z166" s="486">
        <f t="shared" si="293"/>
        <v>0</v>
      </c>
      <c r="AA166" s="486">
        <f t="shared" si="293"/>
        <v>0</v>
      </c>
      <c r="AB166" s="486">
        <f t="shared" si="293"/>
        <v>0</v>
      </c>
      <c r="AC166" s="486">
        <f t="shared" si="293"/>
        <v>0</v>
      </c>
      <c r="AD166" s="486">
        <f t="shared" si="293"/>
        <v>0</v>
      </c>
      <c r="AE166" s="486">
        <f t="shared" si="293"/>
        <v>0</v>
      </c>
      <c r="AF166" s="486">
        <f t="shared" si="293"/>
        <v>0</v>
      </c>
      <c r="AG166" s="486">
        <f t="shared" si="293"/>
        <v>0</v>
      </c>
      <c r="AH166" s="486">
        <f t="shared" si="293"/>
        <v>0</v>
      </c>
      <c r="AI166" s="486">
        <f t="shared" si="293"/>
        <v>0</v>
      </c>
      <c r="AJ166" s="486">
        <f t="shared" si="293"/>
        <v>0</v>
      </c>
      <c r="AK166" s="486">
        <f t="shared" si="293"/>
        <v>0</v>
      </c>
      <c r="AL166" s="486">
        <f t="shared" si="293"/>
        <v>0</v>
      </c>
      <c r="AM166" s="486">
        <f t="shared" si="293"/>
        <v>0</v>
      </c>
      <c r="AN166" s="486">
        <f t="shared" si="293"/>
        <v>0</v>
      </c>
      <c r="AO166" s="486">
        <f t="shared" si="293"/>
        <v>0</v>
      </c>
      <c r="AP166" s="486">
        <f t="shared" si="293"/>
        <v>0</v>
      </c>
      <c r="AQ166" s="486">
        <f t="shared" si="293"/>
        <v>0</v>
      </c>
      <c r="AR166" s="486">
        <f t="shared" si="293"/>
        <v>0</v>
      </c>
      <c r="AS166" s="486">
        <f t="shared" si="293"/>
        <v>0</v>
      </c>
      <c r="AT166" s="486">
        <f t="shared" si="293"/>
        <v>0</v>
      </c>
      <c r="AU166" s="486">
        <f t="shared" si="293"/>
        <v>0</v>
      </c>
      <c r="AV166" s="486">
        <f t="shared" si="293"/>
        <v>0</v>
      </c>
      <c r="AW166" s="486">
        <f t="shared" si="293"/>
        <v>0</v>
      </c>
      <c r="AX166" s="486">
        <f t="shared" si="293"/>
        <v>0</v>
      </c>
      <c r="AY166" s="486">
        <f t="shared" si="293"/>
        <v>0</v>
      </c>
      <c r="AZ166" s="486">
        <f t="shared" si="293"/>
        <v>0</v>
      </c>
      <c r="BA166" s="486">
        <f t="shared" si="293"/>
        <v>0</v>
      </c>
      <c r="BB166" s="486">
        <f t="shared" si="293"/>
        <v>0</v>
      </c>
      <c r="BC166" s="486">
        <f t="shared" si="293"/>
        <v>0</v>
      </c>
      <c r="BD166" s="486">
        <f t="shared" si="293"/>
        <v>0</v>
      </c>
      <c r="BE166" s="486">
        <f t="shared" si="293"/>
        <v>0</v>
      </c>
      <c r="BF166" s="486">
        <f t="shared" si="293"/>
        <v>0</v>
      </c>
      <c r="BG166" s="486">
        <f t="shared" si="293"/>
        <v>0</v>
      </c>
      <c r="BH166" s="486">
        <f t="shared" si="293"/>
        <v>0</v>
      </c>
      <c r="BI166" s="486">
        <f t="shared" si="293"/>
        <v>0</v>
      </c>
      <c r="BJ166" s="486">
        <f t="shared" si="293"/>
        <v>0</v>
      </c>
      <c r="BK166" s="486">
        <f t="shared" ref="BK166:BU166" si="294" xml:space="preserve"> ($L$166 &lt;= BK9) * ($L$166 &gt;=BK8) * $L$164</f>
        <v>0</v>
      </c>
      <c r="BL166" s="486">
        <f t="shared" si="294"/>
        <v>0</v>
      </c>
      <c r="BM166" s="486">
        <f t="shared" si="294"/>
        <v>0</v>
      </c>
      <c r="BN166" s="486">
        <f t="shared" si="294"/>
        <v>0</v>
      </c>
      <c r="BO166" s="486">
        <f t="shared" si="294"/>
        <v>0</v>
      </c>
      <c r="BP166" s="486">
        <f t="shared" si="294"/>
        <v>0</v>
      </c>
      <c r="BQ166" s="486">
        <f t="shared" si="294"/>
        <v>0</v>
      </c>
      <c r="BR166" s="486">
        <f t="shared" si="294"/>
        <v>0</v>
      </c>
      <c r="BS166" s="486">
        <f t="shared" si="294"/>
        <v>0</v>
      </c>
      <c r="BT166" s="486">
        <f t="shared" si="294"/>
        <v>0</v>
      </c>
      <c r="BU166" s="486">
        <f t="shared" si="294"/>
        <v>0</v>
      </c>
    </row>
    <row r="167" spans="1:73" x14ac:dyDescent="0.2">
      <c r="A167" s="186"/>
      <c r="B167" s="186"/>
      <c r="C167" s="186" t="s">
        <v>201</v>
      </c>
      <c r="D167" s="186"/>
      <c r="E167" s="186"/>
      <c r="F167" s="186"/>
      <c r="G167" s="186"/>
      <c r="H167" s="186"/>
      <c r="I167" s="186"/>
      <c r="J167" s="186"/>
      <c r="K167" s="367" t="s">
        <v>172</v>
      </c>
      <c r="L167" s="370"/>
      <c r="M167" s="370"/>
      <c r="N167" s="186"/>
      <c r="O167" s="186"/>
      <c r="P167" s="186"/>
      <c r="Q167" s="374"/>
      <c r="R167" s="374">
        <f t="shared" ref="R167:AW167" si="295">+R14</f>
        <v>45</v>
      </c>
      <c r="S167" s="374">
        <f t="shared" si="295"/>
        <v>44</v>
      </c>
      <c r="T167" s="374">
        <f t="shared" si="295"/>
        <v>43</v>
      </c>
      <c r="U167" s="374">
        <f t="shared" si="295"/>
        <v>42</v>
      </c>
      <c r="V167" s="374">
        <f t="shared" si="295"/>
        <v>41</v>
      </c>
      <c r="W167" s="374">
        <f t="shared" si="295"/>
        <v>40</v>
      </c>
      <c r="X167" s="374">
        <f t="shared" si="295"/>
        <v>39</v>
      </c>
      <c r="Y167" s="374">
        <f t="shared" si="295"/>
        <v>38</v>
      </c>
      <c r="Z167" s="374">
        <f t="shared" si="295"/>
        <v>37</v>
      </c>
      <c r="AA167" s="374">
        <f t="shared" si="295"/>
        <v>36</v>
      </c>
      <c r="AB167" s="374">
        <f t="shared" si="295"/>
        <v>35</v>
      </c>
      <c r="AC167" s="374">
        <f t="shared" si="295"/>
        <v>34</v>
      </c>
      <c r="AD167" s="374">
        <f t="shared" si="295"/>
        <v>33</v>
      </c>
      <c r="AE167" s="374">
        <f t="shared" si="295"/>
        <v>32</v>
      </c>
      <c r="AF167" s="374">
        <f t="shared" si="295"/>
        <v>31</v>
      </c>
      <c r="AG167" s="374">
        <f t="shared" si="295"/>
        <v>30</v>
      </c>
      <c r="AH167" s="374">
        <f t="shared" si="295"/>
        <v>29</v>
      </c>
      <c r="AI167" s="374">
        <f t="shared" si="295"/>
        <v>28</v>
      </c>
      <c r="AJ167" s="374">
        <f t="shared" si="295"/>
        <v>27</v>
      </c>
      <c r="AK167" s="374">
        <f t="shared" si="295"/>
        <v>26</v>
      </c>
      <c r="AL167" s="374">
        <f t="shared" si="295"/>
        <v>25</v>
      </c>
      <c r="AM167" s="374">
        <f t="shared" si="295"/>
        <v>24</v>
      </c>
      <c r="AN167" s="374">
        <f t="shared" si="295"/>
        <v>23</v>
      </c>
      <c r="AO167" s="374">
        <f t="shared" si="295"/>
        <v>22</v>
      </c>
      <c r="AP167" s="374">
        <f t="shared" si="295"/>
        <v>21</v>
      </c>
      <c r="AQ167" s="374">
        <f t="shared" si="295"/>
        <v>20</v>
      </c>
      <c r="AR167" s="374">
        <f t="shared" si="295"/>
        <v>19</v>
      </c>
      <c r="AS167" s="374">
        <f t="shared" si="295"/>
        <v>18</v>
      </c>
      <c r="AT167" s="374">
        <f t="shared" si="295"/>
        <v>17</v>
      </c>
      <c r="AU167" s="374">
        <f t="shared" si="295"/>
        <v>16</v>
      </c>
      <c r="AV167" s="374">
        <f t="shared" si="295"/>
        <v>15</v>
      </c>
      <c r="AW167" s="374">
        <f t="shared" si="295"/>
        <v>14</v>
      </c>
      <c r="AX167" s="374">
        <f t="shared" ref="AX167:BU167" si="296">+AX14</f>
        <v>13</v>
      </c>
      <c r="AY167" s="374">
        <f t="shared" si="296"/>
        <v>12</v>
      </c>
      <c r="AZ167" s="374">
        <f t="shared" si="296"/>
        <v>11</v>
      </c>
      <c r="BA167" s="374">
        <f t="shared" si="296"/>
        <v>10</v>
      </c>
      <c r="BB167" s="374">
        <f t="shared" si="296"/>
        <v>9</v>
      </c>
      <c r="BC167" s="374">
        <f t="shared" si="296"/>
        <v>8</v>
      </c>
      <c r="BD167" s="374">
        <f t="shared" si="296"/>
        <v>7</v>
      </c>
      <c r="BE167" s="374">
        <f t="shared" si="296"/>
        <v>6</v>
      </c>
      <c r="BF167" s="374">
        <f t="shared" si="296"/>
        <v>5</v>
      </c>
      <c r="BG167" s="374">
        <f t="shared" si="296"/>
        <v>4</v>
      </c>
      <c r="BH167" s="374">
        <f t="shared" si="296"/>
        <v>3</v>
      </c>
      <c r="BI167" s="374">
        <f t="shared" si="296"/>
        <v>2</v>
      </c>
      <c r="BJ167" s="374">
        <f t="shared" si="296"/>
        <v>1</v>
      </c>
      <c r="BK167" s="374">
        <f t="shared" si="296"/>
        <v>0</v>
      </c>
      <c r="BL167" s="374">
        <f t="shared" si="296"/>
        <v>0</v>
      </c>
      <c r="BM167" s="374">
        <f t="shared" si="296"/>
        <v>0</v>
      </c>
      <c r="BN167" s="374">
        <f t="shared" si="296"/>
        <v>0</v>
      </c>
      <c r="BO167" s="374">
        <f t="shared" si="296"/>
        <v>0</v>
      </c>
      <c r="BP167" s="374">
        <f t="shared" si="296"/>
        <v>0</v>
      </c>
      <c r="BQ167" s="374">
        <f t="shared" si="296"/>
        <v>0</v>
      </c>
      <c r="BR167" s="374">
        <f t="shared" si="296"/>
        <v>0</v>
      </c>
      <c r="BS167" s="374">
        <f t="shared" si="296"/>
        <v>0</v>
      </c>
      <c r="BT167" s="374">
        <f t="shared" si="296"/>
        <v>0</v>
      </c>
      <c r="BU167" s="374">
        <f t="shared" si="296"/>
        <v>0</v>
      </c>
    </row>
    <row r="168" spans="1:73" x14ac:dyDescent="0.2">
      <c r="A168" s="186"/>
      <c r="B168" s="186"/>
      <c r="C168" s="186" t="s">
        <v>202</v>
      </c>
      <c r="D168" s="186"/>
      <c r="E168" s="186"/>
      <c r="F168" s="186"/>
      <c r="G168" s="186"/>
      <c r="H168" s="186"/>
      <c r="I168" s="186"/>
      <c r="J168" s="186"/>
      <c r="K168" s="367" t="s">
        <v>124</v>
      </c>
      <c r="L168" s="188">
        <f>+Inputs!L155</f>
        <v>5</v>
      </c>
      <c r="M168" s="370"/>
      <c r="N168" s="186"/>
      <c r="O168" s="186"/>
      <c r="P168" s="186"/>
      <c r="Q168" s="371"/>
      <c r="R168" s="371">
        <f t="shared" ref="R168:AW168" si="297">(($L$168 ) &gt;= R167) * R$13</f>
        <v>0</v>
      </c>
      <c r="S168" s="371">
        <f t="shared" si="297"/>
        <v>0</v>
      </c>
      <c r="T168" s="371">
        <f t="shared" si="297"/>
        <v>0</v>
      </c>
      <c r="U168" s="371">
        <f t="shared" si="297"/>
        <v>0</v>
      </c>
      <c r="V168" s="371">
        <f t="shared" si="297"/>
        <v>0</v>
      </c>
      <c r="W168" s="371">
        <f t="shared" si="297"/>
        <v>0</v>
      </c>
      <c r="X168" s="371">
        <f t="shared" si="297"/>
        <v>0</v>
      </c>
      <c r="Y168" s="371">
        <f t="shared" si="297"/>
        <v>0</v>
      </c>
      <c r="Z168" s="371">
        <f t="shared" si="297"/>
        <v>0</v>
      </c>
      <c r="AA168" s="371">
        <f t="shared" si="297"/>
        <v>0</v>
      </c>
      <c r="AB168" s="371">
        <f t="shared" si="297"/>
        <v>0</v>
      </c>
      <c r="AC168" s="371">
        <f t="shared" si="297"/>
        <v>0</v>
      </c>
      <c r="AD168" s="371">
        <f t="shared" si="297"/>
        <v>0</v>
      </c>
      <c r="AE168" s="371">
        <f t="shared" si="297"/>
        <v>0</v>
      </c>
      <c r="AF168" s="371">
        <f t="shared" si="297"/>
        <v>0</v>
      </c>
      <c r="AG168" s="371">
        <f t="shared" si="297"/>
        <v>0</v>
      </c>
      <c r="AH168" s="371">
        <f t="shared" si="297"/>
        <v>0</v>
      </c>
      <c r="AI168" s="371">
        <f t="shared" si="297"/>
        <v>0</v>
      </c>
      <c r="AJ168" s="371">
        <f t="shared" si="297"/>
        <v>0</v>
      </c>
      <c r="AK168" s="371">
        <f t="shared" si="297"/>
        <v>0</v>
      </c>
      <c r="AL168" s="371">
        <f t="shared" si="297"/>
        <v>0</v>
      </c>
      <c r="AM168" s="371">
        <f t="shared" si="297"/>
        <v>0</v>
      </c>
      <c r="AN168" s="371">
        <f t="shared" si="297"/>
        <v>0</v>
      </c>
      <c r="AO168" s="371">
        <f t="shared" si="297"/>
        <v>0</v>
      </c>
      <c r="AP168" s="371">
        <f t="shared" si="297"/>
        <v>0</v>
      </c>
      <c r="AQ168" s="371">
        <f t="shared" si="297"/>
        <v>0</v>
      </c>
      <c r="AR168" s="371">
        <f t="shared" si="297"/>
        <v>0</v>
      </c>
      <c r="AS168" s="371">
        <f t="shared" si="297"/>
        <v>0</v>
      </c>
      <c r="AT168" s="371">
        <f t="shared" si="297"/>
        <v>0</v>
      </c>
      <c r="AU168" s="371">
        <f t="shared" si="297"/>
        <v>0</v>
      </c>
      <c r="AV168" s="371">
        <f t="shared" si="297"/>
        <v>0</v>
      </c>
      <c r="AW168" s="371">
        <f t="shared" si="297"/>
        <v>0</v>
      </c>
      <c r="AX168" s="371">
        <f t="shared" ref="AX168:BU168" si="298">(($L$168 ) &gt;= AX167) * AX$13</f>
        <v>0</v>
      </c>
      <c r="AY168" s="371">
        <f t="shared" si="298"/>
        <v>0</v>
      </c>
      <c r="AZ168" s="371">
        <f t="shared" si="298"/>
        <v>0</v>
      </c>
      <c r="BA168" s="371">
        <f t="shared" si="298"/>
        <v>0</v>
      </c>
      <c r="BB168" s="371">
        <f t="shared" si="298"/>
        <v>0</v>
      </c>
      <c r="BC168" s="371">
        <f t="shared" si="298"/>
        <v>0</v>
      </c>
      <c r="BD168" s="371">
        <f t="shared" si="298"/>
        <v>0</v>
      </c>
      <c r="BE168" s="371">
        <f t="shared" si="298"/>
        <v>0</v>
      </c>
      <c r="BF168" s="371">
        <f t="shared" si="298"/>
        <v>1</v>
      </c>
      <c r="BG168" s="371">
        <f t="shared" si="298"/>
        <v>1</v>
      </c>
      <c r="BH168" s="371">
        <f t="shared" si="298"/>
        <v>1</v>
      </c>
      <c r="BI168" s="371">
        <f t="shared" si="298"/>
        <v>1</v>
      </c>
      <c r="BJ168" s="371">
        <f t="shared" si="298"/>
        <v>1</v>
      </c>
      <c r="BK168" s="371">
        <f t="shared" si="298"/>
        <v>0</v>
      </c>
      <c r="BL168" s="371">
        <f t="shared" si="298"/>
        <v>0</v>
      </c>
      <c r="BM168" s="371">
        <f t="shared" si="298"/>
        <v>0</v>
      </c>
      <c r="BN168" s="371">
        <f t="shared" si="298"/>
        <v>0</v>
      </c>
      <c r="BO168" s="371">
        <f t="shared" si="298"/>
        <v>0</v>
      </c>
      <c r="BP168" s="371">
        <f t="shared" si="298"/>
        <v>0</v>
      </c>
      <c r="BQ168" s="371">
        <f t="shared" si="298"/>
        <v>0</v>
      </c>
      <c r="BR168" s="371">
        <f t="shared" si="298"/>
        <v>0</v>
      </c>
      <c r="BS168" s="371">
        <f t="shared" si="298"/>
        <v>0</v>
      </c>
      <c r="BT168" s="371">
        <f t="shared" si="298"/>
        <v>0</v>
      </c>
      <c r="BU168" s="371">
        <f t="shared" si="298"/>
        <v>0</v>
      </c>
    </row>
    <row r="169" spans="1:73" x14ac:dyDescent="0.2">
      <c r="A169" s="186"/>
      <c r="B169" s="186"/>
      <c r="C169" s="186" t="s">
        <v>139</v>
      </c>
      <c r="D169" s="186"/>
      <c r="E169" s="186"/>
      <c r="F169" s="186"/>
      <c r="G169" s="186"/>
      <c r="H169" s="186"/>
      <c r="I169" s="186"/>
      <c r="J169" s="186"/>
      <c r="K169" s="367" t="s">
        <v>124</v>
      </c>
      <c r="L169" s="445">
        <f>+Inputs!L156</f>
        <v>11</v>
      </c>
      <c r="M169" s="370"/>
      <c r="N169" s="374">
        <f>SUM(Q169:BU169)</f>
        <v>11</v>
      </c>
      <c r="O169" s="186"/>
      <c r="P169" s="186"/>
      <c r="Q169" s="371"/>
      <c r="R169" s="371">
        <f t="shared" ref="R169:AW169" si="299">(($L$169 + $L$168) &gt;= R$167) * (1 - R$168) * R$13</f>
        <v>0</v>
      </c>
      <c r="S169" s="371">
        <f t="shared" si="299"/>
        <v>0</v>
      </c>
      <c r="T169" s="371">
        <f t="shared" si="299"/>
        <v>0</v>
      </c>
      <c r="U169" s="371">
        <f t="shared" si="299"/>
        <v>0</v>
      </c>
      <c r="V169" s="371">
        <f t="shared" si="299"/>
        <v>0</v>
      </c>
      <c r="W169" s="371">
        <f t="shared" si="299"/>
        <v>0</v>
      </c>
      <c r="X169" s="371">
        <f t="shared" si="299"/>
        <v>0</v>
      </c>
      <c r="Y169" s="371">
        <f t="shared" si="299"/>
        <v>0</v>
      </c>
      <c r="Z169" s="371">
        <f t="shared" si="299"/>
        <v>0</v>
      </c>
      <c r="AA169" s="371">
        <f t="shared" si="299"/>
        <v>0</v>
      </c>
      <c r="AB169" s="371">
        <f t="shared" si="299"/>
        <v>0</v>
      </c>
      <c r="AC169" s="371">
        <f t="shared" si="299"/>
        <v>0</v>
      </c>
      <c r="AD169" s="371">
        <f t="shared" si="299"/>
        <v>0</v>
      </c>
      <c r="AE169" s="371">
        <f t="shared" si="299"/>
        <v>0</v>
      </c>
      <c r="AF169" s="371">
        <f t="shared" si="299"/>
        <v>0</v>
      </c>
      <c r="AG169" s="371">
        <f t="shared" si="299"/>
        <v>0</v>
      </c>
      <c r="AH169" s="371">
        <f t="shared" si="299"/>
        <v>0</v>
      </c>
      <c r="AI169" s="371">
        <f t="shared" si="299"/>
        <v>0</v>
      </c>
      <c r="AJ169" s="371">
        <f t="shared" si="299"/>
        <v>0</v>
      </c>
      <c r="AK169" s="371">
        <f t="shared" si="299"/>
        <v>0</v>
      </c>
      <c r="AL169" s="371">
        <f t="shared" si="299"/>
        <v>0</v>
      </c>
      <c r="AM169" s="371">
        <f t="shared" si="299"/>
        <v>0</v>
      </c>
      <c r="AN169" s="371">
        <f t="shared" si="299"/>
        <v>0</v>
      </c>
      <c r="AO169" s="371">
        <f t="shared" si="299"/>
        <v>0</v>
      </c>
      <c r="AP169" s="371">
        <f t="shared" si="299"/>
        <v>0</v>
      </c>
      <c r="AQ169" s="371">
        <f t="shared" si="299"/>
        <v>0</v>
      </c>
      <c r="AR169" s="371">
        <f t="shared" si="299"/>
        <v>0</v>
      </c>
      <c r="AS169" s="371">
        <f t="shared" si="299"/>
        <v>0</v>
      </c>
      <c r="AT169" s="371">
        <f t="shared" si="299"/>
        <v>0</v>
      </c>
      <c r="AU169" s="371">
        <f t="shared" si="299"/>
        <v>1</v>
      </c>
      <c r="AV169" s="371">
        <f t="shared" si="299"/>
        <v>1</v>
      </c>
      <c r="AW169" s="371">
        <f t="shared" si="299"/>
        <v>1</v>
      </c>
      <c r="AX169" s="371">
        <f t="shared" ref="AX169:BU169" si="300">(($L$169 + $L$168) &gt;= AX$167) * (1 - AX$168) * AX$13</f>
        <v>1</v>
      </c>
      <c r="AY169" s="371">
        <f t="shared" si="300"/>
        <v>1</v>
      </c>
      <c r="AZ169" s="371">
        <f t="shared" si="300"/>
        <v>1</v>
      </c>
      <c r="BA169" s="371">
        <f t="shared" si="300"/>
        <v>1</v>
      </c>
      <c r="BB169" s="371">
        <f t="shared" si="300"/>
        <v>1</v>
      </c>
      <c r="BC169" s="371">
        <f t="shared" si="300"/>
        <v>1</v>
      </c>
      <c r="BD169" s="371">
        <f t="shared" si="300"/>
        <v>1</v>
      </c>
      <c r="BE169" s="371">
        <f t="shared" si="300"/>
        <v>1</v>
      </c>
      <c r="BF169" s="371">
        <f t="shared" si="300"/>
        <v>0</v>
      </c>
      <c r="BG169" s="371">
        <f t="shared" si="300"/>
        <v>0</v>
      </c>
      <c r="BH169" s="371">
        <f t="shared" si="300"/>
        <v>0</v>
      </c>
      <c r="BI169" s="371">
        <f t="shared" si="300"/>
        <v>0</v>
      </c>
      <c r="BJ169" s="371">
        <f t="shared" si="300"/>
        <v>0</v>
      </c>
      <c r="BK169" s="371">
        <f t="shared" si="300"/>
        <v>0</v>
      </c>
      <c r="BL169" s="371">
        <f t="shared" si="300"/>
        <v>0</v>
      </c>
      <c r="BM169" s="371">
        <f t="shared" si="300"/>
        <v>0</v>
      </c>
      <c r="BN169" s="371">
        <f t="shared" si="300"/>
        <v>0</v>
      </c>
      <c r="BO169" s="371">
        <f t="shared" si="300"/>
        <v>0</v>
      </c>
      <c r="BP169" s="371">
        <f t="shared" si="300"/>
        <v>0</v>
      </c>
      <c r="BQ169" s="371">
        <f t="shared" si="300"/>
        <v>0</v>
      </c>
      <c r="BR169" s="371">
        <f t="shared" si="300"/>
        <v>0</v>
      </c>
      <c r="BS169" s="371">
        <f t="shared" si="300"/>
        <v>0</v>
      </c>
      <c r="BT169" s="371">
        <f t="shared" si="300"/>
        <v>0</v>
      </c>
      <c r="BU169" s="371">
        <f t="shared" si="300"/>
        <v>0</v>
      </c>
    </row>
    <row r="170" spans="1:73" x14ac:dyDescent="0.2">
      <c r="A170" s="186"/>
      <c r="B170" s="186"/>
      <c r="C170" s="186" t="s">
        <v>171</v>
      </c>
      <c r="D170" s="186"/>
      <c r="E170" s="186"/>
      <c r="F170" s="186"/>
      <c r="G170" s="186"/>
      <c r="H170" s="186"/>
      <c r="I170" s="186"/>
      <c r="J170" s="186"/>
      <c r="K170" s="367" t="s">
        <v>172</v>
      </c>
      <c r="L170" s="370"/>
      <c r="M170" s="370"/>
      <c r="N170" s="374"/>
      <c r="O170" s="186"/>
      <c r="P170" s="186"/>
      <c r="Q170" s="373"/>
      <c r="R170" s="374">
        <f t="shared" ref="R170:AO170" si="301">IF(R169,Q170 + R169,0)</f>
        <v>0</v>
      </c>
      <c r="S170" s="374">
        <f t="shared" si="301"/>
        <v>0</v>
      </c>
      <c r="T170" s="374">
        <f t="shared" si="301"/>
        <v>0</v>
      </c>
      <c r="U170" s="374">
        <f t="shared" si="301"/>
        <v>0</v>
      </c>
      <c r="V170" s="374">
        <f t="shared" si="301"/>
        <v>0</v>
      </c>
      <c r="W170" s="374">
        <f t="shared" si="301"/>
        <v>0</v>
      </c>
      <c r="X170" s="374">
        <f t="shared" si="301"/>
        <v>0</v>
      </c>
      <c r="Y170" s="374">
        <f t="shared" si="301"/>
        <v>0</v>
      </c>
      <c r="Z170" s="374">
        <f t="shared" si="301"/>
        <v>0</v>
      </c>
      <c r="AA170" s="374">
        <f t="shared" si="301"/>
        <v>0</v>
      </c>
      <c r="AB170" s="374">
        <f t="shared" si="301"/>
        <v>0</v>
      </c>
      <c r="AC170" s="374">
        <f t="shared" si="301"/>
        <v>0</v>
      </c>
      <c r="AD170" s="374">
        <f t="shared" si="301"/>
        <v>0</v>
      </c>
      <c r="AE170" s="374">
        <f t="shared" si="301"/>
        <v>0</v>
      </c>
      <c r="AF170" s="374">
        <f t="shared" si="301"/>
        <v>0</v>
      </c>
      <c r="AG170" s="374">
        <f t="shared" si="301"/>
        <v>0</v>
      </c>
      <c r="AH170" s="374">
        <f t="shared" si="301"/>
        <v>0</v>
      </c>
      <c r="AI170" s="374">
        <f t="shared" si="301"/>
        <v>0</v>
      </c>
      <c r="AJ170" s="374">
        <f t="shared" si="301"/>
        <v>0</v>
      </c>
      <c r="AK170" s="374">
        <f t="shared" si="301"/>
        <v>0</v>
      </c>
      <c r="AL170" s="374">
        <f t="shared" si="301"/>
        <v>0</v>
      </c>
      <c r="AM170" s="374">
        <f t="shared" si="301"/>
        <v>0</v>
      </c>
      <c r="AN170" s="374">
        <f t="shared" si="301"/>
        <v>0</v>
      </c>
      <c r="AO170" s="374">
        <f t="shared" si="301"/>
        <v>0</v>
      </c>
      <c r="AP170" s="374">
        <f t="shared" ref="AP170:BU170" si="302">IF(AP169,AO170 + AP169,0)</f>
        <v>0</v>
      </c>
      <c r="AQ170" s="374">
        <f t="shared" si="302"/>
        <v>0</v>
      </c>
      <c r="AR170" s="374">
        <f t="shared" si="302"/>
        <v>0</v>
      </c>
      <c r="AS170" s="374">
        <f t="shared" si="302"/>
        <v>0</v>
      </c>
      <c r="AT170" s="374">
        <f t="shared" si="302"/>
        <v>0</v>
      </c>
      <c r="AU170" s="374">
        <f t="shared" si="302"/>
        <v>1</v>
      </c>
      <c r="AV170" s="374">
        <f t="shared" si="302"/>
        <v>2</v>
      </c>
      <c r="AW170" s="374">
        <f t="shared" si="302"/>
        <v>3</v>
      </c>
      <c r="AX170" s="374">
        <f t="shared" si="302"/>
        <v>4</v>
      </c>
      <c r="AY170" s="374">
        <f t="shared" si="302"/>
        <v>5</v>
      </c>
      <c r="AZ170" s="374">
        <f t="shared" si="302"/>
        <v>6</v>
      </c>
      <c r="BA170" s="374">
        <f t="shared" si="302"/>
        <v>7</v>
      </c>
      <c r="BB170" s="374">
        <f t="shared" si="302"/>
        <v>8</v>
      </c>
      <c r="BC170" s="374">
        <f t="shared" si="302"/>
        <v>9</v>
      </c>
      <c r="BD170" s="374">
        <f t="shared" si="302"/>
        <v>10</v>
      </c>
      <c r="BE170" s="374">
        <f t="shared" si="302"/>
        <v>11</v>
      </c>
      <c r="BF170" s="374">
        <f t="shared" si="302"/>
        <v>0</v>
      </c>
      <c r="BG170" s="374">
        <f t="shared" si="302"/>
        <v>0</v>
      </c>
      <c r="BH170" s="374">
        <f t="shared" si="302"/>
        <v>0</v>
      </c>
      <c r="BI170" s="374">
        <f t="shared" si="302"/>
        <v>0</v>
      </c>
      <c r="BJ170" s="374">
        <f t="shared" si="302"/>
        <v>0</v>
      </c>
      <c r="BK170" s="374">
        <f t="shared" si="302"/>
        <v>0</v>
      </c>
      <c r="BL170" s="374">
        <f t="shared" si="302"/>
        <v>0</v>
      </c>
      <c r="BM170" s="374">
        <f t="shared" si="302"/>
        <v>0</v>
      </c>
      <c r="BN170" s="374">
        <f t="shared" si="302"/>
        <v>0</v>
      </c>
      <c r="BO170" s="374">
        <f t="shared" si="302"/>
        <v>0</v>
      </c>
      <c r="BP170" s="374">
        <f t="shared" si="302"/>
        <v>0</v>
      </c>
      <c r="BQ170" s="374">
        <f t="shared" si="302"/>
        <v>0</v>
      </c>
      <c r="BR170" s="374">
        <f t="shared" si="302"/>
        <v>0</v>
      </c>
      <c r="BS170" s="374">
        <f t="shared" si="302"/>
        <v>0</v>
      </c>
      <c r="BT170" s="374">
        <f t="shared" si="302"/>
        <v>0</v>
      </c>
      <c r="BU170" s="374">
        <f t="shared" si="302"/>
        <v>0</v>
      </c>
    </row>
    <row r="171" spans="1:73" x14ac:dyDescent="0.2">
      <c r="A171" s="186"/>
      <c r="B171" s="186"/>
      <c r="C171" s="186"/>
      <c r="D171" s="186"/>
      <c r="E171" s="186"/>
      <c r="F171" s="186"/>
      <c r="G171" s="186"/>
      <c r="H171" s="186"/>
      <c r="I171" s="186"/>
      <c r="J171" s="186"/>
      <c r="K171" s="367"/>
      <c r="L171" s="370"/>
      <c r="M171" s="370"/>
      <c r="N171" s="374"/>
      <c r="O171" s="186"/>
      <c r="P171" s="186"/>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row>
    <row r="172" spans="1:73" x14ac:dyDescent="0.2">
      <c r="A172" s="186"/>
      <c r="B172" s="186"/>
      <c r="C172" s="186" t="s">
        <v>331</v>
      </c>
      <c r="D172" s="186"/>
      <c r="E172" s="186"/>
      <c r="F172" s="186"/>
      <c r="G172" s="186"/>
      <c r="H172" s="186"/>
      <c r="I172" s="186"/>
      <c r="J172" s="186"/>
      <c r="K172" s="367"/>
      <c r="L172" s="370"/>
      <c r="M172" s="370"/>
      <c r="N172" s="374"/>
      <c r="O172" s="186"/>
      <c r="P172" s="186"/>
      <c r="Q172" s="413"/>
      <c r="R172" s="413">
        <f t="shared" ref="R172:AW172" si="303">1-R82</f>
        <v>0</v>
      </c>
      <c r="S172" s="413">
        <f t="shared" si="303"/>
        <v>0</v>
      </c>
      <c r="T172" s="413">
        <f t="shared" si="303"/>
        <v>0</v>
      </c>
      <c r="U172" s="413">
        <f t="shared" si="303"/>
        <v>0.5</v>
      </c>
      <c r="V172" s="413">
        <f t="shared" si="303"/>
        <v>1</v>
      </c>
      <c r="W172" s="413">
        <f t="shared" si="303"/>
        <v>1</v>
      </c>
      <c r="X172" s="413">
        <f t="shared" si="303"/>
        <v>1</v>
      </c>
      <c r="Y172" s="413">
        <f t="shared" si="303"/>
        <v>1</v>
      </c>
      <c r="Z172" s="413">
        <f t="shared" si="303"/>
        <v>1</v>
      </c>
      <c r="AA172" s="413">
        <f t="shared" si="303"/>
        <v>1</v>
      </c>
      <c r="AB172" s="413">
        <f t="shared" si="303"/>
        <v>1</v>
      </c>
      <c r="AC172" s="413">
        <f t="shared" si="303"/>
        <v>1</v>
      </c>
      <c r="AD172" s="413">
        <f t="shared" si="303"/>
        <v>1</v>
      </c>
      <c r="AE172" s="413">
        <f t="shared" si="303"/>
        <v>1</v>
      </c>
      <c r="AF172" s="413">
        <f t="shared" si="303"/>
        <v>1</v>
      </c>
      <c r="AG172" s="413">
        <f t="shared" si="303"/>
        <v>1</v>
      </c>
      <c r="AH172" s="413">
        <f t="shared" si="303"/>
        <v>1</v>
      </c>
      <c r="AI172" s="413">
        <f t="shared" si="303"/>
        <v>1</v>
      </c>
      <c r="AJ172" s="413">
        <f t="shared" si="303"/>
        <v>1</v>
      </c>
      <c r="AK172" s="413">
        <f t="shared" si="303"/>
        <v>1</v>
      </c>
      <c r="AL172" s="413">
        <f t="shared" si="303"/>
        <v>1</v>
      </c>
      <c r="AM172" s="413">
        <f t="shared" si="303"/>
        <v>1</v>
      </c>
      <c r="AN172" s="413">
        <f t="shared" si="303"/>
        <v>1</v>
      </c>
      <c r="AO172" s="413">
        <f t="shared" si="303"/>
        <v>1</v>
      </c>
      <c r="AP172" s="413">
        <f t="shared" si="303"/>
        <v>1</v>
      </c>
      <c r="AQ172" s="413">
        <f t="shared" si="303"/>
        <v>1</v>
      </c>
      <c r="AR172" s="413">
        <f t="shared" si="303"/>
        <v>1</v>
      </c>
      <c r="AS172" s="413">
        <f t="shared" si="303"/>
        <v>1</v>
      </c>
      <c r="AT172" s="413">
        <f t="shared" si="303"/>
        <v>1</v>
      </c>
      <c r="AU172" s="413">
        <f t="shared" si="303"/>
        <v>1</v>
      </c>
      <c r="AV172" s="413">
        <f t="shared" si="303"/>
        <v>1</v>
      </c>
      <c r="AW172" s="413">
        <f t="shared" si="303"/>
        <v>1</v>
      </c>
      <c r="AX172" s="413">
        <f t="shared" ref="AX172:BU172" si="304">1-AX82</f>
        <v>1</v>
      </c>
      <c r="AY172" s="413">
        <f t="shared" si="304"/>
        <v>1</v>
      </c>
      <c r="AZ172" s="413">
        <f t="shared" si="304"/>
        <v>1</v>
      </c>
      <c r="BA172" s="413">
        <f t="shared" si="304"/>
        <v>1</v>
      </c>
      <c r="BB172" s="413">
        <f t="shared" si="304"/>
        <v>1</v>
      </c>
      <c r="BC172" s="413">
        <f t="shared" si="304"/>
        <v>1</v>
      </c>
      <c r="BD172" s="413">
        <f t="shared" si="304"/>
        <v>1</v>
      </c>
      <c r="BE172" s="413">
        <f t="shared" si="304"/>
        <v>1</v>
      </c>
      <c r="BF172" s="413">
        <f t="shared" si="304"/>
        <v>1</v>
      </c>
      <c r="BG172" s="413">
        <f t="shared" si="304"/>
        <v>1</v>
      </c>
      <c r="BH172" s="413">
        <f t="shared" si="304"/>
        <v>1</v>
      </c>
      <c r="BI172" s="413">
        <f t="shared" si="304"/>
        <v>1</v>
      </c>
      <c r="BJ172" s="413">
        <f t="shared" si="304"/>
        <v>1</v>
      </c>
      <c r="BK172" s="413">
        <f t="shared" si="304"/>
        <v>1</v>
      </c>
      <c r="BL172" s="413">
        <f t="shared" si="304"/>
        <v>1</v>
      </c>
      <c r="BM172" s="413">
        <f t="shared" si="304"/>
        <v>1</v>
      </c>
      <c r="BN172" s="413">
        <f t="shared" si="304"/>
        <v>1</v>
      </c>
      <c r="BO172" s="413">
        <f t="shared" si="304"/>
        <v>1</v>
      </c>
      <c r="BP172" s="413">
        <f t="shared" si="304"/>
        <v>1</v>
      </c>
      <c r="BQ172" s="413">
        <f t="shared" si="304"/>
        <v>1</v>
      </c>
      <c r="BR172" s="413">
        <f t="shared" si="304"/>
        <v>1</v>
      </c>
      <c r="BS172" s="413">
        <f t="shared" si="304"/>
        <v>1</v>
      </c>
      <c r="BT172" s="413">
        <f t="shared" si="304"/>
        <v>1</v>
      </c>
      <c r="BU172" s="413">
        <f t="shared" si="304"/>
        <v>1</v>
      </c>
    </row>
    <row r="173" spans="1:73" s="270" customFormat="1" x14ac:dyDescent="0.2">
      <c r="A173" s="258"/>
      <c r="B173" s="258"/>
      <c r="C173" s="258"/>
      <c r="D173" s="258"/>
      <c r="E173" s="258"/>
      <c r="F173" s="258"/>
      <c r="G173" s="258"/>
      <c r="H173" s="258"/>
      <c r="I173" s="258"/>
      <c r="J173" s="258"/>
      <c r="K173" s="628"/>
      <c r="L173" s="485"/>
      <c r="M173" s="485"/>
      <c r="N173" s="487"/>
      <c r="O173" s="258"/>
      <c r="P173" s="258"/>
      <c r="Q173" s="487"/>
      <c r="R173" s="487"/>
      <c r="S173" s="487"/>
      <c r="T173" s="487"/>
      <c r="U173" s="486">
        <v>1</v>
      </c>
      <c r="V173" s="486"/>
      <c r="W173" s="486"/>
      <c r="X173" s="486"/>
      <c r="Y173" s="486"/>
      <c r="Z173" s="486"/>
      <c r="AA173" s="486"/>
      <c r="AB173" s="486"/>
      <c r="AC173" s="486"/>
      <c r="AD173" s="486"/>
      <c r="AE173" s="486">
        <v>1</v>
      </c>
      <c r="AF173" s="486"/>
      <c r="AG173" s="486"/>
      <c r="AH173" s="486"/>
      <c r="AI173" s="486"/>
      <c r="AJ173" s="486"/>
      <c r="AK173" s="486"/>
      <c r="AL173" s="486"/>
      <c r="AM173" s="486"/>
      <c r="AN173" s="486"/>
      <c r="AO173" s="486">
        <v>1</v>
      </c>
      <c r="AP173" s="486"/>
      <c r="AQ173" s="486"/>
      <c r="AR173" s="486"/>
      <c r="AS173" s="486"/>
      <c r="AT173" s="486"/>
      <c r="AU173" s="486"/>
      <c r="AV173" s="486"/>
      <c r="AW173" s="486"/>
      <c r="AX173" s="486"/>
      <c r="AY173" s="486">
        <v>1</v>
      </c>
      <c r="AZ173" s="486"/>
      <c r="BA173" s="486"/>
      <c r="BB173" s="486"/>
      <c r="BC173" s="486"/>
      <c r="BD173" s="486"/>
      <c r="BE173" s="486"/>
      <c r="BF173" s="486"/>
      <c r="BG173" s="486"/>
      <c r="BH173" s="486"/>
      <c r="BI173" s="486"/>
      <c r="BJ173" s="486"/>
      <c r="BK173" s="486"/>
      <c r="BL173" s="486"/>
      <c r="BM173" s="486"/>
      <c r="BN173" s="486"/>
      <c r="BO173" s="486"/>
      <c r="BP173" s="486"/>
      <c r="BQ173" s="486"/>
      <c r="BR173" s="486"/>
      <c r="BS173" s="486"/>
      <c r="BT173" s="486"/>
      <c r="BU173" s="486"/>
    </row>
    <row r="174" spans="1:73" x14ac:dyDescent="0.2">
      <c r="A174" s="186"/>
      <c r="B174" s="396" t="s">
        <v>173</v>
      </c>
      <c r="C174" s="186"/>
      <c r="D174" s="186"/>
      <c r="E174" s="186"/>
      <c r="F174" s="186"/>
      <c r="G174" s="186"/>
      <c r="H174" s="186"/>
      <c r="I174" s="186"/>
      <c r="J174" s="186"/>
      <c r="K174" s="367"/>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row>
    <row r="175" spans="1:73" x14ac:dyDescent="0.2">
      <c r="A175" s="186"/>
      <c r="B175" s="186"/>
      <c r="C175" s="186" t="s">
        <v>9</v>
      </c>
      <c r="D175" s="186"/>
      <c r="E175" s="186"/>
      <c r="F175" s="186"/>
      <c r="G175" s="186"/>
      <c r="H175" s="186"/>
      <c r="I175" s="186"/>
      <c r="J175" s="186"/>
      <c r="K175" s="367" t="s">
        <v>20</v>
      </c>
      <c r="L175" s="194"/>
      <c r="M175" s="186"/>
      <c r="N175" s="186"/>
      <c r="O175" s="186"/>
      <c r="P175" s="186"/>
      <c r="Q175" s="194"/>
      <c r="R175" s="194">
        <f>+Inputs!$L$158</f>
        <v>5.2499999999999998E-2</v>
      </c>
      <c r="S175" s="194">
        <f>+Inputs!$L$158</f>
        <v>5.2499999999999998E-2</v>
      </c>
      <c r="T175" s="194">
        <f>+Inputs!$L$158</f>
        <v>5.2499999999999998E-2</v>
      </c>
      <c r="U175" s="194">
        <f>+Inputs!$L$158</f>
        <v>5.2499999999999998E-2</v>
      </c>
      <c r="V175" s="194">
        <f>+Inputs!$L$158</f>
        <v>5.2499999999999998E-2</v>
      </c>
      <c r="W175" s="194">
        <f>+Inputs!$L$158</f>
        <v>5.2499999999999998E-2</v>
      </c>
      <c r="X175" s="194">
        <f>+Inputs!$L$158</f>
        <v>5.2499999999999998E-2</v>
      </c>
      <c r="Y175" s="194">
        <f>+Inputs!$L$158</f>
        <v>5.2499999999999998E-2</v>
      </c>
      <c r="Z175" s="194">
        <f>+Inputs!$L$158</f>
        <v>5.2499999999999998E-2</v>
      </c>
      <c r="AA175" s="194">
        <f>+Inputs!$L$158</f>
        <v>5.2499999999999998E-2</v>
      </c>
      <c r="AB175" s="194">
        <f>+Inputs!$L$158</f>
        <v>5.2499999999999998E-2</v>
      </c>
      <c r="AC175" s="194">
        <f>+Inputs!$L$158</f>
        <v>5.2499999999999998E-2</v>
      </c>
      <c r="AD175" s="194">
        <f>+Inputs!$L$158</f>
        <v>5.2499999999999998E-2</v>
      </c>
      <c r="AE175" s="194">
        <f>+Inputs!$L$158</f>
        <v>5.2499999999999998E-2</v>
      </c>
      <c r="AF175" s="194">
        <f>+Inputs!$L$158</f>
        <v>5.2499999999999998E-2</v>
      </c>
      <c r="AG175" s="194">
        <f>+Inputs!$L$158</f>
        <v>5.2499999999999998E-2</v>
      </c>
      <c r="AH175" s="194">
        <f>+Inputs!$L$158</f>
        <v>5.2499999999999998E-2</v>
      </c>
      <c r="AI175" s="194">
        <f>+Inputs!$L$158</f>
        <v>5.2499999999999998E-2</v>
      </c>
      <c r="AJ175" s="194">
        <f>+Inputs!$L$158</f>
        <v>5.2499999999999998E-2</v>
      </c>
      <c r="AK175" s="194">
        <f>+Inputs!$L$158</f>
        <v>5.2499999999999998E-2</v>
      </c>
      <c r="AL175" s="194">
        <f>+Inputs!$L$158</f>
        <v>5.2499999999999998E-2</v>
      </c>
      <c r="AM175" s="194">
        <f>+Inputs!$L$158</f>
        <v>5.2499999999999998E-2</v>
      </c>
      <c r="AN175" s="194">
        <f>+Inputs!$L$158</f>
        <v>5.2499999999999998E-2</v>
      </c>
      <c r="AO175" s="194">
        <f>+Inputs!$L$158</f>
        <v>5.2499999999999998E-2</v>
      </c>
      <c r="AP175" s="194">
        <f>+Inputs!$L$158</f>
        <v>5.2499999999999998E-2</v>
      </c>
      <c r="AQ175" s="194">
        <f>+Inputs!$L$158</f>
        <v>5.2499999999999998E-2</v>
      </c>
      <c r="AR175" s="194">
        <f>+Inputs!$L$158</f>
        <v>5.2499999999999998E-2</v>
      </c>
      <c r="AS175" s="194">
        <f>+Inputs!$L$158</f>
        <v>5.2499999999999998E-2</v>
      </c>
      <c r="AT175" s="194">
        <f>+Inputs!$L$158</f>
        <v>5.2499999999999998E-2</v>
      </c>
      <c r="AU175" s="194">
        <f>+Inputs!$L$158</f>
        <v>5.2499999999999998E-2</v>
      </c>
      <c r="AV175" s="194">
        <f>+Inputs!$L$158</f>
        <v>5.2499999999999998E-2</v>
      </c>
      <c r="AW175" s="194">
        <f>+Inputs!$L$158</f>
        <v>5.2499999999999998E-2</v>
      </c>
      <c r="AX175" s="194">
        <f>+Inputs!$L$158</f>
        <v>5.2499999999999998E-2</v>
      </c>
      <c r="AY175" s="194">
        <f>+Inputs!$L$158</f>
        <v>5.2499999999999998E-2</v>
      </c>
      <c r="AZ175" s="194">
        <f>+Inputs!$L$158</f>
        <v>5.2499999999999998E-2</v>
      </c>
      <c r="BA175" s="194">
        <f>+Inputs!$L$158</f>
        <v>5.2499999999999998E-2</v>
      </c>
      <c r="BB175" s="194">
        <f>+Inputs!$L$158</f>
        <v>5.2499999999999998E-2</v>
      </c>
      <c r="BC175" s="194">
        <f>+Inputs!$L$158</f>
        <v>5.2499999999999998E-2</v>
      </c>
      <c r="BD175" s="194">
        <f>+Inputs!$L$158</f>
        <v>5.2499999999999998E-2</v>
      </c>
      <c r="BE175" s="194">
        <f>+Inputs!$L$158</f>
        <v>5.2499999999999998E-2</v>
      </c>
      <c r="BF175" s="194">
        <f>+Inputs!$L$158</f>
        <v>5.2499999999999998E-2</v>
      </c>
      <c r="BG175" s="194">
        <f>+Inputs!$L$158</f>
        <v>5.2499999999999998E-2</v>
      </c>
      <c r="BH175" s="194">
        <f>+Inputs!$L$158</f>
        <v>5.2499999999999998E-2</v>
      </c>
      <c r="BI175" s="194">
        <f>+Inputs!$L$158</f>
        <v>5.2499999999999998E-2</v>
      </c>
      <c r="BJ175" s="194">
        <f>+Inputs!$L$158</f>
        <v>5.2499999999999998E-2</v>
      </c>
      <c r="BK175" s="194">
        <f>+Inputs!$L$158</f>
        <v>5.2499999999999998E-2</v>
      </c>
      <c r="BL175" s="194">
        <f>+Inputs!$L$158</f>
        <v>5.2499999999999998E-2</v>
      </c>
      <c r="BM175" s="194">
        <f>+Inputs!$L$158</f>
        <v>5.2499999999999998E-2</v>
      </c>
      <c r="BN175" s="194">
        <f>+Inputs!$L$158</f>
        <v>5.2499999999999998E-2</v>
      </c>
      <c r="BO175" s="194">
        <f>+Inputs!$L$158</f>
        <v>5.2499999999999998E-2</v>
      </c>
      <c r="BP175" s="194">
        <f>+Inputs!$L$158</f>
        <v>5.2499999999999998E-2</v>
      </c>
      <c r="BQ175" s="194">
        <f>+Inputs!$L$158</f>
        <v>5.2499999999999998E-2</v>
      </c>
      <c r="BR175" s="194">
        <f>+Inputs!$L$158</f>
        <v>5.2499999999999998E-2</v>
      </c>
      <c r="BS175" s="194">
        <f>+Inputs!$L$158</f>
        <v>5.2499999999999998E-2</v>
      </c>
      <c r="BT175" s="194">
        <f>+Inputs!$L$158</f>
        <v>5.2499999999999998E-2</v>
      </c>
      <c r="BU175" s="194">
        <f>+Inputs!$L$158</f>
        <v>5.2499999999999998E-2</v>
      </c>
    </row>
    <row r="176" spans="1:73" x14ac:dyDescent="0.2">
      <c r="A176" s="186"/>
      <c r="B176" s="186"/>
      <c r="C176" s="186" t="s">
        <v>10</v>
      </c>
      <c r="D176" s="186"/>
      <c r="E176" s="186"/>
      <c r="F176" s="186"/>
      <c r="G176" s="186"/>
      <c r="H176" s="186"/>
      <c r="I176" s="186"/>
      <c r="J176" s="186"/>
      <c r="K176" s="367" t="s">
        <v>20</v>
      </c>
      <c r="L176" s="186"/>
      <c r="M176" s="186"/>
      <c r="N176" s="186"/>
      <c r="O176" s="186"/>
      <c r="P176" s="186"/>
      <c r="Q176" s="194"/>
      <c r="R176" s="194">
        <f>+Inputs!$L$159</f>
        <v>0</v>
      </c>
      <c r="S176" s="194">
        <f>+Inputs!$L$159</f>
        <v>0</v>
      </c>
      <c r="T176" s="194">
        <f>+Inputs!$L$159</f>
        <v>0</v>
      </c>
      <c r="U176" s="194">
        <f>+Inputs!$L$159</f>
        <v>0</v>
      </c>
      <c r="V176" s="194">
        <f>+Inputs!$L$159</f>
        <v>0</v>
      </c>
      <c r="W176" s="194">
        <f>+Inputs!$L$159</f>
        <v>0</v>
      </c>
      <c r="X176" s="194">
        <f>+Inputs!$L$159</f>
        <v>0</v>
      </c>
      <c r="Y176" s="194">
        <f>+Inputs!$L$159</f>
        <v>0</v>
      </c>
      <c r="Z176" s="194">
        <f>+Inputs!$L$159</f>
        <v>0</v>
      </c>
      <c r="AA176" s="194">
        <f>+Inputs!$L$159</f>
        <v>0</v>
      </c>
      <c r="AB176" s="194">
        <f>+Inputs!$L$159</f>
        <v>0</v>
      </c>
      <c r="AC176" s="194">
        <f>+Inputs!$L$159</f>
        <v>0</v>
      </c>
      <c r="AD176" s="194">
        <f>+Inputs!$L$159</f>
        <v>0</v>
      </c>
      <c r="AE176" s="194">
        <f>+Inputs!$L$159</f>
        <v>0</v>
      </c>
      <c r="AF176" s="194">
        <f>+Inputs!$L$159</f>
        <v>0</v>
      </c>
      <c r="AG176" s="194">
        <f>+Inputs!$L$159</f>
        <v>0</v>
      </c>
      <c r="AH176" s="194">
        <f>+Inputs!$L$159</f>
        <v>0</v>
      </c>
      <c r="AI176" s="194">
        <f>+Inputs!$L$159</f>
        <v>0</v>
      </c>
      <c r="AJ176" s="194">
        <f>+Inputs!$L$159</f>
        <v>0</v>
      </c>
      <c r="AK176" s="194">
        <f>+Inputs!$L$159</f>
        <v>0</v>
      </c>
      <c r="AL176" s="194">
        <f>+Inputs!$L$159</f>
        <v>0</v>
      </c>
      <c r="AM176" s="194">
        <f>+Inputs!$L$159</f>
        <v>0</v>
      </c>
      <c r="AN176" s="194">
        <f>+Inputs!$L$159</f>
        <v>0</v>
      </c>
      <c r="AO176" s="194">
        <f>+Inputs!$L$159</f>
        <v>0</v>
      </c>
      <c r="AP176" s="194">
        <f>+Inputs!$L$159</f>
        <v>0</v>
      </c>
      <c r="AQ176" s="194">
        <f>+Inputs!$L$159</f>
        <v>0</v>
      </c>
      <c r="AR176" s="194">
        <f>+Inputs!$L$159</f>
        <v>0</v>
      </c>
      <c r="AS176" s="194">
        <f>+Inputs!$L$159</f>
        <v>0</v>
      </c>
      <c r="AT176" s="194">
        <f>+Inputs!$L$159</f>
        <v>0</v>
      </c>
      <c r="AU176" s="194">
        <f>+Inputs!$L$159</f>
        <v>0</v>
      </c>
      <c r="AV176" s="194">
        <f>+Inputs!$L$159</f>
        <v>0</v>
      </c>
      <c r="AW176" s="194">
        <f>+Inputs!$L$159</f>
        <v>0</v>
      </c>
      <c r="AX176" s="194">
        <f>+Inputs!$L$159</f>
        <v>0</v>
      </c>
      <c r="AY176" s="194">
        <f>+Inputs!$L$159</f>
        <v>0</v>
      </c>
      <c r="AZ176" s="194">
        <f>+Inputs!$L$159</f>
        <v>0</v>
      </c>
      <c r="BA176" s="194">
        <f>+Inputs!$L$159</f>
        <v>0</v>
      </c>
      <c r="BB176" s="194">
        <f>+Inputs!$L$159</f>
        <v>0</v>
      </c>
      <c r="BC176" s="194">
        <f>+Inputs!$L$159</f>
        <v>0</v>
      </c>
      <c r="BD176" s="194">
        <f>+Inputs!$L$159</f>
        <v>0</v>
      </c>
      <c r="BE176" s="194">
        <f>+Inputs!$L$159</f>
        <v>0</v>
      </c>
      <c r="BF176" s="194">
        <f>+Inputs!$L$159</f>
        <v>0</v>
      </c>
      <c r="BG176" s="194">
        <f>+Inputs!$L$159</f>
        <v>0</v>
      </c>
      <c r="BH176" s="194">
        <f>+Inputs!$L$159</f>
        <v>0</v>
      </c>
      <c r="BI176" s="194">
        <f>+Inputs!$L$159</f>
        <v>0</v>
      </c>
      <c r="BJ176" s="194">
        <f>+Inputs!$L$159</f>
        <v>0</v>
      </c>
      <c r="BK176" s="194">
        <f>+Inputs!$L$159</f>
        <v>0</v>
      </c>
      <c r="BL176" s="194">
        <f>+Inputs!$L$159</f>
        <v>0</v>
      </c>
      <c r="BM176" s="194">
        <f>+Inputs!$L$159</f>
        <v>0</v>
      </c>
      <c r="BN176" s="194">
        <f>+Inputs!$L$159</f>
        <v>0</v>
      </c>
      <c r="BO176" s="194">
        <f>+Inputs!$L$159</f>
        <v>0</v>
      </c>
      <c r="BP176" s="194">
        <f>+Inputs!$L$159</f>
        <v>0</v>
      </c>
      <c r="BQ176" s="194">
        <f>+Inputs!$L$159</f>
        <v>0</v>
      </c>
      <c r="BR176" s="194">
        <f>+Inputs!$L$159</f>
        <v>0</v>
      </c>
      <c r="BS176" s="194">
        <f>+Inputs!$L$159</f>
        <v>0</v>
      </c>
      <c r="BT176" s="194">
        <f>+Inputs!$L$159</f>
        <v>0</v>
      </c>
      <c r="BU176" s="194">
        <f>+Inputs!$L$159</f>
        <v>0</v>
      </c>
    </row>
    <row r="177" spans="1:73" x14ac:dyDescent="0.2">
      <c r="A177" s="186"/>
      <c r="B177" s="186"/>
      <c r="C177" s="186" t="s">
        <v>12</v>
      </c>
      <c r="D177" s="186"/>
      <c r="E177" s="186"/>
      <c r="F177" s="186"/>
      <c r="G177" s="186"/>
      <c r="H177" s="186"/>
      <c r="I177" s="186"/>
      <c r="J177" s="186"/>
      <c r="K177" s="367"/>
      <c r="L177" s="186"/>
      <c r="M177" s="186"/>
      <c r="N177" s="186"/>
      <c r="O177" s="186"/>
      <c r="P177" s="186"/>
      <c r="Q177" s="194"/>
      <c r="R177" s="194">
        <f>+Inputs!$L$160</f>
        <v>0</v>
      </c>
      <c r="S177" s="194">
        <f>+Inputs!$L$160</f>
        <v>0</v>
      </c>
      <c r="T177" s="194">
        <f>+Inputs!$L$160</f>
        <v>0</v>
      </c>
      <c r="U177" s="194">
        <f>+Inputs!$L$160</f>
        <v>0</v>
      </c>
      <c r="V177" s="194">
        <f>+Inputs!$L$160</f>
        <v>0</v>
      </c>
      <c r="W177" s="194">
        <f>+Inputs!$L$160</f>
        <v>0</v>
      </c>
      <c r="X177" s="194">
        <f>+Inputs!$L$160</f>
        <v>0</v>
      </c>
      <c r="Y177" s="194">
        <f>+Inputs!$L$160</f>
        <v>0</v>
      </c>
      <c r="Z177" s="194">
        <f>+Inputs!$L$160</f>
        <v>0</v>
      </c>
      <c r="AA177" s="194">
        <f>+Inputs!$L$160</f>
        <v>0</v>
      </c>
      <c r="AB177" s="194">
        <f>+Inputs!$L$160</f>
        <v>0</v>
      </c>
      <c r="AC177" s="194">
        <f>+Inputs!$L$160</f>
        <v>0</v>
      </c>
      <c r="AD177" s="194">
        <f>+Inputs!$L$160</f>
        <v>0</v>
      </c>
      <c r="AE177" s="194">
        <f>+Inputs!$L$160</f>
        <v>0</v>
      </c>
      <c r="AF177" s="194">
        <f>+Inputs!$L$160</f>
        <v>0</v>
      </c>
      <c r="AG177" s="194">
        <f>+Inputs!$L$160</f>
        <v>0</v>
      </c>
      <c r="AH177" s="194">
        <f>+Inputs!$L$160</f>
        <v>0</v>
      </c>
      <c r="AI177" s="194">
        <f>+Inputs!$L$160</f>
        <v>0</v>
      </c>
      <c r="AJ177" s="194">
        <f>+Inputs!$L$160</f>
        <v>0</v>
      </c>
      <c r="AK177" s="194">
        <f>+Inputs!$L$160</f>
        <v>0</v>
      </c>
      <c r="AL177" s="194">
        <f>+Inputs!$L$160</f>
        <v>0</v>
      </c>
      <c r="AM177" s="194">
        <f>+Inputs!$L$160</f>
        <v>0</v>
      </c>
      <c r="AN177" s="194">
        <f>+Inputs!$L$160</f>
        <v>0</v>
      </c>
      <c r="AO177" s="194">
        <f>+Inputs!$L$160</f>
        <v>0</v>
      </c>
      <c r="AP177" s="194">
        <f>+Inputs!$L$160</f>
        <v>0</v>
      </c>
      <c r="AQ177" s="194">
        <f>+Inputs!$L$160</f>
        <v>0</v>
      </c>
      <c r="AR177" s="194">
        <f>+Inputs!$L$160</f>
        <v>0</v>
      </c>
      <c r="AS177" s="194">
        <f>+Inputs!$L$160</f>
        <v>0</v>
      </c>
      <c r="AT177" s="194">
        <f>+Inputs!$L$160</f>
        <v>0</v>
      </c>
      <c r="AU177" s="194">
        <f>+Inputs!$L$160</f>
        <v>0</v>
      </c>
      <c r="AV177" s="194">
        <f>+Inputs!$L$160</f>
        <v>0</v>
      </c>
      <c r="AW177" s="194">
        <f>+Inputs!$L$160</f>
        <v>0</v>
      </c>
      <c r="AX177" s="194">
        <f>+Inputs!$L$160</f>
        <v>0</v>
      </c>
      <c r="AY177" s="194">
        <f>+Inputs!$L$160</f>
        <v>0</v>
      </c>
      <c r="AZ177" s="194">
        <f>+Inputs!$L$160</f>
        <v>0</v>
      </c>
      <c r="BA177" s="194">
        <f>+Inputs!$L$160</f>
        <v>0</v>
      </c>
      <c r="BB177" s="194">
        <f>+Inputs!$L$160</f>
        <v>0</v>
      </c>
      <c r="BC177" s="194">
        <f>+Inputs!$L$160</f>
        <v>0</v>
      </c>
      <c r="BD177" s="194">
        <f>+Inputs!$L$160</f>
        <v>0</v>
      </c>
      <c r="BE177" s="194">
        <f>+Inputs!$L$160</f>
        <v>0</v>
      </c>
      <c r="BF177" s="194">
        <f>+Inputs!$L$160</f>
        <v>0</v>
      </c>
      <c r="BG177" s="194">
        <f>+Inputs!$L$160</f>
        <v>0</v>
      </c>
      <c r="BH177" s="194">
        <f>+Inputs!$L$160</f>
        <v>0</v>
      </c>
      <c r="BI177" s="194">
        <f>+Inputs!$L$160</f>
        <v>0</v>
      </c>
      <c r="BJ177" s="194">
        <f>+Inputs!$L$160</f>
        <v>0</v>
      </c>
      <c r="BK177" s="194">
        <f>+Inputs!$L$160</f>
        <v>0</v>
      </c>
      <c r="BL177" s="194">
        <f>+Inputs!$L$160</f>
        <v>0</v>
      </c>
      <c r="BM177" s="194">
        <f>+Inputs!$L$160</f>
        <v>0</v>
      </c>
      <c r="BN177" s="194">
        <f>+Inputs!$L$160</f>
        <v>0</v>
      </c>
      <c r="BO177" s="194">
        <f>+Inputs!$L$160</f>
        <v>0</v>
      </c>
      <c r="BP177" s="194">
        <f>+Inputs!$L$160</f>
        <v>0</v>
      </c>
      <c r="BQ177" s="194">
        <f>+Inputs!$L$160</f>
        <v>0</v>
      </c>
      <c r="BR177" s="194">
        <f>+Inputs!$L$160</f>
        <v>0</v>
      </c>
      <c r="BS177" s="194">
        <f>+Inputs!$L$160</f>
        <v>0</v>
      </c>
      <c r="BT177" s="194">
        <f>+Inputs!$L$160</f>
        <v>0</v>
      </c>
      <c r="BU177" s="194">
        <f>+Inputs!$L$160</f>
        <v>0</v>
      </c>
    </row>
    <row r="178" spans="1:73" x14ac:dyDescent="0.2">
      <c r="A178" s="186"/>
      <c r="B178" s="186"/>
      <c r="C178" s="400" t="s">
        <v>174</v>
      </c>
      <c r="D178" s="401"/>
      <c r="E178" s="401"/>
      <c r="F178" s="401"/>
      <c r="G178" s="401"/>
      <c r="H178" s="401"/>
      <c r="I178" s="401"/>
      <c r="J178" s="401"/>
      <c r="K178" s="621" t="s">
        <v>20</v>
      </c>
      <c r="L178" s="401"/>
      <c r="M178" s="401"/>
      <c r="N178" s="401"/>
      <c r="O178" s="402"/>
      <c r="P178" s="400"/>
      <c r="Q178" s="417"/>
      <c r="R178" s="417">
        <f t="shared" ref="R178:AO178" si="305">(R175 + R176 + R177)</f>
        <v>5.2499999999999998E-2</v>
      </c>
      <c r="S178" s="417">
        <f t="shared" si="305"/>
        <v>5.2499999999999998E-2</v>
      </c>
      <c r="T178" s="417">
        <f t="shared" si="305"/>
        <v>5.2499999999999998E-2</v>
      </c>
      <c r="U178" s="417">
        <f t="shared" si="305"/>
        <v>5.2499999999999998E-2</v>
      </c>
      <c r="V178" s="417">
        <f t="shared" si="305"/>
        <v>5.2499999999999998E-2</v>
      </c>
      <c r="W178" s="417">
        <f t="shared" si="305"/>
        <v>5.2499999999999998E-2</v>
      </c>
      <c r="X178" s="417">
        <f t="shared" si="305"/>
        <v>5.2499999999999998E-2</v>
      </c>
      <c r="Y178" s="417">
        <f t="shared" si="305"/>
        <v>5.2499999999999998E-2</v>
      </c>
      <c r="Z178" s="417">
        <f t="shared" si="305"/>
        <v>5.2499999999999998E-2</v>
      </c>
      <c r="AA178" s="417">
        <f t="shared" si="305"/>
        <v>5.2499999999999998E-2</v>
      </c>
      <c r="AB178" s="417">
        <f t="shared" si="305"/>
        <v>5.2499999999999998E-2</v>
      </c>
      <c r="AC178" s="417">
        <f t="shared" si="305"/>
        <v>5.2499999999999998E-2</v>
      </c>
      <c r="AD178" s="417">
        <f t="shared" si="305"/>
        <v>5.2499999999999998E-2</v>
      </c>
      <c r="AE178" s="417">
        <f t="shared" si="305"/>
        <v>5.2499999999999998E-2</v>
      </c>
      <c r="AF178" s="417">
        <f t="shared" si="305"/>
        <v>5.2499999999999998E-2</v>
      </c>
      <c r="AG178" s="417">
        <f t="shared" si="305"/>
        <v>5.2499999999999998E-2</v>
      </c>
      <c r="AH178" s="417">
        <f t="shared" si="305"/>
        <v>5.2499999999999998E-2</v>
      </c>
      <c r="AI178" s="417">
        <f t="shared" si="305"/>
        <v>5.2499999999999998E-2</v>
      </c>
      <c r="AJ178" s="417">
        <f t="shared" si="305"/>
        <v>5.2499999999999998E-2</v>
      </c>
      <c r="AK178" s="417">
        <f t="shared" si="305"/>
        <v>5.2499999999999998E-2</v>
      </c>
      <c r="AL178" s="417">
        <f t="shared" si="305"/>
        <v>5.2499999999999998E-2</v>
      </c>
      <c r="AM178" s="417">
        <f t="shared" si="305"/>
        <v>5.2499999999999998E-2</v>
      </c>
      <c r="AN178" s="417">
        <f t="shared" si="305"/>
        <v>5.2499999999999998E-2</v>
      </c>
      <c r="AO178" s="417">
        <f t="shared" si="305"/>
        <v>5.2499999999999998E-2</v>
      </c>
      <c r="AP178" s="417">
        <f t="shared" ref="AP178:BU178" si="306">(AP175 + AP176 + AP177)</f>
        <v>5.2499999999999998E-2</v>
      </c>
      <c r="AQ178" s="417">
        <f t="shared" si="306"/>
        <v>5.2499999999999998E-2</v>
      </c>
      <c r="AR178" s="417">
        <f t="shared" si="306"/>
        <v>5.2499999999999998E-2</v>
      </c>
      <c r="AS178" s="417">
        <f t="shared" si="306"/>
        <v>5.2499999999999998E-2</v>
      </c>
      <c r="AT178" s="417">
        <f t="shared" si="306"/>
        <v>5.2499999999999998E-2</v>
      </c>
      <c r="AU178" s="417">
        <f t="shared" si="306"/>
        <v>5.2499999999999998E-2</v>
      </c>
      <c r="AV178" s="417">
        <f t="shared" si="306"/>
        <v>5.2499999999999998E-2</v>
      </c>
      <c r="AW178" s="417">
        <f t="shared" si="306"/>
        <v>5.2499999999999998E-2</v>
      </c>
      <c r="AX178" s="417">
        <f t="shared" si="306"/>
        <v>5.2499999999999998E-2</v>
      </c>
      <c r="AY178" s="417">
        <f t="shared" si="306"/>
        <v>5.2499999999999998E-2</v>
      </c>
      <c r="AZ178" s="417">
        <f t="shared" si="306"/>
        <v>5.2499999999999998E-2</v>
      </c>
      <c r="BA178" s="417">
        <f t="shared" si="306"/>
        <v>5.2499999999999998E-2</v>
      </c>
      <c r="BB178" s="417">
        <f t="shared" si="306"/>
        <v>5.2499999999999998E-2</v>
      </c>
      <c r="BC178" s="417">
        <f t="shared" si="306"/>
        <v>5.2499999999999998E-2</v>
      </c>
      <c r="BD178" s="417">
        <f t="shared" si="306"/>
        <v>5.2499999999999998E-2</v>
      </c>
      <c r="BE178" s="417">
        <f t="shared" si="306"/>
        <v>5.2499999999999998E-2</v>
      </c>
      <c r="BF178" s="417">
        <f t="shared" si="306"/>
        <v>5.2499999999999998E-2</v>
      </c>
      <c r="BG178" s="417">
        <f t="shared" si="306"/>
        <v>5.2499999999999998E-2</v>
      </c>
      <c r="BH178" s="417">
        <f t="shared" si="306"/>
        <v>5.2499999999999998E-2</v>
      </c>
      <c r="BI178" s="417">
        <f t="shared" si="306"/>
        <v>5.2499999999999998E-2</v>
      </c>
      <c r="BJ178" s="417">
        <f t="shared" si="306"/>
        <v>5.2499999999999998E-2</v>
      </c>
      <c r="BK178" s="417">
        <f t="shared" si="306"/>
        <v>5.2499999999999998E-2</v>
      </c>
      <c r="BL178" s="417">
        <f t="shared" si="306"/>
        <v>5.2499999999999998E-2</v>
      </c>
      <c r="BM178" s="417">
        <f t="shared" si="306"/>
        <v>5.2499999999999998E-2</v>
      </c>
      <c r="BN178" s="417">
        <f t="shared" si="306"/>
        <v>5.2499999999999998E-2</v>
      </c>
      <c r="BO178" s="417">
        <f t="shared" si="306"/>
        <v>5.2499999999999998E-2</v>
      </c>
      <c r="BP178" s="417">
        <f t="shared" si="306"/>
        <v>5.2499999999999998E-2</v>
      </c>
      <c r="BQ178" s="417">
        <f t="shared" si="306"/>
        <v>5.2499999999999998E-2</v>
      </c>
      <c r="BR178" s="417">
        <f t="shared" si="306"/>
        <v>5.2499999999999998E-2</v>
      </c>
      <c r="BS178" s="417">
        <f t="shared" si="306"/>
        <v>5.2499999999999998E-2</v>
      </c>
      <c r="BT178" s="417">
        <f t="shared" si="306"/>
        <v>5.2499999999999998E-2</v>
      </c>
      <c r="BU178" s="417">
        <f t="shared" si="306"/>
        <v>5.2499999999999998E-2</v>
      </c>
    </row>
    <row r="179" spans="1:73" x14ac:dyDescent="0.2">
      <c r="A179" s="186"/>
      <c r="B179" s="186"/>
      <c r="C179" s="186"/>
      <c r="D179" s="186"/>
      <c r="E179" s="405"/>
      <c r="F179" s="405"/>
      <c r="G179" s="186"/>
      <c r="H179" s="186"/>
      <c r="I179" s="406"/>
      <c r="J179" s="406"/>
      <c r="K179" s="406"/>
      <c r="L179" s="406"/>
      <c r="M179" s="406"/>
      <c r="N179" s="406"/>
      <c r="O179" s="406"/>
      <c r="P179" s="406"/>
      <c r="Q179" s="407"/>
      <c r="R179" s="407"/>
      <c r="S179" s="407"/>
      <c r="T179" s="407"/>
      <c r="U179" s="407"/>
      <c r="V179" s="407"/>
      <c r="W179" s="407"/>
      <c r="X179" s="407"/>
      <c r="Y179" s="407"/>
      <c r="Z179" s="407"/>
      <c r="AA179" s="407"/>
      <c r="AB179" s="407"/>
      <c r="AC179" s="407"/>
      <c r="AD179" s="407"/>
      <c r="AE179" s="407"/>
      <c r="AF179" s="407"/>
      <c r="AG179" s="407"/>
      <c r="AH179" s="407"/>
      <c r="AI179" s="407"/>
      <c r="AJ179" s="407"/>
      <c r="AK179" s="407"/>
      <c r="AL179" s="407"/>
      <c r="AM179" s="407"/>
      <c r="AN179" s="407"/>
      <c r="AO179" s="407"/>
      <c r="AP179" s="407"/>
      <c r="AQ179" s="407"/>
      <c r="AR179" s="407"/>
      <c r="AS179" s="407"/>
      <c r="AT179" s="407"/>
      <c r="AU179" s="407"/>
      <c r="AV179" s="407"/>
      <c r="AW179" s="407"/>
      <c r="AX179" s="407"/>
      <c r="AY179" s="407"/>
      <c r="AZ179" s="407"/>
      <c r="BA179" s="407"/>
      <c r="BB179" s="407"/>
      <c r="BC179" s="407"/>
      <c r="BD179" s="407"/>
      <c r="BE179" s="407"/>
      <c r="BF179" s="407"/>
      <c r="BG179" s="407"/>
      <c r="BH179" s="407"/>
      <c r="BI179" s="407"/>
      <c r="BJ179" s="407"/>
      <c r="BK179" s="407"/>
      <c r="BL179" s="407"/>
      <c r="BM179" s="407"/>
      <c r="BN179" s="407"/>
      <c r="BO179" s="407"/>
      <c r="BP179" s="407"/>
      <c r="BQ179" s="407"/>
      <c r="BR179" s="407"/>
      <c r="BS179" s="407"/>
      <c r="BT179" s="407"/>
      <c r="BU179" s="407"/>
    </row>
    <row r="180" spans="1:73" x14ac:dyDescent="0.2">
      <c r="A180" s="186"/>
      <c r="B180" s="396" t="s">
        <v>132</v>
      </c>
      <c r="C180" s="186"/>
      <c r="D180" s="186"/>
      <c r="E180" s="186"/>
      <c r="F180" s="186"/>
      <c r="G180" s="186"/>
      <c r="H180" s="186"/>
      <c r="I180" s="186"/>
      <c r="J180" s="186"/>
      <c r="K180" s="367"/>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row>
    <row r="181" spans="1:73" x14ac:dyDescent="0.2">
      <c r="A181" s="186"/>
      <c r="B181" s="186"/>
      <c r="C181" s="186" t="s">
        <v>88</v>
      </c>
      <c r="D181" s="186"/>
      <c r="E181" s="186"/>
      <c r="F181" s="186"/>
      <c r="G181" s="186"/>
      <c r="H181" s="186"/>
      <c r="I181" s="186"/>
      <c r="J181" s="186"/>
      <c r="K181" s="367" t="s">
        <v>63</v>
      </c>
      <c r="L181" s="186"/>
      <c r="M181" s="186"/>
      <c r="N181" s="186"/>
      <c r="O181" s="186"/>
      <c r="P181" s="186"/>
      <c r="Q181" s="374"/>
      <c r="R181" s="374">
        <f t="shared" ref="R181:AO181" si="307">Q189</f>
        <v>0</v>
      </c>
      <c r="S181" s="374">
        <f t="shared" si="307"/>
        <v>0</v>
      </c>
      <c r="T181" s="374">
        <f t="shared" si="307"/>
        <v>0</v>
      </c>
      <c r="U181" s="374">
        <f t="shared" si="307"/>
        <v>0</v>
      </c>
      <c r="V181" s="374">
        <f t="shared" si="307"/>
        <v>615000.38086000003</v>
      </c>
      <c r="W181" s="374">
        <f t="shared" si="307"/>
        <v>616079.78397435579</v>
      </c>
      <c r="X181" s="374">
        <f t="shared" si="307"/>
        <v>617632.79516539979</v>
      </c>
      <c r="Y181" s="374">
        <f t="shared" si="307"/>
        <v>619710.51714751939</v>
      </c>
      <c r="Z181" s="374">
        <f t="shared" si="307"/>
        <v>622368.36745941779</v>
      </c>
      <c r="AA181" s="374">
        <f t="shared" si="307"/>
        <v>641968.12248738576</v>
      </c>
      <c r="AB181" s="374">
        <f t="shared" si="307"/>
        <v>663097.04102255683</v>
      </c>
      <c r="AC181" s="374">
        <f t="shared" si="307"/>
        <v>687304.19173005095</v>
      </c>
      <c r="AD181" s="374">
        <f t="shared" si="307"/>
        <v>714919.4144857584</v>
      </c>
      <c r="AE181" s="374">
        <f t="shared" si="307"/>
        <v>746304.10458958591</v>
      </c>
      <c r="AF181" s="374">
        <f t="shared" si="307"/>
        <v>839958.00709337136</v>
      </c>
      <c r="AG181" s="374">
        <f t="shared" si="307"/>
        <v>879057.30183718016</v>
      </c>
      <c r="AH181" s="374">
        <f t="shared" si="307"/>
        <v>920200.6681737192</v>
      </c>
      <c r="AI181" s="374">
        <f t="shared" si="307"/>
        <v>963477.99330653611</v>
      </c>
      <c r="AJ181" s="374">
        <f t="shared" si="307"/>
        <v>1008981.3803853443</v>
      </c>
      <c r="AK181" s="374">
        <f t="shared" si="307"/>
        <v>1066804.9918715104</v>
      </c>
      <c r="AL181" s="374">
        <f t="shared" si="307"/>
        <v>1137044.8581361251</v>
      </c>
      <c r="AM181" s="374">
        <f t="shared" si="307"/>
        <v>1210171.9371948976</v>
      </c>
      <c r="AN181" s="374">
        <f t="shared" si="307"/>
        <v>1286339.2851698955</v>
      </c>
      <c r="AO181" s="374">
        <f t="shared" si="307"/>
        <v>1405706.8627395625</v>
      </c>
      <c r="AP181" s="374">
        <f t="shared" ref="AP181:BU181" si="308">AO189</f>
        <v>1642498.3723249221</v>
      </c>
      <c r="AQ181" s="374">
        <f t="shared" si="308"/>
        <v>1762989.2708255206</v>
      </c>
      <c r="AR181" s="374">
        <f t="shared" si="308"/>
        <v>1862480.6446442762</v>
      </c>
      <c r="AS181" s="374">
        <f t="shared" si="308"/>
        <v>1931967.3926395916</v>
      </c>
      <c r="AT181" s="374">
        <f t="shared" si="308"/>
        <v>1931967.3926395916</v>
      </c>
      <c r="AU181" s="374">
        <f t="shared" si="308"/>
        <v>1931967.3926395916</v>
      </c>
      <c r="AV181" s="374">
        <f t="shared" si="308"/>
        <v>1855080.1425027135</v>
      </c>
      <c r="AW181" s="374">
        <f t="shared" si="308"/>
        <v>1699492.5193602291</v>
      </c>
      <c r="AX181" s="374">
        <f t="shared" si="308"/>
        <v>1535736.5460027643</v>
      </c>
      <c r="AY181" s="374">
        <f t="shared" si="308"/>
        <v>1363383.3840440325</v>
      </c>
      <c r="AZ181" s="374">
        <f t="shared" si="308"/>
        <v>1297111.4440244799</v>
      </c>
      <c r="BA181" s="374">
        <f t="shared" si="308"/>
        <v>1087589.2613657641</v>
      </c>
      <c r="BB181" s="374">
        <f t="shared" si="308"/>
        <v>867067.16411746573</v>
      </c>
      <c r="BC181" s="374">
        <f t="shared" si="308"/>
        <v>634967.65676363162</v>
      </c>
      <c r="BD181" s="374">
        <f t="shared" si="308"/>
        <v>390682.92527372134</v>
      </c>
      <c r="BE181" s="374">
        <f t="shared" si="308"/>
        <v>133573.24538059082</v>
      </c>
      <c r="BF181" s="374">
        <f t="shared" si="308"/>
        <v>0</v>
      </c>
      <c r="BG181" s="374">
        <f t="shared" si="308"/>
        <v>0</v>
      </c>
      <c r="BH181" s="374">
        <f t="shared" si="308"/>
        <v>0</v>
      </c>
      <c r="BI181" s="374">
        <f t="shared" si="308"/>
        <v>0</v>
      </c>
      <c r="BJ181" s="374">
        <f t="shared" si="308"/>
        <v>0</v>
      </c>
      <c r="BK181" s="374">
        <f t="shared" si="308"/>
        <v>0</v>
      </c>
      <c r="BL181" s="374">
        <f t="shared" si="308"/>
        <v>0</v>
      </c>
      <c r="BM181" s="374">
        <f t="shared" si="308"/>
        <v>0</v>
      </c>
      <c r="BN181" s="374">
        <f t="shared" si="308"/>
        <v>0</v>
      </c>
      <c r="BO181" s="374">
        <f t="shared" si="308"/>
        <v>0</v>
      </c>
      <c r="BP181" s="374">
        <f t="shared" si="308"/>
        <v>0</v>
      </c>
      <c r="BQ181" s="374">
        <f t="shared" si="308"/>
        <v>0</v>
      </c>
      <c r="BR181" s="374">
        <f t="shared" si="308"/>
        <v>0</v>
      </c>
      <c r="BS181" s="374">
        <f t="shared" si="308"/>
        <v>0</v>
      </c>
      <c r="BT181" s="374">
        <f t="shared" si="308"/>
        <v>0</v>
      </c>
      <c r="BU181" s="374">
        <f t="shared" si="308"/>
        <v>0</v>
      </c>
    </row>
    <row r="182" spans="1:73" x14ac:dyDescent="0.2">
      <c r="A182" s="186"/>
      <c r="B182" s="186"/>
      <c r="C182" s="186" t="s">
        <v>203</v>
      </c>
      <c r="D182" s="186"/>
      <c r="E182" s="186"/>
      <c r="F182" s="186"/>
      <c r="G182" s="186"/>
      <c r="H182" s="186"/>
      <c r="I182" s="186"/>
      <c r="J182" s="186"/>
      <c r="K182" s="367" t="s">
        <v>63</v>
      </c>
      <c r="L182" s="186"/>
      <c r="M182" s="186"/>
      <c r="N182" s="374">
        <f t="shared" ref="N182:N188" si="309">SUM(Q182:BU182)</f>
        <v>615000.38086000003</v>
      </c>
      <c r="O182" s="186"/>
      <c r="P182" s="186"/>
      <c r="Q182" s="374"/>
      <c r="R182" s="374">
        <f t="shared" ref="R182:AW182" si="310">-R92  * R$80 * $L$164</f>
        <v>0</v>
      </c>
      <c r="S182" s="374">
        <f t="shared" si="310"/>
        <v>0</v>
      </c>
      <c r="T182" s="374">
        <f t="shared" si="310"/>
        <v>0</v>
      </c>
      <c r="U182" s="374">
        <f t="shared" si="310"/>
        <v>615000.38086000003</v>
      </c>
      <c r="V182" s="374">
        <f t="shared" si="310"/>
        <v>0</v>
      </c>
      <c r="W182" s="374">
        <f t="shared" si="310"/>
        <v>0</v>
      </c>
      <c r="X182" s="374">
        <f t="shared" si="310"/>
        <v>0</v>
      </c>
      <c r="Y182" s="374">
        <f t="shared" si="310"/>
        <v>0</v>
      </c>
      <c r="Z182" s="374">
        <f t="shared" si="310"/>
        <v>0</v>
      </c>
      <c r="AA182" s="374">
        <f t="shared" si="310"/>
        <v>0</v>
      </c>
      <c r="AB182" s="374">
        <f t="shared" si="310"/>
        <v>0</v>
      </c>
      <c r="AC182" s="374">
        <f t="shared" si="310"/>
        <v>0</v>
      </c>
      <c r="AD182" s="374">
        <f t="shared" si="310"/>
        <v>0</v>
      </c>
      <c r="AE182" s="374">
        <f t="shared" si="310"/>
        <v>0</v>
      </c>
      <c r="AF182" s="374">
        <f t="shared" si="310"/>
        <v>0</v>
      </c>
      <c r="AG182" s="374">
        <f t="shared" si="310"/>
        <v>0</v>
      </c>
      <c r="AH182" s="374">
        <f t="shared" si="310"/>
        <v>0</v>
      </c>
      <c r="AI182" s="374">
        <f t="shared" si="310"/>
        <v>0</v>
      </c>
      <c r="AJ182" s="374">
        <f t="shared" si="310"/>
        <v>0</v>
      </c>
      <c r="AK182" s="374">
        <f t="shared" si="310"/>
        <v>0</v>
      </c>
      <c r="AL182" s="374">
        <f t="shared" si="310"/>
        <v>0</v>
      </c>
      <c r="AM182" s="374">
        <f t="shared" si="310"/>
        <v>0</v>
      </c>
      <c r="AN182" s="374">
        <f t="shared" si="310"/>
        <v>0</v>
      </c>
      <c r="AO182" s="374">
        <f t="shared" si="310"/>
        <v>0</v>
      </c>
      <c r="AP182" s="374">
        <f t="shared" si="310"/>
        <v>0</v>
      </c>
      <c r="AQ182" s="374">
        <f t="shared" si="310"/>
        <v>0</v>
      </c>
      <c r="AR182" s="374">
        <f t="shared" si="310"/>
        <v>0</v>
      </c>
      <c r="AS182" s="374">
        <f t="shared" si="310"/>
        <v>0</v>
      </c>
      <c r="AT182" s="374">
        <f t="shared" si="310"/>
        <v>0</v>
      </c>
      <c r="AU182" s="374">
        <f t="shared" si="310"/>
        <v>0</v>
      </c>
      <c r="AV182" s="374">
        <f t="shared" si="310"/>
        <v>0</v>
      </c>
      <c r="AW182" s="374">
        <f t="shared" si="310"/>
        <v>0</v>
      </c>
      <c r="AX182" s="374">
        <f t="shared" ref="AX182:BU182" si="311">-AX92  * AX$80 * $L$164</f>
        <v>0</v>
      </c>
      <c r="AY182" s="374">
        <f t="shared" si="311"/>
        <v>0</v>
      </c>
      <c r="AZ182" s="374">
        <f t="shared" si="311"/>
        <v>0</v>
      </c>
      <c r="BA182" s="374">
        <f t="shared" si="311"/>
        <v>0</v>
      </c>
      <c r="BB182" s="374">
        <f t="shared" si="311"/>
        <v>0</v>
      </c>
      <c r="BC182" s="374">
        <f t="shared" si="311"/>
        <v>0</v>
      </c>
      <c r="BD182" s="374">
        <f t="shared" si="311"/>
        <v>0</v>
      </c>
      <c r="BE182" s="374">
        <f t="shared" si="311"/>
        <v>0</v>
      </c>
      <c r="BF182" s="374">
        <f t="shared" si="311"/>
        <v>0</v>
      </c>
      <c r="BG182" s="374">
        <f t="shared" si="311"/>
        <v>0</v>
      </c>
      <c r="BH182" s="374">
        <f t="shared" si="311"/>
        <v>0</v>
      </c>
      <c r="BI182" s="374">
        <f t="shared" si="311"/>
        <v>0</v>
      </c>
      <c r="BJ182" s="374">
        <f t="shared" si="311"/>
        <v>0</v>
      </c>
      <c r="BK182" s="374">
        <f t="shared" si="311"/>
        <v>0</v>
      </c>
      <c r="BL182" s="374">
        <f t="shared" si="311"/>
        <v>0</v>
      </c>
      <c r="BM182" s="374">
        <f t="shared" si="311"/>
        <v>0</v>
      </c>
      <c r="BN182" s="374">
        <f t="shared" si="311"/>
        <v>0</v>
      </c>
      <c r="BO182" s="374">
        <f t="shared" si="311"/>
        <v>0</v>
      </c>
      <c r="BP182" s="374">
        <f t="shared" si="311"/>
        <v>0</v>
      </c>
      <c r="BQ182" s="374">
        <f t="shared" si="311"/>
        <v>0</v>
      </c>
      <c r="BR182" s="374">
        <f t="shared" si="311"/>
        <v>0</v>
      </c>
      <c r="BS182" s="374">
        <f t="shared" si="311"/>
        <v>0</v>
      </c>
      <c r="BT182" s="374">
        <f t="shared" si="311"/>
        <v>0</v>
      </c>
      <c r="BU182" s="374">
        <f t="shared" si="311"/>
        <v>0</v>
      </c>
    </row>
    <row r="183" spans="1:73" x14ac:dyDescent="0.2">
      <c r="A183" s="186"/>
      <c r="B183" s="186"/>
      <c r="C183" s="186" t="s">
        <v>204</v>
      </c>
      <c r="D183" s="186"/>
      <c r="E183" s="186"/>
      <c r="F183" s="186"/>
      <c r="G183" s="186"/>
      <c r="H183" s="186"/>
      <c r="I183" s="186"/>
      <c r="J183" s="186"/>
      <c r="K183" s="367" t="s">
        <v>63</v>
      </c>
      <c r="L183" s="186"/>
      <c r="M183" s="186"/>
      <c r="N183" s="374">
        <f t="shared" si="309"/>
        <v>304072.69300676737</v>
      </c>
      <c r="O183" s="186"/>
      <c r="P183" s="186"/>
      <c r="Q183" s="374"/>
      <c r="R183" s="374">
        <f t="shared" ref="R183:AD183" si="312">-((R214))</f>
        <v>0</v>
      </c>
      <c r="S183" s="374">
        <f t="shared" si="312"/>
        <v>0</v>
      </c>
      <c r="T183" s="374">
        <f t="shared" si="312"/>
        <v>0</v>
      </c>
      <c r="U183" s="374">
        <f t="shared" si="312"/>
        <v>0</v>
      </c>
      <c r="V183" s="374">
        <f t="shared" si="312"/>
        <v>0</v>
      </c>
      <c r="W183" s="374">
        <f t="shared" si="312"/>
        <v>0</v>
      </c>
      <c r="X183" s="374">
        <f t="shared" si="312"/>
        <v>0</v>
      </c>
      <c r="Y183" s="374">
        <f t="shared" si="312"/>
        <v>0</v>
      </c>
      <c r="Z183" s="374">
        <f t="shared" si="312"/>
        <v>0</v>
      </c>
      <c r="AA183" s="374">
        <f t="shared" si="312"/>
        <v>0</v>
      </c>
      <c r="AB183" s="374">
        <f t="shared" si="312"/>
        <v>0</v>
      </c>
      <c r="AC183" s="374">
        <f t="shared" si="312"/>
        <v>0</v>
      </c>
      <c r="AD183" s="374">
        <f t="shared" si="312"/>
        <v>0</v>
      </c>
      <c r="AE183" s="374">
        <f>-((AE214))</f>
        <v>56681.275391730502</v>
      </c>
      <c r="AF183" s="374">
        <f t="shared" ref="AF183:BU183" si="313">-((AF214))</f>
        <v>0</v>
      </c>
      <c r="AG183" s="374">
        <f t="shared" si="313"/>
        <v>0</v>
      </c>
      <c r="AH183" s="374">
        <f t="shared" si="313"/>
        <v>0</v>
      </c>
      <c r="AI183" s="374">
        <f t="shared" si="313"/>
        <v>0</v>
      </c>
      <c r="AJ183" s="374">
        <f t="shared" si="313"/>
        <v>0</v>
      </c>
      <c r="AK183" s="374">
        <f t="shared" si="313"/>
        <v>0</v>
      </c>
      <c r="AL183" s="374">
        <f t="shared" si="313"/>
        <v>0</v>
      </c>
      <c r="AM183" s="374">
        <f t="shared" si="313"/>
        <v>0</v>
      </c>
      <c r="AN183" s="374">
        <f t="shared" si="313"/>
        <v>0</v>
      </c>
      <c r="AO183" s="374">
        <f t="shared" si="313"/>
        <v>124056.64889786874</v>
      </c>
      <c r="AP183" s="374">
        <f t="shared" si="313"/>
        <v>0</v>
      </c>
      <c r="AQ183" s="374">
        <f t="shared" si="313"/>
        <v>0</v>
      </c>
      <c r="AR183" s="374">
        <f t="shared" si="313"/>
        <v>0</v>
      </c>
      <c r="AS183" s="374">
        <f t="shared" si="313"/>
        <v>0</v>
      </c>
      <c r="AT183" s="374">
        <f t="shared" si="313"/>
        <v>0</v>
      </c>
      <c r="AU183" s="374">
        <f t="shared" si="313"/>
        <v>0</v>
      </c>
      <c r="AV183" s="374">
        <f t="shared" si="313"/>
        <v>0</v>
      </c>
      <c r="AW183" s="374">
        <f t="shared" si="313"/>
        <v>0</v>
      </c>
      <c r="AX183" s="374">
        <f t="shared" si="313"/>
        <v>0</v>
      </c>
      <c r="AY183" s="374">
        <f t="shared" si="313"/>
        <v>123334.76871716813</v>
      </c>
      <c r="AZ183" s="374">
        <f t="shared" si="313"/>
        <v>0</v>
      </c>
      <c r="BA183" s="374">
        <f t="shared" si="313"/>
        <v>0</v>
      </c>
      <c r="BB183" s="374">
        <f t="shared" si="313"/>
        <v>0</v>
      </c>
      <c r="BC183" s="374">
        <f t="shared" si="313"/>
        <v>0</v>
      </c>
      <c r="BD183" s="374">
        <f t="shared" si="313"/>
        <v>0</v>
      </c>
      <c r="BE183" s="374">
        <f t="shared" si="313"/>
        <v>0</v>
      </c>
      <c r="BF183" s="374">
        <f t="shared" si="313"/>
        <v>0</v>
      </c>
      <c r="BG183" s="374">
        <f t="shared" si="313"/>
        <v>0</v>
      </c>
      <c r="BH183" s="374">
        <f t="shared" si="313"/>
        <v>0</v>
      </c>
      <c r="BI183" s="374">
        <f t="shared" si="313"/>
        <v>0</v>
      </c>
      <c r="BJ183" s="374">
        <f t="shared" si="313"/>
        <v>0</v>
      </c>
      <c r="BK183" s="374">
        <f t="shared" si="313"/>
        <v>0</v>
      </c>
      <c r="BL183" s="374">
        <f t="shared" si="313"/>
        <v>0</v>
      </c>
      <c r="BM183" s="374">
        <f t="shared" si="313"/>
        <v>0</v>
      </c>
      <c r="BN183" s="374">
        <f t="shared" si="313"/>
        <v>0</v>
      </c>
      <c r="BO183" s="374">
        <f t="shared" si="313"/>
        <v>0</v>
      </c>
      <c r="BP183" s="374">
        <f t="shared" si="313"/>
        <v>0</v>
      </c>
      <c r="BQ183" s="374">
        <f t="shared" si="313"/>
        <v>0</v>
      </c>
      <c r="BR183" s="374">
        <f t="shared" si="313"/>
        <v>0</v>
      </c>
      <c r="BS183" s="374">
        <f t="shared" si="313"/>
        <v>0</v>
      </c>
      <c r="BT183" s="374">
        <f t="shared" si="313"/>
        <v>0</v>
      </c>
      <c r="BU183" s="374">
        <f t="shared" si="313"/>
        <v>0</v>
      </c>
    </row>
    <row r="184" spans="1:73" x14ac:dyDescent="0.2">
      <c r="A184" s="186"/>
      <c r="B184" s="186"/>
      <c r="C184" s="186" t="s">
        <v>205</v>
      </c>
      <c r="D184" s="186"/>
      <c r="E184" s="186"/>
      <c r="F184" s="186"/>
      <c r="G184" s="186"/>
      <c r="H184" s="186"/>
      <c r="I184" s="186"/>
      <c r="J184" s="186"/>
      <c r="K184" s="367" t="s">
        <v>63</v>
      </c>
      <c r="L184" s="186"/>
      <c r="M184" s="186"/>
      <c r="N184" s="374">
        <f t="shared" si="309"/>
        <v>288083.82859932934</v>
      </c>
      <c r="O184" s="186"/>
      <c r="P184" s="186"/>
      <c r="Q184" s="374"/>
      <c r="R184" s="374">
        <f>(( - SUM(R133:R134)  * Inputs!$L$114/Inputs!$L$116 )) * $L$164</f>
        <v>0</v>
      </c>
      <c r="S184" s="374">
        <f>(( - SUM(S133:S134)  * Inputs!$L$114/Inputs!$L$116 )) * $L$164</f>
        <v>0</v>
      </c>
      <c r="T184" s="374">
        <f>(( - SUM(T133:T134)  * Inputs!$L$114/Inputs!$L$116 )) * $L$164</f>
        <v>0</v>
      </c>
      <c r="U184" s="374">
        <f>(( - SUM(U133:U134)  * Inputs!$L$114/Inputs!$L$116 )) * $L$164</f>
        <v>0</v>
      </c>
      <c r="V184" s="374">
        <f>(( - SUM(V133:V134)  * Inputs!$L$114/Inputs!$L$116 )) * $L$164</f>
        <v>0</v>
      </c>
      <c r="W184" s="374">
        <f>(( - SUM(W133:W134)  * Inputs!$L$114/Inputs!$L$116 )) * $L$164</f>
        <v>0</v>
      </c>
      <c r="X184" s="374">
        <f>(( - SUM(X133:X134)  * Inputs!$L$114/Inputs!$L$116 )) * $L$164</f>
        <v>0</v>
      </c>
      <c r="Y184" s="374">
        <f>(( - SUM(Y133:Y134)  * Inputs!$L$114/Inputs!$L$116 )) * $L$164</f>
        <v>0</v>
      </c>
      <c r="Z184" s="374">
        <f>(( - SUM(Z133:Z134)  * Inputs!$L$114/Inputs!$L$116 )) * $L$164</f>
        <v>0</v>
      </c>
      <c r="AA184" s="374">
        <f>(( - SUM(AA133:AA134)  * Inputs!$L$114/Inputs!$L$116 )) * $L$164</f>
        <v>0</v>
      </c>
      <c r="AB184" s="374">
        <f>(( - SUM(AB133:AB134)  * Inputs!$L$114/Inputs!$L$116 )) * $L$164</f>
        <v>0</v>
      </c>
      <c r="AC184" s="374">
        <f>(( - SUM(AC133:AC134)  * Inputs!$L$114/Inputs!$L$116 )) * $L$164</f>
        <v>0</v>
      </c>
      <c r="AD184" s="374">
        <f>(( - SUM(AD133:AD134)  * Inputs!$L$114/Inputs!$L$116 )) * $L$164</f>
        <v>0</v>
      </c>
      <c r="AE184" s="374">
        <f>(( - SUM(AE133:AE134)  * Inputs!$L$114/Inputs!$L$116 )) * $L$164</f>
        <v>0</v>
      </c>
      <c r="AF184" s="374">
        <f>(( - SUM(AF133:AF134)  * Inputs!$L$114/Inputs!$L$116 )) * $L$164</f>
        <v>0</v>
      </c>
      <c r="AG184" s="374">
        <f>(( - SUM(AG133:AG134)  * Inputs!$L$114/Inputs!$L$116 )) * $L$164</f>
        <v>0</v>
      </c>
      <c r="AH184" s="374">
        <f>(( - SUM(AH133:AH134)  * Inputs!$L$114/Inputs!$L$116 )) * $L$164</f>
        <v>0</v>
      </c>
      <c r="AI184" s="374">
        <f>(( - SUM(AI133:AI134)  * Inputs!$L$114/Inputs!$L$116 )) * $L$164</f>
        <v>0</v>
      </c>
      <c r="AJ184" s="374">
        <f>(( - SUM(AJ133:AJ134)  * Inputs!$L$114/Inputs!$L$116 )) * $L$164</f>
        <v>10000</v>
      </c>
      <c r="AK184" s="374">
        <f>(( - SUM(AK133:AK134)  * Inputs!$L$114/Inputs!$L$116 )) * $L$164</f>
        <v>20000</v>
      </c>
      <c r="AL184" s="374">
        <f>(( - SUM(AL133:AL134)  * Inputs!$L$114/Inputs!$L$116 )) * $L$164</f>
        <v>20000</v>
      </c>
      <c r="AM184" s="374">
        <f>(( - SUM(AM133:AM134)  * Inputs!$L$114/Inputs!$L$116 )) * $L$164</f>
        <v>20000</v>
      </c>
      <c r="AN184" s="374">
        <f>(( - SUM(AN133:AN134)  * Inputs!$L$114/Inputs!$L$116 )) * $L$164</f>
        <v>60000</v>
      </c>
      <c r="AO184" s="374">
        <f>(( - SUM(AO133:AO134)  * Inputs!$L$114/Inputs!$L$116 )) * $L$164</f>
        <v>50000</v>
      </c>
      <c r="AP184" s="374">
        <f>(( - SUM(AP133:AP134)  * Inputs!$L$114/Inputs!$L$116 )) * $L$164</f>
        <v>54214.429651297381</v>
      </c>
      <c r="AQ184" s="374">
        <f>(( - SUM(AQ133:AQ134)  * Inputs!$L$114/Inputs!$L$116 )) * $L$164</f>
        <v>36391.154174686817</v>
      </c>
      <c r="AR184" s="374">
        <f>(( - SUM(AR133:AR134)  * Inputs!$L$114/Inputs!$L$116 )) * $L$164</f>
        <v>17478.244773345141</v>
      </c>
      <c r="AS184" s="374">
        <f>(( - SUM(AS133:AS134)  * Inputs!$L$114/Inputs!$L$116 )) * $L$164</f>
        <v>0</v>
      </c>
      <c r="AT184" s="374">
        <f>(( - SUM(AT133:AT134)  * Inputs!$L$114/Inputs!$L$116 )) * $L$164</f>
        <v>0</v>
      </c>
      <c r="AU184" s="374">
        <f>(( - SUM(AU133:AU134)  * Inputs!$L$114/Inputs!$L$116 )) * $L$164</f>
        <v>0</v>
      </c>
      <c r="AV184" s="374">
        <f>(( - SUM(AV133:AV134)  * Inputs!$L$114/Inputs!$L$116 )) * $L$164</f>
        <v>0</v>
      </c>
      <c r="AW184" s="374">
        <f>(( - SUM(AW133:AW134)  * Inputs!$L$114/Inputs!$L$116 )) * $L$164</f>
        <v>0</v>
      </c>
      <c r="AX184" s="374">
        <f>(( - SUM(AX133:AX134)  * Inputs!$L$114/Inputs!$L$116 )) * $L$164</f>
        <v>0</v>
      </c>
      <c r="AY184" s="374">
        <f>(( - SUM(AY133:AY134)  * Inputs!$L$114/Inputs!$L$116 )) * $L$164</f>
        <v>0</v>
      </c>
      <c r="AZ184" s="374">
        <f>(( - SUM(AZ133:AZ134)  * Inputs!$L$114/Inputs!$L$116 )) * $L$164</f>
        <v>0</v>
      </c>
      <c r="BA184" s="374">
        <f>(( - SUM(BA133:BA134)  * Inputs!$L$114/Inputs!$L$116 )) * $L$164</f>
        <v>0</v>
      </c>
      <c r="BB184" s="374">
        <f>(( - SUM(BB133:BB134)  * Inputs!$L$114/Inputs!$L$116 )) * $L$164</f>
        <v>0</v>
      </c>
      <c r="BC184" s="374">
        <f>(( - SUM(BC133:BC134)  * Inputs!$L$114/Inputs!$L$116 )) * $L$164</f>
        <v>0</v>
      </c>
      <c r="BD184" s="374">
        <f>(( - SUM(BD133:BD134)  * Inputs!$L$114/Inputs!$L$116 )) * $L$164</f>
        <v>0</v>
      </c>
      <c r="BE184" s="374">
        <f>(( - SUM(BE133:BE134)  * Inputs!$L$114/Inputs!$L$116 )) * $L$164</f>
        <v>0</v>
      </c>
      <c r="BF184" s="374">
        <f>(( - SUM(BF133:BF134)  * Inputs!$L$114/Inputs!$L$116 )) * $L$164</f>
        <v>0</v>
      </c>
      <c r="BG184" s="374">
        <f>(( - SUM(BG133:BG134)  * Inputs!$L$114/Inputs!$L$116 )) * $L$164</f>
        <v>0</v>
      </c>
      <c r="BH184" s="374">
        <f>(( - SUM(BH133:BH134)  * Inputs!$L$114/Inputs!$L$116 )) * $L$164</f>
        <v>0</v>
      </c>
      <c r="BI184" s="374">
        <f>(( - SUM(BI133:BI134)  * Inputs!$L$114/Inputs!$L$116 )) * $L$164</f>
        <v>0</v>
      </c>
      <c r="BJ184" s="374">
        <f>(( - SUM(BJ133:BJ134)  * Inputs!$L$114/Inputs!$L$116 )) * $L$164</f>
        <v>0</v>
      </c>
      <c r="BK184" s="374">
        <f>(( - SUM(BK133:BK134)  * Inputs!$L$114/Inputs!$L$116 )) * $L$164</f>
        <v>0</v>
      </c>
      <c r="BL184" s="374">
        <f>(( - SUM(BL133:BL134)  * Inputs!$L$114/Inputs!$L$116 )) * $L$164</f>
        <v>0</v>
      </c>
      <c r="BM184" s="374">
        <f>(( - SUM(BM133:BM134)  * Inputs!$L$114/Inputs!$L$116 )) * $L$164</f>
        <v>0</v>
      </c>
      <c r="BN184" s="374">
        <f>(( - SUM(BN133:BN134)  * Inputs!$L$114/Inputs!$L$116 )) * $L$164</f>
        <v>0</v>
      </c>
      <c r="BO184" s="374">
        <f>(( - SUM(BO133:BO134)  * Inputs!$L$114/Inputs!$L$116 )) * $L$164</f>
        <v>0</v>
      </c>
      <c r="BP184" s="374">
        <f>(( - SUM(BP133:BP134)  * Inputs!$L$114/Inputs!$L$116 )) * $L$164</f>
        <v>0</v>
      </c>
      <c r="BQ184" s="374">
        <f>(( - SUM(BQ133:BQ134)  * Inputs!$L$114/Inputs!$L$116 )) * $L$164</f>
        <v>0</v>
      </c>
      <c r="BR184" s="374">
        <f>(( - SUM(BR133:BR134)  * Inputs!$L$114/Inputs!$L$116 )) * $L$164</f>
        <v>0</v>
      </c>
      <c r="BS184" s="374">
        <f>(( - SUM(BS133:BS134)  * Inputs!$L$114/Inputs!$L$116 )) * $L$164</f>
        <v>0</v>
      </c>
      <c r="BT184" s="374">
        <f>(( - SUM(BT133:BT134)  * Inputs!$L$114/Inputs!$L$116 )) * $L$164</f>
        <v>0</v>
      </c>
      <c r="BU184" s="374">
        <f>(( - SUM(BU133:BU134)  * Inputs!$L$114/Inputs!$L$116 )) * $L$164</f>
        <v>0</v>
      </c>
    </row>
    <row r="185" spans="1:73" x14ac:dyDescent="0.2">
      <c r="A185" s="186"/>
      <c r="B185" s="186"/>
      <c r="C185" s="186" t="s">
        <v>206</v>
      </c>
      <c r="D185" s="186"/>
      <c r="E185" s="186"/>
      <c r="F185" s="186"/>
      <c r="G185" s="186"/>
      <c r="H185" s="186"/>
      <c r="I185" s="186"/>
      <c r="J185" s="186"/>
      <c r="K185" s="367" t="s">
        <v>63</v>
      </c>
      <c r="L185" s="186"/>
      <c r="M185" s="186"/>
      <c r="N185" s="374">
        <f t="shared" si="309"/>
        <v>848145.25889066281</v>
      </c>
      <c r="O185" s="186"/>
      <c r="P185" s="186"/>
      <c r="Q185" s="374"/>
      <c r="R185" s="374">
        <f>-SUM(R138:R139) * $L$164*Inputs!$L$114</f>
        <v>0</v>
      </c>
      <c r="S185" s="374">
        <f>-SUM(S138:S139) * $L$164*Inputs!$L$114</f>
        <v>0</v>
      </c>
      <c r="T185" s="374">
        <f>-SUM(T138:T139) * $L$164*Inputs!$L$114</f>
        <v>0</v>
      </c>
      <c r="U185" s="374">
        <f>-SUM(U138:U139) * $L$164*Inputs!$L$114</f>
        <v>0</v>
      </c>
      <c r="V185" s="374">
        <f>-SUM(V138:V139) * $L$164*Inputs!$L$114</f>
        <v>1079.4031143557513</v>
      </c>
      <c r="W185" s="374">
        <f>-SUM(W138:W139) * $L$164*Inputs!$L$114</f>
        <v>1553.0111910439446</v>
      </c>
      <c r="X185" s="374">
        <f>-SUM(X138:X139) * $L$164*Inputs!$L$114</f>
        <v>2077.7219821195758</v>
      </c>
      <c r="Y185" s="374">
        <f>-SUM(Y138:Y139) * $L$164*Inputs!$L$114</f>
        <v>2657.8503118983353</v>
      </c>
      <c r="Z185" s="374">
        <f>-SUM(Z138:Z139) * $L$164*Inputs!$L$114</f>
        <v>19599.755027967913</v>
      </c>
      <c r="AA185" s="374">
        <f>-SUM(AA138:AA139) * $L$164*Inputs!$L$114</f>
        <v>21128.918535171018</v>
      </c>
      <c r="AB185" s="374">
        <f>-SUM(AB138:AB139) * $L$164*Inputs!$L$114</f>
        <v>24207.150707494118</v>
      </c>
      <c r="AC185" s="374">
        <f>-SUM(AC138:AC139) * $L$164*Inputs!$L$114</f>
        <v>27615.222755707393</v>
      </c>
      <c r="AD185" s="374">
        <f>-SUM(AD138:AD139) * $L$164*Inputs!$L$114</f>
        <v>31384.690103827568</v>
      </c>
      <c r="AE185" s="374">
        <f>-SUM(AE138:AE139) * $L$164*Inputs!$L$114</f>
        <v>36972.627112054965</v>
      </c>
      <c r="AF185" s="374">
        <f>-SUM(AF138:AF139) * $L$164*Inputs!$L$114</f>
        <v>39099.294743808801</v>
      </c>
      <c r="AG185" s="374">
        <f>-SUM(AG138:AG139) * $L$164*Inputs!$L$114</f>
        <v>41143.36633653898</v>
      </c>
      <c r="AH185" s="374">
        <f>-SUM(AH138:AH139) * $L$164*Inputs!$L$114</f>
        <v>43277.325132816914</v>
      </c>
      <c r="AI185" s="374">
        <f>-SUM(AI138:AI139) * $L$164*Inputs!$L$114</f>
        <v>45503.387078808155</v>
      </c>
      <c r="AJ185" s="374">
        <f>-SUM(AJ138:AJ139) * $L$164*Inputs!$L$114</f>
        <v>47823.611486166134</v>
      </c>
      <c r="AK185" s="374">
        <f>-SUM(AK138:AK139) * $L$164*Inputs!$L$114</f>
        <v>50239.866264614684</v>
      </c>
      <c r="AL185" s="374">
        <f>-SUM(AL138:AL139) * $L$164*Inputs!$L$114</f>
        <v>53127.079058772419</v>
      </c>
      <c r="AM185" s="374">
        <f>-SUM(AM138:AM139) * $L$164*Inputs!$L$114</f>
        <v>56167.347974997945</v>
      </c>
      <c r="AN185" s="374">
        <f>-SUM(AN138:AN139) * $L$164*Inputs!$L$114</f>
        <v>59367.577569666901</v>
      </c>
      <c r="AO185" s="374">
        <f>-SUM(AO138:AO139) * $L$164*Inputs!$L$114</f>
        <v>62734.860687490902</v>
      </c>
      <c r="AP185" s="374">
        <f>-SUM(AP138:AP139) * $L$164*Inputs!$L$114</f>
        <v>66276.468849300989</v>
      </c>
      <c r="AQ185" s="374">
        <f>-SUM(AQ138:AQ139) * $L$164*Inputs!$L$114</f>
        <v>63100.219644068973</v>
      </c>
      <c r="AR185" s="374">
        <f>-SUM(AR138:AR139) * $L$164*Inputs!$L$114</f>
        <v>52008.503221970386</v>
      </c>
      <c r="AS185" s="374">
        <f>-SUM(AS138:AS139) * $L$164*Inputs!$L$114</f>
        <v>0</v>
      </c>
      <c r="AT185" s="374">
        <f>-SUM(AT138:AT139) * $L$164*Inputs!$L$114</f>
        <v>0</v>
      </c>
      <c r="AU185" s="374">
        <f>-SUM(AU138:AU139) * $L$164*Inputs!$L$114</f>
        <v>0</v>
      </c>
      <c r="AV185" s="374">
        <f>-SUM(AV138:AV139) * $L$164*Inputs!$L$114</f>
        <v>0</v>
      </c>
      <c r="AW185" s="374">
        <f>-SUM(AW138:AW139) * $L$164*Inputs!$L$114</f>
        <v>0</v>
      </c>
      <c r="AX185" s="374">
        <f>-SUM(AX138:AX139) * $L$164*Inputs!$L$114</f>
        <v>0</v>
      </c>
      <c r="AY185" s="374">
        <f>-SUM(AY138:AY139) * $L$164*Inputs!$L$114</f>
        <v>0</v>
      </c>
      <c r="AZ185" s="374">
        <f>-SUM(AZ138:AZ139) * $L$164*Inputs!$L$114</f>
        <v>0</v>
      </c>
      <c r="BA185" s="374">
        <f>-SUM(BA138:BA139) * $L$164*Inputs!$L$114</f>
        <v>0</v>
      </c>
      <c r="BB185" s="374">
        <f>-SUM(BB138:BB139) * $L$164*Inputs!$L$114</f>
        <v>0</v>
      </c>
      <c r="BC185" s="374">
        <f>-SUM(BC138:BC139) * $L$164*Inputs!$L$114</f>
        <v>0</v>
      </c>
      <c r="BD185" s="374">
        <f>-SUM(BD138:BD139) * $L$164*Inputs!$L$114</f>
        <v>0</v>
      </c>
      <c r="BE185" s="374">
        <f>-SUM(BE138:BE139) * $L$164*Inputs!$L$114</f>
        <v>0</v>
      </c>
      <c r="BF185" s="374">
        <f>-SUM(BF138:BF139) * $L$164*Inputs!$L$114</f>
        <v>0</v>
      </c>
      <c r="BG185" s="374">
        <f>-SUM(BG138:BG139) * $L$164*Inputs!$L$114</f>
        <v>0</v>
      </c>
      <c r="BH185" s="374">
        <f>-SUM(BH138:BH139) * $L$164*Inputs!$L$114</f>
        <v>0</v>
      </c>
      <c r="BI185" s="374">
        <f>-SUM(BI138:BI139) * $L$164*Inputs!$L$114</f>
        <v>0</v>
      </c>
      <c r="BJ185" s="374">
        <f>-SUM(BJ138:BJ139) * $L$164*Inputs!$L$114</f>
        <v>0</v>
      </c>
      <c r="BK185" s="374">
        <f>-SUM(BK138:BK139) * $L$164*Inputs!$L$114</f>
        <v>0</v>
      </c>
      <c r="BL185" s="374">
        <f>-SUM(BL138:BL139) * $L$164*Inputs!$L$114</f>
        <v>0</v>
      </c>
      <c r="BM185" s="374">
        <f>-SUM(BM138:BM139) * $L$164*Inputs!$L$114</f>
        <v>0</v>
      </c>
      <c r="BN185" s="374">
        <f>-SUM(BN138:BN139) * $L$164*Inputs!$L$114</f>
        <v>0</v>
      </c>
      <c r="BO185" s="374">
        <f>-SUM(BO138:BO139) * $L$164*Inputs!$L$114</f>
        <v>0</v>
      </c>
      <c r="BP185" s="374">
        <f>-SUM(BP138:BP139) * $L$164*Inputs!$L$114</f>
        <v>0</v>
      </c>
      <c r="BQ185" s="374">
        <f>-SUM(BQ138:BQ139) * $L$164*Inputs!$L$114</f>
        <v>0</v>
      </c>
      <c r="BR185" s="374">
        <f>-SUM(BR138:BR139) * $L$164*Inputs!$L$114</f>
        <v>0</v>
      </c>
      <c r="BS185" s="374">
        <f>-SUM(BS138:BS139) * $L$164*Inputs!$L$114</f>
        <v>0</v>
      </c>
      <c r="BT185" s="374">
        <f>-SUM(BT138:BT139) * $L$164*Inputs!$L$114</f>
        <v>0</v>
      </c>
      <c r="BU185" s="374">
        <f>-SUM(BU138:BU139) * $L$164*Inputs!$L$114</f>
        <v>0</v>
      </c>
    </row>
    <row r="186" spans="1:73" x14ac:dyDescent="0.2">
      <c r="A186" s="186"/>
      <c r="B186" s="186"/>
      <c r="C186" s="186" t="s">
        <v>149</v>
      </c>
      <c r="D186" s="186"/>
      <c r="E186" s="186"/>
      <c r="F186" s="186"/>
      <c r="G186" s="186"/>
      <c r="H186" s="186"/>
      <c r="I186" s="186"/>
      <c r="J186" s="186"/>
      <c r="K186" s="367" t="s">
        <v>63</v>
      </c>
      <c r="L186" s="186"/>
      <c r="M186" s="186"/>
      <c r="N186" s="374">
        <f t="shared" si="309"/>
        <v>2099749.0930099306</v>
      </c>
      <c r="O186" s="186"/>
      <c r="P186" s="186"/>
      <c r="Q186" s="374"/>
      <c r="R186" s="374">
        <f t="shared" ref="R186:AW186" si="314">+R13*(R181+R182+R183/2+R184/4+R185/4+R188/4)*R178*YEARFRAC(R9,Q9,2)*R172</f>
        <v>0</v>
      </c>
      <c r="S186" s="374">
        <f t="shared" si="314"/>
        <v>0</v>
      </c>
      <c r="T186" s="374">
        <f t="shared" si="314"/>
        <v>0</v>
      </c>
      <c r="U186" s="374">
        <f t="shared" si="314"/>
        <v>16412.822664201249</v>
      </c>
      <c r="V186" s="374">
        <f t="shared" si="314"/>
        <v>32750.321704929054</v>
      </c>
      <c r="W186" s="374">
        <f t="shared" si="314"/>
        <v>32814.079874015799</v>
      </c>
      <c r="X186" s="374">
        <f t="shared" si="314"/>
        <v>32903.727845076566</v>
      </c>
      <c r="Y186" s="374">
        <f t="shared" si="314"/>
        <v>33112.514542848236</v>
      </c>
      <c r="Z186" s="374">
        <f t="shared" si="314"/>
        <v>33388.969216310979</v>
      </c>
      <c r="AA186" s="374">
        <f t="shared" si="314"/>
        <v>34452.596868116896</v>
      </c>
      <c r="AB186" s="374">
        <f t="shared" si="314"/>
        <v>35618.23452764676</v>
      </c>
      <c r="AC186" s="374">
        <f t="shared" si="314"/>
        <v>37053.351862237934</v>
      </c>
      <c r="AD186" s="374">
        <f t="shared" si="314"/>
        <v>38472.209891977756</v>
      </c>
      <c r="AE186" s="374">
        <f t="shared" si="314"/>
        <v>41725.699627232352</v>
      </c>
      <c r="AF186" s="374">
        <f t="shared" si="314"/>
        <v>45230.570471691077</v>
      </c>
      <c r="AG186" s="374">
        <f t="shared" si="314"/>
        <v>47468.690280112678</v>
      </c>
      <c r="AH186" s="374">
        <f t="shared" si="314"/>
        <v>49557.418721092487</v>
      </c>
      <c r="AI186" s="374">
        <f t="shared" si="314"/>
        <v>51890.657529058088</v>
      </c>
      <c r="AJ186" s="374">
        <f t="shared" si="314"/>
        <v>54476.713723361318</v>
      </c>
      <c r="AK186" s="374">
        <f t="shared" si="314"/>
        <v>57877.97965661031</v>
      </c>
      <c r="AL186" s="374">
        <f t="shared" si="314"/>
        <v>61497.073630970634</v>
      </c>
      <c r="AM186" s="374">
        <f t="shared" si="314"/>
        <v>65430.024855249852</v>
      </c>
      <c r="AN186" s="374">
        <f t="shared" si="314"/>
        <v>70059.227370452238</v>
      </c>
      <c r="AO186" s="374">
        <f t="shared" si="314"/>
        <v>79844.671413484713</v>
      </c>
      <c r="AP186" s="374">
        <f t="shared" si="314"/>
        <v>89032.227139738185</v>
      </c>
      <c r="AQ186" s="374">
        <f t="shared" si="314"/>
        <v>95166.410458040307</v>
      </c>
      <c r="AR186" s="374">
        <f t="shared" si="314"/>
        <v>100062.97306975277</v>
      </c>
      <c r="AS186" s="374">
        <f t="shared" si="314"/>
        <v>103118.7595821382</v>
      </c>
      <c r="AT186" s="374">
        <f t="shared" si="314"/>
        <v>102837.01433737825</v>
      </c>
      <c r="AU186" s="374">
        <f t="shared" si="314"/>
        <v>101813.85327435884</v>
      </c>
      <c r="AV186" s="374">
        <f t="shared" si="314"/>
        <v>96673.920204420225</v>
      </c>
      <c r="AW186" s="374">
        <f t="shared" si="314"/>
        <v>88525.294451363545</v>
      </c>
      <c r="AX186" s="374">
        <f t="shared" ref="AX186:BU186" si="315">+AX13*(AX181+AX182+AX183/2+AX184/4+AX185/4+AX188/4)*AX178*YEARFRAC(AX9,AW9,2)*AX172</f>
        <v>79452.422767415046</v>
      </c>
      <c r="AY186" s="374">
        <f t="shared" si="315"/>
        <v>73331.113084648008</v>
      </c>
      <c r="AZ186" s="374">
        <f t="shared" si="315"/>
        <v>66255.988443943555</v>
      </c>
      <c r="BA186" s="374">
        <f t="shared" si="315"/>
        <v>55107.485090240669</v>
      </c>
      <c r="BB186" s="374">
        <f t="shared" si="315"/>
        <v>43064.646749955486</v>
      </c>
      <c r="BC186" s="374">
        <f t="shared" si="315"/>
        <v>30548.03105816455</v>
      </c>
      <c r="BD186" s="374">
        <f t="shared" si="315"/>
        <v>17374.293042554604</v>
      </c>
      <c r="BE186" s="374">
        <f t="shared" si="315"/>
        <v>5347.1039791417761</v>
      </c>
      <c r="BF186" s="374">
        <f t="shared" si="315"/>
        <v>0</v>
      </c>
      <c r="BG186" s="374">
        <f t="shared" si="315"/>
        <v>0</v>
      </c>
      <c r="BH186" s="374">
        <f t="shared" si="315"/>
        <v>0</v>
      </c>
      <c r="BI186" s="374">
        <f t="shared" si="315"/>
        <v>0</v>
      </c>
      <c r="BJ186" s="374">
        <f t="shared" si="315"/>
        <v>0</v>
      </c>
      <c r="BK186" s="374">
        <f t="shared" si="315"/>
        <v>0</v>
      </c>
      <c r="BL186" s="374">
        <f t="shared" si="315"/>
        <v>0</v>
      </c>
      <c r="BM186" s="374">
        <f t="shared" si="315"/>
        <v>0</v>
      </c>
      <c r="BN186" s="374">
        <f t="shared" si="315"/>
        <v>0</v>
      </c>
      <c r="BO186" s="374">
        <f t="shared" si="315"/>
        <v>0</v>
      </c>
      <c r="BP186" s="374">
        <f t="shared" si="315"/>
        <v>0</v>
      </c>
      <c r="BQ186" s="374">
        <f t="shared" si="315"/>
        <v>0</v>
      </c>
      <c r="BR186" s="374">
        <f t="shared" si="315"/>
        <v>0</v>
      </c>
      <c r="BS186" s="374">
        <f t="shared" si="315"/>
        <v>0</v>
      </c>
      <c r="BT186" s="374">
        <f t="shared" si="315"/>
        <v>0</v>
      </c>
      <c r="BU186" s="374">
        <f t="shared" si="315"/>
        <v>0</v>
      </c>
    </row>
    <row r="187" spans="1:73" x14ac:dyDescent="0.2">
      <c r="A187" s="186"/>
      <c r="B187" s="186"/>
      <c r="C187" s="186" t="s">
        <v>120</v>
      </c>
      <c r="D187" s="186"/>
      <c r="E187" s="186"/>
      <c r="F187" s="186"/>
      <c r="G187" s="186"/>
      <c r="H187" s="186"/>
      <c r="I187" s="186"/>
      <c r="J187" s="186"/>
      <c r="K187" s="367" t="s">
        <v>63</v>
      </c>
      <c r="L187" s="186"/>
      <c r="M187" s="186"/>
      <c r="N187" s="374">
        <f t="shared" si="309"/>
        <v>-2099749.0930099306</v>
      </c>
      <c r="O187" s="186"/>
      <c r="P187" s="186"/>
      <c r="Q187" s="374"/>
      <c r="R187" s="374">
        <f t="shared" ref="R187:AO187" si="316">-R186</f>
        <v>0</v>
      </c>
      <c r="S187" s="374">
        <f t="shared" si="316"/>
        <v>0</v>
      </c>
      <c r="T187" s="374">
        <f t="shared" si="316"/>
        <v>0</v>
      </c>
      <c r="U187" s="374">
        <f t="shared" si="316"/>
        <v>-16412.822664201249</v>
      </c>
      <c r="V187" s="374">
        <f t="shared" si="316"/>
        <v>-32750.321704929054</v>
      </c>
      <c r="W187" s="374">
        <f t="shared" si="316"/>
        <v>-32814.079874015799</v>
      </c>
      <c r="X187" s="374">
        <f t="shared" si="316"/>
        <v>-32903.727845076566</v>
      </c>
      <c r="Y187" s="374">
        <f t="shared" si="316"/>
        <v>-33112.514542848236</v>
      </c>
      <c r="Z187" s="374">
        <f t="shared" si="316"/>
        <v>-33388.969216310979</v>
      </c>
      <c r="AA187" s="374">
        <f t="shared" si="316"/>
        <v>-34452.596868116896</v>
      </c>
      <c r="AB187" s="374">
        <f t="shared" si="316"/>
        <v>-35618.23452764676</v>
      </c>
      <c r="AC187" s="374">
        <f t="shared" si="316"/>
        <v>-37053.351862237934</v>
      </c>
      <c r="AD187" s="374">
        <f t="shared" si="316"/>
        <v>-38472.209891977756</v>
      </c>
      <c r="AE187" s="374">
        <f t="shared" si="316"/>
        <v>-41725.699627232352</v>
      </c>
      <c r="AF187" s="374">
        <f t="shared" si="316"/>
        <v>-45230.570471691077</v>
      </c>
      <c r="AG187" s="374">
        <f t="shared" si="316"/>
        <v>-47468.690280112678</v>
      </c>
      <c r="AH187" s="374">
        <f t="shared" si="316"/>
        <v>-49557.418721092487</v>
      </c>
      <c r="AI187" s="374">
        <f t="shared" si="316"/>
        <v>-51890.657529058088</v>
      </c>
      <c r="AJ187" s="374">
        <f t="shared" si="316"/>
        <v>-54476.713723361318</v>
      </c>
      <c r="AK187" s="374">
        <f t="shared" si="316"/>
        <v>-57877.97965661031</v>
      </c>
      <c r="AL187" s="374">
        <f t="shared" si="316"/>
        <v>-61497.073630970634</v>
      </c>
      <c r="AM187" s="374">
        <f t="shared" si="316"/>
        <v>-65430.024855249852</v>
      </c>
      <c r="AN187" s="374">
        <f t="shared" si="316"/>
        <v>-70059.227370452238</v>
      </c>
      <c r="AO187" s="374">
        <f t="shared" si="316"/>
        <v>-79844.671413484713</v>
      </c>
      <c r="AP187" s="374">
        <f t="shared" ref="AP187:BU187" si="317">-AP186</f>
        <v>-89032.227139738185</v>
      </c>
      <c r="AQ187" s="374">
        <f t="shared" si="317"/>
        <v>-95166.410458040307</v>
      </c>
      <c r="AR187" s="374">
        <f t="shared" si="317"/>
        <v>-100062.97306975277</v>
      </c>
      <c r="AS187" s="374">
        <f t="shared" si="317"/>
        <v>-103118.7595821382</v>
      </c>
      <c r="AT187" s="374">
        <f t="shared" si="317"/>
        <v>-102837.01433737825</v>
      </c>
      <c r="AU187" s="374">
        <f t="shared" si="317"/>
        <v>-101813.85327435884</v>
      </c>
      <c r="AV187" s="374">
        <f t="shared" si="317"/>
        <v>-96673.920204420225</v>
      </c>
      <c r="AW187" s="374">
        <f t="shared" si="317"/>
        <v>-88525.294451363545</v>
      </c>
      <c r="AX187" s="374">
        <f t="shared" si="317"/>
        <v>-79452.422767415046</v>
      </c>
      <c r="AY187" s="374">
        <f t="shared" si="317"/>
        <v>-73331.113084648008</v>
      </c>
      <c r="AZ187" s="374">
        <f t="shared" si="317"/>
        <v>-66255.988443943555</v>
      </c>
      <c r="BA187" s="374">
        <f t="shared" si="317"/>
        <v>-55107.485090240669</v>
      </c>
      <c r="BB187" s="374">
        <f t="shared" si="317"/>
        <v>-43064.646749955486</v>
      </c>
      <c r="BC187" s="374">
        <f t="shared" si="317"/>
        <v>-30548.03105816455</v>
      </c>
      <c r="BD187" s="374">
        <f t="shared" si="317"/>
        <v>-17374.293042554604</v>
      </c>
      <c r="BE187" s="374">
        <f t="shared" si="317"/>
        <v>-5347.1039791417761</v>
      </c>
      <c r="BF187" s="374">
        <f t="shared" si="317"/>
        <v>0</v>
      </c>
      <c r="BG187" s="374">
        <f t="shared" si="317"/>
        <v>0</v>
      </c>
      <c r="BH187" s="374">
        <f t="shared" si="317"/>
        <v>0</v>
      </c>
      <c r="BI187" s="374">
        <f t="shared" si="317"/>
        <v>0</v>
      </c>
      <c r="BJ187" s="374">
        <f t="shared" si="317"/>
        <v>0</v>
      </c>
      <c r="BK187" s="374">
        <f t="shared" si="317"/>
        <v>0</v>
      </c>
      <c r="BL187" s="374">
        <f t="shared" si="317"/>
        <v>0</v>
      </c>
      <c r="BM187" s="374">
        <f t="shared" si="317"/>
        <v>0</v>
      </c>
      <c r="BN187" s="374">
        <f t="shared" si="317"/>
        <v>0</v>
      </c>
      <c r="BO187" s="374">
        <f t="shared" si="317"/>
        <v>0</v>
      </c>
      <c r="BP187" s="374">
        <f t="shared" si="317"/>
        <v>0</v>
      </c>
      <c r="BQ187" s="374">
        <f t="shared" si="317"/>
        <v>0</v>
      </c>
      <c r="BR187" s="374">
        <f t="shared" si="317"/>
        <v>0</v>
      </c>
      <c r="BS187" s="374">
        <f t="shared" si="317"/>
        <v>0</v>
      </c>
      <c r="BT187" s="374">
        <f t="shared" si="317"/>
        <v>0</v>
      </c>
      <c r="BU187" s="374">
        <f t="shared" si="317"/>
        <v>0</v>
      </c>
    </row>
    <row r="188" spans="1:73" ht="13.5" thickBot="1" x14ac:dyDescent="0.25">
      <c r="A188" s="186"/>
      <c r="B188" s="186"/>
      <c r="C188" s="383" t="s">
        <v>180</v>
      </c>
      <c r="D188" s="383"/>
      <c r="E188" s="383"/>
      <c r="F188" s="383"/>
      <c r="G188" s="383"/>
      <c r="H188" s="383"/>
      <c r="I188" s="383"/>
      <c r="J188" s="383"/>
      <c r="K188" s="617" t="s">
        <v>63</v>
      </c>
      <c r="L188" s="383"/>
      <c r="M188" s="383"/>
      <c r="N188" s="384">
        <f t="shared" si="309"/>
        <v>-2055302.1613567595</v>
      </c>
      <c r="O188" s="383"/>
      <c r="P188" s="383"/>
      <c r="Q188" s="446"/>
      <c r="R188" s="384">
        <f t="shared" ref="R188:AW188" si="318">IF(R7&lt;2056, - IF(R169,0 - PPMT(R178/IF(R170=1,2,1),1,$N169 - Q170-IF(R170&gt;1,0.5,0),R181+R183/2,0),0)*IF(Q170=0,0.5,1),-Q189)</f>
        <v>0</v>
      </c>
      <c r="S188" s="384">
        <f t="shared" si="318"/>
        <v>0</v>
      </c>
      <c r="T188" s="384">
        <f t="shared" si="318"/>
        <v>0</v>
      </c>
      <c r="U188" s="384">
        <f t="shared" si="318"/>
        <v>0</v>
      </c>
      <c r="V188" s="384">
        <f t="shared" si="318"/>
        <v>0</v>
      </c>
      <c r="W188" s="384">
        <f t="shared" si="318"/>
        <v>0</v>
      </c>
      <c r="X188" s="384">
        <f t="shared" si="318"/>
        <v>0</v>
      </c>
      <c r="Y188" s="384">
        <f t="shared" si="318"/>
        <v>0</v>
      </c>
      <c r="Z188" s="384">
        <f t="shared" si="318"/>
        <v>0</v>
      </c>
      <c r="AA188" s="384">
        <f t="shared" si="318"/>
        <v>0</v>
      </c>
      <c r="AB188" s="384">
        <f t="shared" si="318"/>
        <v>0</v>
      </c>
      <c r="AC188" s="384">
        <f t="shared" si="318"/>
        <v>0</v>
      </c>
      <c r="AD188" s="384">
        <f t="shared" si="318"/>
        <v>0</v>
      </c>
      <c r="AE188" s="384">
        <f t="shared" si="318"/>
        <v>0</v>
      </c>
      <c r="AF188" s="384">
        <f t="shared" si="318"/>
        <v>0</v>
      </c>
      <c r="AG188" s="384">
        <f t="shared" si="318"/>
        <v>0</v>
      </c>
      <c r="AH188" s="384">
        <f t="shared" si="318"/>
        <v>0</v>
      </c>
      <c r="AI188" s="384">
        <f t="shared" si="318"/>
        <v>0</v>
      </c>
      <c r="AJ188" s="384">
        <f t="shared" si="318"/>
        <v>0</v>
      </c>
      <c r="AK188" s="384">
        <f t="shared" si="318"/>
        <v>0</v>
      </c>
      <c r="AL188" s="384">
        <f t="shared" si="318"/>
        <v>0</v>
      </c>
      <c r="AM188" s="384">
        <f t="shared" si="318"/>
        <v>0</v>
      </c>
      <c r="AN188" s="384">
        <f t="shared" si="318"/>
        <v>0</v>
      </c>
      <c r="AO188" s="384">
        <f t="shared" si="318"/>
        <v>0</v>
      </c>
      <c r="AP188" s="384">
        <f t="shared" si="318"/>
        <v>0</v>
      </c>
      <c r="AQ188" s="384">
        <f t="shared" si="318"/>
        <v>0</v>
      </c>
      <c r="AR188" s="384">
        <f t="shared" si="318"/>
        <v>0</v>
      </c>
      <c r="AS188" s="384">
        <f t="shared" si="318"/>
        <v>0</v>
      </c>
      <c r="AT188" s="384">
        <f t="shared" si="318"/>
        <v>0</v>
      </c>
      <c r="AU188" s="384">
        <f t="shared" si="318"/>
        <v>-76887.250136877992</v>
      </c>
      <c r="AV188" s="384">
        <f t="shared" si="318"/>
        <v>-155587.62314248437</v>
      </c>
      <c r="AW188" s="384">
        <f t="shared" si="318"/>
        <v>-163755.97335746483</v>
      </c>
      <c r="AX188" s="384">
        <f t="shared" ref="AX188:BU188" si="319">IF(AX7&lt;2056, - IF(AX169,0 - PPMT(AX178/IF(AX170=1,2,1),1,$N169 - AW170-IF(AX170&gt;1,0.5,0),AX181+AX183/2,0),0)*IF(AW170=0,0.5,1),-AW189)</f>
        <v>-172353.16195873168</v>
      </c>
      <c r="AY188" s="384">
        <f t="shared" si="319"/>
        <v>-189606.70873672073</v>
      </c>
      <c r="AZ188" s="384">
        <f t="shared" si="319"/>
        <v>-209522.18265871578</v>
      </c>
      <c r="BA188" s="384">
        <f t="shared" si="319"/>
        <v>-220522.09724829838</v>
      </c>
      <c r="BB188" s="384">
        <f t="shared" si="319"/>
        <v>-232099.50735383405</v>
      </c>
      <c r="BC188" s="384">
        <f t="shared" si="319"/>
        <v>-244284.73148991028</v>
      </c>
      <c r="BD188" s="384">
        <f t="shared" si="319"/>
        <v>-257109.67989313052</v>
      </c>
      <c r="BE188" s="384">
        <f t="shared" si="319"/>
        <v>-133573.24538059082</v>
      </c>
      <c r="BF188" s="384">
        <f t="shared" si="319"/>
        <v>0</v>
      </c>
      <c r="BG188" s="384">
        <f t="shared" si="319"/>
        <v>0</v>
      </c>
      <c r="BH188" s="384">
        <f t="shared" si="319"/>
        <v>0</v>
      </c>
      <c r="BI188" s="384">
        <f t="shared" si="319"/>
        <v>0</v>
      </c>
      <c r="BJ188" s="384">
        <f t="shared" si="319"/>
        <v>0</v>
      </c>
      <c r="BK188" s="384">
        <f t="shared" si="319"/>
        <v>0</v>
      </c>
      <c r="BL188" s="384">
        <f t="shared" si="319"/>
        <v>0</v>
      </c>
      <c r="BM188" s="384">
        <f t="shared" si="319"/>
        <v>0</v>
      </c>
      <c r="BN188" s="384">
        <f t="shared" si="319"/>
        <v>0</v>
      </c>
      <c r="BO188" s="384">
        <f t="shared" si="319"/>
        <v>0</v>
      </c>
      <c r="BP188" s="384">
        <f t="shared" si="319"/>
        <v>0</v>
      </c>
      <c r="BQ188" s="384">
        <f t="shared" si="319"/>
        <v>0</v>
      </c>
      <c r="BR188" s="384">
        <f t="shared" si="319"/>
        <v>0</v>
      </c>
      <c r="BS188" s="384">
        <f t="shared" si="319"/>
        <v>0</v>
      </c>
      <c r="BT188" s="384">
        <f t="shared" si="319"/>
        <v>0</v>
      </c>
      <c r="BU188" s="384">
        <f t="shared" si="319"/>
        <v>0</v>
      </c>
    </row>
    <row r="189" spans="1:73" ht="13.5" thickBot="1" x14ac:dyDescent="0.25">
      <c r="A189" s="186"/>
      <c r="B189" s="186"/>
      <c r="C189" s="186" t="s">
        <v>89</v>
      </c>
      <c r="D189" s="186"/>
      <c r="E189" s="186"/>
      <c r="F189" s="186"/>
      <c r="G189" s="186"/>
      <c r="H189" s="186"/>
      <c r="I189" s="186"/>
      <c r="J189" s="186"/>
      <c r="K189" s="367" t="s">
        <v>63</v>
      </c>
      <c r="L189" s="186"/>
      <c r="M189" s="186"/>
      <c r="N189" s="385">
        <f>IF(ROUND(SUM(N182:N188),0)&lt;&gt;0,1,0)</f>
        <v>0</v>
      </c>
      <c r="O189" s="186"/>
      <c r="P189" s="186"/>
      <c r="Q189" s="374"/>
      <c r="R189" s="374">
        <f t="shared" ref="R189:AO189" si="320">SUM(R181:R188)</f>
        <v>0</v>
      </c>
      <c r="S189" s="374">
        <f t="shared" si="320"/>
        <v>0</v>
      </c>
      <c r="T189" s="374">
        <f t="shared" si="320"/>
        <v>0</v>
      </c>
      <c r="U189" s="374">
        <f t="shared" si="320"/>
        <v>615000.38086000003</v>
      </c>
      <c r="V189" s="374">
        <f t="shared" si="320"/>
        <v>616079.78397435579</v>
      </c>
      <c r="W189" s="374">
        <f t="shared" si="320"/>
        <v>617632.79516539979</v>
      </c>
      <c r="X189" s="374">
        <f t="shared" si="320"/>
        <v>619710.51714751939</v>
      </c>
      <c r="Y189" s="374">
        <f t="shared" si="320"/>
        <v>622368.36745941779</v>
      </c>
      <c r="Z189" s="374">
        <f t="shared" si="320"/>
        <v>641968.12248738576</v>
      </c>
      <c r="AA189" s="374">
        <f t="shared" si="320"/>
        <v>663097.04102255683</v>
      </c>
      <c r="AB189" s="374">
        <f t="shared" si="320"/>
        <v>687304.19173005095</v>
      </c>
      <c r="AC189" s="374">
        <f t="shared" si="320"/>
        <v>714919.4144857584</v>
      </c>
      <c r="AD189" s="374">
        <f t="shared" si="320"/>
        <v>746304.10458958591</v>
      </c>
      <c r="AE189" s="374">
        <f t="shared" si="320"/>
        <v>839958.00709337136</v>
      </c>
      <c r="AF189" s="374">
        <f t="shared" si="320"/>
        <v>879057.30183718016</v>
      </c>
      <c r="AG189" s="374">
        <f t="shared" si="320"/>
        <v>920200.6681737192</v>
      </c>
      <c r="AH189" s="374">
        <f t="shared" si="320"/>
        <v>963477.99330653611</v>
      </c>
      <c r="AI189" s="374">
        <f t="shared" si="320"/>
        <v>1008981.3803853443</v>
      </c>
      <c r="AJ189" s="374">
        <f t="shared" si="320"/>
        <v>1066804.9918715104</v>
      </c>
      <c r="AK189" s="374">
        <f t="shared" si="320"/>
        <v>1137044.8581361251</v>
      </c>
      <c r="AL189" s="374">
        <f t="shared" si="320"/>
        <v>1210171.9371948976</v>
      </c>
      <c r="AM189" s="374">
        <f t="shared" si="320"/>
        <v>1286339.2851698955</v>
      </c>
      <c r="AN189" s="374">
        <f t="shared" si="320"/>
        <v>1405706.8627395625</v>
      </c>
      <c r="AO189" s="374">
        <f t="shared" si="320"/>
        <v>1642498.3723249221</v>
      </c>
      <c r="AP189" s="374">
        <f t="shared" ref="AP189:BU189" si="321">SUM(AP181:AP188)</f>
        <v>1762989.2708255206</v>
      </c>
      <c r="AQ189" s="374">
        <f t="shared" si="321"/>
        <v>1862480.6446442762</v>
      </c>
      <c r="AR189" s="374">
        <f t="shared" si="321"/>
        <v>1931967.3926395916</v>
      </c>
      <c r="AS189" s="374">
        <f t="shared" si="321"/>
        <v>1931967.3926395916</v>
      </c>
      <c r="AT189" s="374">
        <f t="shared" si="321"/>
        <v>1931967.3926395916</v>
      </c>
      <c r="AU189" s="374">
        <f t="shared" si="321"/>
        <v>1855080.1425027135</v>
      </c>
      <c r="AV189" s="374">
        <f t="shared" si="321"/>
        <v>1699492.5193602291</v>
      </c>
      <c r="AW189" s="374">
        <f t="shared" si="321"/>
        <v>1535736.5460027643</v>
      </c>
      <c r="AX189" s="374">
        <f t="shared" si="321"/>
        <v>1363383.3840440325</v>
      </c>
      <c r="AY189" s="374">
        <f t="shared" si="321"/>
        <v>1297111.4440244799</v>
      </c>
      <c r="AZ189" s="374">
        <f t="shared" si="321"/>
        <v>1087589.2613657641</v>
      </c>
      <c r="BA189" s="374">
        <f t="shared" si="321"/>
        <v>867067.16411746573</v>
      </c>
      <c r="BB189" s="374">
        <f t="shared" si="321"/>
        <v>634967.65676363162</v>
      </c>
      <c r="BC189" s="374">
        <f t="shared" si="321"/>
        <v>390682.92527372134</v>
      </c>
      <c r="BD189" s="374">
        <f t="shared" si="321"/>
        <v>133573.24538059082</v>
      </c>
      <c r="BE189" s="374">
        <f t="shared" si="321"/>
        <v>0</v>
      </c>
      <c r="BF189" s="374">
        <f t="shared" si="321"/>
        <v>0</v>
      </c>
      <c r="BG189" s="374">
        <f t="shared" si="321"/>
        <v>0</v>
      </c>
      <c r="BH189" s="374">
        <f t="shared" si="321"/>
        <v>0</v>
      </c>
      <c r="BI189" s="374">
        <f t="shared" si="321"/>
        <v>0</v>
      </c>
      <c r="BJ189" s="374">
        <f t="shared" si="321"/>
        <v>0</v>
      </c>
      <c r="BK189" s="374">
        <f t="shared" si="321"/>
        <v>0</v>
      </c>
      <c r="BL189" s="374">
        <f t="shared" si="321"/>
        <v>0</v>
      </c>
      <c r="BM189" s="374">
        <f t="shared" si="321"/>
        <v>0</v>
      </c>
      <c r="BN189" s="374">
        <f t="shared" si="321"/>
        <v>0</v>
      </c>
      <c r="BO189" s="374">
        <f t="shared" si="321"/>
        <v>0</v>
      </c>
      <c r="BP189" s="374">
        <f t="shared" si="321"/>
        <v>0</v>
      </c>
      <c r="BQ189" s="374">
        <f t="shared" si="321"/>
        <v>0</v>
      </c>
      <c r="BR189" s="374">
        <f t="shared" si="321"/>
        <v>0</v>
      </c>
      <c r="BS189" s="374">
        <f t="shared" si="321"/>
        <v>0</v>
      </c>
      <c r="BT189" s="374">
        <f t="shared" si="321"/>
        <v>0</v>
      </c>
      <c r="BU189" s="374">
        <f t="shared" si="321"/>
        <v>0</v>
      </c>
    </row>
    <row r="190" spans="1:73" x14ac:dyDescent="0.2">
      <c r="A190" s="186"/>
      <c r="B190" s="186"/>
      <c r="C190" s="186"/>
      <c r="D190" s="186"/>
      <c r="E190" s="186"/>
      <c r="F190" s="186"/>
      <c r="G190" s="186"/>
      <c r="H190" s="186"/>
      <c r="I190" s="186"/>
      <c r="J190" s="186"/>
      <c r="K190" s="367"/>
      <c r="L190" s="186"/>
      <c r="M190" s="186"/>
      <c r="N190" s="186"/>
      <c r="O190" s="186"/>
      <c r="P190" s="186"/>
      <c r="Q190" s="374"/>
      <c r="R190" s="374"/>
      <c r="S190" s="374"/>
      <c r="T190" s="374"/>
      <c r="U190" s="374"/>
      <c r="V190" s="374"/>
      <c r="W190" s="374"/>
      <c r="X190" s="374"/>
      <c r="Y190" s="374"/>
      <c r="Z190" s="374"/>
      <c r="AA190" s="374"/>
      <c r="AB190" s="374"/>
      <c r="AC190" s="374"/>
      <c r="AD190" s="374"/>
      <c r="AE190" s="374"/>
      <c r="AF190" s="374"/>
      <c r="AG190" s="374"/>
      <c r="AH190" s="374"/>
      <c r="AI190" s="374"/>
      <c r="AJ190" s="374"/>
      <c r="AK190" s="374"/>
      <c r="AL190" s="374"/>
      <c r="AM190" s="374"/>
      <c r="AN190" s="374"/>
      <c r="AO190" s="374"/>
      <c r="AP190" s="374"/>
      <c r="AQ190" s="374"/>
      <c r="AR190" s="374"/>
      <c r="AS190" s="374"/>
      <c r="AT190" s="374"/>
      <c r="AU190" s="374"/>
      <c r="AV190" s="374"/>
      <c r="AW190" s="374"/>
      <c r="AX190" s="374"/>
      <c r="AY190" s="374"/>
      <c r="AZ190" s="374"/>
      <c r="BA190" s="374"/>
      <c r="BB190" s="374"/>
      <c r="BC190" s="374"/>
      <c r="BD190" s="374"/>
      <c r="BE190" s="374"/>
      <c r="BF190" s="374"/>
      <c r="BG190" s="374"/>
      <c r="BH190" s="374"/>
      <c r="BI190" s="374"/>
      <c r="BJ190" s="374"/>
      <c r="BK190" s="374"/>
      <c r="BL190" s="374"/>
      <c r="BM190" s="374"/>
      <c r="BN190" s="374"/>
      <c r="BO190" s="374"/>
      <c r="BP190" s="374"/>
      <c r="BQ190" s="374"/>
      <c r="BR190" s="374"/>
      <c r="BS190" s="374"/>
      <c r="BT190" s="374"/>
      <c r="BU190" s="374"/>
    </row>
    <row r="191" spans="1:73" x14ac:dyDescent="0.2">
      <c r="A191" s="186"/>
      <c r="B191" s="396" t="s">
        <v>162</v>
      </c>
      <c r="C191" s="186"/>
      <c r="D191" s="186"/>
      <c r="E191" s="186"/>
      <c r="F191" s="186"/>
      <c r="G191" s="186"/>
      <c r="H191" s="186"/>
      <c r="I191" s="186"/>
      <c r="J191" s="186"/>
      <c r="K191" s="367"/>
      <c r="L191" s="186"/>
      <c r="M191" s="186"/>
      <c r="N191" s="418">
        <v>52932.805089441114</v>
      </c>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row>
    <row r="192" spans="1:73" x14ac:dyDescent="0.2">
      <c r="A192" s="186"/>
      <c r="B192" s="186"/>
      <c r="C192" s="186" t="s">
        <v>17</v>
      </c>
      <c r="D192" s="186"/>
      <c r="E192" s="186"/>
      <c r="F192" s="186"/>
      <c r="G192" s="186"/>
      <c r="H192" s="186"/>
      <c r="I192" s="186"/>
      <c r="J192" s="186"/>
      <c r="K192" s="367" t="s">
        <v>63</v>
      </c>
      <c r="L192" s="194"/>
      <c r="M192" s="194"/>
      <c r="N192" s="374">
        <f>SUM(Q192:BU192)</f>
        <v>66848.358152759291</v>
      </c>
      <c r="O192" s="186"/>
      <c r="P192" s="186"/>
      <c r="Q192" s="374"/>
      <c r="R192" s="374">
        <f xml:space="preserve"> + ((+R184+R185+R183+R182+R181*R$173) * Inputs!$L$157)</f>
        <v>0</v>
      </c>
      <c r="S192" s="374">
        <f xml:space="preserve"> + ((+S184+S185+S183+S182+S181*S$173) * Inputs!$L$157)</f>
        <v>0</v>
      </c>
      <c r="T192" s="374">
        <f xml:space="preserve"> + ((+T184+T185+T183+T182+T181*T$173) * Inputs!$L$157)</f>
        <v>0</v>
      </c>
      <c r="U192" s="374">
        <f xml:space="preserve"> + ((+U184+U185+U183+U182+U181*U$173) * Inputs!$L$157)</f>
        <v>7380.0045703200003</v>
      </c>
      <c r="V192" s="374">
        <f xml:space="preserve"> + ((+V184+V185+V183+V182+V181*V$173) * Inputs!$L$157)</f>
        <v>12.952837372269016</v>
      </c>
      <c r="W192" s="374">
        <f xml:space="preserve"> + ((+W184+W185+W183+W182+W181*W$173) * Inputs!$L$157)</f>
        <v>18.636134292527334</v>
      </c>
      <c r="X192" s="374">
        <f xml:space="preserve"> + ((+X184+X185+X183+X182+X181*X$173) * Inputs!$L$157)</f>
        <v>24.932663785434912</v>
      </c>
      <c r="Y192" s="374">
        <f xml:space="preserve"> + ((+Y184+Y185+Y183+Y182+Y181*Y$173) * Inputs!$L$157)</f>
        <v>31.894203742780025</v>
      </c>
      <c r="Z192" s="374">
        <f xml:space="preserve"> + ((+Z184+Z185+Z183+Z182+Z181*Z$173) * Inputs!$L$157)</f>
        <v>235.19706033561496</v>
      </c>
      <c r="AA192" s="374">
        <f xml:space="preserve"> + ((+AA184+AA185+AA183+AA182+AA181*AA$173) * Inputs!$L$157)</f>
        <v>253.54702242205224</v>
      </c>
      <c r="AB192" s="374">
        <f xml:space="preserve"> + ((+AB184+AB185+AB183+AB182+AB181*AB$173) * Inputs!$L$157)</f>
        <v>290.48580848992941</v>
      </c>
      <c r="AC192" s="374">
        <f xml:space="preserve"> + ((+AC184+AC185+AC183+AC182+AC181*AC$173) * Inputs!$L$157)</f>
        <v>331.38267306848871</v>
      </c>
      <c r="AD192" s="374">
        <f xml:space="preserve"> + ((+AD184+AD185+AD183+AD182+AD181*AD$173) * Inputs!$L$157)</f>
        <v>376.61628124593085</v>
      </c>
      <c r="AE192" s="374">
        <f xml:space="preserve"> + ((+AE184+AE185+AE183+AE182+AE181*AE$173) * Inputs!$L$157)</f>
        <v>10079.496085120456</v>
      </c>
      <c r="AF192" s="374">
        <f xml:space="preserve"> + ((+AF184+AF185+AF183+AF182+AF181*AF$173) * Inputs!$L$157)</f>
        <v>469.19153692570563</v>
      </c>
      <c r="AG192" s="374">
        <f xml:space="preserve"> + ((+AG184+AG185+AG183+AG182+AG181*AG$173) * Inputs!$L$157)</f>
        <v>493.72039603846775</v>
      </c>
      <c r="AH192" s="374">
        <f xml:space="preserve"> + ((+AH184+AH185+AH183+AH182+AH181*AH$173) * Inputs!$L$157)</f>
        <v>519.32790159380295</v>
      </c>
      <c r="AI192" s="374">
        <f xml:space="preserve"> + ((+AI184+AI185+AI183+AI182+AI181*AI$173) * Inputs!$L$157)</f>
        <v>546.04064494569786</v>
      </c>
      <c r="AJ192" s="374">
        <f xml:space="preserve"> + ((+AJ184+AJ185+AJ183+AJ182+AJ181*AJ$173) * Inputs!$L$157)</f>
        <v>693.88333783399366</v>
      </c>
      <c r="AK192" s="374">
        <f xml:space="preserve"> + ((+AK184+AK185+AK183+AK182+AK181*AK$173) * Inputs!$L$157)</f>
        <v>842.87839517537623</v>
      </c>
      <c r="AL192" s="374">
        <f xml:space="preserve"> + ((+AL184+AL185+AL183+AL182+AL181*AL$173) * Inputs!$L$157)</f>
        <v>877.52494870526903</v>
      </c>
      <c r="AM192" s="374">
        <f xml:space="preserve"> + ((+AM184+AM185+AM183+AM182+AM181*AM$173) * Inputs!$L$157)</f>
        <v>914.00817569997537</v>
      </c>
      <c r="AN192" s="374">
        <f xml:space="preserve"> + ((+AN184+AN185+AN183+AN182+AN181*AN$173) * Inputs!$L$157)</f>
        <v>1432.4109308360028</v>
      </c>
      <c r="AO192" s="374">
        <f xml:space="preserve"> + ((+AO184+AO185+AO183+AO182+AO181*AO$173) * Inputs!$L$157)</f>
        <v>19709.980467899066</v>
      </c>
      <c r="AP192" s="374">
        <f xml:space="preserve"> + ((+AP184+AP185+AP183+AP182+AP181*AP$173) * Inputs!$L$157)</f>
        <v>1445.8907820071804</v>
      </c>
      <c r="AQ192" s="374">
        <f xml:space="preserve"> + ((+AQ184+AQ185+AQ183+AQ182+AQ181*AQ$173) * Inputs!$L$157)</f>
        <v>1193.8964858250695</v>
      </c>
      <c r="AR192" s="374">
        <f xml:space="preserve"> + ((+AR184+AR185+AR183+AR182+AR181*AR$173) * Inputs!$L$157)</f>
        <v>833.84097594378636</v>
      </c>
      <c r="AS192" s="374">
        <f xml:space="preserve"> + ((+AS184+AS185+AS183+AS182+AS181*AS$173) * Inputs!$L$157)</f>
        <v>0</v>
      </c>
      <c r="AT192" s="374">
        <f xml:space="preserve"> + ((+AT184+AT185+AT183+AT182+AT181*AT$173) * Inputs!$L$157)</f>
        <v>0</v>
      </c>
      <c r="AU192" s="374">
        <f xml:space="preserve"> + ((+AU184+AU185+AU183+AU182+AU181*AU$173) * Inputs!$L$157)</f>
        <v>0</v>
      </c>
      <c r="AV192" s="374">
        <f xml:space="preserve"> + ((+AV184+AV185+AV183+AV182+AV181*AV$173) * Inputs!$L$157)</f>
        <v>0</v>
      </c>
      <c r="AW192" s="374">
        <f xml:space="preserve"> + ((+AW184+AW185+AW183+AW182+AW181*AW$173) * Inputs!$L$157)</f>
        <v>0</v>
      </c>
      <c r="AX192" s="374">
        <f xml:space="preserve"> + ((+AX184+AX185+AX183+AX182+AX181*AX$173) * Inputs!$L$157)</f>
        <v>0</v>
      </c>
      <c r="AY192" s="374">
        <f xml:space="preserve"> + ((+AY184+AY185+AY183+AY182+AY181*AY$173) * Inputs!$L$157)</f>
        <v>17840.617833134409</v>
      </c>
      <c r="AZ192" s="374">
        <f xml:space="preserve"> + ((+AZ184+AZ185+AZ183+AZ182+AZ181*AZ$173) * Inputs!$L$157)</f>
        <v>0</v>
      </c>
      <c r="BA192" s="374">
        <f xml:space="preserve"> + ((+BA184+BA185+BA183+BA182+BA181*BA$173) * Inputs!$L$157)</f>
        <v>0</v>
      </c>
      <c r="BB192" s="374">
        <f xml:space="preserve"> + ((+BB184+BB185+BB183+BB182+BB181*BB$173) * Inputs!$L$157)</f>
        <v>0</v>
      </c>
      <c r="BC192" s="374">
        <f xml:space="preserve"> + ((+BC184+BC185+BC183+BC182+BC181*BC$173) * Inputs!$L$157)</f>
        <v>0</v>
      </c>
      <c r="BD192" s="374">
        <f xml:space="preserve"> + ((+BD184+BD185+BD183+BD182+BD181*BD$173) * Inputs!$L$157)</f>
        <v>0</v>
      </c>
      <c r="BE192" s="374">
        <f xml:space="preserve"> + ((+BE184+BE185+BE183+BE182+BE181*BE$173) * Inputs!$L$157)</f>
        <v>0</v>
      </c>
      <c r="BF192" s="374">
        <f xml:space="preserve"> + ((+BF184+BF185+BF183+BF182+BF181*BF$173) * Inputs!$L$157)</f>
        <v>0</v>
      </c>
      <c r="BG192" s="374">
        <f xml:space="preserve"> + ((+BG184+BG185+BG183+BG182+BG181*BG$173) * Inputs!$L$157)</f>
        <v>0</v>
      </c>
      <c r="BH192" s="374">
        <f xml:space="preserve"> + ((+BH184+BH185+BH183+BH182+BH181*BH$173) * Inputs!$L$157)</f>
        <v>0</v>
      </c>
      <c r="BI192" s="374">
        <f xml:space="preserve"> + ((+BI184+BI185+BI183+BI182+BI181*BI$173) * Inputs!$L$157)</f>
        <v>0</v>
      </c>
      <c r="BJ192" s="374">
        <f xml:space="preserve"> + ((+BJ184+BJ185+BJ183+BJ182+BJ181*BJ$173) * Inputs!$L$157)</f>
        <v>0</v>
      </c>
      <c r="BK192" s="374">
        <f xml:space="preserve"> + ((BK183+BK182+BK181*BK$173) * Inputs!$L$157)</f>
        <v>0</v>
      </c>
      <c r="BL192" s="374">
        <f xml:space="preserve"> + ((BL183+BL182+BL181*BL$173) * Inputs!$L$157)</f>
        <v>0</v>
      </c>
      <c r="BM192" s="374">
        <f xml:space="preserve"> + ((BM183+BM182+BM181*BM$173) * Inputs!$L$157)</f>
        <v>0</v>
      </c>
      <c r="BN192" s="374">
        <f xml:space="preserve"> + ((BN183+BN182+BN181*BN$173) * Inputs!$L$157)</f>
        <v>0</v>
      </c>
      <c r="BO192" s="374">
        <f xml:space="preserve"> + ((BO183+BO182+BO181*BO$173) * Inputs!$L$157)</f>
        <v>0</v>
      </c>
      <c r="BP192" s="374">
        <f xml:space="preserve"> + ((BP183+BP182+BP181*BP$173) * Inputs!$L$157)</f>
        <v>0</v>
      </c>
      <c r="BQ192" s="374">
        <f xml:space="preserve"> + ((BQ183+BQ182+BQ181*BQ$173) * Inputs!$L$157)</f>
        <v>0</v>
      </c>
      <c r="BR192" s="374">
        <f xml:space="preserve"> + ((BR183+BR182+BR181*BR$173) * Inputs!$L$157)</f>
        <v>0</v>
      </c>
      <c r="BS192" s="374">
        <f xml:space="preserve"> + ((BS183+BS182+BS181*BS$173) * Inputs!$L$157)</f>
        <v>0</v>
      </c>
      <c r="BT192" s="374">
        <f xml:space="preserve"> + ((BT183+BT182+BT181*BT$173) * Inputs!$L$157)</f>
        <v>0</v>
      </c>
      <c r="BU192" s="374">
        <f xml:space="preserve"> + ((BU183+BU182+BU181*BU$173) * Inputs!$L$157)</f>
        <v>0</v>
      </c>
    </row>
    <row r="193" spans="1:73" x14ac:dyDescent="0.2">
      <c r="A193" s="186"/>
      <c r="B193" s="186"/>
      <c r="C193" s="186"/>
      <c r="D193" s="186"/>
      <c r="E193" s="186"/>
      <c r="F193" s="186"/>
      <c r="G193" s="186"/>
      <c r="H193" s="186"/>
      <c r="I193" s="186"/>
      <c r="J193" s="186"/>
      <c r="K193" s="367"/>
      <c r="L193" s="186"/>
      <c r="M193" s="186"/>
      <c r="N193" s="418"/>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row>
    <row r="194" spans="1:73" x14ac:dyDescent="0.2">
      <c r="A194" s="186"/>
      <c r="B194" s="186" t="s">
        <v>282</v>
      </c>
      <c r="C194" s="186"/>
      <c r="D194" s="186"/>
      <c r="E194" s="186"/>
      <c r="F194" s="186"/>
      <c r="G194" s="186"/>
      <c r="H194" s="186"/>
      <c r="I194" s="186"/>
      <c r="J194" s="186"/>
      <c r="K194" s="367"/>
      <c r="L194" s="370">
        <f t="array" ref="L194">MIN(U194:BU194)</f>
        <v>57345</v>
      </c>
      <c r="M194" s="186"/>
      <c r="N194" s="186"/>
      <c r="O194" s="186"/>
      <c r="P194" s="186"/>
      <c r="Q194" s="370"/>
      <c r="R194" s="370"/>
      <c r="S194" s="370"/>
      <c r="T194" s="370"/>
      <c r="U194" s="370" t="str">
        <f t="shared" ref="U194:AZ194" si="322">IF(U189=0,U9,"")</f>
        <v/>
      </c>
      <c r="V194" s="370" t="str">
        <f t="shared" si="322"/>
        <v/>
      </c>
      <c r="W194" s="370" t="str">
        <f t="shared" si="322"/>
        <v/>
      </c>
      <c r="X194" s="370" t="str">
        <f t="shared" si="322"/>
        <v/>
      </c>
      <c r="Y194" s="370" t="str">
        <f t="shared" si="322"/>
        <v/>
      </c>
      <c r="Z194" s="370" t="str">
        <f t="shared" si="322"/>
        <v/>
      </c>
      <c r="AA194" s="370" t="str">
        <f t="shared" si="322"/>
        <v/>
      </c>
      <c r="AB194" s="370" t="str">
        <f t="shared" si="322"/>
        <v/>
      </c>
      <c r="AC194" s="370" t="str">
        <f t="shared" si="322"/>
        <v/>
      </c>
      <c r="AD194" s="370" t="str">
        <f t="shared" si="322"/>
        <v/>
      </c>
      <c r="AE194" s="370" t="str">
        <f t="shared" si="322"/>
        <v/>
      </c>
      <c r="AF194" s="370" t="str">
        <f t="shared" si="322"/>
        <v/>
      </c>
      <c r="AG194" s="370" t="str">
        <f t="shared" si="322"/>
        <v/>
      </c>
      <c r="AH194" s="370" t="str">
        <f t="shared" si="322"/>
        <v/>
      </c>
      <c r="AI194" s="370" t="str">
        <f t="shared" si="322"/>
        <v/>
      </c>
      <c r="AJ194" s="370" t="str">
        <f t="shared" si="322"/>
        <v/>
      </c>
      <c r="AK194" s="370" t="str">
        <f t="shared" si="322"/>
        <v/>
      </c>
      <c r="AL194" s="370" t="str">
        <f t="shared" si="322"/>
        <v/>
      </c>
      <c r="AM194" s="370" t="str">
        <f t="shared" si="322"/>
        <v/>
      </c>
      <c r="AN194" s="370" t="str">
        <f t="shared" si="322"/>
        <v/>
      </c>
      <c r="AO194" s="370" t="str">
        <f t="shared" si="322"/>
        <v/>
      </c>
      <c r="AP194" s="370" t="str">
        <f t="shared" si="322"/>
        <v/>
      </c>
      <c r="AQ194" s="370" t="str">
        <f t="shared" si="322"/>
        <v/>
      </c>
      <c r="AR194" s="370" t="str">
        <f t="shared" si="322"/>
        <v/>
      </c>
      <c r="AS194" s="370" t="str">
        <f t="shared" si="322"/>
        <v/>
      </c>
      <c r="AT194" s="370" t="str">
        <f t="shared" si="322"/>
        <v/>
      </c>
      <c r="AU194" s="370" t="str">
        <f t="shared" si="322"/>
        <v/>
      </c>
      <c r="AV194" s="370" t="str">
        <f t="shared" si="322"/>
        <v/>
      </c>
      <c r="AW194" s="370" t="str">
        <f t="shared" si="322"/>
        <v/>
      </c>
      <c r="AX194" s="370" t="str">
        <f t="shared" si="322"/>
        <v/>
      </c>
      <c r="AY194" s="370" t="str">
        <f t="shared" si="322"/>
        <v/>
      </c>
      <c r="AZ194" s="370" t="str">
        <f t="shared" si="322"/>
        <v/>
      </c>
      <c r="BA194" s="370" t="str">
        <f t="shared" ref="BA194:BU194" si="323">IF(BA189=0,BA9,"")</f>
        <v/>
      </c>
      <c r="BB194" s="370" t="str">
        <f t="shared" si="323"/>
        <v/>
      </c>
      <c r="BC194" s="370" t="str">
        <f t="shared" si="323"/>
        <v/>
      </c>
      <c r="BD194" s="370" t="str">
        <f t="shared" si="323"/>
        <v/>
      </c>
      <c r="BE194" s="370">
        <f t="shared" si="323"/>
        <v>57345</v>
      </c>
      <c r="BF194" s="370">
        <f t="shared" si="323"/>
        <v>57710</v>
      </c>
      <c r="BG194" s="370">
        <f t="shared" si="323"/>
        <v>58075</v>
      </c>
      <c r="BH194" s="370">
        <f t="shared" si="323"/>
        <v>58440</v>
      </c>
      <c r="BI194" s="370">
        <f t="shared" si="323"/>
        <v>58806</v>
      </c>
      <c r="BJ194" s="370">
        <f t="shared" si="323"/>
        <v>59171</v>
      </c>
      <c r="BK194" s="370">
        <f t="shared" si="323"/>
        <v>59536</v>
      </c>
      <c r="BL194" s="370">
        <f t="shared" si="323"/>
        <v>59901</v>
      </c>
      <c r="BM194" s="370">
        <f t="shared" si="323"/>
        <v>60267</v>
      </c>
      <c r="BN194" s="370">
        <f t="shared" si="323"/>
        <v>60632</v>
      </c>
      <c r="BO194" s="370">
        <f t="shared" si="323"/>
        <v>60997</v>
      </c>
      <c r="BP194" s="370">
        <f t="shared" si="323"/>
        <v>61362</v>
      </c>
      <c r="BQ194" s="370">
        <f t="shared" si="323"/>
        <v>61728</v>
      </c>
      <c r="BR194" s="370">
        <f t="shared" si="323"/>
        <v>62093</v>
      </c>
      <c r="BS194" s="370">
        <f t="shared" si="323"/>
        <v>62458</v>
      </c>
      <c r="BT194" s="370">
        <f t="shared" si="323"/>
        <v>62823</v>
      </c>
      <c r="BU194" s="370">
        <f t="shared" si="323"/>
        <v>63189</v>
      </c>
    </row>
    <row r="195" spans="1:73" x14ac:dyDescent="0.2">
      <c r="A195" s="186"/>
      <c r="B195" s="186"/>
      <c r="C195" s="186"/>
      <c r="D195" s="186"/>
      <c r="E195" s="186"/>
      <c r="F195" s="186"/>
      <c r="G195" s="186"/>
      <c r="H195" s="186"/>
      <c r="I195" s="186"/>
      <c r="J195" s="186"/>
      <c r="K195" s="367"/>
      <c r="L195" s="186"/>
      <c r="M195" s="186"/>
      <c r="N195" s="186"/>
      <c r="O195" s="186"/>
      <c r="P195" s="186"/>
      <c r="Q195" s="374"/>
      <c r="R195" s="374"/>
      <c r="S195" s="374"/>
      <c r="T195" s="374"/>
      <c r="U195" s="374"/>
      <c r="V195" s="374"/>
      <c r="W195" s="374"/>
      <c r="X195" s="374"/>
      <c r="Y195" s="374"/>
      <c r="Z195" s="374"/>
      <c r="AA195" s="374"/>
      <c r="AB195" s="374"/>
      <c r="AC195" s="374"/>
      <c r="AD195" s="374"/>
      <c r="AE195" s="374"/>
      <c r="AF195" s="374"/>
      <c r="AG195" s="374"/>
      <c r="AH195" s="374"/>
      <c r="AI195" s="374"/>
      <c r="AJ195" s="374"/>
      <c r="AK195" s="374"/>
      <c r="AL195" s="374"/>
      <c r="AM195" s="374"/>
      <c r="AN195" s="374"/>
      <c r="AO195" s="374"/>
      <c r="AP195" s="374"/>
      <c r="AQ195" s="374"/>
      <c r="AR195" s="374"/>
      <c r="AS195" s="374"/>
      <c r="AT195" s="374"/>
      <c r="AU195" s="374"/>
      <c r="AV195" s="374"/>
      <c r="AW195" s="374"/>
      <c r="AX195" s="374"/>
      <c r="AY195" s="374"/>
      <c r="AZ195" s="374"/>
      <c r="BA195" s="374"/>
      <c r="BB195" s="374"/>
      <c r="BC195" s="374"/>
      <c r="BD195" s="374"/>
      <c r="BE195" s="374"/>
      <c r="BF195" s="374"/>
      <c r="BG195" s="374"/>
      <c r="BH195" s="374"/>
      <c r="BI195" s="374"/>
      <c r="BJ195" s="374"/>
      <c r="BK195" s="374"/>
      <c r="BL195" s="374"/>
      <c r="BM195" s="374"/>
      <c r="BN195" s="374"/>
      <c r="BO195" s="374"/>
      <c r="BP195" s="374"/>
      <c r="BQ195" s="374"/>
      <c r="BR195" s="374"/>
      <c r="BS195" s="374"/>
      <c r="BT195" s="374"/>
      <c r="BU195" s="374"/>
    </row>
    <row r="196" spans="1:73" ht="15.75" x14ac:dyDescent="0.25">
      <c r="A196" s="375"/>
      <c r="B196" s="375" t="s">
        <v>24</v>
      </c>
      <c r="C196" s="375"/>
      <c r="D196" s="375"/>
      <c r="E196" s="375"/>
      <c r="F196" s="375"/>
      <c r="G196" s="375"/>
      <c r="H196" s="375"/>
      <c r="I196" s="375"/>
      <c r="J196" s="375"/>
      <c r="K196" s="615"/>
      <c r="L196" s="375"/>
      <c r="M196" s="375"/>
      <c r="N196" s="375"/>
      <c r="O196" s="376"/>
      <c r="P196" s="377"/>
      <c r="Q196" s="377"/>
      <c r="R196" s="377"/>
      <c r="S196" s="377"/>
      <c r="T196" s="377"/>
      <c r="U196" s="377"/>
      <c r="V196" s="377"/>
      <c r="W196" s="377"/>
      <c r="X196" s="377"/>
      <c r="Y196" s="377"/>
      <c r="Z196" s="377"/>
      <c r="AA196" s="377"/>
      <c r="AB196" s="377"/>
      <c r="AC196" s="377"/>
      <c r="AD196" s="377"/>
      <c r="AE196" s="377"/>
      <c r="AF196" s="377"/>
      <c r="AG196" s="377"/>
      <c r="AH196" s="377"/>
      <c r="AI196" s="377"/>
      <c r="AJ196" s="377"/>
      <c r="AK196" s="377"/>
      <c r="AL196" s="377"/>
      <c r="AM196" s="377"/>
      <c r="AN196" s="377"/>
      <c r="AO196" s="377"/>
      <c r="AP196" s="377"/>
      <c r="AQ196" s="377"/>
      <c r="AR196" s="377"/>
      <c r="AS196" s="377"/>
      <c r="AT196" s="377"/>
      <c r="AU196" s="377"/>
      <c r="AV196" s="377"/>
      <c r="AW196" s="377"/>
      <c r="AX196" s="377"/>
      <c r="AY196" s="377"/>
      <c r="AZ196" s="377"/>
      <c r="BA196" s="377"/>
      <c r="BB196" s="377"/>
      <c r="BC196" s="377"/>
      <c r="BD196" s="377"/>
      <c r="BE196" s="377"/>
      <c r="BF196" s="377"/>
      <c r="BG196" s="377"/>
      <c r="BH196" s="377"/>
      <c r="BI196" s="377"/>
      <c r="BJ196" s="378"/>
      <c r="BK196" s="377"/>
      <c r="BL196" s="377"/>
      <c r="BM196" s="377"/>
      <c r="BN196" s="377"/>
      <c r="BO196" s="377"/>
      <c r="BP196" s="377"/>
      <c r="BQ196" s="377"/>
      <c r="BR196" s="377"/>
      <c r="BS196" s="377"/>
      <c r="BT196" s="377"/>
      <c r="BU196" s="377"/>
    </row>
    <row r="197" spans="1:73" x14ac:dyDescent="0.2">
      <c r="A197" s="186"/>
      <c r="B197" s="186"/>
      <c r="C197" s="186"/>
      <c r="D197" s="186"/>
      <c r="E197" s="186"/>
      <c r="F197" s="186"/>
      <c r="G197" s="186"/>
      <c r="H197" s="186"/>
      <c r="I197" s="186"/>
      <c r="J197" s="186"/>
      <c r="K197" s="367"/>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row>
    <row r="198" spans="1:73" x14ac:dyDescent="0.2">
      <c r="A198" s="186"/>
      <c r="B198" s="396" t="s">
        <v>167</v>
      </c>
      <c r="C198" s="186"/>
      <c r="D198" s="186"/>
      <c r="E198" s="186"/>
      <c r="F198" s="186"/>
      <c r="G198" s="186"/>
      <c r="H198" s="186"/>
      <c r="I198" s="186"/>
      <c r="J198" s="186"/>
      <c r="K198" s="367"/>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row>
    <row r="199" spans="1:73" x14ac:dyDescent="0.2">
      <c r="A199" s="186"/>
      <c r="B199" s="186"/>
      <c r="C199" s="186" t="s">
        <v>168</v>
      </c>
      <c r="D199" s="186"/>
      <c r="E199" s="186"/>
      <c r="F199" s="186"/>
      <c r="G199" s="186"/>
      <c r="H199" s="186"/>
      <c r="I199" s="186"/>
      <c r="J199" s="186"/>
      <c r="K199" s="367" t="s">
        <v>130</v>
      </c>
      <c r="L199" s="219">
        <f>+Inputs!L163</f>
        <v>1</v>
      </c>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row>
    <row r="200" spans="1:73" x14ac:dyDescent="0.2">
      <c r="A200" s="186"/>
      <c r="B200" s="186"/>
      <c r="C200" s="186" t="s">
        <v>432</v>
      </c>
      <c r="D200" s="186"/>
      <c r="E200" s="186"/>
      <c r="F200" s="186"/>
      <c r="G200" s="186"/>
      <c r="H200" s="186"/>
      <c r="I200" s="186"/>
      <c r="J200" s="186"/>
      <c r="K200" s="367" t="s">
        <v>124</v>
      </c>
      <c r="L200" s="447">
        <v>2020</v>
      </c>
      <c r="M200" s="186"/>
      <c r="N200" s="186"/>
      <c r="O200" s="186"/>
      <c r="P200" s="186"/>
      <c r="Q200" s="186"/>
      <c r="R200" s="186"/>
      <c r="S200" s="186"/>
      <c r="T200" s="186"/>
      <c r="U200" s="186"/>
      <c r="V200" s="186"/>
      <c r="W200" s="186"/>
      <c r="X200" s="186"/>
      <c r="Y200" s="186"/>
      <c r="Z200" s="186"/>
      <c r="AA200" s="186"/>
      <c r="AB200" s="186"/>
      <c r="AC200" s="186"/>
      <c r="AD200" s="186"/>
      <c r="AE200" s="374"/>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row>
    <row r="201" spans="1:73" x14ac:dyDescent="0.2">
      <c r="A201" s="186"/>
      <c r="B201" s="186"/>
      <c r="C201" s="186" t="s">
        <v>433</v>
      </c>
      <c r="D201" s="186"/>
      <c r="E201" s="186"/>
      <c r="F201" s="186"/>
      <c r="G201" s="186"/>
      <c r="H201" s="186"/>
      <c r="I201" s="186"/>
      <c r="J201" s="186"/>
      <c r="K201" s="367" t="s">
        <v>124</v>
      </c>
      <c r="L201" s="447">
        <v>2030</v>
      </c>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row>
    <row r="202" spans="1:73" x14ac:dyDescent="0.2">
      <c r="A202" s="186"/>
      <c r="B202" s="186"/>
      <c r="C202" s="186" t="s">
        <v>429</v>
      </c>
      <c r="D202" s="186"/>
      <c r="E202" s="186"/>
      <c r="F202" s="186"/>
      <c r="G202" s="186"/>
      <c r="H202" s="186"/>
      <c r="I202" s="186"/>
      <c r="J202" s="186"/>
      <c r="K202" s="367" t="s">
        <v>30</v>
      </c>
      <c r="L202" s="370">
        <f>+Inputs!L167</f>
        <v>55153</v>
      </c>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row>
    <row r="203" spans="1:73" x14ac:dyDescent="0.2">
      <c r="A203" s="409"/>
      <c r="B203" s="409"/>
      <c r="C203" s="448" t="s">
        <v>66</v>
      </c>
      <c r="D203" s="449"/>
      <c r="E203" s="449"/>
      <c r="F203" s="449"/>
      <c r="G203" s="449"/>
      <c r="H203" s="449"/>
      <c r="I203" s="449"/>
      <c r="J203" s="449"/>
      <c r="K203" s="629" t="s">
        <v>63</v>
      </c>
      <c r="L203" s="449"/>
      <c r="M203" s="449"/>
      <c r="N203" s="450">
        <f>SUM(Q203:BU203)</f>
        <v>691496.72836553829</v>
      </c>
      <c r="O203" s="449"/>
      <c r="P203" s="449"/>
      <c r="Q203" s="450"/>
      <c r="R203" s="450">
        <f>+Oper!R49</f>
        <v>0</v>
      </c>
      <c r="S203" s="450">
        <f>+Oper!S49</f>
        <v>6893.0040000000026</v>
      </c>
      <c r="T203" s="450">
        <f>+Oper!T49</f>
        <v>4923.1641749466244</v>
      </c>
      <c r="U203" s="450">
        <f>+Oper!U49</f>
        <v>3516.2529273851965</v>
      </c>
      <c r="V203" s="450">
        <f>+Oper!V49</f>
        <v>2511.4000285149973</v>
      </c>
      <c r="W203" s="450">
        <f>+Oper!W49</f>
        <v>3207.5042996959728</v>
      </c>
      <c r="X203" s="450">
        <f>+Oper!X49</f>
        <v>4096.5532036931381</v>
      </c>
      <c r="Y203" s="450">
        <f>+Oper!Y49</f>
        <v>5232.0267044627799</v>
      </c>
      <c r="Z203" s="450">
        <f>+Oper!Z49</f>
        <v>6682.2282233593996</v>
      </c>
      <c r="AA203" s="450">
        <f>+Oper!AA49</f>
        <v>8534.3933720700988</v>
      </c>
      <c r="AB203" s="450">
        <f>+Oper!AB49</f>
        <v>7834.4943124637866</v>
      </c>
      <c r="AC203" s="450">
        <f>+Oper!AC49</f>
        <v>7191.9934383267437</v>
      </c>
      <c r="AD203" s="450">
        <f>+Oper!AD49</f>
        <v>6602.1835684591333</v>
      </c>
      <c r="AE203" s="450">
        <f>+Oper!AE49</f>
        <v>6060.7435539836861</v>
      </c>
      <c r="AF203" s="450">
        <f>+Oper!AF49</f>
        <v>5563.7066201307889</v>
      </c>
      <c r="AG203" s="450">
        <f>+Oper!AG49</f>
        <v>7543.7883632894109</v>
      </c>
      <c r="AH203" s="450">
        <f>+Oper!AH49</f>
        <v>10228.566449602433</v>
      </c>
      <c r="AI203" s="450">
        <f>+Oper!AI49</f>
        <v>13868.837058455365</v>
      </c>
      <c r="AJ203" s="450">
        <f>+Oper!AJ49</f>
        <v>18804.652861346072</v>
      </c>
      <c r="AK203" s="450">
        <f>+Oper!AK49</f>
        <v>25497.088742573676</v>
      </c>
      <c r="AL203" s="450">
        <f>+Oper!AL49</f>
        <v>17257.519856207484</v>
      </c>
      <c r="AM203" s="450">
        <f>+Oper!AM49</f>
        <v>11680.62732942951</v>
      </c>
      <c r="AN203" s="450">
        <f>+Oper!AN49</f>
        <v>7905.9480125667942</v>
      </c>
      <c r="AO203" s="450">
        <f>+Oper!AO49</f>
        <v>5351.0836545507345</v>
      </c>
      <c r="AP203" s="450">
        <f>+Oper!AP49</f>
        <v>3621.8422170858075</v>
      </c>
      <c r="AQ203" s="450">
        <f>+Oper!AQ49</f>
        <v>5031.5595961266754</v>
      </c>
      <c r="AR203" s="450">
        <f>+Oper!AR49</f>
        <v>6989.9764959238264</v>
      </c>
      <c r="AS203" s="450">
        <f>+Oper!AS49</f>
        <v>9710.6613725056704</v>
      </c>
      <c r="AT203" s="450">
        <f>+Oper!AT49</f>
        <v>13490.309208687973</v>
      </c>
      <c r="AU203" s="450">
        <f>+Oper!AU49</f>
        <v>18741.096570547237</v>
      </c>
      <c r="AV203" s="450">
        <f>+Oper!AV49</f>
        <v>18421.350964280813</v>
      </c>
      <c r="AW203" s="450">
        <f>+Oper!AW49</f>
        <v>18107.060601913374</v>
      </c>
      <c r="AX203" s="450">
        <f>+Oper!AX49</f>
        <v>17798.132410434951</v>
      </c>
      <c r="AY203" s="450">
        <f>+Oper!AY49</f>
        <v>17494.474904772869</v>
      </c>
      <c r="AZ203" s="450">
        <f>+Oper!AZ49</f>
        <v>17195.998160699615</v>
      </c>
      <c r="BA203" s="450">
        <f>+Oper!BA49</f>
        <v>19251.269063199168</v>
      </c>
      <c r="BB203" s="450">
        <f>+Oper!BB49</f>
        <v>21552.186565749842</v>
      </c>
      <c r="BC203" s="450">
        <f>+Oper!BC49</f>
        <v>24128.110424305614</v>
      </c>
      <c r="BD203" s="450">
        <f>+Oper!BD49</f>
        <v>27011.909481734325</v>
      </c>
      <c r="BE203" s="450">
        <f>+Oper!BE49</f>
        <v>30240.38107494725</v>
      </c>
      <c r="BF203" s="450">
        <f>+Oper!BF49</f>
        <v>34373.648331668155</v>
      </c>
      <c r="BG203" s="450">
        <f>+Oper!BG49</f>
        <v>39071.852193292965</v>
      </c>
      <c r="BH203" s="450">
        <f>+Oper!BH49</f>
        <v>44412.208418623974</v>
      </c>
      <c r="BI203" s="450">
        <f>+Oper!BI49</f>
        <v>50482.486646944315</v>
      </c>
      <c r="BJ203" s="450">
        <f>+Oper!BJ49</f>
        <v>57382.452906580089</v>
      </c>
      <c r="BK203" s="450">
        <f>+Oper!BK49</f>
        <v>0</v>
      </c>
      <c r="BL203" s="450">
        <f>+Oper!BL49</f>
        <v>0</v>
      </c>
      <c r="BM203" s="450">
        <f>+Oper!BM49</f>
        <v>0</v>
      </c>
      <c r="BN203" s="450">
        <f>+Oper!BN49</f>
        <v>0</v>
      </c>
      <c r="BO203" s="450">
        <f>+Oper!BO49</f>
        <v>0</v>
      </c>
      <c r="BP203" s="450">
        <f>+Oper!BP49</f>
        <v>0</v>
      </c>
      <c r="BQ203" s="450">
        <f>+Oper!BQ49</f>
        <v>0</v>
      </c>
      <c r="BR203" s="450">
        <f>+Oper!BR49</f>
        <v>0</v>
      </c>
      <c r="BS203" s="450">
        <f>+Oper!BS49</f>
        <v>0</v>
      </c>
      <c r="BT203" s="450">
        <f>+Oper!BT49</f>
        <v>0</v>
      </c>
      <c r="BU203" s="450">
        <f>+Oper!BU49</f>
        <v>0</v>
      </c>
    </row>
    <row r="204" spans="1:73" x14ac:dyDescent="0.2">
      <c r="A204" s="186"/>
      <c r="B204" s="186"/>
      <c r="C204" s="186"/>
      <c r="D204" s="186"/>
      <c r="E204" s="186"/>
      <c r="F204" s="186"/>
      <c r="G204" s="186"/>
      <c r="H204" s="186"/>
      <c r="I204" s="186"/>
      <c r="J204" s="186"/>
      <c r="K204" s="367"/>
      <c r="L204" s="370"/>
      <c r="M204" s="186"/>
      <c r="N204" s="374"/>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c r="AN204" s="374"/>
      <c r="AO204" s="374"/>
      <c r="AP204" s="374"/>
      <c r="AQ204" s="374"/>
      <c r="AR204" s="374"/>
      <c r="AS204" s="374"/>
      <c r="AT204" s="374"/>
      <c r="AU204" s="374"/>
      <c r="AV204" s="374"/>
      <c r="AW204" s="374"/>
      <c r="AX204" s="374"/>
      <c r="AY204" s="374"/>
      <c r="AZ204" s="374"/>
      <c r="BA204" s="374"/>
      <c r="BB204" s="374"/>
      <c r="BC204" s="374"/>
      <c r="BD204" s="374"/>
      <c r="BE204" s="374"/>
      <c r="BF204" s="374"/>
      <c r="BG204" s="374"/>
      <c r="BH204" s="374"/>
      <c r="BI204" s="374"/>
      <c r="BJ204" s="374"/>
      <c r="BK204" s="374"/>
      <c r="BL204" s="374"/>
      <c r="BM204" s="374"/>
      <c r="BN204" s="374"/>
      <c r="BO204" s="374"/>
      <c r="BP204" s="374"/>
      <c r="BQ204" s="374"/>
      <c r="BR204" s="374"/>
      <c r="BS204" s="374"/>
      <c r="BT204" s="374"/>
      <c r="BU204" s="374"/>
    </row>
    <row r="205" spans="1:73" x14ac:dyDescent="0.2">
      <c r="A205" s="186"/>
      <c r="B205" s="439" t="s">
        <v>428</v>
      </c>
      <c r="C205" s="439"/>
      <c r="D205" s="186"/>
      <c r="E205" s="186"/>
      <c r="F205" s="186"/>
      <c r="G205" s="186"/>
      <c r="H205" s="186"/>
      <c r="I205" s="186"/>
      <c r="J205" s="186"/>
      <c r="K205" s="367"/>
      <c r="L205" s="370"/>
      <c r="M205" s="186"/>
      <c r="N205" s="451">
        <f>+SUM(Q205:BU205)</f>
        <v>3145780.5692284619</v>
      </c>
      <c r="O205" s="374"/>
      <c r="P205" s="374"/>
      <c r="Q205" s="374"/>
      <c r="R205" s="374">
        <f t="shared" ref="R205:AW205" si="324">+IF(OR(R7=$L$200,R7=$L$201),SUM(R203:AA203),IF(R7=2040,SUM(R203:AB203),Q205))*(IF(R7&lt;=YEAR($L$202),1,0))*(IF(R7=YEAR($L$202),0,1))</f>
        <v>0</v>
      </c>
      <c r="S205" s="374">
        <f t="shared" si="324"/>
        <v>0</v>
      </c>
      <c r="T205" s="374">
        <f t="shared" si="324"/>
        <v>0</v>
      </c>
      <c r="U205" s="374">
        <f t="shared" si="324"/>
        <v>55409.030078431257</v>
      </c>
      <c r="V205" s="374">
        <f t="shared" si="324"/>
        <v>55409.030078431257</v>
      </c>
      <c r="W205" s="374">
        <f t="shared" si="324"/>
        <v>55409.030078431257</v>
      </c>
      <c r="X205" s="374">
        <f t="shared" si="324"/>
        <v>55409.030078431257</v>
      </c>
      <c r="Y205" s="374">
        <f t="shared" si="324"/>
        <v>55409.030078431257</v>
      </c>
      <c r="Z205" s="374">
        <f t="shared" si="324"/>
        <v>55409.030078431257</v>
      </c>
      <c r="AA205" s="374">
        <f t="shared" si="324"/>
        <v>55409.030078431257</v>
      </c>
      <c r="AB205" s="374">
        <f t="shared" si="324"/>
        <v>55409.030078431257</v>
      </c>
      <c r="AC205" s="374">
        <f t="shared" si="324"/>
        <v>55409.030078431257</v>
      </c>
      <c r="AD205" s="374">
        <f t="shared" si="324"/>
        <v>55409.030078431257</v>
      </c>
      <c r="AE205" s="374">
        <f t="shared" si="324"/>
        <v>124411.47884758521</v>
      </c>
      <c r="AF205" s="374">
        <f t="shared" si="324"/>
        <v>124411.47884758521</v>
      </c>
      <c r="AG205" s="374">
        <f t="shared" si="324"/>
        <v>124411.47884758521</v>
      </c>
      <c r="AH205" s="374">
        <f t="shared" si="324"/>
        <v>124411.47884758521</v>
      </c>
      <c r="AI205" s="374">
        <f t="shared" si="324"/>
        <v>124411.47884758521</v>
      </c>
      <c r="AJ205" s="374">
        <f t="shared" si="324"/>
        <v>124411.47884758521</v>
      </c>
      <c r="AK205" s="374">
        <f t="shared" si="324"/>
        <v>124411.47884758521</v>
      </c>
      <c r="AL205" s="374">
        <f t="shared" si="324"/>
        <v>124411.47884758521</v>
      </c>
      <c r="AM205" s="374">
        <f t="shared" si="324"/>
        <v>124411.47884758521</v>
      </c>
      <c r="AN205" s="374">
        <f t="shared" si="324"/>
        <v>124411.47884758521</v>
      </c>
      <c r="AO205" s="374">
        <f t="shared" si="324"/>
        <v>134757.5479968299</v>
      </c>
      <c r="AP205" s="374">
        <f t="shared" si="324"/>
        <v>134757.5479968299</v>
      </c>
      <c r="AQ205" s="374">
        <f t="shared" si="324"/>
        <v>134757.5479968299</v>
      </c>
      <c r="AR205" s="374">
        <f t="shared" si="324"/>
        <v>134757.5479968299</v>
      </c>
      <c r="AS205" s="374">
        <f t="shared" si="324"/>
        <v>134757.5479968299</v>
      </c>
      <c r="AT205" s="374">
        <f t="shared" si="324"/>
        <v>134757.5479968299</v>
      </c>
      <c r="AU205" s="374">
        <f t="shared" si="324"/>
        <v>134757.5479968299</v>
      </c>
      <c r="AV205" s="374">
        <f t="shared" si="324"/>
        <v>134757.5479968299</v>
      </c>
      <c r="AW205" s="374">
        <f t="shared" si="324"/>
        <v>134757.5479968299</v>
      </c>
      <c r="AX205" s="374">
        <f t="shared" ref="AX205:BU205" si="325">+IF(OR(AX7=$L$200,AX7=$L$201),SUM(AX203:BG203),IF(AX7=2040,SUM(AX203:BH203),AW205))*(IF(AX7&lt;=YEAR($L$202),1,0))*(IF(AX7=YEAR($L$202),0,1))</f>
        <v>134757.5479968299</v>
      </c>
      <c r="AY205" s="374">
        <f t="shared" si="325"/>
        <v>0</v>
      </c>
      <c r="AZ205" s="374">
        <f t="shared" si="325"/>
        <v>0</v>
      </c>
      <c r="BA205" s="374">
        <f t="shared" si="325"/>
        <v>0</v>
      </c>
      <c r="BB205" s="374">
        <f t="shared" si="325"/>
        <v>0</v>
      </c>
      <c r="BC205" s="374">
        <f t="shared" si="325"/>
        <v>0</v>
      </c>
      <c r="BD205" s="374">
        <f t="shared" si="325"/>
        <v>0</v>
      </c>
      <c r="BE205" s="374">
        <f t="shared" si="325"/>
        <v>0</v>
      </c>
      <c r="BF205" s="374">
        <f t="shared" si="325"/>
        <v>0</v>
      </c>
      <c r="BG205" s="374">
        <f t="shared" si="325"/>
        <v>0</v>
      </c>
      <c r="BH205" s="374">
        <f t="shared" si="325"/>
        <v>0</v>
      </c>
      <c r="BI205" s="374">
        <f t="shared" si="325"/>
        <v>0</v>
      </c>
      <c r="BJ205" s="374">
        <f t="shared" si="325"/>
        <v>0</v>
      </c>
      <c r="BK205" s="374">
        <f t="shared" si="325"/>
        <v>0</v>
      </c>
      <c r="BL205" s="374">
        <f t="shared" si="325"/>
        <v>0</v>
      </c>
      <c r="BM205" s="374">
        <f t="shared" si="325"/>
        <v>0</v>
      </c>
      <c r="BN205" s="374">
        <f t="shared" si="325"/>
        <v>0</v>
      </c>
      <c r="BO205" s="374">
        <f t="shared" si="325"/>
        <v>0</v>
      </c>
      <c r="BP205" s="374">
        <f t="shared" si="325"/>
        <v>0</v>
      </c>
      <c r="BQ205" s="374">
        <f t="shared" si="325"/>
        <v>0</v>
      </c>
      <c r="BR205" s="374">
        <f t="shared" si="325"/>
        <v>0</v>
      </c>
      <c r="BS205" s="374">
        <f t="shared" si="325"/>
        <v>0</v>
      </c>
      <c r="BT205" s="374">
        <f t="shared" si="325"/>
        <v>0</v>
      </c>
      <c r="BU205" s="374">
        <f t="shared" si="325"/>
        <v>0</v>
      </c>
    </row>
    <row r="206" spans="1:73" x14ac:dyDescent="0.2">
      <c r="A206" s="186"/>
      <c r="B206" s="186"/>
      <c r="C206" s="186"/>
      <c r="D206" s="186"/>
      <c r="E206" s="186"/>
      <c r="F206" s="186"/>
      <c r="G206" s="186"/>
      <c r="H206" s="186"/>
      <c r="I206" s="186"/>
      <c r="J206" s="186"/>
      <c r="K206" s="367"/>
      <c r="L206" s="370"/>
      <c r="M206" s="186"/>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J206" s="374"/>
      <c r="AK206" s="374"/>
      <c r="AL206" s="374"/>
      <c r="AM206" s="374"/>
      <c r="AN206" s="374"/>
      <c r="AO206" s="374"/>
      <c r="AP206" s="374"/>
      <c r="AQ206" s="374"/>
      <c r="AR206" s="374"/>
      <c r="AS206" s="374"/>
      <c r="AT206" s="374"/>
      <c r="AU206" s="374"/>
      <c r="AV206" s="374"/>
      <c r="AW206" s="374"/>
      <c r="AX206" s="374"/>
      <c r="AY206" s="374"/>
      <c r="AZ206" s="374"/>
      <c r="BA206" s="374"/>
      <c r="BB206" s="374"/>
      <c r="BC206" s="374"/>
      <c r="BD206" s="374"/>
      <c r="BE206" s="374"/>
      <c r="BF206" s="374"/>
      <c r="BG206" s="374"/>
      <c r="BH206" s="374"/>
      <c r="BI206" s="374"/>
      <c r="BJ206" s="374"/>
      <c r="BK206" s="374"/>
      <c r="BL206" s="374"/>
      <c r="BM206" s="374"/>
      <c r="BN206" s="374"/>
      <c r="BO206" s="374"/>
      <c r="BP206" s="374"/>
      <c r="BQ206" s="374"/>
      <c r="BR206" s="374"/>
      <c r="BS206" s="374"/>
      <c r="BT206" s="374"/>
      <c r="BU206" s="374"/>
    </row>
    <row r="207" spans="1:73" x14ac:dyDescent="0.2">
      <c r="A207" s="186"/>
      <c r="B207" s="396" t="s">
        <v>173</v>
      </c>
      <c r="C207" s="186"/>
      <c r="D207" s="186"/>
      <c r="E207" s="186"/>
      <c r="F207" s="186"/>
      <c r="G207" s="186"/>
      <c r="H207" s="186"/>
      <c r="I207" s="186"/>
      <c r="J207" s="186"/>
      <c r="K207" s="367" t="s">
        <v>20</v>
      </c>
      <c r="L207" s="370"/>
      <c r="M207" s="186"/>
      <c r="N207" s="374"/>
      <c r="O207" s="374"/>
      <c r="P207" s="374"/>
      <c r="Q207" s="194"/>
      <c r="R207" s="194">
        <f>Inputs!$L$164</f>
        <v>5.2499999999999998E-2</v>
      </c>
      <c r="S207" s="194">
        <f>Inputs!$L$164</f>
        <v>5.2499999999999998E-2</v>
      </c>
      <c r="T207" s="194">
        <f>Inputs!$L$164</f>
        <v>5.2499999999999998E-2</v>
      </c>
      <c r="U207" s="194">
        <f>Inputs!$L$164</f>
        <v>5.2499999999999998E-2</v>
      </c>
      <c r="V207" s="194">
        <f>Inputs!$L$164</f>
        <v>5.2499999999999998E-2</v>
      </c>
      <c r="W207" s="194">
        <f>Inputs!$L$164</f>
        <v>5.2499999999999998E-2</v>
      </c>
      <c r="X207" s="194">
        <f>Inputs!$L$164</f>
        <v>5.2499999999999998E-2</v>
      </c>
      <c r="Y207" s="194">
        <f>Inputs!$L$164</f>
        <v>5.2499999999999998E-2</v>
      </c>
      <c r="Z207" s="194">
        <f>Inputs!$L$164</f>
        <v>5.2499999999999998E-2</v>
      </c>
      <c r="AA207" s="194">
        <f>Inputs!$L$164</f>
        <v>5.2499999999999998E-2</v>
      </c>
      <c r="AB207" s="194">
        <f>Inputs!$L$164</f>
        <v>5.2499999999999998E-2</v>
      </c>
      <c r="AC207" s="194">
        <f>Inputs!$L$164</f>
        <v>5.2499999999999998E-2</v>
      </c>
      <c r="AD207" s="194">
        <f>Inputs!$L$164</f>
        <v>5.2499999999999998E-2</v>
      </c>
      <c r="AE207" s="194">
        <f>Inputs!$L$164</f>
        <v>5.2499999999999998E-2</v>
      </c>
      <c r="AF207" s="194">
        <f>Inputs!$L$164</f>
        <v>5.2499999999999998E-2</v>
      </c>
      <c r="AG207" s="194">
        <f>Inputs!$L$164</f>
        <v>5.2499999999999998E-2</v>
      </c>
      <c r="AH207" s="194">
        <f>Inputs!$L$164</f>
        <v>5.2499999999999998E-2</v>
      </c>
      <c r="AI207" s="194">
        <f>Inputs!$L$164</f>
        <v>5.2499999999999998E-2</v>
      </c>
      <c r="AJ207" s="194">
        <f>Inputs!$L$164</f>
        <v>5.2499999999999998E-2</v>
      </c>
      <c r="AK207" s="194">
        <f>Inputs!$L$164</f>
        <v>5.2499999999999998E-2</v>
      </c>
      <c r="AL207" s="194">
        <f>Inputs!$L$164</f>
        <v>5.2499999999999998E-2</v>
      </c>
      <c r="AM207" s="194">
        <f>Inputs!$L$164</f>
        <v>5.2499999999999998E-2</v>
      </c>
      <c r="AN207" s="194">
        <f>Inputs!$L$164</f>
        <v>5.2499999999999998E-2</v>
      </c>
      <c r="AO207" s="194">
        <f>Inputs!$L$164</f>
        <v>5.2499999999999998E-2</v>
      </c>
      <c r="AP207" s="194">
        <f>Inputs!$L$164</f>
        <v>5.2499999999999998E-2</v>
      </c>
      <c r="AQ207" s="194">
        <f>Inputs!$L$164</f>
        <v>5.2499999999999998E-2</v>
      </c>
      <c r="AR207" s="194">
        <f>Inputs!$L$164</f>
        <v>5.2499999999999998E-2</v>
      </c>
      <c r="AS207" s="194">
        <f>Inputs!$L$164</f>
        <v>5.2499999999999998E-2</v>
      </c>
      <c r="AT207" s="194">
        <f>Inputs!$L$164</f>
        <v>5.2499999999999998E-2</v>
      </c>
      <c r="AU207" s="194">
        <f>Inputs!$L$164</f>
        <v>5.2499999999999998E-2</v>
      </c>
      <c r="AV207" s="194">
        <f>Inputs!$L$164</f>
        <v>5.2499999999999998E-2</v>
      </c>
      <c r="AW207" s="194">
        <f>Inputs!$L$164</f>
        <v>5.2499999999999998E-2</v>
      </c>
      <c r="AX207" s="194">
        <f>Inputs!$L$164</f>
        <v>5.2499999999999998E-2</v>
      </c>
      <c r="AY207" s="194">
        <f>Inputs!$L$164</f>
        <v>5.2499999999999998E-2</v>
      </c>
      <c r="AZ207" s="194">
        <f>Inputs!$L$164</f>
        <v>5.2499999999999998E-2</v>
      </c>
      <c r="BA207" s="194">
        <f>Inputs!$L$164</f>
        <v>5.2499999999999998E-2</v>
      </c>
      <c r="BB207" s="194">
        <f>Inputs!$L$164</f>
        <v>5.2499999999999998E-2</v>
      </c>
      <c r="BC207" s="194">
        <f>Inputs!$L$164</f>
        <v>5.2499999999999998E-2</v>
      </c>
      <c r="BD207" s="194">
        <f>Inputs!$L$164</f>
        <v>5.2499999999999998E-2</v>
      </c>
      <c r="BE207" s="194">
        <f>Inputs!$L$164</f>
        <v>5.2499999999999998E-2</v>
      </c>
      <c r="BF207" s="194">
        <f>Inputs!$L$164</f>
        <v>5.2499999999999998E-2</v>
      </c>
      <c r="BG207" s="194">
        <f>Inputs!$L$164</f>
        <v>5.2499999999999998E-2</v>
      </c>
      <c r="BH207" s="194">
        <f>Inputs!$L$164</f>
        <v>5.2499999999999998E-2</v>
      </c>
      <c r="BI207" s="194">
        <f>Inputs!$L$164</f>
        <v>5.2499999999999998E-2</v>
      </c>
      <c r="BJ207" s="194">
        <f>Inputs!$L$164</f>
        <v>5.2499999999999998E-2</v>
      </c>
      <c r="BK207" s="194">
        <f>Inputs!$L$164</f>
        <v>5.2499999999999998E-2</v>
      </c>
      <c r="BL207" s="194">
        <f>Inputs!$L$164</f>
        <v>5.2499999999999998E-2</v>
      </c>
      <c r="BM207" s="194">
        <f>Inputs!$L$164</f>
        <v>5.2499999999999998E-2</v>
      </c>
      <c r="BN207" s="194">
        <f>Inputs!$L$164</f>
        <v>5.2499999999999998E-2</v>
      </c>
      <c r="BO207" s="194">
        <f>Inputs!$L$164</f>
        <v>5.2499999999999998E-2</v>
      </c>
      <c r="BP207" s="194">
        <f>Inputs!$L$164</f>
        <v>5.2499999999999998E-2</v>
      </c>
      <c r="BQ207" s="194">
        <f>Inputs!$L$164</f>
        <v>5.2499999999999998E-2</v>
      </c>
      <c r="BR207" s="194">
        <f>Inputs!$L$164</f>
        <v>5.2499999999999998E-2</v>
      </c>
      <c r="BS207" s="194">
        <f>Inputs!$L$164</f>
        <v>5.2499999999999998E-2</v>
      </c>
      <c r="BT207" s="194">
        <f>Inputs!$L$164</f>
        <v>5.2499999999999998E-2</v>
      </c>
      <c r="BU207" s="194">
        <f>Inputs!$L$164</f>
        <v>5.2499999999999998E-2</v>
      </c>
    </row>
    <row r="208" spans="1:73" x14ac:dyDescent="0.2">
      <c r="A208" s="186"/>
      <c r="B208" s="186"/>
      <c r="C208" s="186" t="s">
        <v>175</v>
      </c>
      <c r="D208" s="186"/>
      <c r="E208" s="405"/>
      <c r="F208" s="405"/>
      <c r="G208" s="186"/>
      <c r="H208" s="186"/>
      <c r="I208" s="406"/>
      <c r="J208" s="406"/>
      <c r="K208" s="406" t="s">
        <v>503</v>
      </c>
      <c r="L208" s="406"/>
      <c r="M208" s="406"/>
      <c r="N208" s="406"/>
      <c r="O208" s="406"/>
      <c r="P208" s="406"/>
      <c r="Q208" s="407"/>
      <c r="R208" s="407">
        <f>+CF!R15</f>
        <v>365</v>
      </c>
      <c r="S208" s="407">
        <f>+CF!S15</f>
        <v>365</v>
      </c>
      <c r="T208" s="407">
        <f>+CF!T15</f>
        <v>365</v>
      </c>
      <c r="U208" s="407">
        <f>+CF!U15</f>
        <v>366</v>
      </c>
      <c r="V208" s="407">
        <f>+CF!V15</f>
        <v>365</v>
      </c>
      <c r="W208" s="407">
        <f>+CF!W15</f>
        <v>365</v>
      </c>
      <c r="X208" s="407">
        <f>+CF!X15</f>
        <v>365</v>
      </c>
      <c r="Y208" s="407">
        <f>+CF!Y15</f>
        <v>366</v>
      </c>
      <c r="Z208" s="407">
        <f>+CF!Z15</f>
        <v>365</v>
      </c>
      <c r="AA208" s="407">
        <f>+CF!AA15</f>
        <v>365</v>
      </c>
      <c r="AB208" s="407">
        <f>+CF!AB15</f>
        <v>365</v>
      </c>
      <c r="AC208" s="407">
        <f>+CF!AC15</f>
        <v>366</v>
      </c>
      <c r="AD208" s="407">
        <f>+CF!AD15</f>
        <v>365</v>
      </c>
      <c r="AE208" s="407">
        <f>+CF!AE15</f>
        <v>365</v>
      </c>
      <c r="AF208" s="407">
        <f>+CF!AF15</f>
        <v>365</v>
      </c>
      <c r="AG208" s="407">
        <f>+CF!AG15</f>
        <v>366</v>
      </c>
      <c r="AH208" s="407">
        <f>+CF!AH15</f>
        <v>365</v>
      </c>
      <c r="AI208" s="407">
        <f>+CF!AI15</f>
        <v>365</v>
      </c>
      <c r="AJ208" s="407">
        <f>+CF!AJ15</f>
        <v>365</v>
      </c>
      <c r="AK208" s="407">
        <f>+CF!AK15</f>
        <v>366</v>
      </c>
      <c r="AL208" s="407">
        <f>+CF!AL15</f>
        <v>365</v>
      </c>
      <c r="AM208" s="407">
        <f>+CF!AM15</f>
        <v>365</v>
      </c>
      <c r="AN208" s="407">
        <f>+CF!AN15</f>
        <v>365</v>
      </c>
      <c r="AO208" s="407">
        <f>+CF!AO15</f>
        <v>366</v>
      </c>
      <c r="AP208" s="407">
        <f>+CF!AP15</f>
        <v>365</v>
      </c>
      <c r="AQ208" s="407">
        <f>+CF!AQ15</f>
        <v>365</v>
      </c>
      <c r="AR208" s="407">
        <f>+CF!AR15</f>
        <v>365</v>
      </c>
      <c r="AS208" s="407">
        <f>+CF!AS15</f>
        <v>366</v>
      </c>
      <c r="AT208" s="407">
        <f>+CF!AT15</f>
        <v>365</v>
      </c>
      <c r="AU208" s="407">
        <f>+CF!AU15</f>
        <v>365</v>
      </c>
      <c r="AV208" s="407">
        <f>+CF!AV15</f>
        <v>365</v>
      </c>
      <c r="AW208" s="407">
        <f>+CF!AW15</f>
        <v>366</v>
      </c>
      <c r="AX208" s="407">
        <f>+CF!AX15</f>
        <v>365</v>
      </c>
      <c r="AY208" s="407">
        <f>+CF!AY15</f>
        <v>365</v>
      </c>
      <c r="AZ208" s="407">
        <f>+CF!AZ15</f>
        <v>365</v>
      </c>
      <c r="BA208" s="407">
        <f>+CF!BA15</f>
        <v>366</v>
      </c>
      <c r="BB208" s="407">
        <f>+CF!BB15</f>
        <v>365</v>
      </c>
      <c r="BC208" s="407">
        <f>+CF!BC15</f>
        <v>365</v>
      </c>
      <c r="BD208" s="407">
        <f>+CF!BD15</f>
        <v>365</v>
      </c>
      <c r="BE208" s="407">
        <f>+CF!BE15</f>
        <v>366</v>
      </c>
      <c r="BF208" s="407">
        <f>+CF!BF15</f>
        <v>365</v>
      </c>
      <c r="BG208" s="407">
        <f>+CF!BG15</f>
        <v>365</v>
      </c>
      <c r="BH208" s="407">
        <f>+CF!BH15</f>
        <v>365</v>
      </c>
      <c r="BI208" s="407">
        <f>+CF!BI15</f>
        <v>366</v>
      </c>
      <c r="BJ208" s="407">
        <f>+CF!BJ15</f>
        <v>365</v>
      </c>
      <c r="BK208" s="407">
        <f>+CF!BK15</f>
        <v>365</v>
      </c>
      <c r="BL208" s="407">
        <f>+CF!BL15</f>
        <v>365</v>
      </c>
      <c r="BM208" s="407">
        <f>+CF!BM15</f>
        <v>366</v>
      </c>
      <c r="BN208" s="407">
        <f>+CF!BN15</f>
        <v>365</v>
      </c>
      <c r="BO208" s="407">
        <f>+CF!BO15</f>
        <v>365</v>
      </c>
      <c r="BP208" s="407">
        <f>+CF!BP15</f>
        <v>365</v>
      </c>
      <c r="BQ208" s="407">
        <f>+CF!BQ15</f>
        <v>366</v>
      </c>
      <c r="BR208" s="407">
        <f>+CF!BR15</f>
        <v>365</v>
      </c>
      <c r="BS208" s="407">
        <f>+CF!BS15</f>
        <v>365</v>
      </c>
      <c r="BT208" s="407">
        <f>+CF!BT15</f>
        <v>365</v>
      </c>
      <c r="BU208" s="407">
        <f>+CF!BU15</f>
        <v>366</v>
      </c>
    </row>
    <row r="209" spans="1:73" x14ac:dyDescent="0.2">
      <c r="A209" s="186"/>
      <c r="B209" s="186"/>
      <c r="C209" s="186" t="s">
        <v>431</v>
      </c>
      <c r="D209" s="186"/>
      <c r="E209" s="186"/>
      <c r="F209" s="186"/>
      <c r="G209" s="186"/>
      <c r="H209" s="186"/>
      <c r="I209" s="186"/>
      <c r="J209" s="186"/>
      <c r="K209" s="367"/>
      <c r="L209" s="370"/>
      <c r="M209" s="186"/>
      <c r="N209" s="374"/>
      <c r="O209" s="374"/>
      <c r="P209" s="374"/>
      <c r="Q209" s="374"/>
      <c r="R209" s="374"/>
      <c r="S209" s="374"/>
      <c r="T209" s="374"/>
      <c r="U209" s="374"/>
      <c r="V209" s="374">
        <f t="shared" ref="V209" si="326">-(V212+V213/4+V214/2)*V207</f>
        <v>-125.26376471812074</v>
      </c>
      <c r="W209" s="374">
        <f>-(W212+W213/4+W214/2)*W207</f>
        <v>-266.2486347744084</v>
      </c>
      <c r="X209" s="374">
        <f t="shared" ref="X209:BU209" si="327">-(X212+X213/4+X214/2)*X207</f>
        <v>-446.31137737340975</v>
      </c>
      <c r="Y209" s="374">
        <f t="shared" si="327"/>
        <v>-676.28351026490111</v>
      </c>
      <c r="Z209" s="374">
        <f t="shared" si="327"/>
        <v>-969.99880718471513</v>
      </c>
      <c r="AA209" s="374">
        <f t="shared" si="327"/>
        <v>-1345.1254564879116</v>
      </c>
      <c r="AB209" s="374">
        <f t="shared" si="327"/>
        <v>-1783.9949333642587</v>
      </c>
      <c r="AC209" s="374">
        <f t="shared" si="327"/>
        <v>-2186.8730607955595</v>
      </c>
      <c r="AD209" s="374">
        <f t="shared" si="327"/>
        <v>-2556.7114617657007</v>
      </c>
      <c r="AE209" s="374">
        <f t="shared" si="327"/>
        <v>-1408.3362198868897</v>
      </c>
      <c r="AF209" s="374">
        <f t="shared" si="327"/>
        <v>-232.11816768128841</v>
      </c>
      <c r="AG209" s="374">
        <f t="shared" si="327"/>
        <v>-550.20133811711173</v>
      </c>
      <c r="AH209" s="374">
        <f t="shared" si="327"/>
        <v>-981.48793957266435</v>
      </c>
      <c r="AI209" s="374">
        <f t="shared" si="327"/>
        <v>-1566.2662299179867</v>
      </c>
      <c r="AJ209" s="374">
        <f t="shared" si="327"/>
        <v>-2359.1627578998341</v>
      </c>
      <c r="AK209" s="374">
        <f t="shared" si="327"/>
        <v>-3434.245254061615</v>
      </c>
      <c r="AL209" s="374">
        <f t="shared" si="327"/>
        <v>-4664.698071413176</v>
      </c>
      <c r="AM209" s="374">
        <f t="shared" si="327"/>
        <v>-5497.5211494501082</v>
      </c>
      <c r="AN209" s="374">
        <f t="shared" si="327"/>
        <v>-6061.2114182113337</v>
      </c>
      <c r="AO209" s="374">
        <f t="shared" si="327"/>
        <v>-3186.2540606030752</v>
      </c>
      <c r="AP209" s="374">
        <f t="shared" si="327"/>
        <v>-188.00262503120757</v>
      </c>
      <c r="AQ209" s="374">
        <f t="shared" si="327"/>
        <v>-396.65188202812391</v>
      </c>
      <c r="AR209" s="374">
        <f t="shared" si="327"/>
        <v>-686.51298263461194</v>
      </c>
      <c r="AS209" s="374">
        <f t="shared" si="327"/>
        <v>-1089.1957376757496</v>
      </c>
      <c r="AT209" s="374">
        <f t="shared" si="327"/>
        <v>-1648.6133375821901</v>
      </c>
      <c r="AU209" s="374">
        <f t="shared" si="327"/>
        <v>-2425.7711551627117</v>
      </c>
      <c r="AV209" s="374">
        <f t="shared" si="327"/>
        <v>-3405.4820640341945</v>
      </c>
      <c r="AW209" s="374">
        <f t="shared" si="327"/>
        <v>-4368.4779286528646</v>
      </c>
      <c r="AX209" s="374">
        <f t="shared" si="327"/>
        <v>-5315.0439277401629</v>
      </c>
      <c r="AY209" s="374">
        <f t="shared" si="327"/>
        <v>-2893.1152041379469</v>
      </c>
      <c r="AZ209" s="374">
        <f t="shared" si="327"/>
        <v>0</v>
      </c>
      <c r="BA209" s="374">
        <f t="shared" si="327"/>
        <v>0</v>
      </c>
      <c r="BB209" s="374">
        <f t="shared" si="327"/>
        <v>0</v>
      </c>
      <c r="BC209" s="374">
        <f t="shared" si="327"/>
        <v>0</v>
      </c>
      <c r="BD209" s="374">
        <f t="shared" si="327"/>
        <v>0</v>
      </c>
      <c r="BE209" s="374">
        <f t="shared" si="327"/>
        <v>0</v>
      </c>
      <c r="BF209" s="374">
        <f t="shared" si="327"/>
        <v>0</v>
      </c>
      <c r="BG209" s="374">
        <f t="shared" si="327"/>
        <v>0</v>
      </c>
      <c r="BH209" s="374">
        <f t="shared" si="327"/>
        <v>0</v>
      </c>
      <c r="BI209" s="374">
        <f t="shared" si="327"/>
        <v>0</v>
      </c>
      <c r="BJ209" s="374">
        <f t="shared" si="327"/>
        <v>0</v>
      </c>
      <c r="BK209" s="374">
        <f t="shared" si="327"/>
        <v>0</v>
      </c>
      <c r="BL209" s="374">
        <f t="shared" si="327"/>
        <v>0</v>
      </c>
      <c r="BM209" s="374">
        <f t="shared" si="327"/>
        <v>0</v>
      </c>
      <c r="BN209" s="374">
        <f t="shared" si="327"/>
        <v>0</v>
      </c>
      <c r="BO209" s="374">
        <f t="shared" si="327"/>
        <v>0</v>
      </c>
      <c r="BP209" s="374">
        <f t="shared" si="327"/>
        <v>0</v>
      </c>
      <c r="BQ209" s="374">
        <f t="shared" si="327"/>
        <v>0</v>
      </c>
      <c r="BR209" s="374">
        <f t="shared" si="327"/>
        <v>0</v>
      </c>
      <c r="BS209" s="374">
        <f t="shared" si="327"/>
        <v>0</v>
      </c>
      <c r="BT209" s="374">
        <f t="shared" si="327"/>
        <v>0</v>
      </c>
      <c r="BU209" s="374">
        <f t="shared" si="327"/>
        <v>0</v>
      </c>
    </row>
    <row r="210" spans="1:73" x14ac:dyDescent="0.2">
      <c r="A210" s="186"/>
      <c r="B210" s="186"/>
      <c r="C210" s="186"/>
      <c r="D210" s="186"/>
      <c r="E210" s="405"/>
      <c r="F210" s="405"/>
      <c r="G210" s="186"/>
      <c r="H210" s="186"/>
      <c r="I210" s="406"/>
      <c r="J210" s="406"/>
      <c r="K210" s="406"/>
      <c r="L210" s="406"/>
      <c r="M210" s="406"/>
      <c r="N210" s="406"/>
      <c r="O210" s="406"/>
      <c r="P210" s="406"/>
      <c r="Q210" s="407"/>
      <c r="R210" s="407"/>
      <c r="S210" s="407"/>
      <c r="T210" s="407"/>
      <c r="U210" s="407"/>
      <c r="V210" s="407"/>
      <c r="W210" s="407"/>
      <c r="X210" s="407"/>
      <c r="Y210" s="407"/>
      <c r="Z210" s="407"/>
      <c r="AA210" s="407"/>
      <c r="AB210" s="407"/>
      <c r="AC210" s="407"/>
      <c r="AD210" s="407"/>
      <c r="AE210" s="407"/>
      <c r="AF210" s="407"/>
      <c r="AG210" s="407"/>
      <c r="AH210" s="407"/>
      <c r="AI210" s="407"/>
      <c r="AJ210" s="407"/>
      <c r="AK210" s="407"/>
      <c r="AL210" s="407"/>
      <c r="AM210" s="407"/>
      <c r="AN210" s="407"/>
      <c r="AO210" s="407"/>
      <c r="AP210" s="407"/>
      <c r="AQ210" s="407"/>
      <c r="AR210" s="407"/>
      <c r="AS210" s="407"/>
      <c r="AT210" s="407"/>
      <c r="AU210" s="407"/>
      <c r="AV210" s="407"/>
      <c r="AW210" s="407"/>
      <c r="AX210" s="407"/>
      <c r="AY210" s="407"/>
      <c r="AZ210" s="407"/>
      <c r="BA210" s="407"/>
      <c r="BB210" s="407"/>
      <c r="BC210" s="407"/>
      <c r="BD210" s="407"/>
      <c r="BE210" s="407"/>
      <c r="BF210" s="407"/>
      <c r="BG210" s="407"/>
      <c r="BH210" s="407"/>
      <c r="BI210" s="407"/>
      <c r="BJ210" s="407"/>
      <c r="BK210" s="407"/>
      <c r="BL210" s="407"/>
      <c r="BM210" s="407"/>
      <c r="BN210" s="407"/>
      <c r="BO210" s="407"/>
      <c r="BP210" s="407"/>
      <c r="BQ210" s="407"/>
      <c r="BR210" s="407"/>
      <c r="BS210" s="407"/>
      <c r="BT210" s="407"/>
      <c r="BU210" s="407"/>
    </row>
    <row r="211" spans="1:73" x14ac:dyDescent="0.2">
      <c r="A211" s="186"/>
      <c r="B211" s="439" t="s">
        <v>430</v>
      </c>
      <c r="C211" s="186"/>
      <c r="D211" s="186"/>
      <c r="E211" s="186"/>
      <c r="F211" s="186"/>
      <c r="G211" s="186"/>
      <c r="H211" s="186"/>
      <c r="I211" s="186"/>
      <c r="J211" s="186"/>
      <c r="K211" s="367"/>
      <c r="L211" s="370"/>
      <c r="M211" s="186"/>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c r="AK211" s="374"/>
      <c r="AL211" s="374"/>
      <c r="AM211" s="374"/>
      <c r="AN211" s="374"/>
      <c r="AO211" s="374"/>
      <c r="AP211" s="374"/>
      <c r="AQ211" s="374"/>
      <c r="AR211" s="374"/>
      <c r="AS211" s="374"/>
      <c r="AT211" s="374"/>
      <c r="AU211" s="374"/>
      <c r="AV211" s="374"/>
      <c r="AW211" s="374"/>
      <c r="AX211" s="374"/>
      <c r="AY211" s="374"/>
      <c r="AZ211" s="374"/>
      <c r="BA211" s="374"/>
      <c r="BB211" s="374"/>
      <c r="BC211" s="374"/>
      <c r="BD211" s="374"/>
      <c r="BE211" s="374"/>
      <c r="BF211" s="374"/>
      <c r="BG211" s="374"/>
      <c r="BH211" s="374"/>
      <c r="BI211" s="374"/>
      <c r="BJ211" s="374"/>
      <c r="BK211" s="374"/>
      <c r="BL211" s="374"/>
      <c r="BM211" s="374"/>
      <c r="BN211" s="374"/>
      <c r="BO211" s="374"/>
      <c r="BP211" s="374"/>
      <c r="BQ211" s="374"/>
      <c r="BR211" s="374"/>
      <c r="BS211" s="374"/>
      <c r="BT211" s="374"/>
      <c r="BU211" s="374"/>
    </row>
    <row r="212" spans="1:73" x14ac:dyDescent="0.2">
      <c r="A212" s="186"/>
      <c r="B212" s="186"/>
      <c r="C212" s="186" t="s">
        <v>88</v>
      </c>
      <c r="D212" s="186"/>
      <c r="E212" s="186"/>
      <c r="F212" s="186"/>
      <c r="G212" s="186"/>
      <c r="H212" s="186"/>
      <c r="I212" s="186"/>
      <c r="J212" s="186"/>
      <c r="K212" s="367" t="s">
        <v>63</v>
      </c>
      <c r="L212" s="370"/>
      <c r="M212" s="186"/>
      <c r="N212" s="374"/>
      <c r="O212" s="374"/>
      <c r="P212" s="374"/>
      <c r="Q212" s="374"/>
      <c r="R212" s="374"/>
      <c r="S212" s="374"/>
      <c r="T212" s="374"/>
      <c r="U212" s="374">
        <f t="shared" ref="U212:AZ212" si="328">+T215</f>
        <v>0</v>
      </c>
      <c r="V212" s="374">
        <f t="shared" si="328"/>
        <v>1758.1264636925982</v>
      </c>
      <c r="W212" s="374">
        <f t="shared" si="328"/>
        <v>4269.5264922075958</v>
      </c>
      <c r="X212" s="374">
        <f t="shared" si="328"/>
        <v>7477.0307919035686</v>
      </c>
      <c r="Y212" s="374">
        <f t="shared" si="328"/>
        <v>11573.583995596706</v>
      </c>
      <c r="Z212" s="374">
        <f t="shared" si="328"/>
        <v>16805.610700059486</v>
      </c>
      <c r="AA212" s="374">
        <f t="shared" si="328"/>
        <v>23487.838923418887</v>
      </c>
      <c r="AB212" s="374">
        <f t="shared" si="328"/>
        <v>32022.232295488986</v>
      </c>
      <c r="AC212" s="374">
        <f t="shared" si="328"/>
        <v>39856.726607952776</v>
      </c>
      <c r="AD212" s="374">
        <f t="shared" si="328"/>
        <v>47048.720046279523</v>
      </c>
      <c r="AE212" s="374">
        <f t="shared" si="328"/>
        <v>53650.903614738658</v>
      </c>
      <c r="AF212" s="374">
        <f t="shared" si="328"/>
        <v>3030.3717769918439</v>
      </c>
      <c r="AG212" s="374">
        <f t="shared" si="328"/>
        <v>8594.0783971226338</v>
      </c>
      <c r="AH212" s="374">
        <f t="shared" si="328"/>
        <v>16137.866760412046</v>
      </c>
      <c r="AI212" s="374">
        <f t="shared" si="328"/>
        <v>26366.433210014478</v>
      </c>
      <c r="AJ212" s="374">
        <f t="shared" si="328"/>
        <v>40235.270268469845</v>
      </c>
      <c r="AK212" s="374">
        <f t="shared" si="328"/>
        <v>59039.923129815914</v>
      </c>
      <c r="AL212" s="374">
        <f t="shared" si="328"/>
        <v>84537.011872389587</v>
      </c>
      <c r="AM212" s="374">
        <f t="shared" si="328"/>
        <v>101794.53172859707</v>
      </c>
      <c r="AN212" s="374">
        <f t="shared" si="328"/>
        <v>113475.15905802658</v>
      </c>
      <c r="AO212" s="374">
        <f t="shared" si="328"/>
        <v>121381.10707059337</v>
      </c>
      <c r="AP212" s="374">
        <f t="shared" si="328"/>
        <v>2675.5418272753595</v>
      </c>
      <c r="AQ212" s="374">
        <f t="shared" si="328"/>
        <v>6297.3840443611671</v>
      </c>
      <c r="AR212" s="374">
        <f t="shared" si="328"/>
        <v>11328.943640487843</v>
      </c>
      <c r="AS212" s="374">
        <f t="shared" si="328"/>
        <v>18318.920136411671</v>
      </c>
      <c r="AT212" s="374">
        <f t="shared" si="328"/>
        <v>28029.581508917341</v>
      </c>
      <c r="AU212" s="374">
        <f t="shared" si="328"/>
        <v>41519.890717605318</v>
      </c>
      <c r="AV212" s="374">
        <f t="shared" si="328"/>
        <v>60260.987288152552</v>
      </c>
      <c r="AW212" s="374">
        <f t="shared" si="328"/>
        <v>78682.338252433372</v>
      </c>
      <c r="AX212" s="374">
        <f t="shared" si="328"/>
        <v>96789.398854346742</v>
      </c>
      <c r="AY212" s="374">
        <f t="shared" si="328"/>
        <v>114587.53126478169</v>
      </c>
      <c r="AZ212" s="374">
        <f t="shared" si="328"/>
        <v>0</v>
      </c>
      <c r="BA212" s="374">
        <f t="shared" ref="BA212:BU212" si="329">+AZ215</f>
        <v>0</v>
      </c>
      <c r="BB212" s="374">
        <f t="shared" si="329"/>
        <v>0</v>
      </c>
      <c r="BC212" s="374">
        <f t="shared" si="329"/>
        <v>0</v>
      </c>
      <c r="BD212" s="374">
        <f t="shared" si="329"/>
        <v>0</v>
      </c>
      <c r="BE212" s="374">
        <f t="shared" si="329"/>
        <v>0</v>
      </c>
      <c r="BF212" s="374">
        <f t="shared" si="329"/>
        <v>0</v>
      </c>
      <c r="BG212" s="374">
        <f t="shared" si="329"/>
        <v>0</v>
      </c>
      <c r="BH212" s="374">
        <f t="shared" si="329"/>
        <v>0</v>
      </c>
      <c r="BI212" s="374">
        <f t="shared" si="329"/>
        <v>0</v>
      </c>
      <c r="BJ212" s="374">
        <f t="shared" si="329"/>
        <v>0</v>
      </c>
      <c r="BK212" s="374">
        <f t="shared" si="329"/>
        <v>0</v>
      </c>
      <c r="BL212" s="374">
        <f t="shared" si="329"/>
        <v>0</v>
      </c>
      <c r="BM212" s="374">
        <f t="shared" si="329"/>
        <v>0</v>
      </c>
      <c r="BN212" s="374">
        <f t="shared" si="329"/>
        <v>0</v>
      </c>
      <c r="BO212" s="374">
        <f t="shared" si="329"/>
        <v>0</v>
      </c>
      <c r="BP212" s="374">
        <f t="shared" si="329"/>
        <v>0</v>
      </c>
      <c r="BQ212" s="374">
        <f t="shared" si="329"/>
        <v>0</v>
      </c>
      <c r="BR212" s="374">
        <f t="shared" si="329"/>
        <v>0</v>
      </c>
      <c r="BS212" s="374">
        <f t="shared" si="329"/>
        <v>0</v>
      </c>
      <c r="BT212" s="374">
        <f t="shared" si="329"/>
        <v>0</v>
      </c>
      <c r="BU212" s="374">
        <f t="shared" si="329"/>
        <v>0</v>
      </c>
    </row>
    <row r="213" spans="1:73" x14ac:dyDescent="0.2">
      <c r="A213" s="186"/>
      <c r="B213" s="186"/>
      <c r="C213" s="186" t="s">
        <v>176</v>
      </c>
      <c r="D213" s="186"/>
      <c r="E213" s="186"/>
      <c r="F213" s="186"/>
      <c r="G213" s="186"/>
      <c r="H213" s="186"/>
      <c r="I213" s="186"/>
      <c r="J213" s="186"/>
      <c r="K213" s="367" t="s">
        <v>63</v>
      </c>
      <c r="L213" s="370"/>
      <c r="M213" s="186"/>
      <c r="N213" s="374">
        <f t="shared" ref="N213:N214" si="330">+SUM(Q213:BJ213)</f>
        <v>304072.69300676737</v>
      </c>
      <c r="O213" s="374"/>
      <c r="P213" s="374"/>
      <c r="Q213" s="374"/>
      <c r="R213" s="374"/>
      <c r="S213" s="374"/>
      <c r="T213" s="374"/>
      <c r="U213" s="374">
        <f t="shared" ref="U213:AZ213" si="331">+U203*$L$199*IF(U7&lt;=YEAR($L$202),1,0)*IF(OR(U7=$L$200,U7=YEAR($L$202)),0.5,1)</f>
        <v>1758.1264636925982</v>
      </c>
      <c r="V213" s="374">
        <f t="shared" si="331"/>
        <v>2511.4000285149973</v>
      </c>
      <c r="W213" s="374">
        <f t="shared" si="331"/>
        <v>3207.5042996959728</v>
      </c>
      <c r="X213" s="374">
        <f t="shared" si="331"/>
        <v>4096.5532036931381</v>
      </c>
      <c r="Y213" s="374">
        <f t="shared" si="331"/>
        <v>5232.0267044627799</v>
      </c>
      <c r="Z213" s="374">
        <f t="shared" si="331"/>
        <v>6682.2282233593996</v>
      </c>
      <c r="AA213" s="374">
        <f t="shared" si="331"/>
        <v>8534.3933720700988</v>
      </c>
      <c r="AB213" s="374">
        <f t="shared" si="331"/>
        <v>7834.4943124637866</v>
      </c>
      <c r="AC213" s="374">
        <f t="shared" si="331"/>
        <v>7191.9934383267437</v>
      </c>
      <c r="AD213" s="374">
        <f t="shared" si="331"/>
        <v>6602.1835684591333</v>
      </c>
      <c r="AE213" s="374">
        <f t="shared" si="331"/>
        <v>6060.7435539836861</v>
      </c>
      <c r="AF213" s="374">
        <f t="shared" si="331"/>
        <v>5563.7066201307889</v>
      </c>
      <c r="AG213" s="374">
        <f t="shared" si="331"/>
        <v>7543.7883632894109</v>
      </c>
      <c r="AH213" s="374">
        <f t="shared" si="331"/>
        <v>10228.566449602433</v>
      </c>
      <c r="AI213" s="374">
        <f t="shared" si="331"/>
        <v>13868.837058455365</v>
      </c>
      <c r="AJ213" s="374">
        <f t="shared" si="331"/>
        <v>18804.652861346072</v>
      </c>
      <c r="AK213" s="374">
        <f t="shared" si="331"/>
        <v>25497.088742573676</v>
      </c>
      <c r="AL213" s="374">
        <f t="shared" si="331"/>
        <v>17257.519856207484</v>
      </c>
      <c r="AM213" s="374">
        <f t="shared" si="331"/>
        <v>11680.62732942951</v>
      </c>
      <c r="AN213" s="374">
        <f t="shared" si="331"/>
        <v>7905.9480125667942</v>
      </c>
      <c r="AO213" s="374">
        <f t="shared" si="331"/>
        <v>5351.0836545507345</v>
      </c>
      <c r="AP213" s="374">
        <f t="shared" si="331"/>
        <v>3621.8422170858075</v>
      </c>
      <c r="AQ213" s="374">
        <f t="shared" si="331"/>
        <v>5031.5595961266754</v>
      </c>
      <c r="AR213" s="374">
        <f t="shared" si="331"/>
        <v>6989.9764959238264</v>
      </c>
      <c r="AS213" s="374">
        <f t="shared" si="331"/>
        <v>9710.6613725056704</v>
      </c>
      <c r="AT213" s="374">
        <f t="shared" si="331"/>
        <v>13490.309208687973</v>
      </c>
      <c r="AU213" s="374">
        <f t="shared" si="331"/>
        <v>18741.096570547237</v>
      </c>
      <c r="AV213" s="374">
        <f t="shared" si="331"/>
        <v>18421.350964280813</v>
      </c>
      <c r="AW213" s="374">
        <f t="shared" si="331"/>
        <v>18107.060601913374</v>
      </c>
      <c r="AX213" s="374">
        <f t="shared" si="331"/>
        <v>17798.132410434951</v>
      </c>
      <c r="AY213" s="374">
        <f t="shared" si="331"/>
        <v>8747.2374523864346</v>
      </c>
      <c r="AZ213" s="374">
        <f t="shared" si="331"/>
        <v>0</v>
      </c>
      <c r="BA213" s="374">
        <f t="shared" ref="BA213:BU213" si="332">+BA203*$L$199*IF(BA7&lt;=YEAR($L$202),1,0)*IF(OR(BA7=$L$200,BA7=YEAR($L$202)),0.5,1)</f>
        <v>0</v>
      </c>
      <c r="BB213" s="374">
        <f t="shared" si="332"/>
        <v>0</v>
      </c>
      <c r="BC213" s="374">
        <f t="shared" si="332"/>
        <v>0</v>
      </c>
      <c r="BD213" s="374">
        <f t="shared" si="332"/>
        <v>0</v>
      </c>
      <c r="BE213" s="374">
        <f t="shared" si="332"/>
        <v>0</v>
      </c>
      <c r="BF213" s="374">
        <f t="shared" si="332"/>
        <v>0</v>
      </c>
      <c r="BG213" s="374">
        <f t="shared" si="332"/>
        <v>0</v>
      </c>
      <c r="BH213" s="374">
        <f t="shared" si="332"/>
        <v>0</v>
      </c>
      <c r="BI213" s="374">
        <f t="shared" si="332"/>
        <v>0</v>
      </c>
      <c r="BJ213" s="374">
        <f t="shared" si="332"/>
        <v>0</v>
      </c>
      <c r="BK213" s="374">
        <f t="shared" si="332"/>
        <v>0</v>
      </c>
      <c r="BL213" s="374">
        <f t="shared" si="332"/>
        <v>0</v>
      </c>
      <c r="BM213" s="374">
        <f t="shared" si="332"/>
        <v>0</v>
      </c>
      <c r="BN213" s="374">
        <f t="shared" si="332"/>
        <v>0</v>
      </c>
      <c r="BO213" s="374">
        <f t="shared" si="332"/>
        <v>0</v>
      </c>
      <c r="BP213" s="374">
        <f t="shared" si="332"/>
        <v>0</v>
      </c>
      <c r="BQ213" s="374">
        <f t="shared" si="332"/>
        <v>0</v>
      </c>
      <c r="BR213" s="374">
        <f t="shared" si="332"/>
        <v>0</v>
      </c>
      <c r="BS213" s="374">
        <f t="shared" si="332"/>
        <v>0</v>
      </c>
      <c r="BT213" s="374">
        <f t="shared" si="332"/>
        <v>0</v>
      </c>
      <c r="BU213" s="374">
        <f t="shared" si="332"/>
        <v>0</v>
      </c>
    </row>
    <row r="214" spans="1:73" x14ac:dyDescent="0.2">
      <c r="A214" s="186"/>
      <c r="B214" s="186"/>
      <c r="C214" s="186" t="s">
        <v>151</v>
      </c>
      <c r="D214" s="186"/>
      <c r="E214" s="186"/>
      <c r="F214" s="186"/>
      <c r="G214" s="186"/>
      <c r="H214" s="186"/>
      <c r="I214" s="186"/>
      <c r="J214" s="186"/>
      <c r="K214" s="367" t="s">
        <v>63</v>
      </c>
      <c r="L214" s="370"/>
      <c r="M214" s="186"/>
      <c r="N214" s="374">
        <f t="shared" si="330"/>
        <v>-304072.69300676737</v>
      </c>
      <c r="O214" s="374"/>
      <c r="P214" s="374"/>
      <c r="Q214" s="374"/>
      <c r="R214" s="374"/>
      <c r="S214" s="374"/>
      <c r="T214" s="374"/>
      <c r="U214" s="374">
        <f t="shared" ref="U214:BJ214" si="333">+IF(U7&gt;$L$200,IF(U205-T205&lt;&gt;0,-U212-U213*IF(U7=YEAR($L$202),1,0.5),0))*$L$199</f>
        <v>0</v>
      </c>
      <c r="V214" s="374">
        <f t="shared" si="333"/>
        <v>0</v>
      </c>
      <c r="W214" s="374">
        <f t="shared" si="333"/>
        <v>0</v>
      </c>
      <c r="X214" s="374">
        <f t="shared" si="333"/>
        <v>0</v>
      </c>
      <c r="Y214" s="374">
        <f t="shared" si="333"/>
        <v>0</v>
      </c>
      <c r="Z214" s="374">
        <f t="shared" si="333"/>
        <v>0</v>
      </c>
      <c r="AA214" s="374">
        <f t="shared" si="333"/>
        <v>0</v>
      </c>
      <c r="AB214" s="374">
        <f t="shared" si="333"/>
        <v>0</v>
      </c>
      <c r="AC214" s="374">
        <f t="shared" si="333"/>
        <v>0</v>
      </c>
      <c r="AD214" s="374">
        <f t="shared" si="333"/>
        <v>0</v>
      </c>
      <c r="AE214" s="374">
        <f t="shared" si="333"/>
        <v>-56681.275391730502</v>
      </c>
      <c r="AF214" s="374">
        <f t="shared" si="333"/>
        <v>0</v>
      </c>
      <c r="AG214" s="374">
        <f t="shared" si="333"/>
        <v>0</v>
      </c>
      <c r="AH214" s="374">
        <f t="shared" si="333"/>
        <v>0</v>
      </c>
      <c r="AI214" s="374">
        <f t="shared" si="333"/>
        <v>0</v>
      </c>
      <c r="AJ214" s="374">
        <f t="shared" si="333"/>
        <v>0</v>
      </c>
      <c r="AK214" s="374">
        <f t="shared" si="333"/>
        <v>0</v>
      </c>
      <c r="AL214" s="374">
        <f t="shared" si="333"/>
        <v>0</v>
      </c>
      <c r="AM214" s="374">
        <f t="shared" si="333"/>
        <v>0</v>
      </c>
      <c r="AN214" s="374">
        <f t="shared" si="333"/>
        <v>0</v>
      </c>
      <c r="AO214" s="374">
        <f t="shared" si="333"/>
        <v>-124056.64889786874</v>
      </c>
      <c r="AP214" s="374">
        <f t="shared" si="333"/>
        <v>0</v>
      </c>
      <c r="AQ214" s="374">
        <f t="shared" si="333"/>
        <v>0</v>
      </c>
      <c r="AR214" s="374">
        <f t="shared" si="333"/>
        <v>0</v>
      </c>
      <c r="AS214" s="374">
        <f t="shared" si="333"/>
        <v>0</v>
      </c>
      <c r="AT214" s="374">
        <f t="shared" si="333"/>
        <v>0</v>
      </c>
      <c r="AU214" s="374">
        <f t="shared" si="333"/>
        <v>0</v>
      </c>
      <c r="AV214" s="374">
        <f t="shared" si="333"/>
        <v>0</v>
      </c>
      <c r="AW214" s="374">
        <f t="shared" si="333"/>
        <v>0</v>
      </c>
      <c r="AX214" s="374">
        <f t="shared" si="333"/>
        <v>0</v>
      </c>
      <c r="AY214" s="374">
        <f t="shared" si="333"/>
        <v>-123334.76871716813</v>
      </c>
      <c r="AZ214" s="374">
        <f t="shared" si="333"/>
        <v>0</v>
      </c>
      <c r="BA214" s="374">
        <f t="shared" si="333"/>
        <v>0</v>
      </c>
      <c r="BB214" s="374">
        <f t="shared" si="333"/>
        <v>0</v>
      </c>
      <c r="BC214" s="374">
        <f t="shared" si="333"/>
        <v>0</v>
      </c>
      <c r="BD214" s="374">
        <f t="shared" si="333"/>
        <v>0</v>
      </c>
      <c r="BE214" s="374">
        <f t="shared" si="333"/>
        <v>0</v>
      </c>
      <c r="BF214" s="374">
        <f t="shared" si="333"/>
        <v>0</v>
      </c>
      <c r="BG214" s="374">
        <f t="shared" si="333"/>
        <v>0</v>
      </c>
      <c r="BH214" s="374">
        <f t="shared" si="333"/>
        <v>0</v>
      </c>
      <c r="BI214" s="374">
        <f t="shared" si="333"/>
        <v>0</v>
      </c>
      <c r="BJ214" s="374">
        <f t="shared" si="333"/>
        <v>0</v>
      </c>
      <c r="BK214" s="374">
        <f t="shared" ref="BK214:BU214" si="334">+IF(BK7&gt;2020,IF(BK205-BJ205&lt;&gt;0,-BK212-BK213*0.5,0))*$L$199</f>
        <v>0</v>
      </c>
      <c r="BL214" s="374">
        <f t="shared" si="334"/>
        <v>0</v>
      </c>
      <c r="BM214" s="374">
        <f t="shared" si="334"/>
        <v>0</v>
      </c>
      <c r="BN214" s="374">
        <f t="shared" si="334"/>
        <v>0</v>
      </c>
      <c r="BO214" s="374">
        <f t="shared" si="334"/>
        <v>0</v>
      </c>
      <c r="BP214" s="374">
        <f t="shared" si="334"/>
        <v>0</v>
      </c>
      <c r="BQ214" s="374">
        <f t="shared" si="334"/>
        <v>0</v>
      </c>
      <c r="BR214" s="374">
        <f t="shared" si="334"/>
        <v>0</v>
      </c>
      <c r="BS214" s="374">
        <f t="shared" si="334"/>
        <v>0</v>
      </c>
      <c r="BT214" s="374">
        <f t="shared" si="334"/>
        <v>0</v>
      </c>
      <c r="BU214" s="374">
        <f t="shared" si="334"/>
        <v>0</v>
      </c>
    </row>
    <row r="215" spans="1:73" x14ac:dyDescent="0.2">
      <c r="A215" s="186"/>
      <c r="B215" s="186"/>
      <c r="C215" s="452" t="s">
        <v>89</v>
      </c>
      <c r="D215" s="452"/>
      <c r="E215" s="452"/>
      <c r="F215" s="452"/>
      <c r="G215" s="452"/>
      <c r="H215" s="452"/>
      <c r="I215" s="452"/>
      <c r="J215" s="452"/>
      <c r="K215" s="630" t="s">
        <v>63</v>
      </c>
      <c r="L215" s="453"/>
      <c r="M215" s="452"/>
      <c r="N215" s="454">
        <f>+N213+N214</f>
        <v>0</v>
      </c>
      <c r="O215" s="454"/>
      <c r="P215" s="454"/>
      <c r="Q215" s="454"/>
      <c r="R215" s="454"/>
      <c r="S215" s="454"/>
      <c r="T215" s="454"/>
      <c r="U215" s="454">
        <f t="shared" ref="U215:AD215" si="335">+SUM(U212:U214)</f>
        <v>1758.1264636925982</v>
      </c>
      <c r="V215" s="454">
        <f t="shared" si="335"/>
        <v>4269.5264922075958</v>
      </c>
      <c r="W215" s="454">
        <f t="shared" si="335"/>
        <v>7477.0307919035686</v>
      </c>
      <c r="X215" s="454">
        <f t="shared" si="335"/>
        <v>11573.583995596706</v>
      </c>
      <c r="Y215" s="454">
        <f t="shared" si="335"/>
        <v>16805.610700059486</v>
      </c>
      <c r="Z215" s="454">
        <f t="shared" si="335"/>
        <v>23487.838923418887</v>
      </c>
      <c r="AA215" s="454">
        <f t="shared" si="335"/>
        <v>32022.232295488986</v>
      </c>
      <c r="AB215" s="454">
        <f t="shared" si="335"/>
        <v>39856.726607952776</v>
      </c>
      <c r="AC215" s="454">
        <f t="shared" si="335"/>
        <v>47048.720046279523</v>
      </c>
      <c r="AD215" s="454">
        <f t="shared" si="335"/>
        <v>53650.903614738658</v>
      </c>
      <c r="AE215" s="454">
        <f t="shared" ref="AE215" si="336">+SUM(AE212:AE214)</f>
        <v>3030.3717769918439</v>
      </c>
      <c r="AF215" s="454">
        <f t="shared" ref="AF215" si="337">+SUM(AF212:AF214)</f>
        <v>8594.0783971226338</v>
      </c>
      <c r="AG215" s="454">
        <f t="shared" ref="AG215" si="338">+SUM(AG212:AG214)</f>
        <v>16137.866760412046</v>
      </c>
      <c r="AH215" s="454">
        <f t="shared" ref="AH215" si="339">+SUM(AH212:AH214)</f>
        <v>26366.433210014478</v>
      </c>
      <c r="AI215" s="454">
        <f t="shared" ref="AI215" si="340">+SUM(AI212:AI214)</f>
        <v>40235.270268469845</v>
      </c>
      <c r="AJ215" s="454">
        <f t="shared" ref="AJ215" si="341">+SUM(AJ212:AJ214)</f>
        <v>59039.923129815914</v>
      </c>
      <c r="AK215" s="454">
        <f t="shared" ref="AK215" si="342">+SUM(AK212:AK214)</f>
        <v>84537.011872389587</v>
      </c>
      <c r="AL215" s="454">
        <f t="shared" ref="AL215" si="343">+SUM(AL212:AL214)</f>
        <v>101794.53172859707</v>
      </c>
      <c r="AM215" s="454">
        <f t="shared" ref="AM215" si="344">+SUM(AM212:AM214)</f>
        <v>113475.15905802658</v>
      </c>
      <c r="AN215" s="454">
        <f t="shared" ref="AN215" si="345">+SUM(AN212:AN214)</f>
        <v>121381.10707059337</v>
      </c>
      <c r="AO215" s="454">
        <f t="shared" ref="AO215" si="346">+SUM(AO212:AO214)</f>
        <v>2675.5418272753595</v>
      </c>
      <c r="AP215" s="454">
        <f t="shared" ref="AP215" si="347">+SUM(AP212:AP214)</f>
        <v>6297.3840443611671</v>
      </c>
      <c r="AQ215" s="454">
        <f t="shared" ref="AQ215" si="348">+SUM(AQ212:AQ214)</f>
        <v>11328.943640487843</v>
      </c>
      <c r="AR215" s="454">
        <f t="shared" ref="AR215" si="349">+SUM(AR212:AR214)</f>
        <v>18318.920136411671</v>
      </c>
      <c r="AS215" s="454">
        <f t="shared" ref="AS215" si="350">+SUM(AS212:AS214)</f>
        <v>28029.581508917341</v>
      </c>
      <c r="AT215" s="454">
        <f t="shared" ref="AT215" si="351">+SUM(AT212:AT214)</f>
        <v>41519.890717605318</v>
      </c>
      <c r="AU215" s="454">
        <f t="shared" ref="AU215" si="352">+SUM(AU212:AU214)</f>
        <v>60260.987288152552</v>
      </c>
      <c r="AV215" s="454">
        <f t="shared" ref="AV215" si="353">+SUM(AV212:AV214)</f>
        <v>78682.338252433372</v>
      </c>
      <c r="AW215" s="454">
        <f t="shared" ref="AW215" si="354">+SUM(AW212:AW214)</f>
        <v>96789.398854346742</v>
      </c>
      <c r="AX215" s="454">
        <f t="shared" ref="AX215" si="355">+SUM(AX212:AX214)</f>
        <v>114587.53126478169</v>
      </c>
      <c r="AY215" s="454">
        <f t="shared" ref="AY215" si="356">+SUM(AY212:AY214)</f>
        <v>0</v>
      </c>
      <c r="AZ215" s="454">
        <f t="shared" ref="AZ215" si="357">+SUM(AZ212:AZ214)</f>
        <v>0</v>
      </c>
      <c r="BA215" s="454">
        <f t="shared" ref="BA215" si="358">+SUM(BA212:BA214)</f>
        <v>0</v>
      </c>
      <c r="BB215" s="454">
        <f t="shared" ref="BB215" si="359">+SUM(BB212:BB214)</f>
        <v>0</v>
      </c>
      <c r="BC215" s="454">
        <f t="shared" ref="BC215" si="360">+SUM(BC212:BC214)</f>
        <v>0</v>
      </c>
      <c r="BD215" s="454">
        <f t="shared" ref="BD215" si="361">+SUM(BD212:BD214)</f>
        <v>0</v>
      </c>
      <c r="BE215" s="454">
        <f t="shared" ref="BE215" si="362">+SUM(BE212:BE214)</f>
        <v>0</v>
      </c>
      <c r="BF215" s="454">
        <f t="shared" ref="BF215" si="363">+SUM(BF212:BF214)</f>
        <v>0</v>
      </c>
      <c r="BG215" s="454">
        <f t="shared" ref="BG215" si="364">+SUM(BG212:BG214)</f>
        <v>0</v>
      </c>
      <c r="BH215" s="454">
        <f t="shared" ref="BH215" si="365">+SUM(BH212:BH214)</f>
        <v>0</v>
      </c>
      <c r="BI215" s="454">
        <f t="shared" ref="BI215" si="366">+SUM(BI212:BI214)</f>
        <v>0</v>
      </c>
      <c r="BJ215" s="454">
        <f t="shared" ref="BJ215" si="367">+SUM(BJ212:BJ214)</f>
        <v>0</v>
      </c>
      <c r="BK215" s="454">
        <f t="shared" ref="BK215" si="368">+SUM(BK212:BK214)</f>
        <v>0</v>
      </c>
      <c r="BL215" s="454">
        <f t="shared" ref="BL215" si="369">+SUM(BL212:BL214)</f>
        <v>0</v>
      </c>
      <c r="BM215" s="454">
        <f t="shared" ref="BM215" si="370">+SUM(BM212:BM214)</f>
        <v>0</v>
      </c>
      <c r="BN215" s="454">
        <f t="shared" ref="BN215" si="371">+SUM(BN212:BN214)</f>
        <v>0</v>
      </c>
      <c r="BO215" s="454">
        <f t="shared" ref="BO215" si="372">+SUM(BO212:BO214)</f>
        <v>0</v>
      </c>
      <c r="BP215" s="454">
        <f t="shared" ref="BP215" si="373">+SUM(BP212:BP214)</f>
        <v>0</v>
      </c>
      <c r="BQ215" s="454">
        <f t="shared" ref="BQ215" si="374">+SUM(BQ212:BQ214)</f>
        <v>0</v>
      </c>
      <c r="BR215" s="454">
        <f t="shared" ref="BR215" si="375">+SUM(BR212:BR214)</f>
        <v>0</v>
      </c>
      <c r="BS215" s="454">
        <f t="shared" ref="BS215" si="376">+SUM(BS212:BS214)</f>
        <v>0</v>
      </c>
      <c r="BT215" s="454">
        <f t="shared" ref="BT215" si="377">+SUM(BT212:BT214)</f>
        <v>0</v>
      </c>
      <c r="BU215" s="454">
        <f t="shared" ref="BU215" si="378">+SUM(BU212:BU214)</f>
        <v>0</v>
      </c>
    </row>
    <row r="216" spans="1:73" x14ac:dyDescent="0.2">
      <c r="A216" s="186"/>
      <c r="B216" s="186"/>
      <c r="C216" s="186"/>
      <c r="D216" s="186"/>
      <c r="E216" s="186"/>
      <c r="F216" s="186"/>
      <c r="G216" s="186"/>
      <c r="H216" s="186"/>
      <c r="I216" s="186"/>
      <c r="J216" s="186"/>
      <c r="K216" s="367"/>
      <c r="L216" s="370"/>
      <c r="M216" s="186"/>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374"/>
      <c r="AU216" s="374"/>
      <c r="AV216" s="374"/>
      <c r="AW216" s="374"/>
      <c r="AX216" s="374"/>
      <c r="AY216" s="374"/>
      <c r="AZ216" s="374"/>
      <c r="BA216" s="374"/>
      <c r="BB216" s="374"/>
      <c r="BC216" s="374"/>
      <c r="BD216" s="374"/>
      <c r="BE216" s="374"/>
      <c r="BF216" s="374"/>
      <c r="BG216" s="374"/>
      <c r="BH216" s="374"/>
      <c r="BI216" s="374"/>
      <c r="BJ216" s="374"/>
      <c r="BK216" s="374"/>
      <c r="BL216" s="374"/>
      <c r="BM216" s="374"/>
      <c r="BN216" s="374"/>
      <c r="BO216" s="374"/>
      <c r="BP216" s="374"/>
      <c r="BQ216" s="374"/>
      <c r="BR216" s="374"/>
      <c r="BS216" s="374"/>
      <c r="BT216" s="374"/>
      <c r="BU216" s="374"/>
    </row>
    <row r="217" spans="1:73" x14ac:dyDescent="0.2">
      <c r="A217" s="186"/>
      <c r="B217" s="396" t="s">
        <v>162</v>
      </c>
      <c r="C217" s="186"/>
      <c r="D217" s="186"/>
      <c r="E217" s="186"/>
      <c r="F217" s="186"/>
      <c r="G217" s="186"/>
      <c r="H217" s="186"/>
      <c r="I217" s="186"/>
      <c r="J217" s="186"/>
      <c r="K217" s="367"/>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row>
    <row r="218" spans="1:73" x14ac:dyDescent="0.2">
      <c r="A218" s="186"/>
      <c r="B218" s="396"/>
      <c r="C218" s="186" t="s">
        <v>17</v>
      </c>
      <c r="D218" s="186"/>
      <c r="E218" s="186"/>
      <c r="F218" s="186"/>
      <c r="G218" s="186"/>
      <c r="H218" s="186"/>
      <c r="I218" s="186"/>
      <c r="J218" s="186"/>
      <c r="K218" s="367" t="s">
        <v>63</v>
      </c>
      <c r="L218" s="186"/>
      <c r="M218" s="186"/>
      <c r="N218" s="374">
        <f>SUM(Q218:BU218)</f>
        <v>3774.9366830741565</v>
      </c>
      <c r="O218" s="186"/>
      <c r="P218" s="186"/>
      <c r="Q218" s="374"/>
      <c r="R218" s="374">
        <f>+IF(R205-Q205&lt;&gt;0,R205* Inputs!$L$171,0)</f>
        <v>0</v>
      </c>
      <c r="S218" s="374">
        <f>+IF(S205-R205&lt;&gt;0,S205* Inputs!$L$171,0)</f>
        <v>0</v>
      </c>
      <c r="T218" s="374">
        <f>+IF(T205-S205&lt;&gt;0,T205* Inputs!$L$171,0)</f>
        <v>0</v>
      </c>
      <c r="U218" s="374">
        <f>+IF(U205-T205&lt;&gt;0,U205* Inputs!$L$171,0)</f>
        <v>664.90836094117515</v>
      </c>
      <c r="V218" s="374">
        <f>+IF(V205-U205&lt;&gt;0,V205* Inputs!$L$171,0)</f>
        <v>0</v>
      </c>
      <c r="W218" s="374">
        <f>+IF(W205-V205&lt;&gt;0,W205* Inputs!$L$171,0)</f>
        <v>0</v>
      </c>
      <c r="X218" s="374">
        <f>+IF(X205-W205&lt;&gt;0,X205* Inputs!$L$171,0)</f>
        <v>0</v>
      </c>
      <c r="Y218" s="374">
        <f>+IF(Y205-X205&lt;&gt;0,Y205* Inputs!$L$171,0)</f>
        <v>0</v>
      </c>
      <c r="Z218" s="374">
        <f>+IF(Z205-Y205&lt;&gt;0,Z205* Inputs!$L$171,0)</f>
        <v>0</v>
      </c>
      <c r="AA218" s="374">
        <f>+IF(AA205-Z205&lt;&gt;0,AA205* Inputs!$L$171,0)</f>
        <v>0</v>
      </c>
      <c r="AB218" s="374">
        <f>+IF(AB205-AA205&lt;&gt;0,AB205* Inputs!$L$171,0)</f>
        <v>0</v>
      </c>
      <c r="AC218" s="374">
        <f>+IF(AC205-AB205&lt;&gt;0,AC205* Inputs!$L$171,0)</f>
        <v>0</v>
      </c>
      <c r="AD218" s="374">
        <f>+IF(AD205-AC205&lt;&gt;0,AD205* Inputs!$L$171,0)</f>
        <v>0</v>
      </c>
      <c r="AE218" s="374">
        <f>+IF(AE205-AD205&lt;&gt;0,AE205* Inputs!$L$171,0)</f>
        <v>1492.9377461710226</v>
      </c>
      <c r="AF218" s="374">
        <f>+IF(AF205-AE205&lt;&gt;0,AF205* Inputs!$L$171,0)</f>
        <v>0</v>
      </c>
      <c r="AG218" s="374">
        <f>+IF(AG205-AF205&lt;&gt;0,AG205* Inputs!$L$171,0)</f>
        <v>0</v>
      </c>
      <c r="AH218" s="374">
        <f>+IF(AH205-AG205&lt;&gt;0,AH205* Inputs!$L$171,0)</f>
        <v>0</v>
      </c>
      <c r="AI218" s="374">
        <f>+IF(AI205-AH205&lt;&gt;0,AI205* Inputs!$L$171,0)</f>
        <v>0</v>
      </c>
      <c r="AJ218" s="374">
        <f>+IF(AJ205-AI205&lt;&gt;0,AJ205* Inputs!$L$171,0)</f>
        <v>0</v>
      </c>
      <c r="AK218" s="374">
        <f>+IF(AK205-AJ205&lt;&gt;0,AK205* Inputs!$L$171,0)</f>
        <v>0</v>
      </c>
      <c r="AL218" s="374">
        <f>+IF(AL205-AK205&lt;&gt;0,AL205* Inputs!$L$171,0)</f>
        <v>0</v>
      </c>
      <c r="AM218" s="374">
        <f>+IF(AM205-AL205&lt;&gt;0,AM205* Inputs!$L$171,0)</f>
        <v>0</v>
      </c>
      <c r="AN218" s="374">
        <f>+IF(AN205-AM205&lt;&gt;0,AN205* Inputs!$L$171,0)</f>
        <v>0</v>
      </c>
      <c r="AO218" s="374">
        <f>+IF(AO205-AN205&lt;&gt;0,AO205* Inputs!$L$171,0)</f>
        <v>1617.0905759619588</v>
      </c>
      <c r="AP218" s="374">
        <f>+IF(AP205-AO205&lt;&gt;0,AP205* Inputs!$L$171,0)</f>
        <v>0</v>
      </c>
      <c r="AQ218" s="374">
        <f>+IF(AQ205-AP205&lt;&gt;0,AQ205* Inputs!$L$171,0)</f>
        <v>0</v>
      </c>
      <c r="AR218" s="374">
        <f>+IF(AR205-AQ205&lt;&gt;0,AR205* Inputs!$L$171,0)</f>
        <v>0</v>
      </c>
      <c r="AS218" s="374">
        <f>+IF(AS205-AR205&lt;&gt;0,AS205* Inputs!$L$171,0)</f>
        <v>0</v>
      </c>
      <c r="AT218" s="374">
        <f>+IF(AT205-AS205&lt;&gt;0,AT205* Inputs!$L$171,0)</f>
        <v>0</v>
      </c>
      <c r="AU218" s="374">
        <f>+IF(AU205-AT205&lt;&gt;0,AU205* Inputs!$L$171,0)</f>
        <v>0</v>
      </c>
      <c r="AV218" s="374">
        <f>+IF(AV205-AU205&lt;&gt;0,AV205* Inputs!$L$171,0)</f>
        <v>0</v>
      </c>
      <c r="AW218" s="374">
        <f>+IF(AW205-AV205&lt;&gt;0,AW205* Inputs!$L$171,0)</f>
        <v>0</v>
      </c>
      <c r="AX218" s="374">
        <f>+IF(AX205-AW205&lt;&gt;0,AX205* Inputs!$L$171,0)</f>
        <v>0</v>
      </c>
      <c r="AY218" s="374">
        <f>+IF(AY205-AX205&lt;&gt;0,AY205* Inputs!$L$171,0)</f>
        <v>0</v>
      </c>
      <c r="AZ218" s="374">
        <f>+IF(AZ205-AY205&lt;&gt;0,AZ205* Inputs!$L$171,0)</f>
        <v>0</v>
      </c>
      <c r="BA218" s="374">
        <f>+IF(BA205-AZ205&lt;&gt;0,BA205* Inputs!$L$171,0)</f>
        <v>0</v>
      </c>
      <c r="BB218" s="374">
        <f>+IF(BB205-BA205&lt;&gt;0,BB205* Inputs!$L$171,0)</f>
        <v>0</v>
      </c>
      <c r="BC218" s="374">
        <f>+IF(BC205-BB205&lt;&gt;0,BC205* Inputs!$L$171,0)</f>
        <v>0</v>
      </c>
      <c r="BD218" s="374">
        <f>+IF(BD205-BC205&lt;&gt;0,BD205* Inputs!$L$171,0)</f>
        <v>0</v>
      </c>
      <c r="BE218" s="374">
        <f>+IF(BE205-BD205&lt;&gt;0,BE205* Inputs!$L$171,0)</f>
        <v>0</v>
      </c>
      <c r="BF218" s="374">
        <f>+IF(BF205-BE205&lt;&gt;0,BF205* Inputs!$L$171,0)</f>
        <v>0</v>
      </c>
      <c r="BG218" s="374">
        <f>+IF(BG205-BF205&lt;&gt;0,BG205* Inputs!$L$171,0)</f>
        <v>0</v>
      </c>
      <c r="BH218" s="374">
        <f>+IF(BH205-BG205&lt;&gt;0,BH205* Inputs!$L$171,0)</f>
        <v>0</v>
      </c>
      <c r="BI218" s="374">
        <f>+IF(BI205-BH205&lt;&gt;0,BI205* Inputs!$L$171,0)</f>
        <v>0</v>
      </c>
      <c r="BJ218" s="374">
        <f>+IF(BJ205-BI205&lt;&gt;0,BJ205* Inputs!$L$171,0)</f>
        <v>0</v>
      </c>
      <c r="BK218" s="374">
        <f>+IF(BK205-BJ205&lt;&gt;0,BK205* Inputs!$L$171,0)</f>
        <v>0</v>
      </c>
      <c r="BL218" s="374">
        <f>+IF(BL205-BK205&lt;&gt;0,BL205* Inputs!$L$171,0)</f>
        <v>0</v>
      </c>
      <c r="BM218" s="374">
        <f>+IF(BM205-BL205&lt;&gt;0,BM205* Inputs!$L$171,0)</f>
        <v>0</v>
      </c>
      <c r="BN218" s="374">
        <f>+IF(BN205-BM205&lt;&gt;0,BN205* Inputs!$L$171,0)</f>
        <v>0</v>
      </c>
      <c r="BO218" s="374">
        <f>+IF(BO205-BN205&lt;&gt;0,BO205* Inputs!$L$171,0)</f>
        <v>0</v>
      </c>
      <c r="BP218" s="374">
        <f>+IF(BP205-BO205&lt;&gt;0,BP205* Inputs!$L$171,0)</f>
        <v>0</v>
      </c>
      <c r="BQ218" s="374">
        <f>+IF(BQ205-BP205&lt;&gt;0,BQ205* Inputs!$L$171,0)</f>
        <v>0</v>
      </c>
      <c r="BR218" s="374">
        <f>+IF(BR205-BQ205&lt;&gt;0,BR205* Inputs!$L$171,0)</f>
        <v>0</v>
      </c>
      <c r="BS218" s="374">
        <f>+IF(BS205-BR205&lt;&gt;0,BS205* Inputs!$L$171,0)</f>
        <v>0</v>
      </c>
      <c r="BT218" s="374">
        <f>+IF(BT205-BS205&lt;&gt;0,BT205* Inputs!$L$171,0)</f>
        <v>0</v>
      </c>
      <c r="BU218" s="374">
        <f>+IF(BU205-BT205&lt;&gt;0,BU205* Inputs!$L$171,0)</f>
        <v>0</v>
      </c>
    </row>
    <row r="219" spans="1:73" x14ac:dyDescent="0.2">
      <c r="A219" s="186"/>
      <c r="B219" s="396"/>
      <c r="C219" s="186" t="s">
        <v>177</v>
      </c>
      <c r="D219" s="186"/>
      <c r="E219" s="186"/>
      <c r="F219" s="186"/>
      <c r="G219" s="186"/>
      <c r="H219" s="186"/>
      <c r="I219" s="186"/>
      <c r="J219" s="186"/>
      <c r="K219" s="367" t="s">
        <v>63</v>
      </c>
      <c r="L219" s="194"/>
      <c r="M219" s="194"/>
      <c r="N219" s="374">
        <f>SUM(Q219:BU219)</f>
        <v>7399.157934068744</v>
      </c>
      <c r="O219" s="186"/>
      <c r="P219" s="186"/>
      <c r="Q219" s="374"/>
      <c r="R219" s="374">
        <f>+IF(R205-Q205=0,(R205-R212)*Inputs!$L$172,0)</f>
        <v>0</v>
      </c>
      <c r="S219" s="374">
        <f>+IF(S205-R205=0,(S205-S212)*Inputs!$L$172,0)</f>
        <v>0</v>
      </c>
      <c r="T219" s="374">
        <f>+IF(T205-S205=0,(T205-T212)*Inputs!$L$172,0)</f>
        <v>0</v>
      </c>
      <c r="U219" s="374">
        <f>+IF(U205-T205=0,(U205-U212)*Inputs!$L$172,0)</f>
        <v>0</v>
      </c>
      <c r="V219" s="374">
        <f>+IF(V205-U205=0,(V205-V212)*Inputs!$L$172,0)</f>
        <v>214.60361445895464</v>
      </c>
      <c r="W219" s="374">
        <f>+IF(W205-V205=0,(W205-W212)*Inputs!$L$172,0)</f>
        <v>204.55801434489464</v>
      </c>
      <c r="X219" s="374">
        <f>+IF(X205-W205=0,(X205-X212)*Inputs!$L$172,0)</f>
        <v>191.72799714611077</v>
      </c>
      <c r="Y219" s="374">
        <f>+IF(Y205-X205=0,(Y205-Y212)*Inputs!$L$172,0)</f>
        <v>175.3417843313382</v>
      </c>
      <c r="Z219" s="374">
        <f>+IF(Z205-Y205=0,(Z205-Z212)*Inputs!$L$172,0)</f>
        <v>154.41367751348707</v>
      </c>
      <c r="AA219" s="374">
        <f>+IF(AA205-Z205=0,(AA205-AA212)*Inputs!$L$172,0)</f>
        <v>127.68476462004948</v>
      </c>
      <c r="AB219" s="374">
        <f>+IF(AB205-AA205=0,(AB205-AB212)*Inputs!$L$172,0)</f>
        <v>93.547191131769083</v>
      </c>
      <c r="AC219" s="374">
        <f>+IF(AC205-AB205=0,(AC205-AC212)*Inputs!$L$172,0)</f>
        <v>62.209213881913925</v>
      </c>
      <c r="AD219" s="374">
        <f>+IF(AD205-AC205=0,(AD205-AD212)*Inputs!$L$172,0)</f>
        <v>33.441240128606935</v>
      </c>
      <c r="AE219" s="374">
        <f>+IF(AE205-AD205=0,(AE205-AE212)*Inputs!$L$172,0)</f>
        <v>0</v>
      </c>
      <c r="AF219" s="374">
        <f>+IF(AF205-AE205=0,(AF205-AF212)*Inputs!$L$172,0)</f>
        <v>485.52442828237349</v>
      </c>
      <c r="AG219" s="374">
        <f>+IF(AG205-AF205=0,(AG205-AG212)*Inputs!$L$172,0)</f>
        <v>463.26960180185034</v>
      </c>
      <c r="AH219" s="374">
        <f>+IF(AH205-AG205=0,(AH205-AH212)*Inputs!$L$172,0)</f>
        <v>433.09444834869271</v>
      </c>
      <c r="AI219" s="374">
        <f>+IF(AI205-AH205=0,(AI205-AI212)*Inputs!$L$172,0)</f>
        <v>392.18018255028295</v>
      </c>
      <c r="AJ219" s="374">
        <f>+IF(AJ205-AI205=0,(AJ205-AJ212)*Inputs!$L$172,0)</f>
        <v>336.70483431646147</v>
      </c>
      <c r="AK219" s="374">
        <f>+IF(AK205-AJ205=0,(AK205-AK212)*Inputs!$L$172,0)</f>
        <v>261.48622287107719</v>
      </c>
      <c r="AL219" s="374">
        <f>+IF(AL205-AK205=0,(AL205-AL212)*Inputs!$L$172,0)</f>
        <v>159.4978679007825</v>
      </c>
      <c r="AM219" s="374">
        <f>+IF(AM205-AL205=0,(AM205-AM212)*Inputs!$L$172,0)</f>
        <v>90.467788475952574</v>
      </c>
      <c r="AN219" s="374">
        <f>+IF(AN205-AM205=0,(AN205-AN212)*Inputs!$L$172,0)</f>
        <v>43.745279158234538</v>
      </c>
      <c r="AO219" s="374">
        <f>+IF(AO205-AN205=0,(AO205-AO212)*Inputs!$L$172,0)</f>
        <v>0</v>
      </c>
      <c r="AP219" s="374">
        <f>+IF(AP205-AO205=0,(AP205-AP212)*Inputs!$L$172,0)</f>
        <v>528.32802467821818</v>
      </c>
      <c r="AQ219" s="374">
        <f>+IF(AQ205-AP205=0,(AQ205-AQ212)*Inputs!$L$172,0)</f>
        <v>513.84065580987499</v>
      </c>
      <c r="AR219" s="374">
        <f>+IF(AR205-AQ205=0,(AR205-AR212)*Inputs!$L$172,0)</f>
        <v>493.7144174253682</v>
      </c>
      <c r="AS219" s="374">
        <f>+IF(AS205-AR205=0,(AS205-AS212)*Inputs!$L$172,0)</f>
        <v>465.75451144167295</v>
      </c>
      <c r="AT219" s="374">
        <f>+IF(AT205-AS205=0,(AT205-AT212)*Inputs!$L$172,0)</f>
        <v>426.91186595165027</v>
      </c>
      <c r="AU219" s="374">
        <f>+IF(AU205-AT205=0,(AU205-AU212)*Inputs!$L$172,0)</f>
        <v>372.95062911689837</v>
      </c>
      <c r="AV219" s="374">
        <f>+IF(AV205-AU205=0,(AV205-AV212)*Inputs!$L$172,0)</f>
        <v>297.9862428347094</v>
      </c>
      <c r="AW219" s="374">
        <f>+IF(AW205-AV205=0,(AW205-AW212)*Inputs!$L$172,0)</f>
        <v>224.30083897758612</v>
      </c>
      <c r="AX219" s="374">
        <f>+IF(AX205-AW205=0,(AX205-AX212)*Inputs!$L$172,0)</f>
        <v>151.87259656993265</v>
      </c>
      <c r="AY219" s="374">
        <f>+IF(AY205-AX205=0,(AY205-AY212)*Inputs!$L$172,0)</f>
        <v>0</v>
      </c>
      <c r="AZ219" s="374">
        <f>+IF(AZ205-AY205=0,(AZ205-AZ212)*Inputs!$L$172,0)</f>
        <v>0</v>
      </c>
      <c r="BA219" s="374">
        <f>+IF(BA205-AZ205=0,(BA205-BA212)*Inputs!$L$172,0)</f>
        <v>0</v>
      </c>
      <c r="BB219" s="374">
        <f>+IF(BB205-BA205=0,(BB205-BB212)*Inputs!$L$172,0)</f>
        <v>0</v>
      </c>
      <c r="BC219" s="374">
        <f>+IF(BC205-BB205=0,(BC205-BC212)*Inputs!$L$172,0)</f>
        <v>0</v>
      </c>
      <c r="BD219" s="374">
        <f>+IF(BD205-BC205=0,(BD205-BD212)*Inputs!$L$172,0)</f>
        <v>0</v>
      </c>
      <c r="BE219" s="374">
        <f>+IF(BE205-BD205=0,(BE205-BE212)*Inputs!$L$172,0)</f>
        <v>0</v>
      </c>
      <c r="BF219" s="374">
        <f>+IF(BF205-BE205=0,(BF205-BF212)*Inputs!$L$172,0)</f>
        <v>0</v>
      </c>
      <c r="BG219" s="374">
        <f>+IF(BG205-BF205=0,(BG205-BG212)*Inputs!$L$172,0)</f>
        <v>0</v>
      </c>
      <c r="BH219" s="374">
        <f>+IF(BH205-BG205=0,(BH205-BH212)*Inputs!$L$172,0)</f>
        <v>0</v>
      </c>
      <c r="BI219" s="374">
        <f>+IF(BI205-BH205=0,(BI205-BI212)*Inputs!$L$172,0)</f>
        <v>0</v>
      </c>
      <c r="BJ219" s="374">
        <f>+IF(BJ205-BI205=0,(BJ205-BJ212)*Inputs!$L$172,0)</f>
        <v>0</v>
      </c>
      <c r="BK219" s="374">
        <f>+IF(BK205-BJ205=0,(BK205-BK212)*Inputs!$L$172,0)*0</f>
        <v>0</v>
      </c>
      <c r="BL219" s="374">
        <f>+IF(BL205-BK205=0,(BL205-BL212)*Inputs!$L$172,0)*0</f>
        <v>0</v>
      </c>
      <c r="BM219" s="374">
        <f>+IF(BM205-BL205=0,(BM205-BM212)*Inputs!$L$172,0)*0</f>
        <v>0</v>
      </c>
      <c r="BN219" s="374">
        <f>+IF(BN205-BM205=0,(BN205-BN212)*Inputs!$L$172,0)*0</f>
        <v>0</v>
      </c>
      <c r="BO219" s="374">
        <f>+IF(BO205-BN205=0,(BO205-BO212)*Inputs!$L$172,0)*0</f>
        <v>0</v>
      </c>
      <c r="BP219" s="374">
        <f>+IF(BP205-BO205=0,(BP205-BP212)*Inputs!$L$172,0)*0</f>
        <v>0</v>
      </c>
      <c r="BQ219" s="374">
        <f>+IF(BQ205-BP205=0,(BQ205-BQ212)*Inputs!$L$172,0)*0</f>
        <v>0</v>
      </c>
      <c r="BR219" s="374">
        <f>+IF(BR205-BQ205=0,(BR205-BR212)*Inputs!$L$172,0)*0</f>
        <v>0</v>
      </c>
      <c r="BS219" s="374">
        <f>+IF(BS205-BR205=0,(BS205-BS212)*Inputs!$L$172,0)*0</f>
        <v>0</v>
      </c>
      <c r="BT219" s="374">
        <f>+IF(BT205-BS205=0,(BT205-BT212)*Inputs!$L$172,0)*0</f>
        <v>0</v>
      </c>
      <c r="BU219" s="374">
        <f>+IF(BU205-BT205=0,(BU205-BU212)*Inputs!$L$172,0)*0</f>
        <v>0</v>
      </c>
    </row>
    <row r="220" spans="1:73" x14ac:dyDescent="0.2">
      <c r="A220" s="186"/>
      <c r="B220" s="186"/>
      <c r="C220" s="186"/>
      <c r="D220" s="186"/>
      <c r="E220" s="186"/>
      <c r="F220" s="186"/>
      <c r="G220" s="186"/>
      <c r="H220" s="186"/>
      <c r="I220" s="186"/>
      <c r="J220" s="186"/>
      <c r="K220" s="367"/>
      <c r="L220" s="194"/>
      <c r="M220" s="186"/>
      <c r="N220" s="374"/>
      <c r="O220" s="186"/>
      <c r="P220" s="186"/>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374"/>
      <c r="AU220" s="374"/>
      <c r="AV220" s="374"/>
      <c r="AW220" s="374"/>
      <c r="AX220" s="374"/>
      <c r="AY220" s="374"/>
      <c r="AZ220" s="374"/>
      <c r="BA220" s="374"/>
      <c r="BB220" s="374"/>
      <c r="BC220" s="374"/>
      <c r="BD220" s="374"/>
      <c r="BE220" s="374"/>
      <c r="BF220" s="374"/>
      <c r="BG220" s="374"/>
      <c r="BH220" s="374"/>
      <c r="BI220" s="374"/>
      <c r="BJ220" s="374"/>
      <c r="BK220" s="374"/>
      <c r="BL220" s="374"/>
      <c r="BM220" s="374"/>
      <c r="BN220" s="374"/>
      <c r="BO220" s="374"/>
      <c r="BP220" s="374"/>
      <c r="BQ220" s="374"/>
      <c r="BR220" s="374"/>
      <c r="BS220" s="374"/>
      <c r="BT220" s="374"/>
      <c r="BU220" s="374"/>
    </row>
    <row r="221" spans="1:73" ht="15.75" x14ac:dyDescent="0.25">
      <c r="A221" s="375"/>
      <c r="B221" s="375" t="s">
        <v>21</v>
      </c>
      <c r="C221" s="375"/>
      <c r="D221" s="375"/>
      <c r="E221" s="375"/>
      <c r="F221" s="375"/>
      <c r="G221" s="375"/>
      <c r="H221" s="375"/>
      <c r="I221" s="375"/>
      <c r="J221" s="375"/>
      <c r="K221" s="615"/>
      <c r="L221" s="375"/>
      <c r="M221" s="375"/>
      <c r="N221" s="375"/>
      <c r="O221" s="376"/>
      <c r="P221" s="377"/>
      <c r="Q221" s="377"/>
      <c r="R221" s="377"/>
      <c r="S221" s="377"/>
      <c r="T221" s="377"/>
      <c r="U221" s="377"/>
      <c r="V221" s="377"/>
      <c r="W221" s="377"/>
      <c r="X221" s="377"/>
      <c r="Y221" s="377"/>
      <c r="Z221" s="377"/>
      <c r="AA221" s="377"/>
      <c r="AB221" s="377"/>
      <c r="AC221" s="377"/>
      <c r="AD221" s="377"/>
      <c r="AE221" s="377"/>
      <c r="AF221" s="377"/>
      <c r="AG221" s="377"/>
      <c r="AH221" s="377"/>
      <c r="AI221" s="377"/>
      <c r="AJ221" s="377"/>
      <c r="AK221" s="377"/>
      <c r="AL221" s="377"/>
      <c r="AM221" s="377"/>
      <c r="AN221" s="377"/>
      <c r="AO221" s="377"/>
      <c r="AP221" s="377"/>
      <c r="AQ221" s="377"/>
      <c r="AR221" s="377"/>
      <c r="AS221" s="377"/>
      <c r="AT221" s="377"/>
      <c r="AU221" s="377"/>
      <c r="AV221" s="377"/>
      <c r="AW221" s="377"/>
      <c r="AX221" s="377"/>
      <c r="AY221" s="377"/>
      <c r="AZ221" s="377"/>
      <c r="BA221" s="377"/>
      <c r="BB221" s="377"/>
      <c r="BC221" s="377"/>
      <c r="BD221" s="377"/>
      <c r="BE221" s="377"/>
      <c r="BF221" s="377"/>
      <c r="BG221" s="377"/>
      <c r="BH221" s="377"/>
      <c r="BI221" s="377"/>
      <c r="BJ221" s="378"/>
      <c r="BK221" s="377"/>
      <c r="BL221" s="377"/>
      <c r="BM221" s="377"/>
      <c r="BN221" s="377"/>
      <c r="BO221" s="377"/>
      <c r="BP221" s="377"/>
      <c r="BQ221" s="377"/>
      <c r="BR221" s="377"/>
      <c r="BS221" s="377"/>
      <c r="BT221" s="377"/>
      <c r="BU221" s="377"/>
    </row>
    <row r="222" spans="1:73" ht="6" customHeight="1" x14ac:dyDescent="0.3">
      <c r="A222" s="379"/>
      <c r="B222" s="379"/>
      <c r="C222" s="379"/>
      <c r="D222" s="379"/>
      <c r="E222" s="379"/>
      <c r="F222" s="379"/>
      <c r="G222" s="379"/>
      <c r="H222" s="379"/>
      <c r="I222" s="379"/>
      <c r="J222" s="379"/>
      <c r="K222" s="616"/>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c r="BC222" s="379"/>
      <c r="BD222" s="379"/>
      <c r="BE222" s="379"/>
      <c r="BF222" s="379"/>
      <c r="BG222" s="379"/>
      <c r="BH222" s="379"/>
      <c r="BI222" s="379"/>
      <c r="BJ222" s="379"/>
      <c r="BK222" s="379"/>
      <c r="BL222" s="379"/>
      <c r="BM222" s="379"/>
      <c r="BN222" s="379"/>
      <c r="BO222" s="379"/>
      <c r="BP222" s="379"/>
      <c r="BQ222" s="379"/>
      <c r="BR222" s="379"/>
      <c r="BS222" s="379"/>
      <c r="BT222" s="379"/>
      <c r="BU222" s="379"/>
    </row>
    <row r="223" spans="1:73" x14ac:dyDescent="0.2">
      <c r="A223" s="186"/>
      <c r="B223" s="186"/>
      <c r="C223" s="210" t="s">
        <v>322</v>
      </c>
      <c r="D223" s="186"/>
      <c r="E223" s="186"/>
      <c r="F223" s="186"/>
      <c r="G223" s="186"/>
      <c r="H223" s="186"/>
      <c r="I223" s="186"/>
      <c r="J223" s="186"/>
      <c r="K223" s="622" t="s">
        <v>194</v>
      </c>
      <c r="L223" s="398"/>
      <c r="M223" s="186"/>
      <c r="N223" s="186"/>
      <c r="O223" s="186"/>
      <c r="P223" s="186"/>
      <c r="Q223" s="455"/>
      <c r="R223" s="455">
        <f t="shared" ref="R223:AQ223" si="379">R109</f>
        <v>1.1472538692212984</v>
      </c>
      <c r="S223" s="455">
        <f t="shared" si="379"/>
        <v>1.1730670812787776</v>
      </c>
      <c r="T223" s="455">
        <f t="shared" si="379"/>
        <v>1.19946109060755</v>
      </c>
      <c r="U223" s="455">
        <f t="shared" si="379"/>
        <v>1.2264489651462198</v>
      </c>
      <c r="V223" s="455">
        <f t="shared" si="379"/>
        <v>1.2540440668620096</v>
      </c>
      <c r="W223" s="455">
        <f t="shared" si="379"/>
        <v>1.2828870803998358</v>
      </c>
      <c r="X223" s="455">
        <f t="shared" si="379"/>
        <v>1.3123934832490318</v>
      </c>
      <c r="Y223" s="455">
        <f t="shared" si="379"/>
        <v>1.3425785333637594</v>
      </c>
      <c r="Z223" s="455">
        <f t="shared" si="379"/>
        <v>1.3734578396311257</v>
      </c>
      <c r="AA223" s="455">
        <f t="shared" si="379"/>
        <v>1.4050473699426413</v>
      </c>
      <c r="AB223" s="455">
        <f t="shared" si="379"/>
        <v>1.437363459451322</v>
      </c>
      <c r="AC223" s="455">
        <f t="shared" si="379"/>
        <v>1.4704228190187023</v>
      </c>
      <c r="AD223" s="455">
        <f t="shared" si="379"/>
        <v>1.5042425438561324</v>
      </c>
      <c r="AE223" s="455">
        <f t="shared" si="379"/>
        <v>1.5388401223648234</v>
      </c>
      <c r="AF223" s="455">
        <f t="shared" si="379"/>
        <v>1.5742334451792142</v>
      </c>
      <c r="AG223" s="455">
        <f t="shared" si="379"/>
        <v>1.610440814418336</v>
      </c>
      <c r="AH223" s="455">
        <f t="shared" si="379"/>
        <v>1.6474809531499575</v>
      </c>
      <c r="AI223" s="455">
        <f t="shared" si="379"/>
        <v>1.6853730150724064</v>
      </c>
      <c r="AJ223" s="455">
        <f t="shared" si="379"/>
        <v>1.7241365944190716</v>
      </c>
      <c r="AK223" s="455">
        <f t="shared" si="379"/>
        <v>1.76379173609071</v>
      </c>
      <c r="AL223" s="455">
        <f t="shared" si="379"/>
        <v>1.8043589460207963</v>
      </c>
      <c r="AM223" s="455">
        <f t="shared" si="379"/>
        <v>1.8458592017792743</v>
      </c>
      <c r="AN223" s="455">
        <f t="shared" si="379"/>
        <v>1.8883139634201975</v>
      </c>
      <c r="AO223" s="455">
        <f t="shared" si="379"/>
        <v>1.9317451845788618</v>
      </c>
      <c r="AP223" s="455">
        <f t="shared" si="379"/>
        <v>1.9761753238241755</v>
      </c>
      <c r="AQ223" s="455">
        <f t="shared" si="379"/>
        <v>2.0216273562721314</v>
      </c>
      <c r="AR223" s="455">
        <f t="shared" ref="AR223:BU223" si="380">AR109</f>
        <v>2.0681247854663902</v>
      </c>
      <c r="AS223" s="455">
        <f t="shared" si="380"/>
        <v>2.115691655532117</v>
      </c>
      <c r="AT223" s="455">
        <f t="shared" si="380"/>
        <v>2.1643525636093557</v>
      </c>
      <c r="AU223" s="455">
        <f t="shared" si="380"/>
        <v>2.2141326725723705</v>
      </c>
      <c r="AV223" s="455">
        <f t="shared" si="380"/>
        <v>2.2650577240415348</v>
      </c>
      <c r="AW223" s="455">
        <f t="shared" si="380"/>
        <v>2.31715405169449</v>
      </c>
      <c r="AX223" s="455">
        <f t="shared" si="380"/>
        <v>2.370448594883463</v>
      </c>
      <c r="AY223" s="455">
        <f t="shared" si="380"/>
        <v>2.4249689125657823</v>
      </c>
      <c r="AZ223" s="455">
        <f t="shared" si="380"/>
        <v>2.4807431975547951</v>
      </c>
      <c r="BA223" s="455">
        <f t="shared" si="380"/>
        <v>2.5378002910985553</v>
      </c>
      <c r="BB223" s="455">
        <f t="shared" si="380"/>
        <v>2.596169697793822</v>
      </c>
      <c r="BC223" s="455">
        <f t="shared" si="380"/>
        <v>2.6558816008430797</v>
      </c>
      <c r="BD223" s="455">
        <f t="shared" si="380"/>
        <v>2.7169668776624705</v>
      </c>
      <c r="BE223" s="455">
        <f t="shared" si="380"/>
        <v>2.7794571158487069</v>
      </c>
      <c r="BF223" s="455">
        <f t="shared" si="380"/>
        <v>2.8433846295132268</v>
      </c>
      <c r="BG223" s="455">
        <f t="shared" si="380"/>
        <v>2.9087824759920307</v>
      </c>
      <c r="BH223" s="455">
        <f t="shared" si="380"/>
        <v>2.9756844729398471</v>
      </c>
      <c r="BI223" s="455">
        <f t="shared" si="380"/>
        <v>3.0441252158174632</v>
      </c>
      <c r="BJ223" s="455">
        <f t="shared" si="380"/>
        <v>3.1141400957812646</v>
      </c>
      <c r="BK223" s="455">
        <f t="shared" si="380"/>
        <v>3.1857653179842336</v>
      </c>
      <c r="BL223" s="455">
        <f t="shared" si="380"/>
        <v>3.2590379202978705</v>
      </c>
      <c r="BM223" s="455">
        <f t="shared" si="380"/>
        <v>3.3339957924647212</v>
      </c>
      <c r="BN223" s="455">
        <f t="shared" si="380"/>
        <v>3.4106776956914095</v>
      </c>
      <c r="BO223" s="455">
        <f t="shared" si="380"/>
        <v>3.4891232826923115</v>
      </c>
      <c r="BP223" s="455">
        <f t="shared" si="380"/>
        <v>3.5693731181942345</v>
      </c>
      <c r="BQ223" s="455">
        <f t="shared" si="380"/>
        <v>3.6514686999127015</v>
      </c>
      <c r="BR223" s="455">
        <f t="shared" si="380"/>
        <v>3.7354524800106934</v>
      </c>
      <c r="BS223" s="455">
        <f t="shared" si="380"/>
        <v>3.8213678870509389</v>
      </c>
      <c r="BT223" s="455">
        <f t="shared" si="380"/>
        <v>3.90925934845311</v>
      </c>
      <c r="BU223" s="455">
        <f t="shared" si="380"/>
        <v>3.9991723134675312</v>
      </c>
    </row>
    <row r="224" spans="1:73" x14ac:dyDescent="0.2">
      <c r="A224" s="186"/>
      <c r="B224" s="186"/>
      <c r="C224" s="186"/>
      <c r="D224" s="186"/>
      <c r="E224" s="186"/>
      <c r="F224" s="186"/>
      <c r="G224" s="186"/>
      <c r="H224" s="186"/>
      <c r="I224" s="186"/>
      <c r="J224" s="186"/>
      <c r="K224" s="367"/>
      <c r="L224" s="398"/>
      <c r="M224" s="186"/>
      <c r="N224" s="186"/>
      <c r="O224" s="186"/>
      <c r="P224" s="186"/>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374"/>
      <c r="AU224" s="374"/>
      <c r="AV224" s="374"/>
      <c r="AW224" s="374"/>
      <c r="AX224" s="374"/>
      <c r="AY224" s="374"/>
      <c r="AZ224" s="374"/>
      <c r="BA224" s="374"/>
      <c r="BB224" s="374"/>
      <c r="BC224" s="374"/>
      <c r="BD224" s="374"/>
      <c r="BE224" s="374"/>
      <c r="BF224" s="374"/>
      <c r="BG224" s="374"/>
      <c r="BH224" s="374"/>
      <c r="BI224" s="374"/>
      <c r="BJ224" s="374"/>
      <c r="BK224" s="374"/>
      <c r="BL224" s="374"/>
      <c r="BM224" s="374"/>
      <c r="BN224" s="374"/>
      <c r="BO224" s="374"/>
      <c r="BP224" s="374"/>
      <c r="BQ224" s="374"/>
      <c r="BR224" s="374"/>
      <c r="BS224" s="374"/>
      <c r="BT224" s="374"/>
      <c r="BU224" s="374"/>
    </row>
    <row r="225" spans="1:73" x14ac:dyDescent="0.2">
      <c r="A225" s="186"/>
      <c r="B225" s="186"/>
      <c r="C225" s="186" t="s">
        <v>21</v>
      </c>
      <c r="D225" s="186"/>
      <c r="E225" s="186"/>
      <c r="F225" s="186"/>
      <c r="G225" s="186"/>
      <c r="H225" s="186"/>
      <c r="I225" s="186"/>
      <c r="J225" s="186"/>
      <c r="K225" s="367" t="s">
        <v>63</v>
      </c>
      <c r="L225" s="374"/>
      <c r="M225" s="186"/>
      <c r="N225" s="374">
        <f>SUM(Q225:BU225)</f>
        <v>3576.3836824642608</v>
      </c>
      <c r="O225" s="186"/>
      <c r="P225" s="186"/>
      <c r="Q225" s="374"/>
      <c r="R225" s="735">
        <v>0</v>
      </c>
      <c r="S225" s="735">
        <v>0</v>
      </c>
      <c r="T225" s="374">
        <f>+Inputs!$L$169 * T223*(T7&lt;=2056)</f>
        <v>59.973054530377503</v>
      </c>
      <c r="U225" s="374">
        <f>+Inputs!$L$169 * U223*(U7&lt;=2056)</f>
        <v>61.322448257310988</v>
      </c>
      <c r="V225" s="374">
        <f>+Inputs!$L$169 * V223*(V7&lt;=2056)</f>
        <v>62.702203343100479</v>
      </c>
      <c r="W225" s="374">
        <f>+Inputs!$L$169 * W223*(W7&lt;=2056)</f>
        <v>64.144354019991795</v>
      </c>
      <c r="X225" s="374">
        <f>+Inputs!$L$169 * X223*(X7&lt;=2056)</f>
        <v>65.619674162451588</v>
      </c>
      <c r="Y225" s="374">
        <f>+Inputs!$L$169 * Y223*(Y7&lt;=2056)</f>
        <v>67.128926668187972</v>
      </c>
      <c r="Z225" s="374">
        <f>+Inputs!$L$169 * Z223*(Z7&lt;=2056)</f>
        <v>68.67289198155629</v>
      </c>
      <c r="AA225" s="374">
        <f>+Inputs!$L$169 * AA223*(AA7&lt;=2056)</f>
        <v>70.252368497132068</v>
      </c>
      <c r="AB225" s="374">
        <f>+Inputs!$L$169 * AB223*(AB7&lt;=2056)</f>
        <v>71.8681729725661</v>
      </c>
      <c r="AC225" s="374">
        <f>+Inputs!$L$169 * AC223*(AC7&lt;=2056)</f>
        <v>73.52114095093512</v>
      </c>
      <c r="AD225" s="374">
        <f>+Inputs!$L$169 * AD223*(AD7&lt;=2056)</f>
        <v>75.212127192806619</v>
      </c>
      <c r="AE225" s="374">
        <f>+Inputs!$L$169 * AE223*(AE7&lt;=2056)</f>
        <v>76.942006118241167</v>
      </c>
      <c r="AF225" s="374">
        <f>+Inputs!$L$169 * AF223*(AF7&lt;=2056)</f>
        <v>78.711672258960704</v>
      </c>
      <c r="AG225" s="374">
        <f>+Inputs!$L$169 * AG223*(AG7&lt;=2056)</f>
        <v>80.522040720916806</v>
      </c>
      <c r="AH225" s="374">
        <f>+Inputs!$L$169 * AH223*(AH7&lt;=2056)</f>
        <v>82.374047657497869</v>
      </c>
      <c r="AI225" s="374">
        <f>+Inputs!$L$169 * AI223*(AI7&lt;=2056)</f>
        <v>84.268650753620321</v>
      </c>
      <c r="AJ225" s="374">
        <f>+Inputs!$L$169 * AJ223*(AJ7&lt;=2056)</f>
        <v>86.206829720953579</v>
      </c>
      <c r="AK225" s="374">
        <f>+Inputs!$L$169 * AK223*(AK7&lt;=2056)</f>
        <v>88.189586804535509</v>
      </c>
      <c r="AL225" s="374">
        <f>+Inputs!$L$169 * AL223*(AL7&lt;=2056)</f>
        <v>90.217947301039814</v>
      </c>
      <c r="AM225" s="374">
        <f>+Inputs!$L$169 * AM223*(AM7&lt;=2056)</f>
        <v>92.29296008896371</v>
      </c>
      <c r="AN225" s="374">
        <f>+Inputs!$L$169 * AN223*(AN7&lt;=2056)</f>
        <v>94.415698171009879</v>
      </c>
      <c r="AO225" s="374">
        <f>+Inputs!$L$169 * AO223*(AO7&lt;=2056)</f>
        <v>96.587259228943083</v>
      </c>
      <c r="AP225" s="374">
        <f>+Inputs!$L$169 * AP223*(AP7&lt;=2056)</f>
        <v>98.808766191208775</v>
      </c>
      <c r="AQ225" s="374">
        <f>+Inputs!$L$169 * AQ223*(AQ7&lt;=2056)</f>
        <v>101.08136781360658</v>
      </c>
      <c r="AR225" s="374">
        <f>+Inputs!$L$169 * AR223*(AR7&lt;=2056)</f>
        <v>103.40623927331951</v>
      </c>
      <c r="AS225" s="374">
        <f>+Inputs!$L$169 * AS223*(AS7&lt;=2056)</f>
        <v>105.78458277660584</v>
      </c>
      <c r="AT225" s="374">
        <f>+Inputs!$L$169 * AT223*(AT7&lt;=2056)</f>
        <v>108.21762818046778</v>
      </c>
      <c r="AU225" s="374">
        <f>+Inputs!$L$169 * AU223*(AU7&lt;=2056)</f>
        <v>110.70663362861852</v>
      </c>
      <c r="AV225" s="374">
        <f>+Inputs!$L$169 * AV223*(AV7&lt;=2056)</f>
        <v>113.25288620207674</v>
      </c>
      <c r="AW225" s="374">
        <f>+Inputs!$L$169 * AW223*(AW7&lt;=2056)</f>
        <v>115.85770258472449</v>
      </c>
      <c r="AX225" s="374">
        <f>+Inputs!$L$169 * AX223*(AX7&lt;=2056)</f>
        <v>118.52242974417315</v>
      </c>
      <c r="AY225" s="374">
        <f>+Inputs!$L$169 * AY223*(AY7&lt;=2056)</f>
        <v>121.24844562828912</v>
      </c>
      <c r="AZ225" s="374">
        <f>+Inputs!$L$169 * AZ223*(AZ7&lt;=2056)</f>
        <v>124.03715987773975</v>
      </c>
      <c r="BA225" s="374">
        <f>+Inputs!$L$169 * BA223*(BA7&lt;=2056)</f>
        <v>126.89001455492776</v>
      </c>
      <c r="BB225" s="374">
        <f>+Inputs!$L$169 * BB223*(BB7&lt;=2056)</f>
        <v>129.8084848896911</v>
      </c>
      <c r="BC225" s="374">
        <f>+Inputs!$L$169 * BC223*(BC7&lt;=2056)</f>
        <v>132.79408004215398</v>
      </c>
      <c r="BD225" s="374">
        <f>+Inputs!$L$169 * BD223*(BD7&lt;=2056)</f>
        <v>135.84834388312353</v>
      </c>
      <c r="BE225" s="374">
        <f>+Inputs!$L$169 * BE223*(BE7&lt;=2056)</f>
        <v>138.97285579243535</v>
      </c>
      <c r="BF225" s="374">
        <f>+Inputs!$L$169 * BF223*(BF7&lt;=2056)</f>
        <v>0</v>
      </c>
      <c r="BG225" s="374">
        <f>+Inputs!$L$169 * BG223*(BG7&lt;=2056)</f>
        <v>0</v>
      </c>
      <c r="BH225" s="374">
        <f>+Inputs!$L$169 * BH223*(BH7&lt;=2056)</f>
        <v>0</v>
      </c>
      <c r="BI225" s="374">
        <f>+Inputs!$L$169 * BI223*(BI7&lt;=2056)</f>
        <v>0</v>
      </c>
      <c r="BJ225" s="374">
        <f>+Inputs!$L$169 * BJ223*(BJ7&lt;=2056)</f>
        <v>0</v>
      </c>
      <c r="BK225" s="374">
        <f>+Inputs!$L$169 * BK223*BK231</f>
        <v>0</v>
      </c>
      <c r="BL225" s="374">
        <f>+Inputs!$L$169 * BL223*BL231</f>
        <v>0</v>
      </c>
      <c r="BM225" s="374">
        <f>+Inputs!$L$169 * BM223*BM231</f>
        <v>0</v>
      </c>
      <c r="BN225" s="374">
        <f>+Inputs!$L$169 * BN223*BN231</f>
        <v>0</v>
      </c>
      <c r="BO225" s="374">
        <f>+Inputs!$L$169 * BO223*BO231</f>
        <v>0</v>
      </c>
      <c r="BP225" s="374">
        <f>+Inputs!$L$169 * BP223*BP231</f>
        <v>0</v>
      </c>
      <c r="BQ225" s="374">
        <f>+Inputs!$L$169 * BQ223*BQ231</f>
        <v>0</v>
      </c>
      <c r="BR225" s="374">
        <f>+Inputs!$L$169 * BR223*BR231</f>
        <v>0</v>
      </c>
      <c r="BS225" s="374">
        <f>+Inputs!$L$169 * BS223*BS231</f>
        <v>0</v>
      </c>
      <c r="BT225" s="374">
        <f>+Inputs!$L$169 * BT223*BT231</f>
        <v>0</v>
      </c>
      <c r="BU225" s="374">
        <f>+Inputs!$L$169 * BU223*BU231</f>
        <v>0</v>
      </c>
    </row>
    <row r="226" spans="1:73" x14ac:dyDescent="0.2">
      <c r="A226" s="186"/>
      <c r="B226" s="186"/>
      <c r="C226" s="186"/>
      <c r="D226" s="186"/>
      <c r="E226" s="186"/>
      <c r="F226" s="186"/>
      <c r="G226" s="186"/>
      <c r="H226" s="186"/>
      <c r="I226" s="186"/>
      <c r="J226" s="186"/>
      <c r="K226" s="367"/>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row>
    <row r="227" spans="1:73" ht="15.75" x14ac:dyDescent="0.25">
      <c r="A227" s="375"/>
      <c r="B227" s="375" t="s">
        <v>348</v>
      </c>
      <c r="C227" s="375"/>
      <c r="D227" s="375"/>
      <c r="E227" s="375"/>
      <c r="F227" s="375"/>
      <c r="G227" s="375"/>
      <c r="H227" s="375"/>
      <c r="I227" s="375"/>
      <c r="J227" s="375"/>
      <c r="K227" s="615"/>
      <c r="L227" s="375"/>
      <c r="M227" s="375"/>
      <c r="N227" s="375"/>
      <c r="O227" s="376"/>
      <c r="P227" s="377"/>
      <c r="Q227" s="377"/>
      <c r="R227" s="377"/>
      <c r="S227" s="377"/>
      <c r="T227" s="377"/>
      <c r="U227" s="377"/>
      <c r="V227" s="377"/>
      <c r="W227" s="377"/>
      <c r="X227" s="377"/>
      <c r="Y227" s="377"/>
      <c r="Z227" s="377"/>
      <c r="AA227" s="377"/>
      <c r="AB227" s="377"/>
      <c r="AC227" s="377"/>
      <c r="AD227" s="377"/>
      <c r="AE227" s="377"/>
      <c r="AF227" s="377"/>
      <c r="AG227" s="377"/>
      <c r="AH227" s="377"/>
      <c r="AI227" s="377"/>
      <c r="AJ227" s="377"/>
      <c r="AK227" s="377"/>
      <c r="AL227" s="377"/>
      <c r="AM227" s="377"/>
      <c r="AN227" s="377"/>
      <c r="AO227" s="377"/>
      <c r="AP227" s="377"/>
      <c r="AQ227" s="377"/>
      <c r="AR227" s="377"/>
      <c r="AS227" s="377"/>
      <c r="AT227" s="377"/>
      <c r="AU227" s="377"/>
      <c r="AV227" s="377"/>
      <c r="AW227" s="377"/>
      <c r="AX227" s="377"/>
      <c r="AY227" s="377"/>
      <c r="AZ227" s="377"/>
      <c r="BA227" s="377"/>
      <c r="BB227" s="377"/>
      <c r="BC227" s="377"/>
      <c r="BD227" s="377"/>
      <c r="BE227" s="377"/>
      <c r="BF227" s="377"/>
      <c r="BG227" s="377"/>
      <c r="BH227" s="377"/>
      <c r="BI227" s="377"/>
      <c r="BJ227" s="378"/>
      <c r="BK227" s="377"/>
      <c r="BL227" s="377"/>
      <c r="BM227" s="377"/>
      <c r="BN227" s="377"/>
      <c r="BO227" s="377"/>
      <c r="BP227" s="377"/>
      <c r="BQ227" s="377"/>
      <c r="BR227" s="377"/>
      <c r="BS227" s="377"/>
      <c r="BT227" s="377"/>
      <c r="BU227" s="377"/>
    </row>
    <row r="228" spans="1:73" x14ac:dyDescent="0.2">
      <c r="A228" s="186"/>
      <c r="B228" s="186"/>
      <c r="C228" s="186"/>
      <c r="D228" s="186"/>
      <c r="E228" s="186"/>
      <c r="F228" s="186"/>
      <c r="G228" s="186"/>
      <c r="H228" s="186"/>
      <c r="I228" s="186"/>
      <c r="J228" s="186"/>
      <c r="K228" s="367"/>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row>
    <row r="229" spans="1:73" ht="15.75" x14ac:dyDescent="0.25">
      <c r="A229" s="186"/>
      <c r="B229" s="186"/>
      <c r="C229" s="456" t="s">
        <v>272</v>
      </c>
      <c r="D229" s="186"/>
      <c r="E229" s="186"/>
      <c r="F229" s="186"/>
      <c r="G229" s="186"/>
      <c r="H229" s="186"/>
      <c r="I229" s="186"/>
      <c r="J229" s="186"/>
      <c r="K229" s="367"/>
      <c r="L229" s="398"/>
      <c r="M229" s="186"/>
      <c r="N229" s="186"/>
      <c r="O229" s="186"/>
      <c r="P229" s="186"/>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374"/>
      <c r="AU229" s="374"/>
      <c r="AV229" s="374"/>
      <c r="AW229" s="374"/>
      <c r="AX229" s="374"/>
      <c r="AY229" s="374"/>
      <c r="AZ229" s="374"/>
      <c r="BA229" s="374"/>
      <c r="BB229" s="374"/>
      <c r="BC229" s="374"/>
      <c r="BD229" s="374"/>
      <c r="BE229" s="374"/>
      <c r="BF229" s="374"/>
      <c r="BG229" s="374"/>
      <c r="BH229" s="374"/>
      <c r="BI229" s="374"/>
      <c r="BJ229" s="374"/>
      <c r="BK229" s="374"/>
      <c r="BL229" s="374"/>
      <c r="BM229" s="374"/>
      <c r="BN229" s="374"/>
      <c r="BO229" s="374"/>
      <c r="BP229" s="374"/>
      <c r="BQ229" s="374"/>
      <c r="BR229" s="374"/>
      <c r="BS229" s="374"/>
      <c r="BT229" s="374"/>
      <c r="BU229" s="374"/>
    </row>
    <row r="230" spans="1:73" ht="15.75" x14ac:dyDescent="0.25">
      <c r="A230" s="186"/>
      <c r="B230" s="186"/>
      <c r="C230" s="456"/>
      <c r="D230" s="220"/>
      <c r="E230" s="220"/>
      <c r="F230" s="220"/>
      <c r="G230" s="220"/>
      <c r="H230" s="186"/>
      <c r="I230" s="186"/>
      <c r="J230" s="186"/>
      <c r="K230" s="367"/>
      <c r="L230" s="398"/>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row>
    <row r="231" spans="1:73" x14ac:dyDescent="0.2">
      <c r="A231" s="186"/>
      <c r="B231" s="186"/>
      <c r="C231" s="186" t="s">
        <v>223</v>
      </c>
      <c r="D231" s="186"/>
      <c r="E231" s="186"/>
      <c r="F231" s="186"/>
      <c r="G231" s="186"/>
      <c r="H231" s="186"/>
      <c r="I231" s="186"/>
      <c r="J231" s="186"/>
      <c r="K231" s="367" t="s">
        <v>51</v>
      </c>
      <c r="L231" s="398"/>
      <c r="M231" s="370">
        <f>$L$194</f>
        <v>57345</v>
      </c>
      <c r="N231" s="186"/>
      <c r="O231" s="186"/>
      <c r="P231" s="186"/>
      <c r="Q231" s="373"/>
      <c r="R231" s="371">
        <f t="shared" ref="R231:AW231" si="381">IF(R9&lt;=$M$231,1,0)</f>
        <v>1</v>
      </c>
      <c r="S231" s="371">
        <f t="shared" si="381"/>
        <v>1</v>
      </c>
      <c r="T231" s="371">
        <f t="shared" si="381"/>
        <v>1</v>
      </c>
      <c r="U231" s="371">
        <f t="shared" si="381"/>
        <v>1</v>
      </c>
      <c r="V231" s="371">
        <f t="shared" si="381"/>
        <v>1</v>
      </c>
      <c r="W231" s="371">
        <f t="shared" si="381"/>
        <v>1</v>
      </c>
      <c r="X231" s="371">
        <f t="shared" si="381"/>
        <v>1</v>
      </c>
      <c r="Y231" s="371">
        <f t="shared" si="381"/>
        <v>1</v>
      </c>
      <c r="Z231" s="371">
        <f t="shared" si="381"/>
        <v>1</v>
      </c>
      <c r="AA231" s="371">
        <f t="shared" si="381"/>
        <v>1</v>
      </c>
      <c r="AB231" s="371">
        <f t="shared" si="381"/>
        <v>1</v>
      </c>
      <c r="AC231" s="371">
        <f t="shared" si="381"/>
        <v>1</v>
      </c>
      <c r="AD231" s="371">
        <f t="shared" si="381"/>
        <v>1</v>
      </c>
      <c r="AE231" s="371">
        <f t="shared" si="381"/>
        <v>1</v>
      </c>
      <c r="AF231" s="371">
        <f t="shared" si="381"/>
        <v>1</v>
      </c>
      <c r="AG231" s="371">
        <f t="shared" si="381"/>
        <v>1</v>
      </c>
      <c r="AH231" s="371">
        <f t="shared" si="381"/>
        <v>1</v>
      </c>
      <c r="AI231" s="371">
        <f t="shared" si="381"/>
        <v>1</v>
      </c>
      <c r="AJ231" s="371">
        <f t="shared" si="381"/>
        <v>1</v>
      </c>
      <c r="AK231" s="371">
        <f t="shared" si="381"/>
        <v>1</v>
      </c>
      <c r="AL231" s="371">
        <f t="shared" si="381"/>
        <v>1</v>
      </c>
      <c r="AM231" s="371">
        <f t="shared" si="381"/>
        <v>1</v>
      </c>
      <c r="AN231" s="371">
        <f t="shared" si="381"/>
        <v>1</v>
      </c>
      <c r="AO231" s="371">
        <f t="shared" si="381"/>
        <v>1</v>
      </c>
      <c r="AP231" s="371">
        <f t="shared" si="381"/>
        <v>1</v>
      </c>
      <c r="AQ231" s="371">
        <f t="shared" si="381"/>
        <v>1</v>
      </c>
      <c r="AR231" s="371">
        <f t="shared" si="381"/>
        <v>1</v>
      </c>
      <c r="AS231" s="371">
        <f t="shared" si="381"/>
        <v>1</v>
      </c>
      <c r="AT231" s="371">
        <f t="shared" si="381"/>
        <v>1</v>
      </c>
      <c r="AU231" s="371">
        <f t="shared" si="381"/>
        <v>1</v>
      </c>
      <c r="AV231" s="371">
        <f t="shared" si="381"/>
        <v>1</v>
      </c>
      <c r="AW231" s="371">
        <f t="shared" si="381"/>
        <v>1</v>
      </c>
      <c r="AX231" s="371">
        <f t="shared" ref="AX231:BU231" si="382">IF(AX9&lt;=$M$231,1,0)</f>
        <v>1</v>
      </c>
      <c r="AY231" s="371">
        <f t="shared" si="382"/>
        <v>1</v>
      </c>
      <c r="AZ231" s="371">
        <f t="shared" si="382"/>
        <v>1</v>
      </c>
      <c r="BA231" s="371">
        <f t="shared" si="382"/>
        <v>1</v>
      </c>
      <c r="BB231" s="371">
        <f t="shared" si="382"/>
        <v>1</v>
      </c>
      <c r="BC231" s="371">
        <f t="shared" si="382"/>
        <v>1</v>
      </c>
      <c r="BD231" s="371">
        <f t="shared" si="382"/>
        <v>1</v>
      </c>
      <c r="BE231" s="371">
        <f t="shared" si="382"/>
        <v>1</v>
      </c>
      <c r="BF231" s="371">
        <f t="shared" si="382"/>
        <v>0</v>
      </c>
      <c r="BG231" s="371">
        <f t="shared" si="382"/>
        <v>0</v>
      </c>
      <c r="BH231" s="371">
        <f t="shared" si="382"/>
        <v>0</v>
      </c>
      <c r="BI231" s="371">
        <f t="shared" si="382"/>
        <v>0</v>
      </c>
      <c r="BJ231" s="371">
        <f t="shared" si="382"/>
        <v>0</v>
      </c>
      <c r="BK231" s="371">
        <f t="shared" si="382"/>
        <v>0</v>
      </c>
      <c r="BL231" s="371">
        <f t="shared" si="382"/>
        <v>0</v>
      </c>
      <c r="BM231" s="371">
        <f t="shared" si="382"/>
        <v>0</v>
      </c>
      <c r="BN231" s="371">
        <f t="shared" si="382"/>
        <v>0</v>
      </c>
      <c r="BO231" s="371">
        <f t="shared" si="382"/>
        <v>0</v>
      </c>
      <c r="BP231" s="371">
        <f t="shared" si="382"/>
        <v>0</v>
      </c>
      <c r="BQ231" s="371">
        <f t="shared" si="382"/>
        <v>0</v>
      </c>
      <c r="BR231" s="371">
        <f t="shared" si="382"/>
        <v>0</v>
      </c>
      <c r="BS231" s="371">
        <f t="shared" si="382"/>
        <v>0</v>
      </c>
      <c r="BT231" s="371">
        <f t="shared" si="382"/>
        <v>0</v>
      </c>
      <c r="BU231" s="371">
        <f t="shared" si="382"/>
        <v>0</v>
      </c>
    </row>
    <row r="232" spans="1:73" x14ac:dyDescent="0.2">
      <c r="A232" s="186"/>
      <c r="B232" s="186"/>
      <c r="C232" s="186" t="s">
        <v>224</v>
      </c>
      <c r="D232" s="186"/>
      <c r="E232" s="186"/>
      <c r="F232" s="186"/>
      <c r="G232" s="186"/>
      <c r="H232" s="186"/>
      <c r="I232" s="186"/>
      <c r="J232" s="186"/>
      <c r="K232" s="367" t="s">
        <v>51</v>
      </c>
      <c r="L232" s="398"/>
      <c r="M232" s="370">
        <f>$M$231</f>
        <v>57345</v>
      </c>
      <c r="N232" s="186"/>
      <c r="O232" s="186"/>
      <c r="P232" s="186"/>
      <c r="Q232" s="371"/>
      <c r="R232" s="371">
        <f t="shared" ref="R232:AW232" si="383">+IF(AND($M$232&gt;R8,$M$232&lt;=R9),1,0)</f>
        <v>0</v>
      </c>
      <c r="S232" s="371">
        <f t="shared" si="383"/>
        <v>0</v>
      </c>
      <c r="T232" s="371">
        <f t="shared" si="383"/>
        <v>0</v>
      </c>
      <c r="U232" s="371">
        <f t="shared" si="383"/>
        <v>0</v>
      </c>
      <c r="V232" s="371">
        <f t="shared" si="383"/>
        <v>0</v>
      </c>
      <c r="W232" s="371">
        <f t="shared" si="383"/>
        <v>0</v>
      </c>
      <c r="X232" s="371">
        <f t="shared" si="383"/>
        <v>0</v>
      </c>
      <c r="Y232" s="371">
        <f t="shared" si="383"/>
        <v>0</v>
      </c>
      <c r="Z232" s="371">
        <f t="shared" si="383"/>
        <v>0</v>
      </c>
      <c r="AA232" s="371">
        <f t="shared" si="383"/>
        <v>0</v>
      </c>
      <c r="AB232" s="371">
        <f t="shared" si="383"/>
        <v>0</v>
      </c>
      <c r="AC232" s="371">
        <f t="shared" si="383"/>
        <v>0</v>
      </c>
      <c r="AD232" s="371">
        <f t="shared" si="383"/>
        <v>0</v>
      </c>
      <c r="AE232" s="371">
        <f t="shared" si="383"/>
        <v>0</v>
      </c>
      <c r="AF232" s="371">
        <f t="shared" si="383"/>
        <v>0</v>
      </c>
      <c r="AG232" s="371">
        <f t="shared" si="383"/>
        <v>0</v>
      </c>
      <c r="AH232" s="371">
        <f t="shared" si="383"/>
        <v>0</v>
      </c>
      <c r="AI232" s="371">
        <f t="shared" si="383"/>
        <v>0</v>
      </c>
      <c r="AJ232" s="371">
        <f t="shared" si="383"/>
        <v>0</v>
      </c>
      <c r="AK232" s="371">
        <f t="shared" si="383"/>
        <v>0</v>
      </c>
      <c r="AL232" s="371">
        <f t="shared" si="383"/>
        <v>0</v>
      </c>
      <c r="AM232" s="371">
        <f t="shared" si="383"/>
        <v>0</v>
      </c>
      <c r="AN232" s="371">
        <f t="shared" si="383"/>
        <v>0</v>
      </c>
      <c r="AO232" s="371">
        <f t="shared" si="383"/>
        <v>0</v>
      </c>
      <c r="AP232" s="371">
        <f t="shared" si="383"/>
        <v>0</v>
      </c>
      <c r="AQ232" s="371">
        <f t="shared" si="383"/>
        <v>0</v>
      </c>
      <c r="AR232" s="371">
        <f t="shared" si="383"/>
        <v>0</v>
      </c>
      <c r="AS232" s="371">
        <f t="shared" si="383"/>
        <v>0</v>
      </c>
      <c r="AT232" s="371">
        <f t="shared" si="383"/>
        <v>0</v>
      </c>
      <c r="AU232" s="371">
        <f t="shared" si="383"/>
        <v>0</v>
      </c>
      <c r="AV232" s="371">
        <f t="shared" si="383"/>
        <v>0</v>
      </c>
      <c r="AW232" s="371">
        <f t="shared" si="383"/>
        <v>0</v>
      </c>
      <c r="AX232" s="371">
        <f t="shared" ref="AX232:BU232" si="384">+IF(AND($M$232&gt;AX8,$M$232&lt;=AX9),1,0)</f>
        <v>0</v>
      </c>
      <c r="AY232" s="371">
        <f t="shared" si="384"/>
        <v>0</v>
      </c>
      <c r="AZ232" s="371">
        <f t="shared" si="384"/>
        <v>0</v>
      </c>
      <c r="BA232" s="371">
        <f t="shared" si="384"/>
        <v>0</v>
      </c>
      <c r="BB232" s="371">
        <f t="shared" si="384"/>
        <v>0</v>
      </c>
      <c r="BC232" s="371">
        <f t="shared" si="384"/>
        <v>0</v>
      </c>
      <c r="BD232" s="371">
        <f t="shared" si="384"/>
        <v>0</v>
      </c>
      <c r="BE232" s="371">
        <f t="shared" si="384"/>
        <v>1</v>
      </c>
      <c r="BF232" s="371">
        <f t="shared" si="384"/>
        <v>0</v>
      </c>
      <c r="BG232" s="371">
        <f t="shared" si="384"/>
        <v>0</v>
      </c>
      <c r="BH232" s="371">
        <f t="shared" si="384"/>
        <v>0</v>
      </c>
      <c r="BI232" s="371">
        <f t="shared" si="384"/>
        <v>0</v>
      </c>
      <c r="BJ232" s="371">
        <f t="shared" si="384"/>
        <v>0</v>
      </c>
      <c r="BK232" s="371">
        <f t="shared" si="384"/>
        <v>0</v>
      </c>
      <c r="BL232" s="371">
        <f t="shared" si="384"/>
        <v>0</v>
      </c>
      <c r="BM232" s="371">
        <f t="shared" si="384"/>
        <v>0</v>
      </c>
      <c r="BN232" s="371">
        <f t="shared" si="384"/>
        <v>0</v>
      </c>
      <c r="BO232" s="371">
        <f t="shared" si="384"/>
        <v>0</v>
      </c>
      <c r="BP232" s="371">
        <f t="shared" si="384"/>
        <v>0</v>
      </c>
      <c r="BQ232" s="371">
        <f t="shared" si="384"/>
        <v>0</v>
      </c>
      <c r="BR232" s="371">
        <f t="shared" si="384"/>
        <v>0</v>
      </c>
      <c r="BS232" s="371">
        <f t="shared" si="384"/>
        <v>0</v>
      </c>
      <c r="BT232" s="371">
        <f t="shared" si="384"/>
        <v>0</v>
      </c>
      <c r="BU232" s="371">
        <f t="shared" si="384"/>
        <v>0</v>
      </c>
    </row>
    <row r="233" spans="1:73" x14ac:dyDescent="0.2">
      <c r="A233" s="186"/>
      <c r="B233" s="186"/>
      <c r="C233" s="186" t="s">
        <v>225</v>
      </c>
      <c r="D233" s="186"/>
      <c r="E233" s="186"/>
      <c r="F233" s="186"/>
      <c r="G233" s="186"/>
      <c r="H233" s="186"/>
      <c r="I233" s="186"/>
      <c r="J233" s="186"/>
      <c r="K233" s="367" t="s">
        <v>226</v>
      </c>
      <c r="L233" s="398"/>
      <c r="M233" s="370"/>
      <c r="N233" s="374">
        <f>+MAX(Q233:BU233)</f>
        <v>40</v>
      </c>
      <c r="O233" s="186"/>
      <c r="P233" s="186"/>
      <c r="Q233" s="374"/>
      <c r="R233" s="374">
        <f t="shared" ref="R233:AP233" si="385">+Q233+ 1 * R231</f>
        <v>1</v>
      </c>
      <c r="S233" s="374">
        <f t="shared" si="385"/>
        <v>2</v>
      </c>
      <c r="T233" s="374">
        <f t="shared" si="385"/>
        <v>3</v>
      </c>
      <c r="U233" s="374">
        <f t="shared" si="385"/>
        <v>4</v>
      </c>
      <c r="V233" s="374">
        <f t="shared" si="385"/>
        <v>5</v>
      </c>
      <c r="W233" s="374">
        <f t="shared" si="385"/>
        <v>6</v>
      </c>
      <c r="X233" s="374">
        <f t="shared" si="385"/>
        <v>7</v>
      </c>
      <c r="Y233" s="374">
        <f t="shared" si="385"/>
        <v>8</v>
      </c>
      <c r="Z233" s="374">
        <f t="shared" si="385"/>
        <v>9</v>
      </c>
      <c r="AA233" s="374">
        <f t="shared" si="385"/>
        <v>10</v>
      </c>
      <c r="AB233" s="374">
        <f t="shared" si="385"/>
        <v>11</v>
      </c>
      <c r="AC233" s="374">
        <f t="shared" si="385"/>
        <v>12</v>
      </c>
      <c r="AD233" s="374">
        <f t="shared" si="385"/>
        <v>13</v>
      </c>
      <c r="AE233" s="374">
        <f t="shared" si="385"/>
        <v>14</v>
      </c>
      <c r="AF233" s="374">
        <f t="shared" si="385"/>
        <v>15</v>
      </c>
      <c r="AG233" s="374">
        <f t="shared" si="385"/>
        <v>16</v>
      </c>
      <c r="AH233" s="374">
        <f t="shared" si="385"/>
        <v>17</v>
      </c>
      <c r="AI233" s="374">
        <f t="shared" si="385"/>
        <v>18</v>
      </c>
      <c r="AJ233" s="374">
        <f t="shared" si="385"/>
        <v>19</v>
      </c>
      <c r="AK233" s="374">
        <f t="shared" si="385"/>
        <v>20</v>
      </c>
      <c r="AL233" s="374">
        <f t="shared" si="385"/>
        <v>21</v>
      </c>
      <c r="AM233" s="374">
        <f t="shared" si="385"/>
        <v>22</v>
      </c>
      <c r="AN233" s="374">
        <f t="shared" si="385"/>
        <v>23</v>
      </c>
      <c r="AO233" s="374">
        <f t="shared" si="385"/>
        <v>24</v>
      </c>
      <c r="AP233" s="374">
        <f t="shared" si="385"/>
        <v>25</v>
      </c>
      <c r="AQ233" s="374">
        <f t="shared" ref="AQ233:BU233" si="386">+AP233+ 1 * AQ231</f>
        <v>26</v>
      </c>
      <c r="AR233" s="374">
        <f t="shared" si="386"/>
        <v>27</v>
      </c>
      <c r="AS233" s="374">
        <f t="shared" si="386"/>
        <v>28</v>
      </c>
      <c r="AT233" s="374">
        <f t="shared" si="386"/>
        <v>29</v>
      </c>
      <c r="AU233" s="374">
        <f t="shared" si="386"/>
        <v>30</v>
      </c>
      <c r="AV233" s="374">
        <f t="shared" si="386"/>
        <v>31</v>
      </c>
      <c r="AW233" s="374">
        <f t="shared" si="386"/>
        <v>32</v>
      </c>
      <c r="AX233" s="374">
        <f t="shared" si="386"/>
        <v>33</v>
      </c>
      <c r="AY233" s="374">
        <f t="shared" si="386"/>
        <v>34</v>
      </c>
      <c r="AZ233" s="374">
        <f t="shared" si="386"/>
        <v>35</v>
      </c>
      <c r="BA233" s="374">
        <f t="shared" si="386"/>
        <v>36</v>
      </c>
      <c r="BB233" s="374">
        <f t="shared" si="386"/>
        <v>37</v>
      </c>
      <c r="BC233" s="374">
        <f t="shared" si="386"/>
        <v>38</v>
      </c>
      <c r="BD233" s="374">
        <f t="shared" si="386"/>
        <v>39</v>
      </c>
      <c r="BE233" s="374">
        <f t="shared" si="386"/>
        <v>40</v>
      </c>
      <c r="BF233" s="374">
        <f t="shared" si="386"/>
        <v>40</v>
      </c>
      <c r="BG233" s="374">
        <f t="shared" si="386"/>
        <v>40</v>
      </c>
      <c r="BH233" s="374">
        <f t="shared" si="386"/>
        <v>40</v>
      </c>
      <c r="BI233" s="374">
        <f t="shared" si="386"/>
        <v>40</v>
      </c>
      <c r="BJ233" s="374">
        <f t="shared" si="386"/>
        <v>40</v>
      </c>
      <c r="BK233" s="374">
        <f t="shared" si="386"/>
        <v>40</v>
      </c>
      <c r="BL233" s="374">
        <f t="shared" si="386"/>
        <v>40</v>
      </c>
      <c r="BM233" s="374">
        <f t="shared" si="386"/>
        <v>40</v>
      </c>
      <c r="BN233" s="374">
        <f t="shared" si="386"/>
        <v>40</v>
      </c>
      <c r="BO233" s="374">
        <f t="shared" si="386"/>
        <v>40</v>
      </c>
      <c r="BP233" s="374">
        <f t="shared" si="386"/>
        <v>40</v>
      </c>
      <c r="BQ233" s="374">
        <f t="shared" si="386"/>
        <v>40</v>
      </c>
      <c r="BR233" s="374">
        <f t="shared" si="386"/>
        <v>40</v>
      </c>
      <c r="BS233" s="374">
        <f t="shared" si="386"/>
        <v>40</v>
      </c>
      <c r="BT233" s="374">
        <f t="shared" si="386"/>
        <v>40</v>
      </c>
      <c r="BU233" s="374">
        <f t="shared" si="386"/>
        <v>40</v>
      </c>
    </row>
    <row r="234" spans="1:73" x14ac:dyDescent="0.2">
      <c r="A234" s="186"/>
      <c r="B234" s="186"/>
      <c r="C234" s="186" t="s">
        <v>227</v>
      </c>
      <c r="D234" s="186"/>
      <c r="E234" s="186"/>
      <c r="F234" s="186"/>
      <c r="G234" s="186"/>
      <c r="H234" s="186"/>
      <c r="I234" s="186"/>
      <c r="J234" s="186"/>
      <c r="K234" s="367" t="s">
        <v>124</v>
      </c>
      <c r="L234" s="374">
        <v>3</v>
      </c>
      <c r="M234" s="370"/>
      <c r="N234" s="374">
        <f>SUM(Q234:BU234)</f>
        <v>3</v>
      </c>
      <c r="O234" s="186"/>
      <c r="P234" s="186"/>
      <c r="Q234" s="371"/>
      <c r="R234" s="371">
        <f t="shared" ref="R234:AW234" si="387">($L$234 &gt;= R233) * R$13 * R231</f>
        <v>1</v>
      </c>
      <c r="S234" s="371">
        <f t="shared" si="387"/>
        <v>1</v>
      </c>
      <c r="T234" s="371">
        <f t="shared" si="387"/>
        <v>1</v>
      </c>
      <c r="U234" s="371">
        <f t="shared" si="387"/>
        <v>0</v>
      </c>
      <c r="V234" s="371">
        <f t="shared" si="387"/>
        <v>0</v>
      </c>
      <c r="W234" s="371">
        <f t="shared" si="387"/>
        <v>0</v>
      </c>
      <c r="X234" s="371">
        <f t="shared" si="387"/>
        <v>0</v>
      </c>
      <c r="Y234" s="371">
        <f t="shared" si="387"/>
        <v>0</v>
      </c>
      <c r="Z234" s="371">
        <f t="shared" si="387"/>
        <v>0</v>
      </c>
      <c r="AA234" s="371">
        <f t="shared" si="387"/>
        <v>0</v>
      </c>
      <c r="AB234" s="371">
        <f t="shared" si="387"/>
        <v>0</v>
      </c>
      <c r="AC234" s="371">
        <f t="shared" si="387"/>
        <v>0</v>
      </c>
      <c r="AD234" s="371">
        <f t="shared" si="387"/>
        <v>0</v>
      </c>
      <c r="AE234" s="371">
        <f t="shared" si="387"/>
        <v>0</v>
      </c>
      <c r="AF234" s="371">
        <f t="shared" si="387"/>
        <v>0</v>
      </c>
      <c r="AG234" s="371">
        <f t="shared" si="387"/>
        <v>0</v>
      </c>
      <c r="AH234" s="371">
        <f t="shared" si="387"/>
        <v>0</v>
      </c>
      <c r="AI234" s="371">
        <f t="shared" si="387"/>
        <v>0</v>
      </c>
      <c r="AJ234" s="371">
        <f t="shared" si="387"/>
        <v>0</v>
      </c>
      <c r="AK234" s="371">
        <f t="shared" si="387"/>
        <v>0</v>
      </c>
      <c r="AL234" s="371">
        <f t="shared" si="387"/>
        <v>0</v>
      </c>
      <c r="AM234" s="371">
        <f t="shared" si="387"/>
        <v>0</v>
      </c>
      <c r="AN234" s="371">
        <f t="shared" si="387"/>
        <v>0</v>
      </c>
      <c r="AO234" s="371">
        <f t="shared" si="387"/>
        <v>0</v>
      </c>
      <c r="AP234" s="371">
        <f t="shared" si="387"/>
        <v>0</v>
      </c>
      <c r="AQ234" s="371">
        <f t="shared" si="387"/>
        <v>0</v>
      </c>
      <c r="AR234" s="371">
        <f t="shared" si="387"/>
        <v>0</v>
      </c>
      <c r="AS234" s="371">
        <f t="shared" si="387"/>
        <v>0</v>
      </c>
      <c r="AT234" s="371">
        <f t="shared" si="387"/>
        <v>0</v>
      </c>
      <c r="AU234" s="371">
        <f t="shared" si="387"/>
        <v>0</v>
      </c>
      <c r="AV234" s="371">
        <f t="shared" si="387"/>
        <v>0</v>
      </c>
      <c r="AW234" s="371">
        <f t="shared" si="387"/>
        <v>0</v>
      </c>
      <c r="AX234" s="371">
        <f t="shared" ref="AX234:BU234" si="388">($L$234 &gt;= AX233) * AX$13 * AX231</f>
        <v>0</v>
      </c>
      <c r="AY234" s="371">
        <f t="shared" si="388"/>
        <v>0</v>
      </c>
      <c r="AZ234" s="371">
        <f t="shared" si="388"/>
        <v>0</v>
      </c>
      <c r="BA234" s="371">
        <f t="shared" si="388"/>
        <v>0</v>
      </c>
      <c r="BB234" s="371">
        <f t="shared" si="388"/>
        <v>0</v>
      </c>
      <c r="BC234" s="371">
        <f t="shared" si="388"/>
        <v>0</v>
      </c>
      <c r="BD234" s="371">
        <f t="shared" si="388"/>
        <v>0</v>
      </c>
      <c r="BE234" s="371">
        <f t="shared" si="388"/>
        <v>0</v>
      </c>
      <c r="BF234" s="371">
        <f t="shared" si="388"/>
        <v>0</v>
      </c>
      <c r="BG234" s="371">
        <f t="shared" si="388"/>
        <v>0</v>
      </c>
      <c r="BH234" s="371">
        <f t="shared" si="388"/>
        <v>0</v>
      </c>
      <c r="BI234" s="371">
        <f t="shared" si="388"/>
        <v>0</v>
      </c>
      <c r="BJ234" s="371">
        <f t="shared" si="388"/>
        <v>0</v>
      </c>
      <c r="BK234" s="371">
        <f t="shared" si="388"/>
        <v>0</v>
      </c>
      <c r="BL234" s="371">
        <f t="shared" si="388"/>
        <v>0</v>
      </c>
      <c r="BM234" s="371">
        <f t="shared" si="388"/>
        <v>0</v>
      </c>
      <c r="BN234" s="371">
        <f t="shared" si="388"/>
        <v>0</v>
      </c>
      <c r="BO234" s="371">
        <f t="shared" si="388"/>
        <v>0</v>
      </c>
      <c r="BP234" s="371">
        <f t="shared" si="388"/>
        <v>0</v>
      </c>
      <c r="BQ234" s="371">
        <f t="shared" si="388"/>
        <v>0</v>
      </c>
      <c r="BR234" s="371">
        <f t="shared" si="388"/>
        <v>0</v>
      </c>
      <c r="BS234" s="371">
        <f t="shared" si="388"/>
        <v>0</v>
      </c>
      <c r="BT234" s="371">
        <f t="shared" si="388"/>
        <v>0</v>
      </c>
      <c r="BU234" s="371">
        <f t="shared" si="388"/>
        <v>0</v>
      </c>
    </row>
    <row r="235" spans="1:73" x14ac:dyDescent="0.2">
      <c r="A235" s="186"/>
      <c r="B235" s="186"/>
      <c r="C235" s="186"/>
      <c r="D235" s="186"/>
      <c r="E235" s="186"/>
      <c r="F235" s="186"/>
      <c r="G235" s="186"/>
      <c r="H235" s="186"/>
      <c r="I235" s="186"/>
      <c r="J235" s="186"/>
      <c r="K235" s="367"/>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c r="AQ235" s="186"/>
      <c r="AR235" s="186"/>
      <c r="AS235" s="186"/>
      <c r="AT235" s="186"/>
      <c r="AU235" s="186"/>
      <c r="AV235" s="186"/>
      <c r="AW235" s="186"/>
      <c r="AX235" s="186"/>
      <c r="AY235" s="186"/>
      <c r="AZ235" s="186"/>
      <c r="BA235" s="186"/>
      <c r="BB235" s="186"/>
      <c r="BC235" s="186"/>
      <c r="BD235" s="186"/>
      <c r="BE235" s="186"/>
      <c r="BF235" s="186"/>
      <c r="BG235" s="186"/>
      <c r="BH235" s="186"/>
      <c r="BI235" s="186"/>
      <c r="BJ235" s="186"/>
      <c r="BK235" s="186"/>
      <c r="BL235" s="186"/>
      <c r="BM235" s="186"/>
      <c r="BN235" s="186"/>
      <c r="BO235" s="186"/>
      <c r="BP235" s="186"/>
      <c r="BQ235" s="186"/>
      <c r="BR235" s="186"/>
      <c r="BS235" s="186"/>
      <c r="BT235" s="186"/>
      <c r="BU235" s="186"/>
    </row>
    <row r="236" spans="1:73" x14ac:dyDescent="0.2">
      <c r="A236" s="186"/>
      <c r="B236" s="186"/>
      <c r="C236" s="186" t="s">
        <v>40</v>
      </c>
      <c r="D236" s="186"/>
      <c r="E236" s="186"/>
      <c r="F236" s="186"/>
      <c r="G236" s="186"/>
      <c r="H236" s="186"/>
      <c r="I236" s="186"/>
      <c r="J236" s="186"/>
      <c r="K236" s="367" t="s">
        <v>20</v>
      </c>
      <c r="L236" s="186"/>
      <c r="M236" s="186"/>
      <c r="N236" s="186"/>
      <c r="O236" s="186"/>
      <c r="P236" s="186"/>
      <c r="Q236" s="457">
        <f>+Inputs!L124</f>
        <v>0.95</v>
      </c>
      <c r="R236" s="733">
        <f>+Inputs!L125</f>
        <v>0.75</v>
      </c>
      <c r="S236" s="733">
        <f>+Inputs!L126</f>
        <v>0.55000000000000004</v>
      </c>
      <c r="T236" s="733">
        <f>+Inputs!L127</f>
        <v>0.35</v>
      </c>
      <c r="U236" s="733">
        <f>+Inputs!L128</f>
        <v>0.15</v>
      </c>
      <c r="V236" s="416"/>
      <c r="W236" s="416"/>
      <c r="X236" s="416"/>
      <c r="Y236" s="416"/>
      <c r="Z236" s="416"/>
      <c r="AA236" s="416"/>
      <c r="AB236" s="416"/>
      <c r="AC236" s="416"/>
      <c r="AD236" s="416"/>
      <c r="AE236" s="416"/>
      <c r="AF236" s="416"/>
      <c r="AG236" s="416"/>
      <c r="AH236" s="416"/>
      <c r="AI236" s="416"/>
      <c r="AJ236" s="416"/>
      <c r="AK236" s="416"/>
      <c r="AL236" s="416"/>
      <c r="AM236" s="416"/>
      <c r="AN236" s="416"/>
      <c r="AO236" s="416"/>
      <c r="AP236" s="416"/>
      <c r="AQ236" s="416"/>
      <c r="AR236" s="416"/>
      <c r="AS236" s="416"/>
      <c r="AT236" s="416"/>
      <c r="AU236" s="416"/>
      <c r="AV236" s="416"/>
      <c r="AW236" s="416"/>
      <c r="AX236" s="416"/>
      <c r="AY236" s="416"/>
      <c r="AZ236" s="416"/>
      <c r="BA236" s="416"/>
      <c r="BB236" s="416"/>
      <c r="BC236" s="416"/>
      <c r="BD236" s="416"/>
      <c r="BE236" s="416"/>
      <c r="BF236" s="416"/>
      <c r="BG236" s="416"/>
      <c r="BH236" s="416"/>
      <c r="BI236" s="416"/>
      <c r="BJ236" s="416"/>
      <c r="BK236" s="416">
        <v>0</v>
      </c>
      <c r="BL236" s="416">
        <v>0</v>
      </c>
      <c r="BM236" s="416">
        <v>0</v>
      </c>
      <c r="BN236" s="416">
        <v>0</v>
      </c>
      <c r="BO236" s="416">
        <v>0</v>
      </c>
      <c r="BP236" s="416">
        <v>0</v>
      </c>
      <c r="BQ236" s="416">
        <v>0</v>
      </c>
      <c r="BR236" s="416">
        <v>0</v>
      </c>
      <c r="BS236" s="416">
        <v>0</v>
      </c>
      <c r="BT236" s="416">
        <v>0</v>
      </c>
      <c r="BU236" s="416">
        <v>0</v>
      </c>
    </row>
    <row r="237" spans="1:73" x14ac:dyDescent="0.2">
      <c r="A237" s="186"/>
      <c r="B237" s="189"/>
      <c r="C237" s="189"/>
      <c r="D237" s="189"/>
      <c r="E237" s="189"/>
      <c r="F237" s="189"/>
      <c r="G237" s="189"/>
      <c r="H237" s="189"/>
      <c r="I237" s="189"/>
      <c r="J237" s="189"/>
      <c r="K237" s="193"/>
      <c r="L237" s="189"/>
      <c r="M237" s="189"/>
      <c r="N237" s="189"/>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row>
    <row r="238" spans="1:73" x14ac:dyDescent="0.2">
      <c r="A238" s="409"/>
      <c r="B238" s="409"/>
      <c r="C238" s="448" t="s">
        <v>66</v>
      </c>
      <c r="D238" s="449"/>
      <c r="E238" s="449"/>
      <c r="F238" s="449"/>
      <c r="G238" s="449"/>
      <c r="H238" s="449"/>
      <c r="I238" s="449"/>
      <c r="J238" s="449"/>
      <c r="K238" s="629" t="s">
        <v>63</v>
      </c>
      <c r="L238" s="449"/>
      <c r="M238" s="449"/>
      <c r="N238" s="450">
        <f>SUM(Q238:BU238)</f>
        <v>691496.72836553829</v>
      </c>
      <c r="O238" s="449"/>
      <c r="P238" s="449"/>
      <c r="Q238" s="450"/>
      <c r="R238" s="450">
        <f t="shared" ref="R238:AO238" si="389">+R203</f>
        <v>0</v>
      </c>
      <c r="S238" s="450">
        <f t="shared" si="389"/>
        <v>6893.0040000000026</v>
      </c>
      <c r="T238" s="450">
        <f t="shared" si="389"/>
        <v>4923.1641749466244</v>
      </c>
      <c r="U238" s="450">
        <f t="shared" si="389"/>
        <v>3516.2529273851965</v>
      </c>
      <c r="V238" s="450">
        <f t="shared" si="389"/>
        <v>2511.4000285149973</v>
      </c>
      <c r="W238" s="450">
        <f t="shared" si="389"/>
        <v>3207.5042996959728</v>
      </c>
      <c r="X238" s="450">
        <f t="shared" si="389"/>
        <v>4096.5532036931381</v>
      </c>
      <c r="Y238" s="450">
        <f t="shared" si="389"/>
        <v>5232.0267044627799</v>
      </c>
      <c r="Z238" s="450">
        <f t="shared" si="389"/>
        <v>6682.2282233593996</v>
      </c>
      <c r="AA238" s="450">
        <f t="shared" si="389"/>
        <v>8534.3933720700988</v>
      </c>
      <c r="AB238" s="450">
        <f t="shared" si="389"/>
        <v>7834.4943124637866</v>
      </c>
      <c r="AC238" s="450">
        <f t="shared" si="389"/>
        <v>7191.9934383267437</v>
      </c>
      <c r="AD238" s="450">
        <f t="shared" si="389"/>
        <v>6602.1835684591333</v>
      </c>
      <c r="AE238" s="450">
        <f t="shared" si="389"/>
        <v>6060.7435539836861</v>
      </c>
      <c r="AF238" s="450">
        <f t="shared" si="389"/>
        <v>5563.7066201307889</v>
      </c>
      <c r="AG238" s="450">
        <f t="shared" si="389"/>
        <v>7543.7883632894109</v>
      </c>
      <c r="AH238" s="450">
        <f t="shared" si="389"/>
        <v>10228.566449602433</v>
      </c>
      <c r="AI238" s="450">
        <f t="shared" si="389"/>
        <v>13868.837058455365</v>
      </c>
      <c r="AJ238" s="450">
        <f t="shared" si="389"/>
        <v>18804.652861346072</v>
      </c>
      <c r="AK238" s="450">
        <f t="shared" si="389"/>
        <v>25497.088742573676</v>
      </c>
      <c r="AL238" s="450">
        <f t="shared" si="389"/>
        <v>17257.519856207484</v>
      </c>
      <c r="AM238" s="450">
        <f t="shared" si="389"/>
        <v>11680.62732942951</v>
      </c>
      <c r="AN238" s="450">
        <f t="shared" si="389"/>
        <v>7905.9480125667942</v>
      </c>
      <c r="AO238" s="450">
        <f t="shared" si="389"/>
        <v>5351.0836545507345</v>
      </c>
      <c r="AP238" s="450">
        <f t="shared" ref="AP238:BU238" si="390">+AP203</f>
        <v>3621.8422170858075</v>
      </c>
      <c r="AQ238" s="450">
        <f t="shared" si="390"/>
        <v>5031.5595961266754</v>
      </c>
      <c r="AR238" s="450">
        <f t="shared" si="390"/>
        <v>6989.9764959238264</v>
      </c>
      <c r="AS238" s="450">
        <f t="shared" si="390"/>
        <v>9710.6613725056704</v>
      </c>
      <c r="AT238" s="450">
        <f t="shared" si="390"/>
        <v>13490.309208687973</v>
      </c>
      <c r="AU238" s="450">
        <f t="shared" si="390"/>
        <v>18741.096570547237</v>
      </c>
      <c r="AV238" s="450">
        <f t="shared" si="390"/>
        <v>18421.350964280813</v>
      </c>
      <c r="AW238" s="450">
        <f t="shared" si="390"/>
        <v>18107.060601913374</v>
      </c>
      <c r="AX238" s="450">
        <f t="shared" si="390"/>
        <v>17798.132410434951</v>
      </c>
      <c r="AY238" s="450">
        <f t="shared" si="390"/>
        <v>17494.474904772869</v>
      </c>
      <c r="AZ238" s="450">
        <f t="shared" si="390"/>
        <v>17195.998160699615</v>
      </c>
      <c r="BA238" s="450">
        <f t="shared" si="390"/>
        <v>19251.269063199168</v>
      </c>
      <c r="BB238" s="450">
        <f t="shared" si="390"/>
        <v>21552.186565749842</v>
      </c>
      <c r="BC238" s="450">
        <f t="shared" si="390"/>
        <v>24128.110424305614</v>
      </c>
      <c r="BD238" s="450">
        <f t="shared" si="390"/>
        <v>27011.909481734325</v>
      </c>
      <c r="BE238" s="450">
        <f t="shared" si="390"/>
        <v>30240.38107494725</v>
      </c>
      <c r="BF238" s="450">
        <f t="shared" si="390"/>
        <v>34373.648331668155</v>
      </c>
      <c r="BG238" s="450">
        <f t="shared" si="390"/>
        <v>39071.852193292965</v>
      </c>
      <c r="BH238" s="450">
        <f t="shared" si="390"/>
        <v>44412.208418623974</v>
      </c>
      <c r="BI238" s="450">
        <f t="shared" si="390"/>
        <v>50482.486646944315</v>
      </c>
      <c r="BJ238" s="450">
        <f t="shared" si="390"/>
        <v>57382.452906580089</v>
      </c>
      <c r="BK238" s="450">
        <f t="shared" si="390"/>
        <v>0</v>
      </c>
      <c r="BL238" s="450">
        <f t="shared" si="390"/>
        <v>0</v>
      </c>
      <c r="BM238" s="450">
        <f t="shared" si="390"/>
        <v>0</v>
      </c>
      <c r="BN238" s="450">
        <f t="shared" si="390"/>
        <v>0</v>
      </c>
      <c r="BO238" s="450">
        <f t="shared" si="390"/>
        <v>0</v>
      </c>
      <c r="BP238" s="450">
        <f t="shared" si="390"/>
        <v>0</v>
      </c>
      <c r="BQ238" s="450">
        <f t="shared" si="390"/>
        <v>0</v>
      </c>
      <c r="BR238" s="450">
        <f t="shared" si="390"/>
        <v>0</v>
      </c>
      <c r="BS238" s="450">
        <f t="shared" si="390"/>
        <v>0</v>
      </c>
      <c r="BT238" s="450">
        <f t="shared" si="390"/>
        <v>0</v>
      </c>
      <c r="BU238" s="450">
        <f t="shared" si="390"/>
        <v>0</v>
      </c>
    </row>
    <row r="239" spans="1:73" x14ac:dyDescent="0.2">
      <c r="A239" s="186"/>
      <c r="B239" s="189"/>
      <c r="C239" s="189"/>
      <c r="D239" s="189"/>
      <c r="E239" s="189"/>
      <c r="F239" s="189"/>
      <c r="G239" s="189"/>
      <c r="H239" s="189"/>
      <c r="I239" s="189"/>
      <c r="J239" s="189"/>
      <c r="K239" s="193"/>
      <c r="L239" s="189"/>
      <c r="M239" s="189"/>
      <c r="N239" s="189"/>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row>
    <row r="240" spans="1:73" x14ac:dyDescent="0.2">
      <c r="A240" s="186"/>
      <c r="B240" s="186"/>
      <c r="C240" s="186" t="s">
        <v>228</v>
      </c>
      <c r="D240" s="186"/>
      <c r="E240" s="186"/>
      <c r="F240" s="186"/>
      <c r="G240" s="186"/>
      <c r="H240" s="186"/>
      <c r="I240" s="186"/>
      <c r="J240" s="186"/>
      <c r="K240" s="367" t="s">
        <v>63</v>
      </c>
      <c r="L240" s="370"/>
      <c r="M240" s="186"/>
      <c r="N240" s="374">
        <f>SUM(Q240:BU240)</f>
        <v>30143809.490715805</v>
      </c>
      <c r="O240" s="186"/>
      <c r="P240" s="186"/>
      <c r="Q240" s="374"/>
      <c r="R240" s="374">
        <f>MAX(0,CF!R46)  - R274-R275-R276</f>
        <v>0</v>
      </c>
      <c r="S240" s="374">
        <f>MAX(0,CF!S46)  - S274-S275-S276</f>
        <v>46089.205415482946</v>
      </c>
      <c r="T240" s="374">
        <f>MAX(0,CF!T46)  - T274-T275-T276</f>
        <v>66536.014867182152</v>
      </c>
      <c r="U240" s="374">
        <f>MAX(0,CF!U46)  - U274-U275-U276</f>
        <v>72317.847489533975</v>
      </c>
      <c r="V240" s="374">
        <f>MAX(0,CF!V46)  - V274-V275-V276</f>
        <v>67674.694787869186</v>
      </c>
      <c r="W240" s="374">
        <f>MAX(0,CF!W46)  - W274-W275-W276</f>
        <v>81828.703908479947</v>
      </c>
      <c r="X240" s="374">
        <f>MAX(0,CF!X46)  - X274-X275-X276</f>
        <v>96928.651756389125</v>
      </c>
      <c r="Y240" s="374">
        <f>MAX(0,CF!Y46)  - Y274-Y275-Y276</f>
        <v>110985.29609190876</v>
      </c>
      <c r="Z240" s="374">
        <f>MAX(0,CF!Z46)  - Z274-Z275-Z276</f>
        <v>125164.24200299024</v>
      </c>
      <c r="AA240" s="374">
        <f>MAX(0,CF!AA46)  - AA274-AA275-AA276</f>
        <v>141281.13958810174</v>
      </c>
      <c r="AB240" s="374">
        <f>MAX(0,CF!AB46)  - AB274-AB275-AB276</f>
        <v>159805.32779053543</v>
      </c>
      <c r="AC240" s="374">
        <f>MAX(0,CF!AC46)  - AC274-AC275-AC276</f>
        <v>180044.61260043556</v>
      </c>
      <c r="AD240" s="374">
        <f>MAX(0,CF!AD46)  - AD274-AD275-AD276</f>
        <v>201819.89147795274</v>
      </c>
      <c r="AE240" s="374">
        <f>MAX(0,CF!AE46)  - AE274-AE275-AE276</f>
        <v>214347.04978810929</v>
      </c>
      <c r="AF240" s="374">
        <f>MAX(0,CF!AF46)  - AF274-AF275-AF276</f>
        <v>250884.58516631756</v>
      </c>
      <c r="AG240" s="374">
        <f>MAX(0,CF!AG46)  - AG274-AG275-AG276</f>
        <v>274656.87630263215</v>
      </c>
      <c r="AH240" s="374">
        <f>MAX(0,CF!AH46)  - AH274-AH275-AH276</f>
        <v>299736.9412001833</v>
      </c>
      <c r="AI240" s="374">
        <f>MAX(0,CF!AI46)  - AI274-AI275-AI276</f>
        <v>325917.38826666796</v>
      </c>
      <c r="AJ240" s="374">
        <f>MAX(0,CF!AJ46)  - AJ274-AJ275-AJ276</f>
        <v>352489.28973148984</v>
      </c>
      <c r="AK240" s="374">
        <f>MAX(0,CF!AK46)  - AK274-AK275-AK276</f>
        <v>380180.24865093949</v>
      </c>
      <c r="AL240" s="374">
        <f>MAX(0,CF!AL46)  - AL274-AL275-AL276</f>
        <v>413748.41448811628</v>
      </c>
      <c r="AM240" s="374">
        <f>MAX(0,CF!AM46)  - AM274-AM275-AM276</f>
        <v>449826.86865822383</v>
      </c>
      <c r="AN240" s="374">
        <f>MAX(0,CF!AN46)  - AN274-AN275-AN276</f>
        <v>493419.59242781746</v>
      </c>
      <c r="AO240" s="374">
        <f>MAX(0,CF!AO46)  - AO274-AO275-AO276</f>
        <v>489083.72358622163</v>
      </c>
      <c r="AP240" s="374">
        <f>MAX(0,CF!AP46)  - AP274-AP275-AP276</f>
        <v>584835.79213462723</v>
      </c>
      <c r="AQ240" s="374">
        <f>MAX(0,CF!AQ46)  - AQ274-AQ275-AQ276</f>
        <v>630231.94635903661</v>
      </c>
      <c r="AR240" s="374">
        <f>MAX(0,CF!AR46)  - AR274-AR275-AR276</f>
        <v>678271.30783752492</v>
      </c>
      <c r="AS240" s="374">
        <f>MAX(0,CF!AS46)  - AS274-AS275-AS276</f>
        <v>723752.14774374932</v>
      </c>
      <c r="AT240" s="374">
        <f>MAX(0,CF!AT46)  - AT274-AT275-AT276</f>
        <v>701332.69013532519</v>
      </c>
      <c r="AU240" s="374">
        <f>MAX(0,CF!AU46)  - AU274-AU275-AU276</f>
        <v>686049.43562559714</v>
      </c>
      <c r="AV240" s="374">
        <f>MAX(0,CF!AV46)  - AV274-AV275-AV276</f>
        <v>745540.52532769181</v>
      </c>
      <c r="AW240" s="374">
        <f>MAX(0,CF!AW46)  - AW274-AW275-AW276</f>
        <v>807881.92869410431</v>
      </c>
      <c r="AX240" s="374">
        <f>MAX(0,CF!AX46)  - AX274-AX275-AX276</f>
        <v>866061.29555846273</v>
      </c>
      <c r="AY240" s="374">
        <f>MAX(0,CF!AY46)  - AY274-AY275-AY276</f>
        <v>900873.67328247963</v>
      </c>
      <c r="AZ240" s="374">
        <f>MAX(0,CF!AZ46)  - AZ274-AZ275-AZ276</f>
        <v>986121.13563146524</v>
      </c>
      <c r="BA240" s="374">
        <f>MAX(0,CF!BA46)  - BA274-BA275-BA276</f>
        <v>1066624.834379341</v>
      </c>
      <c r="BB240" s="374">
        <f>MAX(0,CF!BB46)  - BB274-BB275-BB276</f>
        <v>1152008.7578995069</v>
      </c>
      <c r="BC240" s="374">
        <f>MAX(0,CF!BC46)  - BC274-BC275-BC276</f>
        <v>1242742.9715271136</v>
      </c>
      <c r="BD240" s="374">
        <f>MAX(0,CF!BD46)  - BD274-BD275-BD276</f>
        <v>1474350.3485495483</v>
      </c>
      <c r="BE240" s="374">
        <f>MAX(0,CF!BE46)  - BE274-BE275-BE276</f>
        <v>1487003.942530256</v>
      </c>
      <c r="BF240" s="374">
        <f>MAX(0,CF!BF46)  - BF274-BF275-BF276</f>
        <v>1877951.2000004875</v>
      </c>
      <c r="BG240" s="374">
        <f>MAX(0,CF!BG46)  - BG274-BG275-BG276</f>
        <v>2022875.7896959386</v>
      </c>
      <c r="BH240" s="374">
        <f>MAX(0,CF!BH46)  - BH274-BH275-BH276</f>
        <v>2179018.6750670709</v>
      </c>
      <c r="BI240" s="374">
        <f>MAX(0,CF!BI46)  - BI274-BI275-BI276</f>
        <v>2347204.8376066857</v>
      </c>
      <c r="BJ240" s="374">
        <f>MAX(0,CF!BJ46)  - BJ274-BJ275-BJ276</f>
        <v>1688309.6490862106</v>
      </c>
      <c r="BK240" s="374">
        <f>MAX(0,CF!BK46)  - BK274-BK275-BK276</f>
        <v>0</v>
      </c>
      <c r="BL240" s="374">
        <f>MAX(0,CF!BL46)  - BL274-BL275-BL276</f>
        <v>0</v>
      </c>
      <c r="BM240" s="374">
        <f>MAX(0,CF!BM46)  - BM274-BM275-BM276</f>
        <v>0</v>
      </c>
      <c r="BN240" s="374">
        <f>MAX(0,CF!BN46)  - BN274-BN275-BN276</f>
        <v>0</v>
      </c>
      <c r="BO240" s="374">
        <f>MAX(0,CF!BO46)  - BO274-BO275-BO276</f>
        <v>0</v>
      </c>
      <c r="BP240" s="374">
        <f>MAX(0,CF!BP46)  - BP274-BP275-BP276</f>
        <v>0</v>
      </c>
      <c r="BQ240" s="374">
        <f>MAX(0,CF!BQ46)  - BQ274-BQ275-BQ276</f>
        <v>0</v>
      </c>
      <c r="BR240" s="374">
        <f>MAX(0,CF!BR46)  - BR274-BR275-BR276</f>
        <v>0</v>
      </c>
      <c r="BS240" s="374">
        <f>MAX(0,CF!BS46)  - BS274-BS275-BS276</f>
        <v>0</v>
      </c>
      <c r="BT240" s="374">
        <f>MAX(0,CF!BT46)  - BT274-BT275-BT276</f>
        <v>0</v>
      </c>
      <c r="BU240" s="374">
        <f>MAX(0,CF!BU46)  - BU274-BU275-BU276</f>
        <v>0</v>
      </c>
    </row>
    <row r="241" spans="1:73" x14ac:dyDescent="0.2">
      <c r="A241" s="186"/>
      <c r="B241" s="186"/>
      <c r="C241" s="186" t="s">
        <v>229</v>
      </c>
      <c r="D241" s="186"/>
      <c r="E241" s="186"/>
      <c r="F241" s="186"/>
      <c r="G241" s="186"/>
      <c r="H241" s="186"/>
      <c r="I241" s="186"/>
      <c r="J241" s="186"/>
      <c r="K241" s="367" t="s">
        <v>63</v>
      </c>
      <c r="L241" s="186"/>
      <c r="M241" s="186"/>
      <c r="N241" s="374">
        <f>SUM(Q241:BU241)</f>
        <v>1393843.6425928292</v>
      </c>
      <c r="O241" s="186"/>
      <c r="P241" s="186"/>
      <c r="Q241" s="382"/>
      <c r="R241" s="382">
        <f>+(SUMPRODUCT($Q$236:$U$236,S238:W238)*R12) * R231*IF(SUM($Q$232:R$232)=1,0,1)</f>
        <v>13534.781696206473</v>
      </c>
      <c r="S241" s="382">
        <f>+(SUMPRODUCT($Q$236:$U$236,T238:X238)*S12) * S231*IF(SUM($Q$232:S$232)=1,0,1)</f>
        <v>10432.575162869</v>
      </c>
      <c r="T241" s="382">
        <f>+(SUMPRODUCT($Q$236:$U$236,U238:Y238)*T12) * T231*IF(SUM($Q$232:T$232)=1,0,1)</f>
        <v>9206.7152941969853</v>
      </c>
      <c r="U241" s="382">
        <f>+(SUMPRODUCT($Q$236:$U$236,V238:Z238)*U12) * U231*IF(SUM($Q$232:U$232)=1,0,1)</f>
        <v>9878.1060939583367</v>
      </c>
      <c r="V241" s="382">
        <f>+(SUMPRODUCT($Q$236:$U$236,W238:AA238)*V12) * V231*IF(SUM($Q$232:V$232)=1,0,1)</f>
        <v>12616.097558921861</v>
      </c>
      <c r="W241" s="382">
        <f>+(SUMPRODUCT($Q$236:$U$236,X238:AB238)*W12) * W231*IF(SUM($Q$232:W$232)=1,0,1)</f>
        <v>15653.182921797337</v>
      </c>
      <c r="X241" s="382">
        <f>+(SUMPRODUCT($Q$236:$U$236,Y238:AC238)*X12) * X231*IF(SUM($Q$232:X$232)=1,0,1)</f>
        <v>18496.88491650908</v>
      </c>
      <c r="Y241" s="382">
        <f>+(SUMPRODUCT($Q$236:$U$236,Z238:AD238)*Y12) * Y231*IF(SUM($Q$232:Y$232)=1,0,1)</f>
        <v>20565.408951782316</v>
      </c>
      <c r="Z241" s="382">
        <f>+(SUMPRODUCT($Q$236:$U$236,AA238:AE238)*Z12) * Z231*IF(SUM($Q$232:Z$232)=1,0,1)</f>
        <v>21159.016610952393</v>
      </c>
      <c r="AA241" s="382">
        <f>+(SUMPRODUCT($Q$236:$U$236,AB238:AF238)*AA12) * AA231*IF(SUM($Q$232:AA$232)=1,0,1)</f>
        <v>19423.781875152086</v>
      </c>
      <c r="AB241" s="382">
        <f>+(SUMPRODUCT($Q$236:$U$236,AC238:AG238)*AB12) * AB231*IF(SUM($Q$232:AB$232)=1,0,1)</f>
        <v>18196.305968984969</v>
      </c>
      <c r="AC241" s="382">
        <f>+(SUMPRODUCT($Q$236:$U$236,AD238:AH238)*AC12) * AC231*IF(SUM($Q$232:AC$232)=1,0,1)</f>
        <v>18052.281591187533</v>
      </c>
      <c r="AD241" s="382">
        <f>+(SUMPRODUCT($Q$236:$U$236,AE238:AI238)*AD12) * AD231*IF(SUM($Q$232:AD$232)=1,0,1)</f>
        <v>19739.893757320926</v>
      </c>
      <c r="AE241" s="382">
        <f>+(SUMPRODUCT($Q$236:$U$236,AF238:AJ238)*AE12) * AE231*IF(SUM($Q$232:AE$232)=1,0,1)</f>
        <v>24243.865008533932</v>
      </c>
      <c r="AF241" s="382">
        <f>+(SUMPRODUCT($Q$236:$U$236,AG238:AK238)*AF12) * AF231*IF(SUM($Q$232:AF$232)=1,0,1)</f>
        <v>32872.075977334389</v>
      </c>
      <c r="AG241" s="382">
        <f>+(SUMPRODUCT($Q$236:$U$236,AH238:AL238)*AG12) * AG231*IF(SUM($Q$232:AG$232)=1,0,1)</f>
        <v>41973.934033036086</v>
      </c>
      <c r="AH241" s="382">
        <f>+(SUMPRODUCT($Q$236:$U$236,AI238:AM238)*AH12) * AH231*IF(SUM($Q$232:AH$232)=1,0,1)</f>
        <v>49094.509709044716</v>
      </c>
      <c r="AI241" s="382">
        <f>+(SUMPRODUCT($Q$236:$U$236,AJ238:AN238)*AI12) * AI231*IF(SUM($Q$232:AI$232)=1,0,1)</f>
        <v>51752.984463308487</v>
      </c>
      <c r="AJ241" s="382">
        <f>+(SUMPRODUCT($Q$236:$U$236,AK238:AO238)*AJ12) * AJ231*IF(SUM($Q$232:AJ$232)=1,0,1)</f>
        <v>47159.463581367825</v>
      </c>
      <c r="AK241" s="382">
        <f>+(SUMPRODUCT($Q$236:$U$236,AL238:AP238)*AK12) * AK231*IF(SUM($Q$232:AK$232)=1,0,1)</f>
        <v>31919.541379036604</v>
      </c>
      <c r="AL241" s="382">
        <f>+(SUMPRODUCT($Q$236:$U$236,AM238:AQ238)*AL12) * AL231*IF(SUM($Q$232:AL$232)=1,0,1)</f>
        <v>21991.531697785067</v>
      </c>
      <c r="AM241" s="382">
        <f>+(SUMPRODUCT($Q$236:$U$236,AN238:AR238)*AM12) * AM231*IF(SUM($Q$232:AM$232)=1,0,1)</f>
        <v>16325.518905281609</v>
      </c>
      <c r="AN241" s="382">
        <f>+(SUMPRODUCT($Q$236:$U$236,AO238:AS238)*AN12) * AN231*IF(SUM($Q$232:AN$232)=1,0,1)</f>
        <v>14470.359891956416</v>
      </c>
      <c r="AO241" s="382">
        <f>+(SUMPRODUCT($Q$236:$U$236,AP238:AT238)*AO12) * AO231*IF(SUM($Q$232:AO$232)=1,0,1)</f>
        <v>16481.184737764808</v>
      </c>
      <c r="AP241" s="382">
        <f>+(SUMPRODUCT($Q$236:$U$236,AQ238:AU238)*AP12) * AP231*IF(SUM($Q$232:AP$232)=1,0,1)</f>
        <v>22896.100451764207</v>
      </c>
      <c r="AQ241" s="382">
        <f>+(SUMPRODUCT($Q$236:$U$236,AR238:AV238)*AQ12) * AQ231*IF(SUM($Q$232:AQ$232)=1,0,1)</f>
        <v>30665.730209618927</v>
      </c>
      <c r="AR241" s="382">
        <f>+(SUMPRODUCT($Q$236:$U$236,AS238:AW238)*AR12) * AR231*IF(SUM($Q$232:AR$232)=1,0,1)</f>
        <v>38813.995251982633</v>
      </c>
      <c r="AS241" s="382">
        <f>+(SUMPRODUCT($Q$236:$U$236,AT238:AX238)*AS12) * AS231*IF(SUM($Q$232:AS$232)=1,0,1)</f>
        <v>46010.550278753377</v>
      </c>
      <c r="AT241" s="382">
        <f>+(SUMPRODUCT($Q$236:$U$236,AU238:AY238)*AT12) * AT231*IF(SUM($Q$232:AT$232)=1,0,1)</f>
        <v>50432.455875650994</v>
      </c>
      <c r="AU241" s="382">
        <f>+(SUMPRODUCT($Q$236:$U$236,AV238:AZ238)*AU12) * AU231*IF(SUM($Q$232:AU$232)=1,0,1)</f>
        <v>49572.017634016469</v>
      </c>
      <c r="AV241" s="382">
        <f>+(SUMPRODUCT($Q$236:$U$236,AW238:BA238)*AV12) * AV231*IF(SUM($Q$232:AV$232)=1,0,1)</f>
        <v>49078.557792993728</v>
      </c>
      <c r="AW241" s="382">
        <f>+(SUMPRODUCT($Q$236:$U$236,AX238:BB238)*AW12) * AW231*IF(SUM($Q$232:AW$232)=1,0,1)</f>
        <v>49457.653113859822</v>
      </c>
      <c r="AX241" s="382">
        <f>+(SUMPRODUCT($Q$236:$U$236,AY238:BC238)*AX12) * AX231*IF(SUM($Q$232:AX$232)=1,0,1)</f>
        <v>51267.429626476769</v>
      </c>
      <c r="AY241" s="382">
        <f>+(SUMPRODUCT($Q$236:$U$236,AZ238:BD238)*AY12) * AY231*IF(SUM($Q$232:AY$232)=1,0,1)</f>
        <v>55124.977731993538</v>
      </c>
      <c r="AZ241" s="382">
        <f>+(SUMPRODUCT($Q$236:$U$236,BA238:BE238)*AZ12) * AZ231*IF(SUM($Q$232:AZ$232)=1,0,1)</f>
        <v>61713.531747568784</v>
      </c>
      <c r="BA241" s="382">
        <f>+(SUMPRODUCT($Q$236:$U$236,BB238:BF238)*BA12) * BA231*IF(SUM($Q$232:BA$232)=1,0,1)</f>
        <v>69167.390896627199</v>
      </c>
      <c r="BB241" s="382">
        <f>+(SUMPRODUCT($Q$236:$U$236,BC238:BG238)*BB12) * BB231*IF(SUM($Q$232:BB$232)=1,0,1)</f>
        <v>77704.401350689863</v>
      </c>
      <c r="BC241" s="382">
        <f>+(SUMPRODUCT($Q$236:$U$236,BD238:BH238)*BC12) * BC231*IF(SUM($Q$232:BC$232)=1,0,1)</f>
        <v>87584.085926721658</v>
      </c>
      <c r="BD241" s="382">
        <f>+(SUMPRODUCT($Q$236:$U$236,BE238:BI238)*BD12) * BD231*IF(SUM($Q$232:BD$232)=1,0,1)</f>
        <v>99114.762919822184</v>
      </c>
      <c r="BE241" s="382">
        <f>+(SUMPRODUCT($Q$236:$U$236,BF238:BJ238)*BE12) * BE231*IF(SUM($Q$232:BE$232)=1,0,1)</f>
        <v>0</v>
      </c>
      <c r="BF241" s="382">
        <f>+(SUMPRODUCT($Q$236:$U$236,BG238:BK238)*BF12) * BF231*IF(SUM($Q$232:BF$232)=1,0,1)</f>
        <v>0</v>
      </c>
      <c r="BG241" s="382">
        <f>+(SUMPRODUCT($Q$236:$U$236,BH238:BL238)*BG12) * BG231*IF(SUM($Q$232:BG$232)=1,0,1)</f>
        <v>0</v>
      </c>
      <c r="BH241" s="382">
        <f>+(SUMPRODUCT($Q$236:$U$236,BI238:BM238)*BH12) * BH231*IF(SUM($Q$232:BH$232)=1,0,1)</f>
        <v>0</v>
      </c>
      <c r="BI241" s="382">
        <f>+(SUMPRODUCT($Q$236:$U$236,BJ238:BN238)*BI12) * BI231*IF(SUM($Q$232:BI$232)=1,0,1)</f>
        <v>0</v>
      </c>
      <c r="BJ241" s="382">
        <f>+(SUMPRODUCT($Q$236:$U$236,BK238:BO238)*BJ12) * BJ231*IF(SUM($Q$232:BJ$232)=1,0,1)</f>
        <v>0</v>
      </c>
      <c r="BK241" s="382">
        <f>+(SUMPRODUCT($Q$236:$U$236,BL238:BP238)*BK12) * BK231*IF(SUM($Q$232:BK$232)=1,0,1)</f>
        <v>0</v>
      </c>
      <c r="BL241" s="382">
        <f>+(SUMPRODUCT($Q$236:$U$236,BM238:BQ238)*BL12) * BL231*IF(SUM($Q$232:BL$232)=1,0,1)</f>
        <v>0</v>
      </c>
      <c r="BM241" s="382">
        <f>+(SUMPRODUCT($Q$236:$U$236,BN238:BR238)*BM12) * BM231*IF(SUM($Q$232:BM$232)=1,0,1)</f>
        <v>0</v>
      </c>
      <c r="BN241" s="382">
        <f>+(SUMPRODUCT($Q$236:$U$236,BO238:BS238)*BN12) * BN231*IF(SUM($Q$232:BN$232)=1,0,1)</f>
        <v>0</v>
      </c>
      <c r="BO241" s="382">
        <f>+(SUMPRODUCT($Q$236:$U$236,BP238:BT238)*BO12) * BO231*IF(SUM($Q$232:BO$232)=1,0,1)</f>
        <v>0</v>
      </c>
      <c r="BP241" s="382">
        <f>+(SUMPRODUCT($Q$236:$U$236,BQ238:BU238)*BP12) * BP231*IF(SUM($Q$232:BP$232)=1,0,1)</f>
        <v>0</v>
      </c>
      <c r="BQ241" s="382">
        <f>+(SUMPRODUCT($Q$236:$U$236,BR238:BV238)*BQ12) * BQ231*IF(SUM($Q$232:BQ$232)=1,0,1)</f>
        <v>0</v>
      </c>
      <c r="BR241" s="382">
        <f>+(SUMPRODUCT($Q$236:$U$236,BS238:BW238)*BR12) * BR231*IF(SUM($Q$232:BR$232)=1,0,1)</f>
        <v>0</v>
      </c>
      <c r="BS241" s="382">
        <f>+(SUMPRODUCT($Q$236:$U$236,BT238:BX238)*BS12) * BS231*IF(SUM($Q$232:BS$232)=1,0,1)</f>
        <v>0</v>
      </c>
      <c r="BT241" s="382">
        <f>+(SUMPRODUCT($Q$236:$U$236,BU238:BY238)*BT12) * BT231*IF(SUM($Q$232:BT$232)=1,0,1)</f>
        <v>0</v>
      </c>
      <c r="BU241" s="382">
        <f>+(SUMPRODUCT($Q$236:$U$236,BV238:BZ238)*BU12) * BU231*IF(SUM($Q$232:BU$232)=1,0,1)</f>
        <v>0</v>
      </c>
    </row>
    <row r="242" spans="1:73" x14ac:dyDescent="0.2">
      <c r="A242" s="186"/>
      <c r="B242" s="189"/>
      <c r="C242" s="189"/>
      <c r="D242" s="189"/>
      <c r="E242" s="189"/>
      <c r="F242" s="189"/>
      <c r="G242" s="189"/>
      <c r="H242" s="189"/>
      <c r="I242" s="189"/>
      <c r="J242" s="189"/>
      <c r="K242" s="193"/>
      <c r="L242" s="189"/>
      <c r="M242" s="189"/>
      <c r="N242" s="458"/>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c r="BO242" s="186"/>
      <c r="BP242" s="186"/>
      <c r="BQ242" s="186"/>
      <c r="BR242" s="186"/>
      <c r="BS242" s="186"/>
      <c r="BT242" s="186"/>
      <c r="BU242" s="186"/>
    </row>
    <row r="243" spans="1:73" x14ac:dyDescent="0.2">
      <c r="A243" s="186"/>
      <c r="B243" s="396" t="s">
        <v>230</v>
      </c>
      <c r="C243" s="186"/>
      <c r="D243" s="186"/>
      <c r="E243" s="186"/>
      <c r="F243" s="186"/>
      <c r="G243" s="186"/>
      <c r="H243" s="186"/>
      <c r="I243" s="186"/>
      <c r="J243" s="186"/>
      <c r="K243" s="367"/>
      <c r="L243" s="186"/>
      <c r="M243" s="186"/>
      <c r="N243" s="189"/>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6"/>
      <c r="AL243" s="186"/>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c r="BO243" s="186"/>
      <c r="BP243" s="186"/>
      <c r="BQ243" s="186"/>
      <c r="BR243" s="186"/>
      <c r="BS243" s="186"/>
      <c r="BT243" s="186"/>
      <c r="BU243" s="186"/>
    </row>
    <row r="244" spans="1:73" x14ac:dyDescent="0.2">
      <c r="A244" s="186"/>
      <c r="B244" s="396"/>
      <c r="C244" s="186" t="s">
        <v>421</v>
      </c>
      <c r="D244" s="186"/>
      <c r="E244" s="186"/>
      <c r="F244" s="186"/>
      <c r="G244" s="186"/>
      <c r="H244" s="186"/>
      <c r="I244" s="186"/>
      <c r="J244" s="186"/>
      <c r="K244" s="367" t="s">
        <v>63</v>
      </c>
      <c r="L244" s="186"/>
      <c r="M244" s="186"/>
      <c r="N244" s="374">
        <f>SUM(Q244:BU244)</f>
        <v>1393843.6425928292</v>
      </c>
      <c r="O244" s="186"/>
      <c r="P244" s="186"/>
      <c r="Q244" s="374"/>
      <c r="R244" s="374">
        <f t="shared" ref="R244:AO244" si="391">+(R241) * R231</f>
        <v>13534.781696206473</v>
      </c>
      <c r="S244" s="374">
        <f t="shared" si="391"/>
        <v>10432.575162869</v>
      </c>
      <c r="T244" s="374">
        <f t="shared" si="391"/>
        <v>9206.7152941969853</v>
      </c>
      <c r="U244" s="374">
        <f t="shared" si="391"/>
        <v>9878.1060939583367</v>
      </c>
      <c r="V244" s="374">
        <f t="shared" si="391"/>
        <v>12616.097558921861</v>
      </c>
      <c r="W244" s="374">
        <f t="shared" si="391"/>
        <v>15653.182921797337</v>
      </c>
      <c r="X244" s="374">
        <f t="shared" si="391"/>
        <v>18496.88491650908</v>
      </c>
      <c r="Y244" s="374">
        <f t="shared" si="391"/>
        <v>20565.408951782316</v>
      </c>
      <c r="Z244" s="374">
        <f t="shared" si="391"/>
        <v>21159.016610952393</v>
      </c>
      <c r="AA244" s="374">
        <f t="shared" si="391"/>
        <v>19423.781875152086</v>
      </c>
      <c r="AB244" s="374">
        <f t="shared" si="391"/>
        <v>18196.305968984969</v>
      </c>
      <c r="AC244" s="374">
        <f t="shared" si="391"/>
        <v>18052.281591187533</v>
      </c>
      <c r="AD244" s="374">
        <f t="shared" si="391"/>
        <v>19739.893757320926</v>
      </c>
      <c r="AE244" s="374">
        <f t="shared" si="391"/>
        <v>24243.865008533932</v>
      </c>
      <c r="AF244" s="374">
        <f t="shared" si="391"/>
        <v>32872.075977334389</v>
      </c>
      <c r="AG244" s="374">
        <f t="shared" si="391"/>
        <v>41973.934033036086</v>
      </c>
      <c r="AH244" s="374">
        <f t="shared" si="391"/>
        <v>49094.509709044716</v>
      </c>
      <c r="AI244" s="374">
        <f t="shared" si="391"/>
        <v>51752.984463308487</v>
      </c>
      <c r="AJ244" s="374">
        <f t="shared" si="391"/>
        <v>47159.463581367825</v>
      </c>
      <c r="AK244" s="374">
        <f t="shared" si="391"/>
        <v>31919.541379036604</v>
      </c>
      <c r="AL244" s="374">
        <f t="shared" si="391"/>
        <v>21991.531697785067</v>
      </c>
      <c r="AM244" s="374">
        <f t="shared" si="391"/>
        <v>16325.518905281609</v>
      </c>
      <c r="AN244" s="374">
        <f t="shared" si="391"/>
        <v>14470.359891956416</v>
      </c>
      <c r="AO244" s="374">
        <f t="shared" si="391"/>
        <v>16481.184737764808</v>
      </c>
      <c r="AP244" s="374">
        <f t="shared" ref="AP244:BU244" si="392">+(AP241) * AP231</f>
        <v>22896.100451764207</v>
      </c>
      <c r="AQ244" s="374">
        <f t="shared" si="392"/>
        <v>30665.730209618927</v>
      </c>
      <c r="AR244" s="374">
        <f t="shared" si="392"/>
        <v>38813.995251982633</v>
      </c>
      <c r="AS244" s="374">
        <f t="shared" si="392"/>
        <v>46010.550278753377</v>
      </c>
      <c r="AT244" s="374">
        <f t="shared" si="392"/>
        <v>50432.455875650994</v>
      </c>
      <c r="AU244" s="374">
        <f t="shared" si="392"/>
        <v>49572.017634016469</v>
      </c>
      <c r="AV244" s="374">
        <f t="shared" si="392"/>
        <v>49078.557792993728</v>
      </c>
      <c r="AW244" s="374">
        <f t="shared" si="392"/>
        <v>49457.653113859822</v>
      </c>
      <c r="AX244" s="374">
        <f t="shared" si="392"/>
        <v>51267.429626476769</v>
      </c>
      <c r="AY244" s="374">
        <f t="shared" si="392"/>
        <v>55124.977731993538</v>
      </c>
      <c r="AZ244" s="374">
        <f t="shared" si="392"/>
        <v>61713.531747568784</v>
      </c>
      <c r="BA244" s="374">
        <f t="shared" si="392"/>
        <v>69167.390896627199</v>
      </c>
      <c r="BB244" s="374">
        <f t="shared" si="392"/>
        <v>77704.401350689863</v>
      </c>
      <c r="BC244" s="374">
        <f t="shared" si="392"/>
        <v>87584.085926721658</v>
      </c>
      <c r="BD244" s="374">
        <f t="shared" si="392"/>
        <v>99114.762919822184</v>
      </c>
      <c r="BE244" s="374">
        <f t="shared" si="392"/>
        <v>0</v>
      </c>
      <c r="BF244" s="374">
        <f t="shared" si="392"/>
        <v>0</v>
      </c>
      <c r="BG244" s="374">
        <f t="shared" si="392"/>
        <v>0</v>
      </c>
      <c r="BH244" s="374">
        <f t="shared" si="392"/>
        <v>0</v>
      </c>
      <c r="BI244" s="374">
        <f t="shared" si="392"/>
        <v>0</v>
      </c>
      <c r="BJ244" s="374">
        <f t="shared" si="392"/>
        <v>0</v>
      </c>
      <c r="BK244" s="374">
        <f t="shared" si="392"/>
        <v>0</v>
      </c>
      <c r="BL244" s="374">
        <f t="shared" si="392"/>
        <v>0</v>
      </c>
      <c r="BM244" s="374">
        <f t="shared" si="392"/>
        <v>0</v>
      </c>
      <c r="BN244" s="374">
        <f t="shared" si="392"/>
        <v>0</v>
      </c>
      <c r="BO244" s="374">
        <f t="shared" si="392"/>
        <v>0</v>
      </c>
      <c r="BP244" s="374">
        <f t="shared" si="392"/>
        <v>0</v>
      </c>
      <c r="BQ244" s="374">
        <f t="shared" si="392"/>
        <v>0</v>
      </c>
      <c r="BR244" s="374">
        <f t="shared" si="392"/>
        <v>0</v>
      </c>
      <c r="BS244" s="374">
        <f t="shared" si="392"/>
        <v>0</v>
      </c>
      <c r="BT244" s="374">
        <f t="shared" si="392"/>
        <v>0</v>
      </c>
      <c r="BU244" s="374">
        <f t="shared" si="392"/>
        <v>0</v>
      </c>
    </row>
    <row r="245" spans="1:73" x14ac:dyDescent="0.2">
      <c r="A245" s="186"/>
      <c r="B245" s="189"/>
      <c r="C245" s="189"/>
      <c r="D245" s="189"/>
      <c r="E245" s="189"/>
      <c r="F245" s="189"/>
      <c r="G245" s="189"/>
      <c r="H245" s="189"/>
      <c r="I245" s="189"/>
      <c r="J245" s="189"/>
      <c r="K245" s="193"/>
      <c r="L245" s="189"/>
      <c r="M245" s="189"/>
      <c r="N245" s="458"/>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6"/>
      <c r="AL245" s="186"/>
      <c r="AM245" s="186"/>
      <c r="AN245" s="186"/>
      <c r="AO245" s="186"/>
      <c r="AP245" s="186"/>
      <c r="AQ245" s="186"/>
      <c r="AR245" s="186"/>
      <c r="AS245" s="186"/>
      <c r="AT245" s="186"/>
      <c r="AU245" s="186"/>
      <c r="AV245" s="186"/>
      <c r="AW245" s="186"/>
      <c r="AX245" s="186"/>
      <c r="AY245" s="186"/>
      <c r="AZ245" s="186"/>
      <c r="BA245" s="186"/>
      <c r="BB245" s="186"/>
      <c r="BC245" s="186"/>
      <c r="BD245" s="186"/>
      <c r="BE245" s="186"/>
      <c r="BF245" s="186"/>
      <c r="BG245" s="186"/>
      <c r="BH245" s="186"/>
      <c r="BI245" s="186"/>
      <c r="BJ245" s="186"/>
      <c r="BK245" s="186"/>
      <c r="BL245" s="186"/>
      <c r="BM245" s="186"/>
      <c r="BN245" s="186"/>
      <c r="BO245" s="186"/>
      <c r="BP245" s="186"/>
      <c r="BQ245" s="186"/>
      <c r="BR245" s="186"/>
      <c r="BS245" s="186"/>
      <c r="BT245" s="186"/>
      <c r="BU245" s="186"/>
    </row>
    <row r="246" spans="1:73" x14ac:dyDescent="0.2">
      <c r="A246" s="186"/>
      <c r="B246" s="396" t="s">
        <v>230</v>
      </c>
      <c r="C246" s="186"/>
      <c r="D246" s="186"/>
      <c r="E246" s="186"/>
      <c r="F246" s="186"/>
      <c r="G246" s="186"/>
      <c r="H246" s="186"/>
      <c r="I246" s="186"/>
      <c r="J246" s="186"/>
      <c r="K246" s="367"/>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6"/>
      <c r="AL246" s="186"/>
      <c r="AM246" s="186"/>
      <c r="AN246" s="186"/>
      <c r="AO246" s="186"/>
      <c r="AP246" s="186"/>
      <c r="AQ246" s="186"/>
      <c r="AR246" s="186"/>
      <c r="AS246" s="186"/>
      <c r="AT246" s="186"/>
      <c r="AU246" s="186"/>
      <c r="AV246" s="186"/>
      <c r="AW246" s="186"/>
      <c r="AX246" s="186"/>
      <c r="AY246" s="186"/>
      <c r="AZ246" s="186"/>
      <c r="BA246" s="186"/>
      <c r="BB246" s="186"/>
      <c r="BC246" s="186"/>
      <c r="BD246" s="186"/>
      <c r="BE246" s="186"/>
      <c r="BF246" s="186"/>
      <c r="BG246" s="186"/>
      <c r="BH246" s="186"/>
      <c r="BI246" s="186"/>
      <c r="BJ246" s="186"/>
      <c r="BK246" s="186"/>
      <c r="BL246" s="186"/>
      <c r="BM246" s="186"/>
      <c r="BN246" s="186"/>
      <c r="BO246" s="186"/>
      <c r="BP246" s="186"/>
      <c r="BQ246" s="186"/>
      <c r="BR246" s="186"/>
      <c r="BS246" s="186"/>
      <c r="BT246" s="186"/>
      <c r="BU246" s="186"/>
    </row>
    <row r="247" spans="1:73" x14ac:dyDescent="0.2">
      <c r="A247" s="186"/>
      <c r="B247" s="186"/>
      <c r="C247" s="186" t="s">
        <v>134</v>
      </c>
      <c r="D247" s="186"/>
      <c r="E247" s="186"/>
      <c r="F247" s="186"/>
      <c r="G247" s="186"/>
      <c r="H247" s="186"/>
      <c r="I247" s="186"/>
      <c r="J247" s="186"/>
      <c r="K247" s="367"/>
      <c r="L247" s="186"/>
      <c r="M247" s="186"/>
      <c r="N247" s="186"/>
      <c r="O247" s="186"/>
      <c r="P247" s="186"/>
      <c r="Q247" s="374"/>
      <c r="R247" s="374">
        <f t="shared" ref="R247:AO247" si="393">+Q251</f>
        <v>0</v>
      </c>
      <c r="S247" s="374">
        <f t="shared" si="393"/>
        <v>20000</v>
      </c>
      <c r="T247" s="374">
        <f t="shared" si="393"/>
        <v>20000</v>
      </c>
      <c r="U247" s="374">
        <f t="shared" si="393"/>
        <v>20000</v>
      </c>
      <c r="V247" s="374">
        <f t="shared" si="393"/>
        <v>9878.1060939583367</v>
      </c>
      <c r="W247" s="374">
        <f t="shared" si="393"/>
        <v>12616.097558921861</v>
      </c>
      <c r="X247" s="374">
        <f t="shared" si="393"/>
        <v>15653.182921797337</v>
      </c>
      <c r="Y247" s="374">
        <f t="shared" si="393"/>
        <v>18496.88491650908</v>
      </c>
      <c r="Z247" s="374">
        <f t="shared" si="393"/>
        <v>20565.408951782316</v>
      </c>
      <c r="AA247" s="374">
        <f t="shared" si="393"/>
        <v>21159.016610952393</v>
      </c>
      <c r="AB247" s="374">
        <f t="shared" si="393"/>
        <v>19423.781875152086</v>
      </c>
      <c r="AC247" s="374">
        <f t="shared" si="393"/>
        <v>18196.305968984969</v>
      </c>
      <c r="AD247" s="374">
        <f t="shared" si="393"/>
        <v>18052.281591187533</v>
      </c>
      <c r="AE247" s="374">
        <f t="shared" si="393"/>
        <v>19739.893757320926</v>
      </c>
      <c r="AF247" s="374">
        <f t="shared" si="393"/>
        <v>24243.865008533932</v>
      </c>
      <c r="AG247" s="374">
        <f t="shared" si="393"/>
        <v>32872.075977334389</v>
      </c>
      <c r="AH247" s="374">
        <f t="shared" si="393"/>
        <v>41973.934033036086</v>
      </c>
      <c r="AI247" s="374">
        <f t="shared" si="393"/>
        <v>49094.509709044716</v>
      </c>
      <c r="AJ247" s="374">
        <f t="shared" si="393"/>
        <v>51752.984463308487</v>
      </c>
      <c r="AK247" s="374">
        <f t="shared" si="393"/>
        <v>47159.463581367825</v>
      </c>
      <c r="AL247" s="374">
        <f t="shared" si="393"/>
        <v>31919.541379036604</v>
      </c>
      <c r="AM247" s="374">
        <f t="shared" si="393"/>
        <v>21991.531697785067</v>
      </c>
      <c r="AN247" s="374">
        <f t="shared" si="393"/>
        <v>16325.518905281609</v>
      </c>
      <c r="AO247" s="374">
        <f t="shared" si="393"/>
        <v>14470.359891956416</v>
      </c>
      <c r="AP247" s="374">
        <f t="shared" ref="AP247:BU247" si="394">+AO251</f>
        <v>16481.184737764808</v>
      </c>
      <c r="AQ247" s="374">
        <f t="shared" si="394"/>
        <v>22896.100451764207</v>
      </c>
      <c r="AR247" s="374">
        <f t="shared" si="394"/>
        <v>30665.730209618927</v>
      </c>
      <c r="AS247" s="374">
        <f t="shared" si="394"/>
        <v>38813.995251982633</v>
      </c>
      <c r="AT247" s="374">
        <f t="shared" si="394"/>
        <v>46010.550278753377</v>
      </c>
      <c r="AU247" s="374">
        <f t="shared" si="394"/>
        <v>50432.455875650994</v>
      </c>
      <c r="AV247" s="374">
        <f t="shared" si="394"/>
        <v>49572.017634016469</v>
      </c>
      <c r="AW247" s="374">
        <f t="shared" si="394"/>
        <v>49078.557792993728</v>
      </c>
      <c r="AX247" s="374">
        <f t="shared" si="394"/>
        <v>49457.653113859822</v>
      </c>
      <c r="AY247" s="374">
        <f t="shared" si="394"/>
        <v>51267.429626476769</v>
      </c>
      <c r="AZ247" s="374">
        <f t="shared" si="394"/>
        <v>55124.977731993538</v>
      </c>
      <c r="BA247" s="374">
        <f t="shared" si="394"/>
        <v>61713.531747568784</v>
      </c>
      <c r="BB247" s="374">
        <f t="shared" si="394"/>
        <v>69167.390896627199</v>
      </c>
      <c r="BC247" s="374">
        <f t="shared" si="394"/>
        <v>77704.401350689863</v>
      </c>
      <c r="BD247" s="374">
        <f t="shared" si="394"/>
        <v>87584.085926721658</v>
      </c>
      <c r="BE247" s="374">
        <f t="shared" si="394"/>
        <v>99114.762919822184</v>
      </c>
      <c r="BF247" s="374">
        <f t="shared" si="394"/>
        <v>0</v>
      </c>
      <c r="BG247" s="374">
        <f t="shared" si="394"/>
        <v>0</v>
      </c>
      <c r="BH247" s="374">
        <f t="shared" si="394"/>
        <v>0</v>
      </c>
      <c r="BI247" s="374">
        <f t="shared" si="394"/>
        <v>0</v>
      </c>
      <c r="BJ247" s="374">
        <f t="shared" si="394"/>
        <v>0</v>
      </c>
      <c r="BK247" s="374">
        <f t="shared" si="394"/>
        <v>0</v>
      </c>
      <c r="BL247" s="374">
        <f t="shared" si="394"/>
        <v>0</v>
      </c>
      <c r="BM247" s="374">
        <f t="shared" si="394"/>
        <v>0</v>
      </c>
      <c r="BN247" s="374">
        <f t="shared" si="394"/>
        <v>0</v>
      </c>
      <c r="BO247" s="374">
        <f t="shared" si="394"/>
        <v>0</v>
      </c>
      <c r="BP247" s="374">
        <f t="shared" si="394"/>
        <v>0</v>
      </c>
      <c r="BQ247" s="374">
        <f t="shared" si="394"/>
        <v>0</v>
      </c>
      <c r="BR247" s="374">
        <f t="shared" si="394"/>
        <v>0</v>
      </c>
      <c r="BS247" s="374">
        <f t="shared" si="394"/>
        <v>0</v>
      </c>
      <c r="BT247" s="374">
        <f t="shared" si="394"/>
        <v>0</v>
      </c>
      <c r="BU247" s="374">
        <f t="shared" si="394"/>
        <v>0</v>
      </c>
    </row>
    <row r="248" spans="1:73" x14ac:dyDescent="0.2">
      <c r="A248" s="186"/>
      <c r="B248" s="186"/>
      <c r="C248" s="186" t="s">
        <v>231</v>
      </c>
      <c r="D248" s="186"/>
      <c r="E248" s="186"/>
      <c r="F248" s="186"/>
      <c r="G248" s="186"/>
      <c r="H248" s="186"/>
      <c r="I248" s="186"/>
      <c r="J248" s="186"/>
      <c r="K248" s="367" t="s">
        <v>63</v>
      </c>
      <c r="L248" s="186"/>
      <c r="M248" s="186"/>
      <c r="N248" s="374">
        <f>+R251</f>
        <v>20000</v>
      </c>
      <c r="O248" s="186"/>
      <c r="P248" s="186"/>
      <c r="Q248" s="374"/>
      <c r="R248" s="374"/>
      <c r="S248" s="374"/>
      <c r="T248" s="374"/>
      <c r="U248" s="374"/>
      <c r="V248" s="374"/>
      <c r="W248" s="374"/>
      <c r="X248" s="374"/>
      <c r="Y248" s="374"/>
      <c r="Z248" s="374"/>
      <c r="AA248" s="374"/>
      <c r="AB248" s="374"/>
      <c r="AC248" s="374"/>
      <c r="AD248" s="374"/>
      <c r="AE248" s="374"/>
      <c r="AF248" s="374"/>
      <c r="AG248" s="374"/>
      <c r="AH248" s="374"/>
      <c r="AI248" s="374"/>
      <c r="AJ248" s="374"/>
      <c r="AK248" s="374"/>
      <c r="AL248" s="374"/>
      <c r="AM248" s="374"/>
      <c r="AN248" s="374"/>
      <c r="AO248" s="374"/>
      <c r="AP248" s="374"/>
      <c r="AQ248" s="374"/>
      <c r="AR248" s="374"/>
      <c r="AS248" s="374"/>
      <c r="AT248" s="374"/>
      <c r="AU248" s="374"/>
      <c r="AV248" s="374"/>
      <c r="AW248" s="374"/>
      <c r="AX248" s="374"/>
      <c r="AY248" s="374"/>
      <c r="AZ248" s="374"/>
      <c r="BA248" s="374"/>
      <c r="BB248" s="374"/>
      <c r="BC248" s="374"/>
      <c r="BD248" s="374"/>
      <c r="BE248" s="374"/>
      <c r="BF248" s="374"/>
      <c r="BG248" s="374"/>
      <c r="BH248" s="374"/>
      <c r="BI248" s="374"/>
      <c r="BJ248" s="374"/>
      <c r="BK248" s="374"/>
      <c r="BL248" s="374"/>
      <c r="BM248" s="374"/>
      <c r="BN248" s="374"/>
      <c r="BO248" s="374"/>
      <c r="BP248" s="374"/>
      <c r="BQ248" s="374"/>
      <c r="BR248" s="374"/>
      <c r="BS248" s="374"/>
      <c r="BT248" s="374"/>
      <c r="BU248" s="374"/>
    </row>
    <row r="249" spans="1:73" x14ac:dyDescent="0.2">
      <c r="A249" s="186"/>
      <c r="B249" s="186"/>
      <c r="C249" s="186" t="s">
        <v>232</v>
      </c>
      <c r="D249" s="186"/>
      <c r="E249" s="186"/>
      <c r="F249" s="186"/>
      <c r="G249" s="186"/>
      <c r="H249" s="186"/>
      <c r="I249" s="186"/>
      <c r="J249" s="186"/>
      <c r="K249" s="367" t="s">
        <v>63</v>
      </c>
      <c r="L249" s="186"/>
      <c r="M249" s="186"/>
      <c r="N249" s="374">
        <f>SUM(Q249:BU249)</f>
        <v>130979.91449963803</v>
      </c>
      <c r="O249" s="186"/>
      <c r="P249" s="186"/>
      <c r="Q249" s="374"/>
      <c r="R249" s="374">
        <f t="shared" ref="R249:AV249" si="395">IF(R234=1,0,MAX(0,MIN(R240,R241-R247))*R231*(1-R232))</f>
        <v>0</v>
      </c>
      <c r="S249" s="374">
        <f t="shared" si="395"/>
        <v>0</v>
      </c>
      <c r="T249" s="374">
        <f t="shared" si="395"/>
        <v>0</v>
      </c>
      <c r="U249" s="374">
        <f t="shared" si="395"/>
        <v>0</v>
      </c>
      <c r="V249" s="374">
        <f t="shared" si="395"/>
        <v>2737.9914649635248</v>
      </c>
      <c r="W249" s="374">
        <f t="shared" si="395"/>
        <v>3037.0853628754758</v>
      </c>
      <c r="X249" s="374">
        <f t="shared" si="395"/>
        <v>2843.7019947117424</v>
      </c>
      <c r="Y249" s="374">
        <f t="shared" si="395"/>
        <v>2068.5240352732362</v>
      </c>
      <c r="Z249" s="374">
        <f t="shared" si="395"/>
        <v>593.60765917007666</v>
      </c>
      <c r="AA249" s="374">
        <f t="shared" si="395"/>
        <v>0</v>
      </c>
      <c r="AB249" s="374">
        <f t="shared" si="395"/>
        <v>0</v>
      </c>
      <c r="AC249" s="374">
        <f t="shared" si="395"/>
        <v>0</v>
      </c>
      <c r="AD249" s="374">
        <f t="shared" si="395"/>
        <v>1687.6121661333927</v>
      </c>
      <c r="AE249" s="374">
        <f t="shared" si="395"/>
        <v>4503.9712512130063</v>
      </c>
      <c r="AF249" s="374">
        <f t="shared" si="395"/>
        <v>8628.2109688004566</v>
      </c>
      <c r="AG249" s="374">
        <f t="shared" si="395"/>
        <v>9101.8580557016976</v>
      </c>
      <c r="AH249" s="374">
        <f t="shared" si="395"/>
        <v>7120.5756760086297</v>
      </c>
      <c r="AI249" s="374">
        <f t="shared" si="395"/>
        <v>2658.4747542637706</v>
      </c>
      <c r="AJ249" s="374">
        <f t="shared" si="395"/>
        <v>0</v>
      </c>
      <c r="AK249" s="374">
        <f t="shared" si="395"/>
        <v>0</v>
      </c>
      <c r="AL249" s="374">
        <f t="shared" si="395"/>
        <v>0</v>
      </c>
      <c r="AM249" s="374">
        <f t="shared" si="395"/>
        <v>0</v>
      </c>
      <c r="AN249" s="374">
        <f t="shared" si="395"/>
        <v>0</v>
      </c>
      <c r="AO249" s="374">
        <f t="shared" si="395"/>
        <v>2010.8248458083926</v>
      </c>
      <c r="AP249" s="374">
        <f t="shared" si="395"/>
        <v>6414.9157139993986</v>
      </c>
      <c r="AQ249" s="374">
        <f t="shared" si="395"/>
        <v>7769.6297578547201</v>
      </c>
      <c r="AR249" s="374">
        <f t="shared" si="395"/>
        <v>8148.265042363706</v>
      </c>
      <c r="AS249" s="374">
        <f t="shared" si="395"/>
        <v>7196.555026770744</v>
      </c>
      <c r="AT249" s="374">
        <f t="shared" si="395"/>
        <v>4421.9055968976172</v>
      </c>
      <c r="AU249" s="374">
        <f t="shared" si="395"/>
        <v>0</v>
      </c>
      <c r="AV249" s="374">
        <f t="shared" si="395"/>
        <v>0</v>
      </c>
      <c r="AW249" s="374">
        <f t="shared" ref="AW249:BU249" si="396">IF(AW234=1,0,MAX(0,MIN(AW240,AW241-AW247))*AW231*(1-AW232))</f>
        <v>379.09532086609397</v>
      </c>
      <c r="AX249" s="374">
        <f t="shared" si="396"/>
        <v>1809.776512616947</v>
      </c>
      <c r="AY249" s="374">
        <f t="shared" si="396"/>
        <v>3857.5481055167693</v>
      </c>
      <c r="AZ249" s="374">
        <f t="shared" si="396"/>
        <v>6588.554015575246</v>
      </c>
      <c r="BA249" s="374">
        <f t="shared" si="396"/>
        <v>7453.8591490584149</v>
      </c>
      <c r="BB249" s="374">
        <f t="shared" si="396"/>
        <v>8537.0104540626635</v>
      </c>
      <c r="BC249" s="374">
        <f t="shared" si="396"/>
        <v>9879.6845760317956</v>
      </c>
      <c r="BD249" s="374">
        <f t="shared" si="396"/>
        <v>11530.676993100526</v>
      </c>
      <c r="BE249" s="374">
        <f t="shared" si="396"/>
        <v>0</v>
      </c>
      <c r="BF249" s="374">
        <f t="shared" si="396"/>
        <v>0</v>
      </c>
      <c r="BG249" s="374">
        <f t="shared" si="396"/>
        <v>0</v>
      </c>
      <c r="BH249" s="374">
        <f t="shared" si="396"/>
        <v>0</v>
      </c>
      <c r="BI249" s="374">
        <f t="shared" si="396"/>
        <v>0</v>
      </c>
      <c r="BJ249" s="374">
        <f t="shared" si="396"/>
        <v>0</v>
      </c>
      <c r="BK249" s="374">
        <f t="shared" si="396"/>
        <v>0</v>
      </c>
      <c r="BL249" s="374">
        <f t="shared" si="396"/>
        <v>0</v>
      </c>
      <c r="BM249" s="374">
        <f t="shared" si="396"/>
        <v>0</v>
      </c>
      <c r="BN249" s="374">
        <f t="shared" si="396"/>
        <v>0</v>
      </c>
      <c r="BO249" s="374">
        <f t="shared" si="396"/>
        <v>0</v>
      </c>
      <c r="BP249" s="374">
        <f t="shared" si="396"/>
        <v>0</v>
      </c>
      <c r="BQ249" s="374">
        <f t="shared" si="396"/>
        <v>0</v>
      </c>
      <c r="BR249" s="374">
        <f t="shared" si="396"/>
        <v>0</v>
      </c>
      <c r="BS249" s="374">
        <f t="shared" si="396"/>
        <v>0</v>
      </c>
      <c r="BT249" s="374">
        <f t="shared" si="396"/>
        <v>0</v>
      </c>
      <c r="BU249" s="374">
        <f t="shared" si="396"/>
        <v>0</v>
      </c>
    </row>
    <row r="250" spans="1:73" ht="13.5" thickBot="1" x14ac:dyDescent="0.25">
      <c r="A250" s="186"/>
      <c r="B250" s="186"/>
      <c r="C250" s="383" t="s">
        <v>233</v>
      </c>
      <c r="D250" s="383"/>
      <c r="E250" s="383"/>
      <c r="F250" s="383"/>
      <c r="G250" s="383"/>
      <c r="H250" s="383"/>
      <c r="I250" s="383"/>
      <c r="J250" s="383"/>
      <c r="K250" s="617" t="s">
        <v>63</v>
      </c>
      <c r="L250" s="383"/>
      <c r="M250" s="383"/>
      <c r="N250" s="384">
        <f>SUM(Q250:BU250)</f>
        <v>-150979.91449963805</v>
      </c>
      <c r="O250" s="383"/>
      <c r="P250" s="383"/>
      <c r="Q250" s="459"/>
      <c r="R250" s="459">
        <f t="shared" ref="R250:AV250" si="397">-((SUM(R247:R249) - R241) * (1-R234))</f>
        <v>0</v>
      </c>
      <c r="S250" s="459">
        <f t="shared" si="397"/>
        <v>0</v>
      </c>
      <c r="T250" s="459">
        <f t="shared" si="397"/>
        <v>0</v>
      </c>
      <c r="U250" s="459">
        <f t="shared" si="397"/>
        <v>-10121.893906041663</v>
      </c>
      <c r="V250" s="459">
        <f t="shared" si="397"/>
        <v>0</v>
      </c>
      <c r="W250" s="459">
        <f t="shared" si="397"/>
        <v>0</v>
      </c>
      <c r="X250" s="459">
        <f t="shared" si="397"/>
        <v>0</v>
      </c>
      <c r="Y250" s="459">
        <f t="shared" si="397"/>
        <v>0</v>
      </c>
      <c r="Z250" s="459">
        <f t="shared" si="397"/>
        <v>0</v>
      </c>
      <c r="AA250" s="459">
        <f t="shared" si="397"/>
        <v>-1735.2347358003062</v>
      </c>
      <c r="AB250" s="459">
        <f t="shared" si="397"/>
        <v>-1227.4759061671175</v>
      </c>
      <c r="AC250" s="459">
        <f t="shared" si="397"/>
        <v>-144.02437779743559</v>
      </c>
      <c r="AD250" s="459">
        <f t="shared" si="397"/>
        <v>0</v>
      </c>
      <c r="AE250" s="459">
        <f t="shared" si="397"/>
        <v>0</v>
      </c>
      <c r="AF250" s="459">
        <f t="shared" si="397"/>
        <v>0</v>
      </c>
      <c r="AG250" s="459">
        <f t="shared" si="397"/>
        <v>0</v>
      </c>
      <c r="AH250" s="459">
        <f t="shared" si="397"/>
        <v>0</v>
      </c>
      <c r="AI250" s="459">
        <f t="shared" si="397"/>
        <v>0</v>
      </c>
      <c r="AJ250" s="459">
        <f t="shared" si="397"/>
        <v>-4593.5208819406616</v>
      </c>
      <c r="AK250" s="459">
        <f t="shared" si="397"/>
        <v>-15239.922202331221</v>
      </c>
      <c r="AL250" s="459">
        <f t="shared" si="397"/>
        <v>-9928.0096812515367</v>
      </c>
      <c r="AM250" s="459">
        <f t="shared" si="397"/>
        <v>-5666.0127925034576</v>
      </c>
      <c r="AN250" s="459">
        <f t="shared" si="397"/>
        <v>-1855.1590133251939</v>
      </c>
      <c r="AO250" s="459">
        <f t="shared" si="397"/>
        <v>0</v>
      </c>
      <c r="AP250" s="459">
        <f t="shared" si="397"/>
        <v>0</v>
      </c>
      <c r="AQ250" s="459">
        <f t="shared" si="397"/>
        <v>0</v>
      </c>
      <c r="AR250" s="459">
        <f t="shared" si="397"/>
        <v>0</v>
      </c>
      <c r="AS250" s="459">
        <f t="shared" si="397"/>
        <v>0</v>
      </c>
      <c r="AT250" s="459">
        <f t="shared" si="397"/>
        <v>0</v>
      </c>
      <c r="AU250" s="459">
        <f t="shared" si="397"/>
        <v>-860.43824163452518</v>
      </c>
      <c r="AV250" s="459">
        <f t="shared" si="397"/>
        <v>-493.45984102274087</v>
      </c>
      <c r="AW250" s="459">
        <f t="shared" ref="AW250:BU250" si="398">-((SUM(AW247:AW249) - AW241) * (1-AW234))</f>
        <v>0</v>
      </c>
      <c r="AX250" s="459">
        <f t="shared" si="398"/>
        <v>0</v>
      </c>
      <c r="AY250" s="459">
        <f t="shared" si="398"/>
        <v>0</v>
      </c>
      <c r="AZ250" s="459">
        <f t="shared" si="398"/>
        <v>0</v>
      </c>
      <c r="BA250" s="459">
        <f t="shared" si="398"/>
        <v>0</v>
      </c>
      <c r="BB250" s="459">
        <f t="shared" si="398"/>
        <v>0</v>
      </c>
      <c r="BC250" s="459">
        <f t="shared" si="398"/>
        <v>0</v>
      </c>
      <c r="BD250" s="459">
        <f t="shared" si="398"/>
        <v>0</v>
      </c>
      <c r="BE250" s="459">
        <f t="shared" si="398"/>
        <v>-99114.762919822184</v>
      </c>
      <c r="BF250" s="459">
        <f t="shared" si="398"/>
        <v>0</v>
      </c>
      <c r="BG250" s="459">
        <f t="shared" si="398"/>
        <v>0</v>
      </c>
      <c r="BH250" s="459">
        <f t="shared" si="398"/>
        <v>0</v>
      </c>
      <c r="BI250" s="459">
        <f t="shared" si="398"/>
        <v>0</v>
      </c>
      <c r="BJ250" s="459">
        <f t="shared" si="398"/>
        <v>0</v>
      </c>
      <c r="BK250" s="459">
        <f t="shared" si="398"/>
        <v>0</v>
      </c>
      <c r="BL250" s="459">
        <f t="shared" si="398"/>
        <v>0</v>
      </c>
      <c r="BM250" s="459">
        <f t="shared" si="398"/>
        <v>0</v>
      </c>
      <c r="BN250" s="459">
        <f t="shared" si="398"/>
        <v>0</v>
      </c>
      <c r="BO250" s="459">
        <f t="shared" si="398"/>
        <v>0</v>
      </c>
      <c r="BP250" s="459">
        <f t="shared" si="398"/>
        <v>0</v>
      </c>
      <c r="BQ250" s="459">
        <f t="shared" si="398"/>
        <v>0</v>
      </c>
      <c r="BR250" s="459">
        <f t="shared" si="398"/>
        <v>0</v>
      </c>
      <c r="BS250" s="459">
        <f t="shared" si="398"/>
        <v>0</v>
      </c>
      <c r="BT250" s="459">
        <f t="shared" si="398"/>
        <v>0</v>
      </c>
      <c r="BU250" s="459">
        <f t="shared" si="398"/>
        <v>0</v>
      </c>
    </row>
    <row r="251" spans="1:73" ht="13.5" thickBot="1" x14ac:dyDescent="0.25">
      <c r="A251" s="186"/>
      <c r="B251" s="186"/>
      <c r="C251" s="186" t="s">
        <v>138</v>
      </c>
      <c r="D251" s="186"/>
      <c r="E251" s="186"/>
      <c r="F251" s="186"/>
      <c r="G251" s="186"/>
      <c r="H251" s="186"/>
      <c r="I251" s="186"/>
      <c r="J251" s="186"/>
      <c r="K251" s="367" t="s">
        <v>63</v>
      </c>
      <c r="L251" s="186"/>
      <c r="M251" s="186"/>
      <c r="N251" s="385">
        <f>IF(ROUND(SUM(N248:N250),2) = 0,0,1)</f>
        <v>0</v>
      </c>
      <c r="O251" s="186"/>
      <c r="P251" s="186"/>
      <c r="Q251" s="373"/>
      <c r="R251" s="373">
        <f>+Inputs!$L$215</f>
        <v>20000</v>
      </c>
      <c r="S251" s="374">
        <f t="shared" ref="S251:AO251" si="399">SUM(S247:S250)</f>
        <v>20000</v>
      </c>
      <c r="T251" s="374">
        <f t="shared" si="399"/>
        <v>20000</v>
      </c>
      <c r="U251" s="374">
        <f t="shared" si="399"/>
        <v>9878.1060939583367</v>
      </c>
      <c r="V251" s="374">
        <f t="shared" si="399"/>
        <v>12616.097558921861</v>
      </c>
      <c r="W251" s="374">
        <f t="shared" si="399"/>
        <v>15653.182921797337</v>
      </c>
      <c r="X251" s="374">
        <f t="shared" si="399"/>
        <v>18496.88491650908</v>
      </c>
      <c r="Y251" s="374">
        <f t="shared" si="399"/>
        <v>20565.408951782316</v>
      </c>
      <c r="Z251" s="374">
        <f t="shared" si="399"/>
        <v>21159.016610952393</v>
      </c>
      <c r="AA251" s="374">
        <f t="shared" si="399"/>
        <v>19423.781875152086</v>
      </c>
      <c r="AB251" s="374">
        <f t="shared" si="399"/>
        <v>18196.305968984969</v>
      </c>
      <c r="AC251" s="374">
        <f t="shared" si="399"/>
        <v>18052.281591187533</v>
      </c>
      <c r="AD251" s="374">
        <f t="shared" si="399"/>
        <v>19739.893757320926</v>
      </c>
      <c r="AE251" s="374">
        <f t="shared" si="399"/>
        <v>24243.865008533932</v>
      </c>
      <c r="AF251" s="374">
        <f t="shared" si="399"/>
        <v>32872.075977334389</v>
      </c>
      <c r="AG251" s="374">
        <f t="shared" si="399"/>
        <v>41973.934033036086</v>
      </c>
      <c r="AH251" s="374">
        <f t="shared" si="399"/>
        <v>49094.509709044716</v>
      </c>
      <c r="AI251" s="374">
        <f t="shared" si="399"/>
        <v>51752.984463308487</v>
      </c>
      <c r="AJ251" s="374">
        <f t="shared" si="399"/>
        <v>47159.463581367825</v>
      </c>
      <c r="AK251" s="374">
        <f t="shared" si="399"/>
        <v>31919.541379036604</v>
      </c>
      <c r="AL251" s="374">
        <f t="shared" si="399"/>
        <v>21991.531697785067</v>
      </c>
      <c r="AM251" s="374">
        <f t="shared" si="399"/>
        <v>16325.518905281609</v>
      </c>
      <c r="AN251" s="374">
        <f t="shared" si="399"/>
        <v>14470.359891956416</v>
      </c>
      <c r="AO251" s="374">
        <f t="shared" si="399"/>
        <v>16481.184737764808</v>
      </c>
      <c r="AP251" s="374">
        <f t="shared" ref="AP251:BR251" si="400">SUM(AP247:AP250)</f>
        <v>22896.100451764207</v>
      </c>
      <c r="AQ251" s="374">
        <f t="shared" si="400"/>
        <v>30665.730209618927</v>
      </c>
      <c r="AR251" s="374">
        <f t="shared" si="400"/>
        <v>38813.995251982633</v>
      </c>
      <c r="AS251" s="374">
        <f t="shared" si="400"/>
        <v>46010.550278753377</v>
      </c>
      <c r="AT251" s="374">
        <f t="shared" si="400"/>
        <v>50432.455875650994</v>
      </c>
      <c r="AU251" s="374">
        <f t="shared" si="400"/>
        <v>49572.017634016469</v>
      </c>
      <c r="AV251" s="374">
        <f t="shared" si="400"/>
        <v>49078.557792993728</v>
      </c>
      <c r="AW251" s="374">
        <f t="shared" si="400"/>
        <v>49457.653113859822</v>
      </c>
      <c r="AX251" s="374">
        <f t="shared" si="400"/>
        <v>51267.429626476769</v>
      </c>
      <c r="AY251" s="374">
        <f t="shared" si="400"/>
        <v>55124.977731993538</v>
      </c>
      <c r="AZ251" s="374">
        <f t="shared" si="400"/>
        <v>61713.531747568784</v>
      </c>
      <c r="BA251" s="374">
        <f t="shared" si="400"/>
        <v>69167.390896627199</v>
      </c>
      <c r="BB251" s="374">
        <f t="shared" si="400"/>
        <v>77704.401350689863</v>
      </c>
      <c r="BC251" s="374">
        <f t="shared" si="400"/>
        <v>87584.085926721658</v>
      </c>
      <c r="BD251" s="374">
        <f t="shared" si="400"/>
        <v>99114.762919822184</v>
      </c>
      <c r="BE251" s="374">
        <f t="shared" si="400"/>
        <v>0</v>
      </c>
      <c r="BF251" s="374">
        <f t="shared" si="400"/>
        <v>0</v>
      </c>
      <c r="BG251" s="374">
        <f t="shared" si="400"/>
        <v>0</v>
      </c>
      <c r="BH251" s="374">
        <f t="shared" si="400"/>
        <v>0</v>
      </c>
      <c r="BI251" s="374">
        <f t="shared" si="400"/>
        <v>0</v>
      </c>
      <c r="BJ251" s="374">
        <f t="shared" si="400"/>
        <v>0</v>
      </c>
      <c r="BK251" s="374">
        <f t="shared" si="400"/>
        <v>0</v>
      </c>
      <c r="BL251" s="374">
        <f t="shared" si="400"/>
        <v>0</v>
      </c>
      <c r="BM251" s="374">
        <f t="shared" si="400"/>
        <v>0</v>
      </c>
      <c r="BN251" s="374">
        <f t="shared" si="400"/>
        <v>0</v>
      </c>
      <c r="BO251" s="374">
        <f t="shared" si="400"/>
        <v>0</v>
      </c>
      <c r="BP251" s="374">
        <f t="shared" si="400"/>
        <v>0</v>
      </c>
      <c r="BQ251" s="374">
        <f t="shared" si="400"/>
        <v>0</v>
      </c>
      <c r="BR251" s="374">
        <f t="shared" si="400"/>
        <v>0</v>
      </c>
      <c r="BS251" s="374">
        <f t="shared" ref="BS251:BU251" si="401">SUM(BS247:BS250)</f>
        <v>0</v>
      </c>
      <c r="BT251" s="374">
        <f t="shared" si="401"/>
        <v>0</v>
      </c>
      <c r="BU251" s="374">
        <f t="shared" si="401"/>
        <v>0</v>
      </c>
    </row>
    <row r="252" spans="1:73" x14ac:dyDescent="0.2">
      <c r="A252" s="186"/>
      <c r="B252" s="186"/>
      <c r="C252" s="186"/>
      <c r="D252" s="186"/>
      <c r="E252" s="186"/>
      <c r="F252" s="186"/>
      <c r="G252" s="186"/>
      <c r="H252" s="186"/>
      <c r="I252" s="186"/>
      <c r="J252" s="186"/>
      <c r="K252" s="367"/>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c r="BU252" s="186"/>
    </row>
    <row r="253" spans="1:73" ht="15.75" x14ac:dyDescent="0.25">
      <c r="A253" s="186"/>
      <c r="B253" s="186"/>
      <c r="C253" s="456" t="s">
        <v>234</v>
      </c>
      <c r="D253" s="220"/>
      <c r="E253" s="220"/>
      <c r="F253" s="220"/>
      <c r="G253" s="220"/>
      <c r="H253" s="186"/>
      <c r="I253" s="186"/>
      <c r="J253" s="186"/>
      <c r="K253" s="367"/>
      <c r="L253" s="398"/>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186"/>
      <c r="BH253" s="186"/>
      <c r="BI253" s="186"/>
      <c r="BJ253" s="186"/>
      <c r="BK253" s="186"/>
      <c r="BL253" s="186"/>
      <c r="BM253" s="186"/>
      <c r="BN253" s="186"/>
      <c r="BO253" s="186"/>
      <c r="BP253" s="186"/>
      <c r="BQ253" s="186"/>
      <c r="BR253" s="186"/>
      <c r="BS253" s="186"/>
      <c r="BT253" s="186"/>
      <c r="BU253" s="186"/>
    </row>
    <row r="254" spans="1:73" ht="15.75" x14ac:dyDescent="0.25">
      <c r="A254" s="186"/>
      <c r="B254" s="186"/>
      <c r="C254" s="456"/>
      <c r="D254" s="186"/>
      <c r="E254" s="186"/>
      <c r="F254" s="186"/>
      <c r="G254" s="186"/>
      <c r="H254" s="186"/>
      <c r="I254" s="186"/>
      <c r="J254" s="186"/>
      <c r="K254" s="367"/>
      <c r="L254" s="398"/>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86"/>
      <c r="AN254" s="186"/>
      <c r="AO254" s="186"/>
      <c r="AP254" s="186"/>
      <c r="AQ254" s="186"/>
      <c r="AR254" s="186"/>
      <c r="AS254" s="186"/>
      <c r="AT254" s="186"/>
      <c r="AU254" s="186"/>
      <c r="AV254" s="186"/>
      <c r="AW254" s="186"/>
      <c r="AX254" s="186"/>
      <c r="AY254" s="186"/>
      <c r="AZ254" s="186"/>
      <c r="BA254" s="186"/>
      <c r="BB254" s="186"/>
      <c r="BC254" s="186"/>
      <c r="BD254" s="186"/>
      <c r="BE254" s="186"/>
      <c r="BF254" s="186"/>
      <c r="BG254" s="186"/>
      <c r="BH254" s="186"/>
      <c r="BI254" s="186"/>
      <c r="BJ254" s="186"/>
      <c r="BK254" s="186"/>
      <c r="BL254" s="186"/>
      <c r="BM254" s="186"/>
      <c r="BN254" s="186"/>
      <c r="BO254" s="186"/>
      <c r="BP254" s="186"/>
      <c r="BQ254" s="186"/>
      <c r="BR254" s="186"/>
      <c r="BS254" s="186"/>
      <c r="BT254" s="186"/>
      <c r="BU254" s="186"/>
    </row>
    <row r="255" spans="1:73" x14ac:dyDescent="0.2">
      <c r="A255" s="186"/>
      <c r="B255" s="186"/>
      <c r="C255" s="186" t="s">
        <v>235</v>
      </c>
      <c r="D255" s="186"/>
      <c r="E255" s="186"/>
      <c r="F255" s="186"/>
      <c r="G255" s="186"/>
      <c r="H255" s="186"/>
      <c r="I255" s="186"/>
      <c r="J255" s="186"/>
      <c r="K255" s="367" t="s">
        <v>51</v>
      </c>
      <c r="L255" s="398"/>
      <c r="M255" s="370">
        <f>M231</f>
        <v>57345</v>
      </c>
      <c r="N255" s="186"/>
      <c r="O255" s="186"/>
      <c r="P255" s="186"/>
      <c r="Q255" s="371"/>
      <c r="R255" s="371">
        <f t="shared" ref="R255:AW255" si="402">IF($M$255&gt;=R9,1,0)</f>
        <v>1</v>
      </c>
      <c r="S255" s="371">
        <f t="shared" si="402"/>
        <v>1</v>
      </c>
      <c r="T255" s="371">
        <f t="shared" si="402"/>
        <v>1</v>
      </c>
      <c r="U255" s="371">
        <f t="shared" si="402"/>
        <v>1</v>
      </c>
      <c r="V255" s="371">
        <f t="shared" si="402"/>
        <v>1</v>
      </c>
      <c r="W255" s="371">
        <f t="shared" si="402"/>
        <v>1</v>
      </c>
      <c r="X255" s="371">
        <f t="shared" si="402"/>
        <v>1</v>
      </c>
      <c r="Y255" s="371">
        <f t="shared" si="402"/>
        <v>1</v>
      </c>
      <c r="Z255" s="371">
        <f t="shared" si="402"/>
        <v>1</v>
      </c>
      <c r="AA255" s="371">
        <f t="shared" si="402"/>
        <v>1</v>
      </c>
      <c r="AB255" s="371">
        <f t="shared" si="402"/>
        <v>1</v>
      </c>
      <c r="AC255" s="371">
        <f t="shared" si="402"/>
        <v>1</v>
      </c>
      <c r="AD255" s="371">
        <f t="shared" si="402"/>
        <v>1</v>
      </c>
      <c r="AE255" s="371">
        <f t="shared" si="402"/>
        <v>1</v>
      </c>
      <c r="AF255" s="371">
        <f t="shared" si="402"/>
        <v>1</v>
      </c>
      <c r="AG255" s="371">
        <f t="shared" si="402"/>
        <v>1</v>
      </c>
      <c r="AH255" s="371">
        <f t="shared" si="402"/>
        <v>1</v>
      </c>
      <c r="AI255" s="371">
        <f t="shared" si="402"/>
        <v>1</v>
      </c>
      <c r="AJ255" s="371">
        <f t="shared" si="402"/>
        <v>1</v>
      </c>
      <c r="AK255" s="371">
        <f t="shared" si="402"/>
        <v>1</v>
      </c>
      <c r="AL255" s="371">
        <f t="shared" si="402"/>
        <v>1</v>
      </c>
      <c r="AM255" s="371">
        <f t="shared" si="402"/>
        <v>1</v>
      </c>
      <c r="AN255" s="371">
        <f t="shared" si="402"/>
        <v>1</v>
      </c>
      <c r="AO255" s="371">
        <f t="shared" si="402"/>
        <v>1</v>
      </c>
      <c r="AP255" s="371">
        <f t="shared" si="402"/>
        <v>1</v>
      </c>
      <c r="AQ255" s="371">
        <f t="shared" si="402"/>
        <v>1</v>
      </c>
      <c r="AR255" s="371">
        <f t="shared" si="402"/>
        <v>1</v>
      </c>
      <c r="AS255" s="371">
        <f t="shared" si="402"/>
        <v>1</v>
      </c>
      <c r="AT255" s="371">
        <f t="shared" si="402"/>
        <v>1</v>
      </c>
      <c r="AU255" s="371">
        <f t="shared" si="402"/>
        <v>1</v>
      </c>
      <c r="AV255" s="371">
        <f t="shared" si="402"/>
        <v>1</v>
      </c>
      <c r="AW255" s="371">
        <f t="shared" si="402"/>
        <v>1</v>
      </c>
      <c r="AX255" s="371">
        <f t="shared" ref="AX255:BU255" si="403">IF($M$255&gt;=AX9,1,0)</f>
        <v>1</v>
      </c>
      <c r="AY255" s="371">
        <f t="shared" si="403"/>
        <v>1</v>
      </c>
      <c r="AZ255" s="371">
        <f t="shared" si="403"/>
        <v>1</v>
      </c>
      <c r="BA255" s="371">
        <f t="shared" si="403"/>
        <v>1</v>
      </c>
      <c r="BB255" s="371">
        <f t="shared" si="403"/>
        <v>1</v>
      </c>
      <c r="BC255" s="371">
        <f t="shared" si="403"/>
        <v>1</v>
      </c>
      <c r="BD255" s="371">
        <f t="shared" si="403"/>
        <v>1</v>
      </c>
      <c r="BE255" s="371">
        <f t="shared" si="403"/>
        <v>1</v>
      </c>
      <c r="BF255" s="371">
        <f t="shared" si="403"/>
        <v>0</v>
      </c>
      <c r="BG255" s="371">
        <f t="shared" si="403"/>
        <v>0</v>
      </c>
      <c r="BH255" s="371">
        <f t="shared" si="403"/>
        <v>0</v>
      </c>
      <c r="BI255" s="371">
        <f t="shared" si="403"/>
        <v>0</v>
      </c>
      <c r="BJ255" s="371">
        <f t="shared" si="403"/>
        <v>0</v>
      </c>
      <c r="BK255" s="371">
        <f t="shared" si="403"/>
        <v>0</v>
      </c>
      <c r="BL255" s="371">
        <f t="shared" si="403"/>
        <v>0</v>
      </c>
      <c r="BM255" s="371">
        <f t="shared" si="403"/>
        <v>0</v>
      </c>
      <c r="BN255" s="371">
        <f t="shared" si="403"/>
        <v>0</v>
      </c>
      <c r="BO255" s="371">
        <f t="shared" si="403"/>
        <v>0</v>
      </c>
      <c r="BP255" s="371">
        <f t="shared" si="403"/>
        <v>0</v>
      </c>
      <c r="BQ255" s="371">
        <f t="shared" si="403"/>
        <v>0</v>
      </c>
      <c r="BR255" s="371">
        <f t="shared" si="403"/>
        <v>0</v>
      </c>
      <c r="BS255" s="371">
        <f t="shared" si="403"/>
        <v>0</v>
      </c>
      <c r="BT255" s="371">
        <f t="shared" si="403"/>
        <v>0</v>
      </c>
      <c r="BU255" s="371">
        <f t="shared" si="403"/>
        <v>0</v>
      </c>
    </row>
    <row r="256" spans="1:73" x14ac:dyDescent="0.2">
      <c r="A256" s="186"/>
      <c r="B256" s="186"/>
      <c r="C256" s="186" t="s">
        <v>236</v>
      </c>
      <c r="D256" s="186"/>
      <c r="E256" s="186"/>
      <c r="F256" s="186"/>
      <c r="G256" s="186"/>
      <c r="H256" s="186"/>
      <c r="I256" s="186"/>
      <c r="J256" s="186"/>
      <c r="K256" s="367" t="s">
        <v>51</v>
      </c>
      <c r="L256" s="398"/>
      <c r="M256" s="370">
        <f>M232</f>
        <v>57345</v>
      </c>
      <c r="N256" s="186"/>
      <c r="O256" s="186"/>
      <c r="P256" s="186"/>
      <c r="Q256" s="371"/>
      <c r="R256" s="371">
        <f t="shared" ref="R256:AW256" si="404">+IF(AND($M$256&gt;R8,$M$256&lt;=R9),1,0)</f>
        <v>0</v>
      </c>
      <c r="S256" s="371">
        <f t="shared" si="404"/>
        <v>0</v>
      </c>
      <c r="T256" s="371">
        <f t="shared" si="404"/>
        <v>0</v>
      </c>
      <c r="U256" s="371">
        <f t="shared" si="404"/>
        <v>0</v>
      </c>
      <c r="V256" s="371">
        <f t="shared" si="404"/>
        <v>0</v>
      </c>
      <c r="W256" s="371">
        <f t="shared" si="404"/>
        <v>0</v>
      </c>
      <c r="X256" s="371">
        <f t="shared" si="404"/>
        <v>0</v>
      </c>
      <c r="Y256" s="371">
        <f t="shared" si="404"/>
        <v>0</v>
      </c>
      <c r="Z256" s="371">
        <f t="shared" si="404"/>
        <v>0</v>
      </c>
      <c r="AA256" s="371">
        <f t="shared" si="404"/>
        <v>0</v>
      </c>
      <c r="AB256" s="371">
        <f t="shared" si="404"/>
        <v>0</v>
      </c>
      <c r="AC256" s="371">
        <f t="shared" si="404"/>
        <v>0</v>
      </c>
      <c r="AD256" s="371">
        <f t="shared" si="404"/>
        <v>0</v>
      </c>
      <c r="AE256" s="371">
        <f t="shared" si="404"/>
        <v>0</v>
      </c>
      <c r="AF256" s="371">
        <f t="shared" si="404"/>
        <v>0</v>
      </c>
      <c r="AG256" s="371">
        <f t="shared" si="404"/>
        <v>0</v>
      </c>
      <c r="AH256" s="371">
        <f t="shared" si="404"/>
        <v>0</v>
      </c>
      <c r="AI256" s="371">
        <f t="shared" si="404"/>
        <v>0</v>
      </c>
      <c r="AJ256" s="371">
        <f t="shared" si="404"/>
        <v>0</v>
      </c>
      <c r="AK256" s="371">
        <f t="shared" si="404"/>
        <v>0</v>
      </c>
      <c r="AL256" s="371">
        <f t="shared" si="404"/>
        <v>0</v>
      </c>
      <c r="AM256" s="371">
        <f t="shared" si="404"/>
        <v>0</v>
      </c>
      <c r="AN256" s="371">
        <f t="shared" si="404"/>
        <v>0</v>
      </c>
      <c r="AO256" s="371">
        <f t="shared" si="404"/>
        <v>0</v>
      </c>
      <c r="AP256" s="371">
        <f t="shared" si="404"/>
        <v>0</v>
      </c>
      <c r="AQ256" s="371">
        <f t="shared" si="404"/>
        <v>0</v>
      </c>
      <c r="AR256" s="371">
        <f t="shared" si="404"/>
        <v>0</v>
      </c>
      <c r="AS256" s="371">
        <f t="shared" si="404"/>
        <v>0</v>
      </c>
      <c r="AT256" s="371">
        <f t="shared" si="404"/>
        <v>0</v>
      </c>
      <c r="AU256" s="371">
        <f t="shared" si="404"/>
        <v>0</v>
      </c>
      <c r="AV256" s="371">
        <f t="shared" si="404"/>
        <v>0</v>
      </c>
      <c r="AW256" s="371">
        <f t="shared" si="404"/>
        <v>0</v>
      </c>
      <c r="AX256" s="371">
        <f t="shared" ref="AX256:BU256" si="405">+IF(AND($M$256&gt;AX8,$M$256&lt;=AX9),1,0)</f>
        <v>0</v>
      </c>
      <c r="AY256" s="371">
        <f t="shared" si="405"/>
        <v>0</v>
      </c>
      <c r="AZ256" s="371">
        <f t="shared" si="405"/>
        <v>0</v>
      </c>
      <c r="BA256" s="371">
        <f t="shared" si="405"/>
        <v>0</v>
      </c>
      <c r="BB256" s="371">
        <f t="shared" si="405"/>
        <v>0</v>
      </c>
      <c r="BC256" s="371">
        <f t="shared" si="405"/>
        <v>0</v>
      </c>
      <c r="BD256" s="371">
        <f t="shared" si="405"/>
        <v>0</v>
      </c>
      <c r="BE256" s="371">
        <f t="shared" si="405"/>
        <v>1</v>
      </c>
      <c r="BF256" s="371">
        <f t="shared" si="405"/>
        <v>0</v>
      </c>
      <c r="BG256" s="371">
        <f t="shared" si="405"/>
        <v>0</v>
      </c>
      <c r="BH256" s="371">
        <f t="shared" si="405"/>
        <v>0</v>
      </c>
      <c r="BI256" s="371">
        <f t="shared" si="405"/>
        <v>0</v>
      </c>
      <c r="BJ256" s="371">
        <f t="shared" si="405"/>
        <v>0</v>
      </c>
      <c r="BK256" s="371">
        <f t="shared" si="405"/>
        <v>0</v>
      </c>
      <c r="BL256" s="371">
        <f t="shared" si="405"/>
        <v>0</v>
      </c>
      <c r="BM256" s="371">
        <f t="shared" si="405"/>
        <v>0</v>
      </c>
      <c r="BN256" s="371">
        <f t="shared" si="405"/>
        <v>0</v>
      </c>
      <c r="BO256" s="371">
        <f t="shared" si="405"/>
        <v>0</v>
      </c>
      <c r="BP256" s="371">
        <f t="shared" si="405"/>
        <v>0</v>
      </c>
      <c r="BQ256" s="371">
        <f t="shared" si="405"/>
        <v>0</v>
      </c>
      <c r="BR256" s="371">
        <f t="shared" si="405"/>
        <v>0</v>
      </c>
      <c r="BS256" s="371">
        <f t="shared" si="405"/>
        <v>0</v>
      </c>
      <c r="BT256" s="371">
        <f t="shared" si="405"/>
        <v>0</v>
      </c>
      <c r="BU256" s="371">
        <f t="shared" si="405"/>
        <v>0</v>
      </c>
    </row>
    <row r="257" spans="1:73" x14ac:dyDescent="0.2">
      <c r="A257" s="186"/>
      <c r="B257" s="409"/>
      <c r="C257" s="186"/>
      <c r="D257" s="186"/>
      <c r="E257" s="186"/>
      <c r="F257" s="186"/>
      <c r="G257" s="186"/>
      <c r="H257" s="186"/>
      <c r="I257" s="186"/>
      <c r="J257" s="186"/>
      <c r="K257" s="367"/>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c r="BC257" s="186"/>
      <c r="BD257" s="186"/>
      <c r="BE257" s="186"/>
      <c r="BF257" s="186"/>
      <c r="BG257" s="186"/>
      <c r="BH257" s="186"/>
      <c r="BI257" s="186"/>
      <c r="BJ257" s="186"/>
      <c r="BK257" s="186"/>
      <c r="BL257" s="186"/>
      <c r="BM257" s="186"/>
      <c r="BN257" s="186"/>
      <c r="BO257" s="186"/>
      <c r="BP257" s="186"/>
      <c r="BQ257" s="186"/>
      <c r="BR257" s="186"/>
      <c r="BS257" s="186"/>
      <c r="BT257" s="186"/>
      <c r="BU257" s="186"/>
    </row>
    <row r="258" spans="1:73" x14ac:dyDescent="0.2">
      <c r="A258" s="186"/>
      <c r="B258" s="409" t="s">
        <v>237</v>
      </c>
      <c r="C258" s="186"/>
      <c r="D258" s="186"/>
      <c r="E258" s="186"/>
      <c r="F258" s="186"/>
      <c r="G258" s="186"/>
      <c r="H258" s="186"/>
      <c r="I258" s="186"/>
      <c r="J258" s="186"/>
      <c r="K258" s="367"/>
      <c r="L258" s="186"/>
      <c r="M258" s="186"/>
      <c r="N258" s="374"/>
      <c r="O258" s="186"/>
      <c r="P258" s="186"/>
      <c r="Q258" s="371"/>
      <c r="R258" s="371"/>
      <c r="S258" s="371"/>
      <c r="T258" s="371"/>
      <c r="U258" s="371"/>
      <c r="V258" s="371"/>
      <c r="W258" s="371"/>
      <c r="X258" s="371"/>
      <c r="Y258" s="371"/>
      <c r="Z258" s="371"/>
      <c r="AA258" s="371"/>
      <c r="AB258" s="371"/>
      <c r="AC258" s="371"/>
      <c r="AD258" s="371"/>
      <c r="AE258" s="371"/>
      <c r="AF258" s="371"/>
      <c r="AG258" s="371"/>
      <c r="AH258" s="371"/>
      <c r="AI258" s="371"/>
      <c r="AJ258" s="371"/>
      <c r="AK258" s="371"/>
      <c r="AL258" s="371"/>
      <c r="AM258" s="371"/>
      <c r="AN258" s="371"/>
      <c r="AO258" s="371"/>
      <c r="AP258" s="371"/>
      <c r="AQ258" s="371"/>
      <c r="AR258" s="371"/>
      <c r="AS258" s="371"/>
      <c r="AT258" s="371"/>
      <c r="AU258" s="371"/>
      <c r="AV258" s="371"/>
      <c r="AW258" s="371"/>
      <c r="AX258" s="371"/>
      <c r="AY258" s="371"/>
      <c r="AZ258" s="371"/>
      <c r="BA258" s="371"/>
      <c r="BB258" s="371"/>
      <c r="BC258" s="371"/>
      <c r="BD258" s="371"/>
      <c r="BE258" s="371"/>
      <c r="BF258" s="371"/>
      <c r="BG258" s="371"/>
      <c r="BH258" s="371"/>
      <c r="BI258" s="371"/>
      <c r="BJ258" s="371"/>
      <c r="BK258" s="371"/>
      <c r="BL258" s="371"/>
      <c r="BM258" s="371"/>
      <c r="BN258" s="371"/>
      <c r="BO258" s="371"/>
      <c r="BP258" s="371"/>
      <c r="BQ258" s="371"/>
      <c r="BR258" s="371"/>
      <c r="BS258" s="371"/>
      <c r="BT258" s="371"/>
      <c r="BU258" s="371"/>
    </row>
    <row r="259" spans="1:73" x14ac:dyDescent="0.2">
      <c r="A259" s="186"/>
      <c r="B259" s="186"/>
      <c r="C259" s="186" t="s">
        <v>120</v>
      </c>
      <c r="D259" s="186"/>
      <c r="E259" s="186"/>
      <c r="F259" s="186"/>
      <c r="G259" s="186"/>
      <c r="H259" s="186"/>
      <c r="I259" s="186"/>
      <c r="J259" s="186"/>
      <c r="K259" s="367" t="s">
        <v>63</v>
      </c>
      <c r="L259" s="186"/>
      <c r="M259" s="186"/>
      <c r="N259" s="374">
        <f>SUM(Q259:BU259)</f>
        <v>2555504.1818128466</v>
      </c>
      <c r="O259" s="186"/>
      <c r="P259" s="186"/>
      <c r="Q259" s="374"/>
      <c r="R259" s="374">
        <f t="shared" ref="R259:AW259" si="406" xml:space="preserve"> - (R23 +R39+R55+R31)</f>
        <v>43757.752098483172</v>
      </c>
      <c r="S259" s="374">
        <f t="shared" si="406"/>
        <v>43757.752098483172</v>
      </c>
      <c r="T259" s="374">
        <f t="shared" si="406"/>
        <v>43757.752098483172</v>
      </c>
      <c r="U259" s="374">
        <f t="shared" si="406"/>
        <v>42033.219713442835</v>
      </c>
      <c r="V259" s="374">
        <f t="shared" si="406"/>
        <v>39769.130469647171</v>
      </c>
      <c r="W259" s="374">
        <f t="shared" si="406"/>
        <v>43742.437508790208</v>
      </c>
      <c r="X259" s="374">
        <f t="shared" si="406"/>
        <v>45929.219222449974</v>
      </c>
      <c r="Y259" s="374">
        <f t="shared" si="406"/>
        <v>46333.374053113141</v>
      </c>
      <c r="Z259" s="374">
        <f t="shared" si="406"/>
        <v>46920.846023495702</v>
      </c>
      <c r="AA259" s="374">
        <f t="shared" si="406"/>
        <v>48359.600324604813</v>
      </c>
      <c r="AB259" s="374">
        <f t="shared" si="406"/>
        <v>49981.409461011019</v>
      </c>
      <c r="AC259" s="374">
        <f t="shared" si="406"/>
        <v>51784.800923033494</v>
      </c>
      <c r="AD259" s="374">
        <f t="shared" si="406"/>
        <v>53590.79935374346</v>
      </c>
      <c r="AE259" s="374">
        <f t="shared" si="406"/>
        <v>55695.913847119249</v>
      </c>
      <c r="AF259" s="374">
        <f t="shared" si="406"/>
        <v>58041.868639372362</v>
      </c>
      <c r="AG259" s="374">
        <f t="shared" si="406"/>
        <v>60563.467618229792</v>
      </c>
      <c r="AH259" s="374">
        <f t="shared" si="406"/>
        <v>63100.784660665151</v>
      </c>
      <c r="AI259" s="374">
        <f t="shared" si="406"/>
        <v>66018.801758976086</v>
      </c>
      <c r="AJ259" s="374">
        <f t="shared" si="406"/>
        <v>69415.056481261141</v>
      </c>
      <c r="AK259" s="374">
        <f t="shared" si="406"/>
        <v>73777.965910671934</v>
      </c>
      <c r="AL259" s="374">
        <f t="shared" si="406"/>
        <v>78539.241702383806</v>
      </c>
      <c r="AM259" s="374">
        <f t="shared" si="406"/>
        <v>83199.516004699966</v>
      </c>
      <c r="AN259" s="374">
        <f t="shared" si="406"/>
        <v>88303.629788663573</v>
      </c>
      <c r="AO259" s="374">
        <f t="shared" si="406"/>
        <v>89001.438474087801</v>
      </c>
      <c r="AP259" s="374">
        <f t="shared" si="406"/>
        <v>89220.229764769392</v>
      </c>
      <c r="AQ259" s="374">
        <f t="shared" si="406"/>
        <v>95563.062340068427</v>
      </c>
      <c r="AR259" s="374">
        <f t="shared" si="406"/>
        <v>100749.48605238738</v>
      </c>
      <c r="AS259" s="374">
        <f t="shared" si="406"/>
        <v>104207.95531981395</v>
      </c>
      <c r="AT259" s="374">
        <f t="shared" si="406"/>
        <v>104485.62767496044</v>
      </c>
      <c r="AU259" s="374">
        <f t="shared" si="406"/>
        <v>104239.62442952156</v>
      </c>
      <c r="AV259" s="374">
        <f t="shared" si="406"/>
        <v>100079.40226845442</v>
      </c>
      <c r="AW259" s="374">
        <f t="shared" si="406"/>
        <v>92893.772380016409</v>
      </c>
      <c r="AX259" s="374">
        <f t="shared" ref="AX259:BU259" si="407" xml:space="preserve"> - (AX23 +AX39+AX55+AX31)</f>
        <v>84767.466695155206</v>
      </c>
      <c r="AY259" s="374">
        <f t="shared" si="407"/>
        <v>76224.228288785962</v>
      </c>
      <c r="AZ259" s="374">
        <f t="shared" si="407"/>
        <v>66255.988443943555</v>
      </c>
      <c r="BA259" s="374">
        <f t="shared" si="407"/>
        <v>55107.485090240669</v>
      </c>
      <c r="BB259" s="374">
        <f t="shared" si="407"/>
        <v>43064.646749955486</v>
      </c>
      <c r="BC259" s="374">
        <f t="shared" si="407"/>
        <v>30548.03105816455</v>
      </c>
      <c r="BD259" s="374">
        <f t="shared" si="407"/>
        <v>17374.293042554604</v>
      </c>
      <c r="BE259" s="374">
        <f t="shared" si="407"/>
        <v>5347.1039791417761</v>
      </c>
      <c r="BF259" s="374">
        <f t="shared" si="407"/>
        <v>0</v>
      </c>
      <c r="BG259" s="374">
        <f t="shared" si="407"/>
        <v>0</v>
      </c>
      <c r="BH259" s="374">
        <f t="shared" si="407"/>
        <v>0</v>
      </c>
      <c r="BI259" s="374">
        <f t="shared" si="407"/>
        <v>0</v>
      </c>
      <c r="BJ259" s="374">
        <f t="shared" si="407"/>
        <v>0</v>
      </c>
      <c r="BK259" s="374">
        <f t="shared" si="407"/>
        <v>0</v>
      </c>
      <c r="BL259" s="374">
        <f t="shared" si="407"/>
        <v>0</v>
      </c>
      <c r="BM259" s="374">
        <f t="shared" si="407"/>
        <v>0</v>
      </c>
      <c r="BN259" s="374">
        <f t="shared" si="407"/>
        <v>0</v>
      </c>
      <c r="BO259" s="374">
        <f t="shared" si="407"/>
        <v>0</v>
      </c>
      <c r="BP259" s="374">
        <f t="shared" si="407"/>
        <v>0</v>
      </c>
      <c r="BQ259" s="374">
        <f t="shared" si="407"/>
        <v>0</v>
      </c>
      <c r="BR259" s="374">
        <f t="shared" si="407"/>
        <v>0</v>
      </c>
      <c r="BS259" s="374">
        <f t="shared" si="407"/>
        <v>0</v>
      </c>
      <c r="BT259" s="374">
        <f t="shared" si="407"/>
        <v>0</v>
      </c>
      <c r="BU259" s="374">
        <f t="shared" si="407"/>
        <v>0</v>
      </c>
    </row>
    <row r="260" spans="1:73" x14ac:dyDescent="0.2">
      <c r="A260" s="186"/>
      <c r="B260" s="186"/>
      <c r="C260" s="383" t="s">
        <v>238</v>
      </c>
      <c r="D260" s="383"/>
      <c r="E260" s="383"/>
      <c r="F260" s="383"/>
      <c r="G260" s="383"/>
      <c r="H260" s="383"/>
      <c r="I260" s="383"/>
      <c r="J260" s="383"/>
      <c r="K260" s="617" t="s">
        <v>63</v>
      </c>
      <c r="L260" s="383"/>
      <c r="M260" s="383"/>
      <c r="N260" s="384">
        <f>SUM(Q260:BU260)</f>
        <v>2109344.0756564238</v>
      </c>
      <c r="O260" s="383"/>
      <c r="P260" s="383"/>
      <c r="Q260" s="384"/>
      <c r="R260" s="384">
        <f t="shared" ref="R260:AW260" si="408" xml:space="preserve"> - (+R42+R56)</f>
        <v>0</v>
      </c>
      <c r="S260" s="384">
        <f t="shared" si="408"/>
        <v>0</v>
      </c>
      <c r="T260" s="384">
        <f t="shared" si="408"/>
        <v>0</v>
      </c>
      <c r="U260" s="384">
        <f t="shared" si="408"/>
        <v>0</v>
      </c>
      <c r="V260" s="384">
        <f t="shared" si="408"/>
        <v>0</v>
      </c>
      <c r="W260" s="384">
        <f t="shared" si="408"/>
        <v>0</v>
      </c>
      <c r="X260" s="384">
        <f t="shared" si="408"/>
        <v>0</v>
      </c>
      <c r="Y260" s="384">
        <f t="shared" si="408"/>
        <v>0</v>
      </c>
      <c r="Z260" s="384">
        <f t="shared" si="408"/>
        <v>0</v>
      </c>
      <c r="AA260" s="384">
        <f t="shared" si="408"/>
        <v>0</v>
      </c>
      <c r="AB260" s="384">
        <f t="shared" si="408"/>
        <v>0</v>
      </c>
      <c r="AC260" s="384">
        <f t="shared" si="408"/>
        <v>0</v>
      </c>
      <c r="AD260" s="384">
        <f t="shared" si="408"/>
        <v>0</v>
      </c>
      <c r="AE260" s="384">
        <f t="shared" si="408"/>
        <v>0</v>
      </c>
      <c r="AF260" s="384">
        <f t="shared" si="408"/>
        <v>0</v>
      </c>
      <c r="AG260" s="384">
        <f t="shared" si="408"/>
        <v>0</v>
      </c>
      <c r="AH260" s="384">
        <f t="shared" si="408"/>
        <v>0</v>
      </c>
      <c r="AI260" s="384">
        <f t="shared" si="408"/>
        <v>0</v>
      </c>
      <c r="AJ260" s="384">
        <f t="shared" si="408"/>
        <v>0</v>
      </c>
      <c r="AK260" s="384">
        <f t="shared" si="408"/>
        <v>0</v>
      </c>
      <c r="AL260" s="384">
        <f t="shared" si="408"/>
        <v>0</v>
      </c>
      <c r="AM260" s="384">
        <f t="shared" si="408"/>
        <v>0</v>
      </c>
      <c r="AN260" s="384">
        <f t="shared" si="408"/>
        <v>0</v>
      </c>
      <c r="AO260" s="384">
        <f t="shared" si="408"/>
        <v>0</v>
      </c>
      <c r="AP260" s="384">
        <f t="shared" si="408"/>
        <v>27107.214825648691</v>
      </c>
      <c r="AQ260" s="384">
        <f t="shared" si="408"/>
        <v>18195.577087343408</v>
      </c>
      <c r="AR260" s="384">
        <f t="shared" si="408"/>
        <v>8739.1223866725704</v>
      </c>
      <c r="AS260" s="384">
        <f t="shared" si="408"/>
        <v>0</v>
      </c>
      <c r="AT260" s="384">
        <f t="shared" si="408"/>
        <v>0</v>
      </c>
      <c r="AU260" s="384">
        <f t="shared" si="408"/>
        <v>76887.250136877992</v>
      </c>
      <c r="AV260" s="384">
        <f t="shared" si="408"/>
        <v>155587.62314248437</v>
      </c>
      <c r="AW260" s="384">
        <f t="shared" si="408"/>
        <v>163755.97335746483</v>
      </c>
      <c r="AX260" s="384">
        <f t="shared" ref="AX260:BU260" si="409" xml:space="preserve"> - (+AX42+AX56)</f>
        <v>172353.16195873168</v>
      </c>
      <c r="AY260" s="384">
        <f t="shared" si="409"/>
        <v>189606.70873672073</v>
      </c>
      <c r="AZ260" s="384">
        <f t="shared" si="409"/>
        <v>209522.18265871578</v>
      </c>
      <c r="BA260" s="384">
        <f t="shared" si="409"/>
        <v>220522.09724829838</v>
      </c>
      <c r="BB260" s="384">
        <f t="shared" si="409"/>
        <v>232099.50735383405</v>
      </c>
      <c r="BC260" s="384">
        <f t="shared" si="409"/>
        <v>244284.73148991028</v>
      </c>
      <c r="BD260" s="384">
        <f t="shared" si="409"/>
        <v>257109.67989313052</v>
      </c>
      <c r="BE260" s="384">
        <f t="shared" si="409"/>
        <v>133573.24538059082</v>
      </c>
      <c r="BF260" s="384">
        <f t="shared" si="409"/>
        <v>0</v>
      </c>
      <c r="BG260" s="384">
        <f t="shared" si="409"/>
        <v>0</v>
      </c>
      <c r="BH260" s="384">
        <f t="shared" si="409"/>
        <v>0</v>
      </c>
      <c r="BI260" s="384">
        <f t="shared" si="409"/>
        <v>0</v>
      </c>
      <c r="BJ260" s="384">
        <f t="shared" si="409"/>
        <v>0</v>
      </c>
      <c r="BK260" s="384">
        <f t="shared" si="409"/>
        <v>0</v>
      </c>
      <c r="BL260" s="384">
        <f t="shared" si="409"/>
        <v>0</v>
      </c>
      <c r="BM260" s="384">
        <f t="shared" si="409"/>
        <v>0</v>
      </c>
      <c r="BN260" s="384">
        <f t="shared" si="409"/>
        <v>0</v>
      </c>
      <c r="BO260" s="384">
        <f t="shared" si="409"/>
        <v>0</v>
      </c>
      <c r="BP260" s="384">
        <f t="shared" si="409"/>
        <v>0</v>
      </c>
      <c r="BQ260" s="384">
        <f t="shared" si="409"/>
        <v>0</v>
      </c>
      <c r="BR260" s="384">
        <f t="shared" si="409"/>
        <v>0</v>
      </c>
      <c r="BS260" s="384">
        <f t="shared" si="409"/>
        <v>0</v>
      </c>
      <c r="BT260" s="384">
        <f t="shared" si="409"/>
        <v>0</v>
      </c>
      <c r="BU260" s="384">
        <f t="shared" si="409"/>
        <v>0</v>
      </c>
    </row>
    <row r="261" spans="1:73" x14ac:dyDescent="0.2">
      <c r="A261" s="186"/>
      <c r="B261" s="186"/>
      <c r="C261" s="186" t="s">
        <v>239</v>
      </c>
      <c r="D261" s="186"/>
      <c r="E261" s="186"/>
      <c r="F261" s="186"/>
      <c r="G261" s="186"/>
      <c r="H261" s="186"/>
      <c r="I261" s="186"/>
      <c r="J261" s="186"/>
      <c r="K261" s="367" t="s">
        <v>63</v>
      </c>
      <c r="L261" s="186"/>
      <c r="M261" s="186"/>
      <c r="N261" s="374">
        <f>SUM(Q261:BU261)</f>
        <v>4621090.5053707864</v>
      </c>
      <c r="O261" s="186"/>
      <c r="P261" s="186"/>
      <c r="Q261" s="374"/>
      <c r="R261" s="374">
        <f t="shared" ref="R261:T261" si="410">+S259+S260</f>
        <v>43757.752098483172</v>
      </c>
      <c r="S261" s="374">
        <f t="shared" si="410"/>
        <v>43757.752098483172</v>
      </c>
      <c r="T261" s="374">
        <f t="shared" si="410"/>
        <v>42033.219713442835</v>
      </c>
      <c r="U261" s="374">
        <f>+V259+V260</f>
        <v>39769.130469647171</v>
      </c>
      <c r="V261" s="374">
        <f t="shared" ref="V261:BU261" si="411">+W259+W260</f>
        <v>43742.437508790208</v>
      </c>
      <c r="W261" s="374">
        <f t="shared" si="411"/>
        <v>45929.219222449974</v>
      </c>
      <c r="X261" s="374">
        <f t="shared" si="411"/>
        <v>46333.374053113141</v>
      </c>
      <c r="Y261" s="374">
        <f t="shared" si="411"/>
        <v>46920.846023495702</v>
      </c>
      <c r="Z261" s="374">
        <f t="shared" si="411"/>
        <v>48359.600324604813</v>
      </c>
      <c r="AA261" s="374">
        <f t="shared" si="411"/>
        <v>49981.409461011019</v>
      </c>
      <c r="AB261" s="374">
        <f t="shared" si="411"/>
        <v>51784.800923033494</v>
      </c>
      <c r="AC261" s="374">
        <f t="shared" si="411"/>
        <v>53590.79935374346</v>
      </c>
      <c r="AD261" s="374">
        <f t="shared" si="411"/>
        <v>55695.913847119249</v>
      </c>
      <c r="AE261" s="374">
        <f t="shared" si="411"/>
        <v>58041.868639372362</v>
      </c>
      <c r="AF261" s="374">
        <f t="shared" si="411"/>
        <v>60563.467618229792</v>
      </c>
      <c r="AG261" s="374">
        <f t="shared" si="411"/>
        <v>63100.784660665151</v>
      </c>
      <c r="AH261" s="374">
        <f t="shared" si="411"/>
        <v>66018.801758976086</v>
      </c>
      <c r="AI261" s="374">
        <f t="shared" si="411"/>
        <v>69415.056481261141</v>
      </c>
      <c r="AJ261" s="374">
        <f t="shared" si="411"/>
        <v>73777.965910671934</v>
      </c>
      <c r="AK261" s="374">
        <f t="shared" si="411"/>
        <v>78539.241702383806</v>
      </c>
      <c r="AL261" s="374">
        <f t="shared" si="411"/>
        <v>83199.516004699966</v>
      </c>
      <c r="AM261" s="374">
        <f t="shared" si="411"/>
        <v>88303.629788663573</v>
      </c>
      <c r="AN261" s="374">
        <f t="shared" si="411"/>
        <v>89001.438474087801</v>
      </c>
      <c r="AO261" s="374">
        <f t="shared" si="411"/>
        <v>116327.44459041808</v>
      </c>
      <c r="AP261" s="374">
        <f t="shared" si="411"/>
        <v>113758.63942741184</v>
      </c>
      <c r="AQ261" s="374">
        <f t="shared" si="411"/>
        <v>109488.60843905996</v>
      </c>
      <c r="AR261" s="374">
        <f t="shared" si="411"/>
        <v>104207.95531981395</v>
      </c>
      <c r="AS261" s="374">
        <f t="shared" si="411"/>
        <v>104485.62767496044</v>
      </c>
      <c r="AT261" s="374">
        <f t="shared" si="411"/>
        <v>181126.87456639955</v>
      </c>
      <c r="AU261" s="374">
        <f t="shared" si="411"/>
        <v>255667.02541093878</v>
      </c>
      <c r="AV261" s="374">
        <f t="shared" si="411"/>
        <v>256649.74573748122</v>
      </c>
      <c r="AW261" s="374">
        <f t="shared" si="411"/>
        <v>257120.6286538869</v>
      </c>
      <c r="AX261" s="374">
        <f t="shared" si="411"/>
        <v>265830.93702550669</v>
      </c>
      <c r="AY261" s="374">
        <f t="shared" si="411"/>
        <v>275778.17110265931</v>
      </c>
      <c r="AZ261" s="374">
        <f t="shared" si="411"/>
        <v>275629.58233853907</v>
      </c>
      <c r="BA261" s="374">
        <f t="shared" si="411"/>
        <v>275164.15410378954</v>
      </c>
      <c r="BB261" s="374">
        <f t="shared" si="411"/>
        <v>274832.76254807482</v>
      </c>
      <c r="BC261" s="374">
        <f t="shared" si="411"/>
        <v>274483.97293568513</v>
      </c>
      <c r="BD261" s="374">
        <f t="shared" si="411"/>
        <v>138920.34935973259</v>
      </c>
      <c r="BE261" s="374">
        <f t="shared" si="411"/>
        <v>0</v>
      </c>
      <c r="BF261" s="374">
        <f t="shared" si="411"/>
        <v>0</v>
      </c>
      <c r="BG261" s="374">
        <f t="shared" si="411"/>
        <v>0</v>
      </c>
      <c r="BH261" s="374">
        <f t="shared" si="411"/>
        <v>0</v>
      </c>
      <c r="BI261" s="374">
        <f t="shared" si="411"/>
        <v>0</v>
      </c>
      <c r="BJ261" s="374">
        <f t="shared" si="411"/>
        <v>0</v>
      </c>
      <c r="BK261" s="374">
        <f t="shared" si="411"/>
        <v>0</v>
      </c>
      <c r="BL261" s="374">
        <f t="shared" si="411"/>
        <v>0</v>
      </c>
      <c r="BM261" s="374">
        <f t="shared" si="411"/>
        <v>0</v>
      </c>
      <c r="BN261" s="374">
        <f t="shared" si="411"/>
        <v>0</v>
      </c>
      <c r="BO261" s="374">
        <f t="shared" si="411"/>
        <v>0</v>
      </c>
      <c r="BP261" s="374">
        <f t="shared" si="411"/>
        <v>0</v>
      </c>
      <c r="BQ261" s="374">
        <f t="shared" si="411"/>
        <v>0</v>
      </c>
      <c r="BR261" s="374">
        <f t="shared" si="411"/>
        <v>0</v>
      </c>
      <c r="BS261" s="374">
        <f t="shared" si="411"/>
        <v>0</v>
      </c>
      <c r="BT261" s="374">
        <f t="shared" si="411"/>
        <v>0</v>
      </c>
      <c r="BU261" s="374">
        <f t="shared" si="411"/>
        <v>0</v>
      </c>
    </row>
    <row r="262" spans="1:73" x14ac:dyDescent="0.2">
      <c r="A262" s="186"/>
      <c r="B262" s="186"/>
      <c r="C262" s="186"/>
      <c r="D262" s="186"/>
      <c r="E262" s="186"/>
      <c r="F262" s="186"/>
      <c r="G262" s="186"/>
      <c r="H262" s="186"/>
      <c r="I262" s="186"/>
      <c r="J262" s="186"/>
      <c r="K262" s="367"/>
      <c r="L262" s="186"/>
      <c r="M262" s="186"/>
      <c r="N262" s="186"/>
      <c r="O262" s="186"/>
      <c r="P262" s="186"/>
      <c r="Q262" s="374"/>
      <c r="R262" s="374"/>
      <c r="S262" s="374"/>
      <c r="T262" s="374"/>
      <c r="U262" s="374"/>
      <c r="V262" s="374"/>
      <c r="W262" s="374"/>
      <c r="X262" s="374"/>
      <c r="Y262" s="374"/>
      <c r="Z262" s="374"/>
      <c r="AA262" s="374"/>
      <c r="AB262" s="374"/>
      <c r="AC262" s="374"/>
      <c r="AD262" s="374"/>
      <c r="AE262" s="374"/>
      <c r="AF262" s="374"/>
      <c r="AG262" s="374"/>
      <c r="AH262" s="374"/>
      <c r="AI262" s="374"/>
      <c r="AJ262" s="374"/>
      <c r="AK262" s="374"/>
      <c r="AL262" s="374"/>
      <c r="AM262" s="374"/>
      <c r="AN262" s="374"/>
      <c r="AO262" s="374"/>
      <c r="AP262" s="374"/>
      <c r="AQ262" s="374"/>
      <c r="AR262" s="374"/>
      <c r="AS262" s="374"/>
      <c r="AT262" s="374"/>
      <c r="AU262" s="374"/>
      <c r="AV262" s="374"/>
      <c r="AW262" s="374"/>
      <c r="AX262" s="374"/>
      <c r="AY262" s="374"/>
      <c r="AZ262" s="374"/>
      <c r="BA262" s="374"/>
      <c r="BB262" s="374"/>
      <c r="BC262" s="374"/>
      <c r="BD262" s="374"/>
      <c r="BE262" s="374"/>
      <c r="BF262" s="374"/>
      <c r="BG262" s="374"/>
      <c r="BH262" s="374"/>
      <c r="BI262" s="374"/>
      <c r="BJ262" s="374"/>
      <c r="BK262" s="374"/>
      <c r="BL262" s="374"/>
      <c r="BM262" s="374"/>
      <c r="BN262" s="374"/>
      <c r="BO262" s="374"/>
      <c r="BP262" s="374"/>
      <c r="BQ262" s="374"/>
      <c r="BR262" s="374"/>
      <c r="BS262" s="374"/>
      <c r="BT262" s="374"/>
      <c r="BU262" s="374"/>
    </row>
    <row r="263" spans="1:73" x14ac:dyDescent="0.2">
      <c r="A263" s="186"/>
      <c r="B263" s="186"/>
      <c r="C263" s="186"/>
      <c r="D263" s="186"/>
      <c r="E263" s="186"/>
      <c r="F263" s="186"/>
      <c r="G263" s="186"/>
      <c r="H263" s="186"/>
      <c r="I263" s="186"/>
      <c r="J263" s="186"/>
      <c r="K263" s="367"/>
      <c r="L263" s="186"/>
      <c r="M263" s="186"/>
      <c r="N263" s="374"/>
      <c r="O263" s="186"/>
      <c r="P263" s="186"/>
      <c r="Q263" s="374"/>
      <c r="R263" s="374"/>
      <c r="S263" s="374"/>
      <c r="T263" s="374"/>
      <c r="U263" s="374"/>
      <c r="V263" s="374"/>
      <c r="W263" s="374"/>
      <c r="X263" s="374"/>
      <c r="Y263" s="374"/>
      <c r="Z263" s="374"/>
      <c r="AA263" s="374"/>
      <c r="AB263" s="374"/>
      <c r="AC263" s="374"/>
      <c r="AD263" s="374"/>
      <c r="AE263" s="374"/>
      <c r="AF263" s="374"/>
      <c r="AG263" s="374"/>
      <c r="AH263" s="374"/>
      <c r="AI263" s="374"/>
      <c r="AJ263" s="374"/>
      <c r="AK263" s="374"/>
      <c r="AL263" s="374"/>
      <c r="AM263" s="374"/>
      <c r="AN263" s="374"/>
      <c r="AO263" s="374"/>
      <c r="AP263" s="374"/>
      <c r="AQ263" s="374"/>
      <c r="AR263" s="374"/>
      <c r="AS263" s="374"/>
      <c r="AT263" s="374"/>
      <c r="AU263" s="374"/>
      <c r="AV263" s="374"/>
      <c r="AW263" s="374"/>
      <c r="AX263" s="374"/>
      <c r="AY263" s="374"/>
      <c r="AZ263" s="374"/>
      <c r="BA263" s="374"/>
      <c r="BB263" s="374"/>
      <c r="BC263" s="374"/>
      <c r="BD263" s="374"/>
      <c r="BE263" s="374"/>
      <c r="BF263" s="374"/>
      <c r="BG263" s="374"/>
      <c r="BH263" s="374"/>
      <c r="BI263" s="374"/>
      <c r="BJ263" s="374"/>
      <c r="BK263" s="374">
        <f t="shared" ref="BK263:BU263" si="412">-BL261</f>
        <v>0</v>
      </c>
      <c r="BL263" s="374">
        <f t="shared" si="412"/>
        <v>0</v>
      </c>
      <c r="BM263" s="374">
        <f t="shared" si="412"/>
        <v>0</v>
      </c>
      <c r="BN263" s="374">
        <f t="shared" si="412"/>
        <v>0</v>
      </c>
      <c r="BO263" s="374">
        <f t="shared" si="412"/>
        <v>0</v>
      </c>
      <c r="BP263" s="374">
        <f t="shared" si="412"/>
        <v>0</v>
      </c>
      <c r="BQ263" s="374">
        <f t="shared" si="412"/>
        <v>0</v>
      </c>
      <c r="BR263" s="374">
        <f t="shared" si="412"/>
        <v>0</v>
      </c>
      <c r="BS263" s="374">
        <f t="shared" si="412"/>
        <v>0</v>
      </c>
      <c r="BT263" s="374">
        <f t="shared" si="412"/>
        <v>0</v>
      </c>
      <c r="BU263" s="374">
        <f t="shared" si="412"/>
        <v>0</v>
      </c>
    </row>
    <row r="264" spans="1:73" x14ac:dyDescent="0.2">
      <c r="A264" s="186"/>
      <c r="B264" s="389"/>
      <c r="C264" s="186"/>
      <c r="D264" s="186"/>
      <c r="E264" s="186"/>
      <c r="F264" s="186"/>
      <c r="G264" s="186"/>
      <c r="H264" s="186"/>
      <c r="I264" s="186"/>
      <c r="J264" s="186"/>
      <c r="K264" s="367"/>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c r="BL264" s="186"/>
      <c r="BM264" s="186"/>
      <c r="BN264" s="186"/>
      <c r="BO264" s="186"/>
      <c r="BP264" s="186"/>
      <c r="BQ264" s="186"/>
      <c r="BR264" s="186"/>
      <c r="BS264" s="186"/>
      <c r="BT264" s="186"/>
      <c r="BU264" s="186"/>
    </row>
    <row r="265" spans="1:73" x14ac:dyDescent="0.2">
      <c r="A265" s="186"/>
      <c r="B265" s="409" t="s">
        <v>240</v>
      </c>
      <c r="C265" s="232"/>
      <c r="D265" s="232"/>
      <c r="E265" s="232"/>
      <c r="F265" s="232"/>
      <c r="G265" s="232"/>
      <c r="H265" s="460">
        <v>0.1</v>
      </c>
      <c r="I265" s="232"/>
      <c r="J265" s="232"/>
      <c r="K265" s="618" t="s">
        <v>20</v>
      </c>
      <c r="L265" s="232"/>
      <c r="M265" s="232"/>
      <c r="N265" s="232"/>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c r="BO265" s="186"/>
      <c r="BP265" s="186"/>
      <c r="BQ265" s="186"/>
      <c r="BR265" s="186"/>
      <c r="BS265" s="186"/>
      <c r="BT265" s="186"/>
      <c r="BU265" s="186"/>
    </row>
    <row r="266" spans="1:73" x14ac:dyDescent="0.2">
      <c r="A266" s="186"/>
      <c r="B266" s="186"/>
      <c r="C266" s="186"/>
      <c r="D266" s="186"/>
      <c r="E266" s="186"/>
      <c r="F266" s="186"/>
      <c r="G266" s="186"/>
      <c r="H266" s="186"/>
      <c r="I266" s="186"/>
      <c r="J266" s="186"/>
      <c r="K266" s="367"/>
      <c r="L266" s="186"/>
      <c r="M266" s="186"/>
      <c r="N266" s="186"/>
      <c r="O266" s="186"/>
      <c r="P266" s="186"/>
      <c r="Q266" s="374"/>
      <c r="R266" s="374"/>
      <c r="S266" s="374"/>
      <c r="T266" s="374"/>
      <c r="U266" s="374"/>
      <c r="V266" s="374"/>
      <c r="W266" s="374"/>
      <c r="X266" s="374"/>
      <c r="Y266" s="374"/>
      <c r="Z266" s="374"/>
      <c r="AA266" s="374"/>
      <c r="AB266" s="374"/>
      <c r="AC266" s="374"/>
      <c r="AD266" s="374"/>
      <c r="AE266" s="374"/>
      <c r="AF266" s="374"/>
      <c r="AG266" s="374"/>
      <c r="AH266" s="374"/>
      <c r="AI266" s="374"/>
      <c r="AJ266" s="374"/>
      <c r="AK266" s="374"/>
      <c r="AL266" s="374"/>
      <c r="AM266" s="374"/>
      <c r="AN266" s="374"/>
      <c r="AO266" s="374"/>
      <c r="AP266" s="374"/>
      <c r="AQ266" s="374"/>
      <c r="AR266" s="374"/>
      <c r="AS266" s="374"/>
      <c r="AT266" s="374"/>
      <c r="AU266" s="374"/>
      <c r="AV266" s="374"/>
      <c r="AW266" s="374"/>
      <c r="AX266" s="374"/>
      <c r="AY266" s="374"/>
      <c r="AZ266" s="374"/>
      <c r="BA266" s="374"/>
      <c r="BB266" s="374"/>
      <c r="BC266" s="374"/>
      <c r="BD266" s="374"/>
      <c r="BE266" s="374"/>
      <c r="BF266" s="374"/>
      <c r="BG266" s="374"/>
      <c r="BH266" s="374"/>
      <c r="BI266" s="374"/>
      <c r="BJ266" s="374"/>
      <c r="BK266" s="374"/>
      <c r="BL266" s="374"/>
      <c r="BM266" s="374"/>
      <c r="BN266" s="374"/>
      <c r="BO266" s="374"/>
      <c r="BP266" s="374"/>
      <c r="BQ266" s="374"/>
      <c r="BR266" s="374"/>
      <c r="BS266" s="374"/>
      <c r="BT266" s="374"/>
      <c r="BU266" s="374"/>
    </row>
    <row r="267" spans="1:73" x14ac:dyDescent="0.2">
      <c r="A267" s="186"/>
      <c r="B267" s="186"/>
      <c r="C267" s="186" t="s">
        <v>241</v>
      </c>
      <c r="D267" s="186"/>
      <c r="E267" s="186"/>
      <c r="F267" s="186"/>
      <c r="G267" s="186"/>
      <c r="H267" s="186"/>
      <c r="I267" s="186"/>
      <c r="J267" s="186"/>
      <c r="K267" s="367" t="s">
        <v>63</v>
      </c>
      <c r="L267" s="186"/>
      <c r="M267" s="186"/>
      <c r="N267" s="374">
        <f>SUM(Q267:BU267)</f>
        <v>30082309.490715805</v>
      </c>
      <c r="O267" s="186"/>
      <c r="P267" s="186"/>
      <c r="Q267" s="374"/>
      <c r="R267" s="374">
        <f>MAX(0,CF!R46)</f>
        <v>0</v>
      </c>
      <c r="S267" s="374">
        <f>MAX(0,CF!S46)</f>
        <v>46089.205415482946</v>
      </c>
      <c r="T267" s="374">
        <f>MAX(0,CF!T46)</f>
        <v>66536.014867182152</v>
      </c>
      <c r="U267" s="374">
        <f>MAX(0,CF!U46)</f>
        <v>50586.977959181153</v>
      </c>
      <c r="V267" s="374">
        <f>MAX(0,CF!V46)</f>
        <v>71648.001827012224</v>
      </c>
      <c r="W267" s="374">
        <f>MAX(0,CF!W46)</f>
        <v>84015.485622139706</v>
      </c>
      <c r="X267" s="374">
        <f>MAX(0,CF!X46)</f>
        <v>97332.806587052284</v>
      </c>
      <c r="Y267" s="374">
        <f>MAX(0,CF!Y46)</f>
        <v>111572.76806229132</v>
      </c>
      <c r="Z267" s="374">
        <f>MAX(0,CF!Z46)</f>
        <v>126602.99630409935</v>
      </c>
      <c r="AA267" s="374">
        <f>MAX(0,CF!AA46)</f>
        <v>142902.94872450794</v>
      </c>
      <c r="AB267" s="374">
        <f>MAX(0,CF!AB46)</f>
        <v>161608.7192525579</v>
      </c>
      <c r="AC267" s="374">
        <f>MAX(0,CF!AC46)</f>
        <v>181850.61103114553</v>
      </c>
      <c r="AD267" s="374">
        <f>MAX(0,CF!AD46)</f>
        <v>203925.00597132853</v>
      </c>
      <c r="AE267" s="374">
        <f>MAX(0,CF!AE46)</f>
        <v>216693.00458036241</v>
      </c>
      <c r="AF267" s="374">
        <f>MAX(0,CF!AF46)</f>
        <v>253406.18414517498</v>
      </c>
      <c r="AG267" s="374">
        <f>MAX(0,CF!AG46)</f>
        <v>277194.1933450675</v>
      </c>
      <c r="AH267" s="374">
        <f>MAX(0,CF!AH46)</f>
        <v>302654.95829849422</v>
      </c>
      <c r="AI267" s="374">
        <f>MAX(0,CF!AI46)</f>
        <v>329313.64298895298</v>
      </c>
      <c r="AJ267" s="374">
        <f>MAX(0,CF!AJ46)</f>
        <v>356852.19916090067</v>
      </c>
      <c r="AK267" s="374">
        <f>MAX(0,CF!AK46)</f>
        <v>384941.52444265137</v>
      </c>
      <c r="AL267" s="374">
        <f>MAX(0,CF!AL46)</f>
        <v>418408.68879043247</v>
      </c>
      <c r="AM267" s="374">
        <f>MAX(0,CF!AM46)</f>
        <v>454930.98244218744</v>
      </c>
      <c r="AN267" s="374">
        <f>MAX(0,CF!AN46)</f>
        <v>494117.40111324168</v>
      </c>
      <c r="AO267" s="374">
        <f>MAX(0,CF!AO46)</f>
        <v>516409.72970255191</v>
      </c>
      <c r="AP267" s="374">
        <f>MAX(0,CF!AP46)</f>
        <v>582266.98697162094</v>
      </c>
      <c r="AQ267" s="374">
        <f>MAX(0,CF!AQ46)</f>
        <v>625961.9153706847</v>
      </c>
      <c r="AR267" s="374">
        <f>MAX(0,CF!AR46)</f>
        <v>672990.65471827891</v>
      </c>
      <c r="AS267" s="374">
        <f>MAX(0,CF!AS46)</f>
        <v>724029.82009889581</v>
      </c>
      <c r="AT267" s="374">
        <f>MAX(0,CF!AT46)</f>
        <v>777973.93702676427</v>
      </c>
      <c r="AU267" s="374">
        <f>MAX(0,CF!AU46)</f>
        <v>760589.58647013642</v>
      </c>
      <c r="AV267" s="374">
        <f>MAX(0,CF!AV46)</f>
        <v>746523.24565423431</v>
      </c>
      <c r="AW267" s="374">
        <f>MAX(0,CF!AW46)</f>
        <v>808352.81161050999</v>
      </c>
      <c r="AX267" s="374">
        <f>MAX(0,CF!AX46)</f>
        <v>874771.60393008252</v>
      </c>
      <c r="AY267" s="374">
        <f>MAX(0,CF!AY46)</f>
        <v>910820.90735963231</v>
      </c>
      <c r="AZ267" s="374">
        <f>MAX(0,CF!AZ46)</f>
        <v>985972.54686734499</v>
      </c>
      <c r="BA267" s="374">
        <f>MAX(0,CF!BA46)</f>
        <v>1066159.4061445915</v>
      </c>
      <c r="BB267" s="374">
        <f>MAX(0,CF!BB46)</f>
        <v>1151677.3663437923</v>
      </c>
      <c r="BC267" s="374">
        <f>MAX(0,CF!BC46)</f>
        <v>1242394.1819147239</v>
      </c>
      <c r="BD267" s="374">
        <f>MAX(0,CF!BD46)</f>
        <v>1338786.7249735957</v>
      </c>
      <c r="BE267" s="374">
        <f>MAX(0,CF!BE46)</f>
        <v>1348083.5931705234</v>
      </c>
      <c r="BF267" s="374">
        <f>MAX(0,CF!BF46)</f>
        <v>1877951.2000004875</v>
      </c>
      <c r="BG267" s="374">
        <f>MAX(0,CF!BG46)</f>
        <v>2022875.7896959386</v>
      </c>
      <c r="BH267" s="374">
        <f>MAX(0,CF!BH46)</f>
        <v>2179018.6750670709</v>
      </c>
      <c r="BI267" s="374">
        <f>MAX(0,CF!BI46)</f>
        <v>2347204.8376066857</v>
      </c>
      <c r="BJ267" s="374">
        <f>MAX(0,CF!BJ46)</f>
        <v>1688309.6490862106</v>
      </c>
      <c r="BK267" s="374">
        <f>MAX(0,CF!BK46)</f>
        <v>0</v>
      </c>
      <c r="BL267" s="374">
        <f>MAX(0,CF!BL46)</f>
        <v>0</v>
      </c>
      <c r="BM267" s="374">
        <f>MAX(0,CF!BM46)</f>
        <v>0</v>
      </c>
      <c r="BN267" s="374">
        <f>MAX(0,CF!BN46)</f>
        <v>0</v>
      </c>
      <c r="BO267" s="374">
        <f>MAX(0,CF!BO46)</f>
        <v>0</v>
      </c>
      <c r="BP267" s="374">
        <f>MAX(0,CF!BP46)</f>
        <v>0</v>
      </c>
      <c r="BQ267" s="374">
        <f>MAX(0,CF!BQ46)</f>
        <v>0</v>
      </c>
      <c r="BR267" s="374">
        <f>MAX(0,CF!BR46)</f>
        <v>0</v>
      </c>
      <c r="BS267" s="374">
        <f>MAX(0,CF!BS46)</f>
        <v>0</v>
      </c>
      <c r="BT267" s="374">
        <f>MAX(0,CF!BT46)</f>
        <v>0</v>
      </c>
      <c r="BU267" s="374">
        <f>MAX(0,CF!BU46)</f>
        <v>0</v>
      </c>
    </row>
    <row r="268" spans="1:73" x14ac:dyDescent="0.2">
      <c r="A268" s="186"/>
      <c r="B268" s="396"/>
      <c r="C268" s="186"/>
      <c r="D268" s="186"/>
      <c r="E268" s="186"/>
      <c r="F268" s="186"/>
      <c r="G268" s="186"/>
      <c r="H268" s="186"/>
      <c r="I268" s="186"/>
      <c r="J268" s="186"/>
      <c r="K268" s="367"/>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row>
    <row r="269" spans="1:73" x14ac:dyDescent="0.2">
      <c r="A269" s="186"/>
      <c r="B269" s="396" t="s">
        <v>230</v>
      </c>
      <c r="C269" s="186"/>
      <c r="D269" s="186"/>
      <c r="E269" s="186"/>
      <c r="F269" s="186"/>
      <c r="G269" s="186"/>
      <c r="H269" s="186"/>
      <c r="I269" s="186"/>
      <c r="J269" s="186"/>
      <c r="K269" s="367"/>
      <c r="L269" s="186"/>
      <c r="M269" s="186"/>
      <c r="N269" s="186"/>
      <c r="O269" s="186"/>
      <c r="P269" s="186"/>
      <c r="Q269" s="374"/>
      <c r="R269" s="374"/>
      <c r="S269" s="374"/>
      <c r="T269" s="374"/>
      <c r="U269" s="374"/>
      <c r="V269" s="374"/>
      <c r="W269" s="374"/>
      <c r="X269" s="374"/>
      <c r="Y269" s="374"/>
      <c r="Z269" s="374"/>
      <c r="AA269" s="374"/>
      <c r="AB269" s="374"/>
      <c r="AC269" s="374"/>
      <c r="AD269" s="374"/>
      <c r="AE269" s="374"/>
      <c r="AF269" s="374"/>
      <c r="AG269" s="374"/>
      <c r="AH269" s="374"/>
      <c r="AI269" s="374"/>
      <c r="AJ269" s="374"/>
      <c r="AK269" s="374"/>
      <c r="AL269" s="374"/>
      <c r="AM269" s="374"/>
      <c r="AN269" s="374"/>
      <c r="AO269" s="374"/>
      <c r="AP269" s="374"/>
      <c r="AQ269" s="374"/>
      <c r="AR269" s="374"/>
      <c r="AS269" s="374"/>
      <c r="AT269" s="374"/>
      <c r="AU269" s="374"/>
      <c r="AV269" s="374"/>
      <c r="AW269" s="374"/>
      <c r="AX269" s="374"/>
      <c r="AY269" s="374"/>
      <c r="AZ269" s="374"/>
      <c r="BA269" s="374"/>
      <c r="BB269" s="374"/>
      <c r="BC269" s="374"/>
      <c r="BD269" s="374"/>
      <c r="BE269" s="374"/>
      <c r="BF269" s="374"/>
      <c r="BG269" s="374"/>
      <c r="BH269" s="374"/>
      <c r="BI269" s="374"/>
      <c r="BJ269" s="374"/>
      <c r="BK269" s="374"/>
      <c r="BL269" s="374"/>
      <c r="BM269" s="374"/>
      <c r="BN269" s="374"/>
      <c r="BO269" s="374"/>
      <c r="BP269" s="374"/>
      <c r="BQ269" s="374"/>
      <c r="BR269" s="374"/>
      <c r="BS269" s="374"/>
      <c r="BT269" s="374"/>
      <c r="BU269" s="374"/>
    </row>
    <row r="270" spans="1:73" x14ac:dyDescent="0.2">
      <c r="A270" s="186"/>
      <c r="B270" s="186"/>
      <c r="C270" s="186" t="s">
        <v>242</v>
      </c>
      <c r="D270" s="186"/>
      <c r="E270" s="186"/>
      <c r="F270" s="186"/>
      <c r="G270" s="186"/>
      <c r="H270" s="186"/>
      <c r="I270" s="186"/>
      <c r="J270" s="186"/>
      <c r="K270" s="367" t="s">
        <v>63</v>
      </c>
      <c r="L270" s="186"/>
      <c r="M270" s="186"/>
      <c r="N270" s="374"/>
      <c r="O270" s="186"/>
      <c r="P270" s="186"/>
      <c r="Q270" s="410"/>
      <c r="R270" s="410">
        <f xml:space="preserve">  R$255 * (Inputs!$L$150*R255* R234 + R261 * (1-R234))</f>
        <v>61500</v>
      </c>
      <c r="S270" s="410">
        <f xml:space="preserve">  S$255 * (Inputs!$L$150*S255* S234 + S261 * (1-S234))</f>
        <v>61500</v>
      </c>
      <c r="T270" s="410">
        <f xml:space="preserve">  T$255 * (Inputs!$L$150*T255* T234 + T261 * (1-T234))</f>
        <v>61500</v>
      </c>
      <c r="U270" s="410">
        <f xml:space="preserve">  U$255 * (Inputs!$L$150*U255* U234 + U261 * (1-U234))</f>
        <v>39769.130469647171</v>
      </c>
      <c r="V270" s="410">
        <f xml:space="preserve">  V$255 * (Inputs!$L$150*V255* V234 + V261 * (1-V234))</f>
        <v>43742.437508790208</v>
      </c>
      <c r="W270" s="410">
        <f xml:space="preserve">  W$255 * (Inputs!$L$150*W255* W234 + W261 * (1-W234))</f>
        <v>45929.219222449974</v>
      </c>
      <c r="X270" s="410">
        <f xml:space="preserve">  X$255 * (Inputs!$L$150*X255* X234 + X261 * (1-X234))</f>
        <v>46333.374053113141</v>
      </c>
      <c r="Y270" s="410">
        <f xml:space="preserve">  Y$255 * (Inputs!$L$150*Y255* Y234 + Y261 * (1-Y234))</f>
        <v>46920.846023495702</v>
      </c>
      <c r="Z270" s="410">
        <f xml:space="preserve">  Z$255 * (Inputs!$L$150*Z255* Z234 + Z261 * (1-Z234))</f>
        <v>48359.600324604813</v>
      </c>
      <c r="AA270" s="410">
        <f xml:space="preserve">  AA$255 * (Inputs!$L$150*AA255* AA234 + AA261 * (1-AA234))</f>
        <v>49981.409461011019</v>
      </c>
      <c r="AB270" s="410">
        <f xml:space="preserve">  AB$255 * (Inputs!$L$150*AB255* AB234 + AB261 * (1-AB234))</f>
        <v>51784.800923033494</v>
      </c>
      <c r="AC270" s="410">
        <f xml:space="preserve">  AC$255 * (Inputs!$L$150*AC255* AC234 + AC261 * (1-AC234))</f>
        <v>53590.79935374346</v>
      </c>
      <c r="AD270" s="410">
        <f xml:space="preserve">  AD$255 * (Inputs!$L$150*AD255* AD234 + AD261 * (1-AD234))</f>
        <v>55695.913847119249</v>
      </c>
      <c r="AE270" s="410">
        <f xml:space="preserve">  AE$255 * (Inputs!$L$150*AE255* AE234 + AE261 * (1-AE234))</f>
        <v>58041.868639372362</v>
      </c>
      <c r="AF270" s="410">
        <f xml:space="preserve">  AF$255 * (Inputs!$L$150*AF255* AF234 + AF261 * (1-AF234))</f>
        <v>60563.467618229792</v>
      </c>
      <c r="AG270" s="410">
        <f xml:space="preserve">  AG$255 * (Inputs!$L$150*AG255* AG234 + AG261 * (1-AG234))</f>
        <v>63100.784660665151</v>
      </c>
      <c r="AH270" s="410">
        <f xml:space="preserve">  AH$255 * (Inputs!$L$150*AH255* AH234 + AH261 * (1-AH234))</f>
        <v>66018.801758976086</v>
      </c>
      <c r="AI270" s="410">
        <f xml:space="preserve">  AI$255 * (Inputs!$L$150*AI255* AI234 + AI261 * (1-AI234))</f>
        <v>69415.056481261141</v>
      </c>
      <c r="AJ270" s="410">
        <f xml:space="preserve">  AJ$255 * (Inputs!$L$150*AJ255* AJ234 + AJ261 * (1-AJ234))</f>
        <v>73777.965910671934</v>
      </c>
      <c r="AK270" s="410">
        <f xml:space="preserve">  AK$255 * (Inputs!$L$150*AK255* AK234 + AK261 * (1-AK234))</f>
        <v>78539.241702383806</v>
      </c>
      <c r="AL270" s="410">
        <f xml:space="preserve">  AL$255 * (Inputs!$L$150*AL255* AL234 + AL261 * (1-AL234))</f>
        <v>83199.516004699966</v>
      </c>
      <c r="AM270" s="410">
        <f xml:space="preserve">  AM$255 * (Inputs!$L$150*AM255* AM234 + AM261 * (1-AM234))</f>
        <v>88303.629788663573</v>
      </c>
      <c r="AN270" s="410">
        <f xml:space="preserve">  AN$255 * (Inputs!$L$150*AN255* AN234 + AN261 * (1-AN234))</f>
        <v>89001.438474087801</v>
      </c>
      <c r="AO270" s="410">
        <f xml:space="preserve">  AO$255 * (Inputs!$L$150*AO255* AO234 + AO261 * (1-AO234))</f>
        <v>116327.44459041808</v>
      </c>
      <c r="AP270" s="410">
        <f xml:space="preserve">  AP$255 * (Inputs!$L$150*AP255* AP234 + AP261 * (1-AP234))</f>
        <v>113758.63942741184</v>
      </c>
      <c r="AQ270" s="410">
        <f xml:space="preserve">  AQ$255 * (Inputs!$L$150*AQ255* AQ234 + AQ261 * (1-AQ234))</f>
        <v>109488.60843905996</v>
      </c>
      <c r="AR270" s="410">
        <f xml:space="preserve">  AR$255 * (Inputs!$L$150*AR255* AR234 + AR261 * (1-AR234))</f>
        <v>104207.95531981395</v>
      </c>
      <c r="AS270" s="410">
        <f xml:space="preserve">  AS$255 * (Inputs!$L$150*AS255* AS234 + AS261 * (1-AS234))</f>
        <v>104485.62767496044</v>
      </c>
      <c r="AT270" s="410">
        <f xml:space="preserve">  AT$255 * (Inputs!$L$150*AT255* AT234 + AT261 * (1-AT234))</f>
        <v>181126.87456639955</v>
      </c>
      <c r="AU270" s="410">
        <f xml:space="preserve">  AU$255 * (Inputs!$L$150*AU255* AU234 + AU261 * (1-AU234))</f>
        <v>255667.02541093878</v>
      </c>
      <c r="AV270" s="410">
        <f xml:space="preserve">  AV$255 * (Inputs!$L$150*AV255* AV234 + AV261 * (1-AV234))</f>
        <v>256649.74573748122</v>
      </c>
      <c r="AW270" s="410">
        <f xml:space="preserve">  AW$255 * (Inputs!$L$150*AW255* AW234 + AW261 * (1-AW234))</f>
        <v>257120.6286538869</v>
      </c>
      <c r="AX270" s="410">
        <f xml:space="preserve">  AX$255 * (Inputs!$L$150*AX255* AX234 + AX261 * (1-AX234))</f>
        <v>265830.93702550669</v>
      </c>
      <c r="AY270" s="410">
        <f xml:space="preserve">  AY$255 * (Inputs!$L$150*AY255* AY234 + AY261 * (1-AY234))</f>
        <v>275778.17110265931</v>
      </c>
      <c r="AZ270" s="410">
        <f xml:space="preserve">  AZ$255 * (Inputs!$L$150*AZ255* AZ234 + AZ261 * (1-AZ234))</f>
        <v>275629.58233853907</v>
      </c>
      <c r="BA270" s="410">
        <f xml:space="preserve">  BA$255 * (Inputs!$L$150*BA255* BA234 + BA261 * (1-BA234))</f>
        <v>275164.15410378954</v>
      </c>
      <c r="BB270" s="410">
        <f xml:space="preserve">  BB$255 * (Inputs!$L$150*BB255* BB234 + BB261 * (1-BB234))</f>
        <v>274832.76254807482</v>
      </c>
      <c r="BC270" s="410">
        <f xml:space="preserve">  BC$255 * (Inputs!$L$150*BC255* BC234 + BC261 * (1-BC234))</f>
        <v>274483.97293568513</v>
      </c>
      <c r="BD270" s="410">
        <f xml:space="preserve">  BD$255 * (Inputs!$L$150*BD255* BD234 + BD261 * (1-BD234))</f>
        <v>138920.34935973259</v>
      </c>
      <c r="BE270" s="410">
        <f xml:space="preserve">  BE$255 * (Inputs!$L$150*BE255* BE234 + BE261 * (1-BE234))</f>
        <v>0</v>
      </c>
      <c r="BF270" s="410">
        <f xml:space="preserve">  BF$255 * (Inputs!$L$150*BF255* BF234 + BF261 * (1-BF234))</f>
        <v>0</v>
      </c>
      <c r="BG270" s="410">
        <f xml:space="preserve">  BG$255 * (Inputs!$L$150*BG255* BG234 + BG261 * (1-BG234))</f>
        <v>0</v>
      </c>
      <c r="BH270" s="410">
        <f xml:space="preserve">  BH$255 * (Inputs!$L$150*BH255* BH234 + BH261 * (1-BH234))</f>
        <v>0</v>
      </c>
      <c r="BI270" s="410">
        <f xml:space="preserve">  BI$255 * (Inputs!$L$150*BI255* BI234 + BI261 * (1-BI234))</f>
        <v>0</v>
      </c>
      <c r="BJ270" s="410">
        <f xml:space="preserve">  BJ$255 * (Inputs!$L$150*BJ255* BJ234 + BJ261 * (1-BJ234))</f>
        <v>0</v>
      </c>
      <c r="BK270" s="410">
        <f t="shared" ref="BK270:BU270" si="413" xml:space="preserve">  BK$255 * (61500 *BK255* BK234 + BK261 * (1-BK234))</f>
        <v>0</v>
      </c>
      <c r="BL270" s="410">
        <f t="shared" si="413"/>
        <v>0</v>
      </c>
      <c r="BM270" s="410">
        <f t="shared" si="413"/>
        <v>0</v>
      </c>
      <c r="BN270" s="410">
        <f t="shared" si="413"/>
        <v>0</v>
      </c>
      <c r="BO270" s="410">
        <f t="shared" si="413"/>
        <v>0</v>
      </c>
      <c r="BP270" s="410">
        <f t="shared" si="413"/>
        <v>0</v>
      </c>
      <c r="BQ270" s="410">
        <f t="shared" si="413"/>
        <v>0</v>
      </c>
      <c r="BR270" s="410">
        <f t="shared" si="413"/>
        <v>0</v>
      </c>
      <c r="BS270" s="410">
        <f t="shared" si="413"/>
        <v>0</v>
      </c>
      <c r="BT270" s="410">
        <f t="shared" si="413"/>
        <v>0</v>
      </c>
      <c r="BU270" s="410">
        <f t="shared" si="413"/>
        <v>0</v>
      </c>
    </row>
    <row r="271" spans="1:73" x14ac:dyDescent="0.2">
      <c r="A271" s="186"/>
      <c r="B271" s="442"/>
      <c r="C271" s="202" t="s">
        <v>243</v>
      </c>
      <c r="D271" s="202"/>
      <c r="E271" s="202"/>
      <c r="F271" s="202"/>
      <c r="G271" s="202"/>
      <c r="H271" s="202"/>
      <c r="I271" s="202"/>
      <c r="J271" s="202"/>
      <c r="K271" s="631" t="s">
        <v>63</v>
      </c>
      <c r="L271" s="202"/>
      <c r="M271" s="202"/>
      <c r="N271" s="419"/>
      <c r="O271" s="419"/>
      <c r="P271" s="419"/>
      <c r="Q271" s="419"/>
      <c r="R271" s="734">
        <f>+Mac!R36</f>
        <v>61500</v>
      </c>
      <c r="S271" s="734">
        <f>+Mac!S36</f>
        <v>61500</v>
      </c>
      <c r="T271" s="734">
        <f>+Mac!T36</f>
        <v>61500</v>
      </c>
      <c r="U271" s="734">
        <f>+Mac!U36</f>
        <v>39769.130469647171</v>
      </c>
      <c r="V271" s="734">
        <f>+Mac!V36</f>
        <v>43742.437508790208</v>
      </c>
      <c r="W271" s="734">
        <f>+Mac!W36</f>
        <v>45929.219222449974</v>
      </c>
      <c r="X271" s="734">
        <f>+Mac!X36</f>
        <v>46333.374053113141</v>
      </c>
      <c r="Y271" s="734">
        <f>+Mac!Y36</f>
        <v>46920.846023495702</v>
      </c>
      <c r="Z271" s="734">
        <f>+Mac!Z36</f>
        <v>48359.600324604813</v>
      </c>
      <c r="AA271" s="734">
        <f>+Mac!AA36</f>
        <v>49981.409461011019</v>
      </c>
      <c r="AB271" s="734">
        <f>+Mac!AB36</f>
        <v>51784.800923033494</v>
      </c>
      <c r="AC271" s="734">
        <f>+Mac!AC36</f>
        <v>53590.79935374346</v>
      </c>
      <c r="AD271" s="734">
        <f>+Mac!AD36</f>
        <v>55695.913847119249</v>
      </c>
      <c r="AE271" s="734">
        <f>+Mac!AE36</f>
        <v>58041.868639372362</v>
      </c>
      <c r="AF271" s="734">
        <f>+Mac!AF36</f>
        <v>60563.467618229792</v>
      </c>
      <c r="AG271" s="734">
        <f>+Mac!AG36</f>
        <v>63100.784660665151</v>
      </c>
      <c r="AH271" s="734">
        <f>+Mac!AH36</f>
        <v>66018.801758976086</v>
      </c>
      <c r="AI271" s="734">
        <f>+Mac!AI36</f>
        <v>69415.056481261141</v>
      </c>
      <c r="AJ271" s="734">
        <f>+Mac!AJ36</f>
        <v>73777.965910671934</v>
      </c>
      <c r="AK271" s="734">
        <f>+Mac!AK36</f>
        <v>78539.241702383806</v>
      </c>
      <c r="AL271" s="734">
        <f>+Mac!AL36</f>
        <v>83199.516004699966</v>
      </c>
      <c r="AM271" s="734">
        <f>+Mac!AM36</f>
        <v>88303.629788663573</v>
      </c>
      <c r="AN271" s="734">
        <f>+Mac!AN36</f>
        <v>89001.438474087801</v>
      </c>
      <c r="AO271" s="734">
        <f>+Mac!AO36</f>
        <v>116327.44459041808</v>
      </c>
      <c r="AP271" s="734">
        <f>+Mac!AP36</f>
        <v>113758.63942741184</v>
      </c>
      <c r="AQ271" s="734">
        <f>+Mac!AQ36</f>
        <v>109488.60843905996</v>
      </c>
      <c r="AR271" s="734">
        <f>+Mac!AR36</f>
        <v>104207.95531981395</v>
      </c>
      <c r="AS271" s="734">
        <f>+Mac!AS36</f>
        <v>104485.62767496044</v>
      </c>
      <c r="AT271" s="734">
        <f>+Mac!AT36</f>
        <v>181126.87456639955</v>
      </c>
      <c r="AU271" s="734">
        <f>+Mac!AU36</f>
        <v>255667.02541093878</v>
      </c>
      <c r="AV271" s="734">
        <f>+Mac!AV36</f>
        <v>256649.74573748122</v>
      </c>
      <c r="AW271" s="734">
        <f>+Mac!AW36</f>
        <v>257120.6286538869</v>
      </c>
      <c r="AX271" s="734">
        <f>+Mac!AX36</f>
        <v>265830.93702550669</v>
      </c>
      <c r="AY271" s="734">
        <f>+Mac!AY36</f>
        <v>275778.17110265931</v>
      </c>
      <c r="AZ271" s="734">
        <f>+Mac!AZ36</f>
        <v>275629.58233853907</v>
      </c>
      <c r="BA271" s="734">
        <f>+Mac!BA36</f>
        <v>275164.15410378954</v>
      </c>
      <c r="BB271" s="734">
        <f>+Mac!BB36</f>
        <v>274832.76254807482</v>
      </c>
      <c r="BC271" s="734">
        <f>+Mac!BC36</f>
        <v>274483.97293568513</v>
      </c>
      <c r="BD271" s="734">
        <f>+Mac!BD36</f>
        <v>138920.34935973259</v>
      </c>
      <c r="BE271" s="734">
        <f>+Mac!BE36</f>
        <v>0</v>
      </c>
      <c r="BF271" s="734">
        <f>+Mac!BF36</f>
        <v>0</v>
      </c>
      <c r="BG271" s="734">
        <f>+Mac!BG36</f>
        <v>0</v>
      </c>
      <c r="BH271" s="734">
        <f>+Mac!BH36</f>
        <v>0</v>
      </c>
      <c r="BI271" s="734">
        <f>+Mac!BI36</f>
        <v>0</v>
      </c>
      <c r="BJ271" s="734">
        <f>+Mac!BJ36</f>
        <v>0</v>
      </c>
      <c r="BK271" s="734">
        <f>+Mac!BK36</f>
        <v>0</v>
      </c>
      <c r="BL271" s="734">
        <f>+Mac!BL36</f>
        <v>0</v>
      </c>
      <c r="BM271" s="734">
        <f>+Mac!BM36</f>
        <v>0</v>
      </c>
      <c r="BN271" s="734">
        <f>+Mac!BN36</f>
        <v>0</v>
      </c>
      <c r="BO271" s="734">
        <f>+Mac!BO36</f>
        <v>0</v>
      </c>
      <c r="BP271" s="734">
        <f>+Mac!BP36</f>
        <v>0</v>
      </c>
      <c r="BQ271" s="734">
        <f>+Mac!BQ36</f>
        <v>0</v>
      </c>
      <c r="BR271" s="734">
        <f>+Mac!BR36</f>
        <v>0</v>
      </c>
      <c r="BS271" s="734">
        <f>+Mac!BS36</f>
        <v>0</v>
      </c>
      <c r="BT271" s="734">
        <f>+Mac!BT36</f>
        <v>0</v>
      </c>
      <c r="BU271" s="734">
        <f>+Mac!BU36</f>
        <v>0</v>
      </c>
    </row>
    <row r="272" spans="1:73" x14ac:dyDescent="0.2">
      <c r="A272" s="186"/>
      <c r="B272" s="396"/>
      <c r="C272" s="186"/>
      <c r="D272" s="186"/>
      <c r="E272" s="186"/>
      <c r="F272" s="186"/>
      <c r="G272" s="186"/>
      <c r="H272" s="186"/>
      <c r="I272" s="186"/>
      <c r="J272" s="186"/>
      <c r="K272" s="367"/>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row>
    <row r="273" spans="1:73" x14ac:dyDescent="0.2">
      <c r="A273" s="186"/>
      <c r="B273" s="186"/>
      <c r="C273" s="186" t="s">
        <v>134</v>
      </c>
      <c r="D273" s="186"/>
      <c r="E273" s="186"/>
      <c r="F273" s="186"/>
      <c r="G273" s="186"/>
      <c r="H273" s="186"/>
      <c r="I273" s="186"/>
      <c r="J273" s="186"/>
      <c r="K273" s="367"/>
      <c r="L273" s="186"/>
      <c r="M273" s="186"/>
      <c r="N273" s="374"/>
      <c r="O273" s="186"/>
      <c r="P273" s="186"/>
      <c r="Q273" s="374"/>
      <c r="R273" s="374">
        <f t="shared" ref="R273:AO273" si="414">+Q277</f>
        <v>0</v>
      </c>
      <c r="S273" s="374">
        <f t="shared" si="414"/>
        <v>61500</v>
      </c>
      <c r="T273" s="374">
        <f t="shared" si="414"/>
        <v>61500</v>
      </c>
      <c r="U273" s="374">
        <f t="shared" si="414"/>
        <v>61500</v>
      </c>
      <c r="V273" s="374">
        <f t="shared" si="414"/>
        <v>39769.130469647171</v>
      </c>
      <c r="W273" s="374">
        <f t="shared" si="414"/>
        <v>43742.437508790208</v>
      </c>
      <c r="X273" s="374">
        <f t="shared" si="414"/>
        <v>45929.219222449974</v>
      </c>
      <c r="Y273" s="374">
        <f t="shared" si="414"/>
        <v>46333.374053113141</v>
      </c>
      <c r="Z273" s="374">
        <f t="shared" si="414"/>
        <v>46920.846023495702</v>
      </c>
      <c r="AA273" s="374">
        <f t="shared" si="414"/>
        <v>48359.600324604813</v>
      </c>
      <c r="AB273" s="374">
        <f t="shared" si="414"/>
        <v>49981.409461011019</v>
      </c>
      <c r="AC273" s="374">
        <f t="shared" si="414"/>
        <v>51784.800923033494</v>
      </c>
      <c r="AD273" s="374">
        <f t="shared" si="414"/>
        <v>53590.79935374346</v>
      </c>
      <c r="AE273" s="374">
        <f t="shared" si="414"/>
        <v>55695.913847119249</v>
      </c>
      <c r="AF273" s="374">
        <f t="shared" si="414"/>
        <v>58041.868639372362</v>
      </c>
      <c r="AG273" s="374">
        <f t="shared" si="414"/>
        <v>60563.467618229792</v>
      </c>
      <c r="AH273" s="374">
        <f t="shared" si="414"/>
        <v>63100.784660665151</v>
      </c>
      <c r="AI273" s="374">
        <f t="shared" si="414"/>
        <v>66018.801758976086</v>
      </c>
      <c r="AJ273" s="374">
        <f t="shared" si="414"/>
        <v>69415.056481261141</v>
      </c>
      <c r="AK273" s="374">
        <f t="shared" si="414"/>
        <v>73777.965910671934</v>
      </c>
      <c r="AL273" s="374">
        <f t="shared" si="414"/>
        <v>78539.241702383806</v>
      </c>
      <c r="AM273" s="374">
        <f t="shared" si="414"/>
        <v>83199.516004699966</v>
      </c>
      <c r="AN273" s="374">
        <f t="shared" si="414"/>
        <v>88303.629788663573</v>
      </c>
      <c r="AO273" s="374">
        <f t="shared" si="414"/>
        <v>89001.438474087801</v>
      </c>
      <c r="AP273" s="374">
        <f t="shared" ref="AP273:BU273" si="415">+AO277</f>
        <v>116327.44459041808</v>
      </c>
      <c r="AQ273" s="374">
        <f t="shared" si="415"/>
        <v>113758.63942741184</v>
      </c>
      <c r="AR273" s="374">
        <f t="shared" si="415"/>
        <v>109488.60843905996</v>
      </c>
      <c r="AS273" s="374">
        <f t="shared" si="415"/>
        <v>104207.95531981395</v>
      </c>
      <c r="AT273" s="374">
        <f t="shared" si="415"/>
        <v>104485.62767496044</v>
      </c>
      <c r="AU273" s="374">
        <f t="shared" si="415"/>
        <v>181126.87456639955</v>
      </c>
      <c r="AV273" s="374">
        <f t="shared" si="415"/>
        <v>255667.02541093878</v>
      </c>
      <c r="AW273" s="374">
        <f t="shared" si="415"/>
        <v>256649.74573748122</v>
      </c>
      <c r="AX273" s="374">
        <f t="shared" si="415"/>
        <v>257120.6286538869</v>
      </c>
      <c r="AY273" s="374">
        <f t="shared" si="415"/>
        <v>265830.93702550669</v>
      </c>
      <c r="AZ273" s="374">
        <f t="shared" si="415"/>
        <v>275778.17110265931</v>
      </c>
      <c r="BA273" s="374">
        <f t="shared" si="415"/>
        <v>275629.58233853907</v>
      </c>
      <c r="BB273" s="374">
        <f t="shared" si="415"/>
        <v>275164.15410378954</v>
      </c>
      <c r="BC273" s="374">
        <f t="shared" si="415"/>
        <v>274832.76254807482</v>
      </c>
      <c r="BD273" s="374">
        <f t="shared" si="415"/>
        <v>274483.97293568513</v>
      </c>
      <c r="BE273" s="374">
        <f t="shared" si="415"/>
        <v>138920.34935973259</v>
      </c>
      <c r="BF273" s="374">
        <f t="shared" si="415"/>
        <v>0</v>
      </c>
      <c r="BG273" s="374">
        <f t="shared" si="415"/>
        <v>0</v>
      </c>
      <c r="BH273" s="374">
        <f t="shared" si="415"/>
        <v>0</v>
      </c>
      <c r="BI273" s="374">
        <f t="shared" si="415"/>
        <v>0</v>
      </c>
      <c r="BJ273" s="374">
        <f t="shared" si="415"/>
        <v>0</v>
      </c>
      <c r="BK273" s="374">
        <f t="shared" si="415"/>
        <v>0</v>
      </c>
      <c r="BL273" s="374">
        <f t="shared" si="415"/>
        <v>0</v>
      </c>
      <c r="BM273" s="374">
        <f t="shared" si="415"/>
        <v>0</v>
      </c>
      <c r="BN273" s="374">
        <f t="shared" si="415"/>
        <v>0</v>
      </c>
      <c r="BO273" s="374">
        <f t="shared" si="415"/>
        <v>0</v>
      </c>
      <c r="BP273" s="374">
        <f t="shared" si="415"/>
        <v>0</v>
      </c>
      <c r="BQ273" s="374">
        <f t="shared" si="415"/>
        <v>0</v>
      </c>
      <c r="BR273" s="374">
        <f t="shared" si="415"/>
        <v>0</v>
      </c>
      <c r="BS273" s="374">
        <f t="shared" si="415"/>
        <v>0</v>
      </c>
      <c r="BT273" s="374">
        <f t="shared" si="415"/>
        <v>0</v>
      </c>
      <c r="BU273" s="374">
        <f t="shared" si="415"/>
        <v>0</v>
      </c>
    </row>
    <row r="274" spans="1:73" x14ac:dyDescent="0.2">
      <c r="A274" s="186"/>
      <c r="B274" s="186"/>
      <c r="C274" s="186" t="s">
        <v>244</v>
      </c>
      <c r="D274" s="186"/>
      <c r="E274" s="186"/>
      <c r="F274" s="186"/>
      <c r="G274" s="186"/>
      <c r="H274" s="186"/>
      <c r="I274" s="186"/>
      <c r="J274" s="186"/>
      <c r="K274" s="367" t="s">
        <v>63</v>
      </c>
      <c r="L274" s="186"/>
      <c r="M274" s="186"/>
      <c r="N274" s="374">
        <f>R277</f>
        <v>61500</v>
      </c>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c r="AN274" s="374"/>
      <c r="AO274" s="374"/>
      <c r="AP274" s="374"/>
      <c r="AQ274" s="374"/>
      <c r="AR274" s="374"/>
      <c r="AS274" s="374"/>
      <c r="AT274" s="374"/>
      <c r="AU274" s="374"/>
      <c r="AV274" s="374"/>
      <c r="AW274" s="374"/>
      <c r="AX274" s="374"/>
      <c r="AY274" s="374"/>
      <c r="AZ274" s="374"/>
      <c r="BA274" s="374"/>
      <c r="BB274" s="374"/>
      <c r="BC274" s="374"/>
      <c r="BD274" s="374"/>
      <c r="BE274" s="374"/>
      <c r="BF274" s="374"/>
      <c r="BG274" s="374"/>
      <c r="BH274" s="374"/>
      <c r="BI274" s="374"/>
      <c r="BJ274" s="374"/>
      <c r="BK274" s="374"/>
      <c r="BL274" s="374"/>
      <c r="BM274" s="374"/>
      <c r="BN274" s="374"/>
      <c r="BO274" s="374"/>
      <c r="BP274" s="374"/>
      <c r="BQ274" s="374"/>
      <c r="BR274" s="374"/>
      <c r="BS274" s="374"/>
      <c r="BT274" s="374"/>
      <c r="BU274" s="374"/>
    </row>
    <row r="275" spans="1:73" x14ac:dyDescent="0.2">
      <c r="A275" s="186"/>
      <c r="B275" s="186"/>
      <c r="C275" s="186" t="s">
        <v>245</v>
      </c>
      <c r="D275" s="186"/>
      <c r="E275" s="186"/>
      <c r="F275" s="186"/>
      <c r="G275" s="186"/>
      <c r="H275" s="186"/>
      <c r="I275" s="186"/>
      <c r="J275" s="186"/>
      <c r="K275" s="367" t="s">
        <v>63</v>
      </c>
      <c r="L275" s="186"/>
      <c r="M275" s="186"/>
      <c r="N275" s="374">
        <f>SUM(Q275:BU275)</f>
        <v>248128.52990361626</v>
      </c>
      <c r="O275" s="374"/>
      <c r="P275" s="374"/>
      <c r="Q275" s="374"/>
      <c r="R275" s="374">
        <f t="shared" ref="R275:AW275" si="416">MAX(0,MIN(R267,R270-R273)) * R255 * R12*(R255)</f>
        <v>0</v>
      </c>
      <c r="S275" s="374">
        <f t="shared" si="416"/>
        <v>0</v>
      </c>
      <c r="T275" s="374">
        <f t="shared" si="416"/>
        <v>0</v>
      </c>
      <c r="U275" s="374">
        <f t="shared" si="416"/>
        <v>0</v>
      </c>
      <c r="V275" s="374">
        <f t="shared" si="416"/>
        <v>3973.3070391430374</v>
      </c>
      <c r="W275" s="374">
        <f t="shared" si="416"/>
        <v>2186.781713659766</v>
      </c>
      <c r="X275" s="374">
        <f t="shared" si="416"/>
        <v>404.15483066316665</v>
      </c>
      <c r="Y275" s="374">
        <f t="shared" si="416"/>
        <v>587.47197038256127</v>
      </c>
      <c r="Z275" s="374">
        <f t="shared" si="416"/>
        <v>1438.7543011091111</v>
      </c>
      <c r="AA275" s="374">
        <f t="shared" si="416"/>
        <v>1621.8091364062057</v>
      </c>
      <c r="AB275" s="374">
        <f t="shared" si="416"/>
        <v>1803.391462022475</v>
      </c>
      <c r="AC275" s="374">
        <f t="shared" si="416"/>
        <v>1805.9984307099658</v>
      </c>
      <c r="AD275" s="374">
        <f t="shared" si="416"/>
        <v>2105.1144933757896</v>
      </c>
      <c r="AE275" s="374">
        <f t="shared" si="416"/>
        <v>2345.9547922531128</v>
      </c>
      <c r="AF275" s="374">
        <f t="shared" si="416"/>
        <v>2521.5989788574298</v>
      </c>
      <c r="AG275" s="374">
        <f t="shared" si="416"/>
        <v>2537.3170424353593</v>
      </c>
      <c r="AH275" s="374">
        <f t="shared" si="416"/>
        <v>2918.0170983109347</v>
      </c>
      <c r="AI275" s="374">
        <f t="shared" si="416"/>
        <v>3396.2547222850553</v>
      </c>
      <c r="AJ275" s="374">
        <f t="shared" si="416"/>
        <v>4362.9094294107927</v>
      </c>
      <c r="AK275" s="374">
        <f t="shared" si="416"/>
        <v>4761.2757917118724</v>
      </c>
      <c r="AL275" s="374">
        <f t="shared" si="416"/>
        <v>4660.2743023161602</v>
      </c>
      <c r="AM275" s="374">
        <f t="shared" si="416"/>
        <v>5104.1137839636067</v>
      </c>
      <c r="AN275" s="374">
        <f t="shared" si="416"/>
        <v>697.80868542422832</v>
      </c>
      <c r="AO275" s="374">
        <f t="shared" si="416"/>
        <v>27326.006116330274</v>
      </c>
      <c r="AP275" s="374">
        <f t="shared" si="416"/>
        <v>0</v>
      </c>
      <c r="AQ275" s="374">
        <f t="shared" si="416"/>
        <v>0</v>
      </c>
      <c r="AR275" s="374">
        <f t="shared" si="416"/>
        <v>0</v>
      </c>
      <c r="AS275" s="374">
        <f t="shared" si="416"/>
        <v>277.67235514649656</v>
      </c>
      <c r="AT275" s="374">
        <f t="shared" si="416"/>
        <v>76641.246891439107</v>
      </c>
      <c r="AU275" s="374">
        <f t="shared" si="416"/>
        <v>74540.150844539225</v>
      </c>
      <c r="AV275" s="374">
        <f t="shared" si="416"/>
        <v>982.72032654244686</v>
      </c>
      <c r="AW275" s="374">
        <f t="shared" si="416"/>
        <v>470.88291640568059</v>
      </c>
      <c r="AX275" s="374">
        <f t="shared" ref="AX275:BU275" si="417">MAX(0,MIN(AX267,AX270-AX273)) * AX255 * AX12*(AX255)</f>
        <v>8710.3083716197871</v>
      </c>
      <c r="AY275" s="374">
        <f t="shared" si="417"/>
        <v>9947.2340771526215</v>
      </c>
      <c r="AZ275" s="374">
        <f t="shared" si="417"/>
        <v>0</v>
      </c>
      <c r="BA275" s="374">
        <f t="shared" si="417"/>
        <v>0</v>
      </c>
      <c r="BB275" s="374">
        <f t="shared" si="417"/>
        <v>0</v>
      </c>
      <c r="BC275" s="374">
        <f t="shared" si="417"/>
        <v>0</v>
      </c>
      <c r="BD275" s="374">
        <f t="shared" si="417"/>
        <v>0</v>
      </c>
      <c r="BE275" s="374">
        <f t="shared" si="417"/>
        <v>0</v>
      </c>
      <c r="BF275" s="374">
        <f t="shared" si="417"/>
        <v>0</v>
      </c>
      <c r="BG275" s="374">
        <f t="shared" si="417"/>
        <v>0</v>
      </c>
      <c r="BH275" s="374">
        <f t="shared" si="417"/>
        <v>0</v>
      </c>
      <c r="BI275" s="374">
        <f t="shared" si="417"/>
        <v>0</v>
      </c>
      <c r="BJ275" s="374">
        <f t="shared" si="417"/>
        <v>0</v>
      </c>
      <c r="BK275" s="374">
        <f t="shared" si="417"/>
        <v>0</v>
      </c>
      <c r="BL275" s="374">
        <f t="shared" si="417"/>
        <v>0</v>
      </c>
      <c r="BM275" s="374">
        <f t="shared" si="417"/>
        <v>0</v>
      </c>
      <c r="BN275" s="374">
        <f t="shared" si="417"/>
        <v>0</v>
      </c>
      <c r="BO275" s="374">
        <f t="shared" si="417"/>
        <v>0</v>
      </c>
      <c r="BP275" s="374">
        <f t="shared" si="417"/>
        <v>0</v>
      </c>
      <c r="BQ275" s="374">
        <f t="shared" si="417"/>
        <v>0</v>
      </c>
      <c r="BR275" s="374">
        <f t="shared" si="417"/>
        <v>0</v>
      </c>
      <c r="BS275" s="374">
        <f t="shared" si="417"/>
        <v>0</v>
      </c>
      <c r="BT275" s="374">
        <f t="shared" si="417"/>
        <v>0</v>
      </c>
      <c r="BU275" s="374">
        <f t="shared" si="417"/>
        <v>0</v>
      </c>
    </row>
    <row r="276" spans="1:73" ht="13.5" thickBot="1" x14ac:dyDescent="0.25">
      <c r="A276" s="186"/>
      <c r="B276" s="186"/>
      <c r="C276" s="186" t="s">
        <v>246</v>
      </c>
      <c r="D276" s="186"/>
      <c r="E276" s="186"/>
      <c r="F276" s="186"/>
      <c r="G276" s="186"/>
      <c r="H276" s="186"/>
      <c r="I276" s="186"/>
      <c r="J276" s="186"/>
      <c r="K276" s="367" t="s">
        <v>63</v>
      </c>
      <c r="L276" s="186"/>
      <c r="M276" s="186"/>
      <c r="N276" s="374">
        <f>SUM(Q276:BU276)</f>
        <v>-309628.52990361629</v>
      </c>
      <c r="O276" s="374"/>
      <c r="P276" s="374"/>
      <c r="Q276" s="374"/>
      <c r="R276" s="374">
        <f t="shared" ref="R276:AV276" si="418">IF(R256=1,-SUM(R273:R275),-MAX(0,R273-R270)*R255-SUM(R273:R275)*R256)</f>
        <v>0</v>
      </c>
      <c r="S276" s="374">
        <f t="shared" si="418"/>
        <v>0</v>
      </c>
      <c r="T276" s="374">
        <f t="shared" si="418"/>
        <v>0</v>
      </c>
      <c r="U276" s="374">
        <f t="shared" si="418"/>
        <v>-21730.869530352829</v>
      </c>
      <c r="V276" s="374">
        <f t="shared" si="418"/>
        <v>0</v>
      </c>
      <c r="W276" s="374">
        <f t="shared" si="418"/>
        <v>0</v>
      </c>
      <c r="X276" s="374">
        <f t="shared" si="418"/>
        <v>0</v>
      </c>
      <c r="Y276" s="374">
        <f t="shared" si="418"/>
        <v>0</v>
      </c>
      <c r="Z276" s="374">
        <f t="shared" si="418"/>
        <v>0</v>
      </c>
      <c r="AA276" s="374">
        <f t="shared" si="418"/>
        <v>0</v>
      </c>
      <c r="AB276" s="374">
        <f t="shared" si="418"/>
        <v>0</v>
      </c>
      <c r="AC276" s="374">
        <f t="shared" si="418"/>
        <v>0</v>
      </c>
      <c r="AD276" s="374">
        <f t="shared" si="418"/>
        <v>0</v>
      </c>
      <c r="AE276" s="374">
        <f t="shared" si="418"/>
        <v>0</v>
      </c>
      <c r="AF276" s="374">
        <f t="shared" si="418"/>
        <v>0</v>
      </c>
      <c r="AG276" s="374">
        <f t="shared" si="418"/>
        <v>0</v>
      </c>
      <c r="AH276" s="374">
        <f t="shared" si="418"/>
        <v>0</v>
      </c>
      <c r="AI276" s="374">
        <f t="shared" si="418"/>
        <v>0</v>
      </c>
      <c r="AJ276" s="374">
        <f t="shared" si="418"/>
        <v>0</v>
      </c>
      <c r="AK276" s="374">
        <f t="shared" si="418"/>
        <v>0</v>
      </c>
      <c r="AL276" s="374">
        <f t="shared" si="418"/>
        <v>0</v>
      </c>
      <c r="AM276" s="374">
        <f t="shared" si="418"/>
        <v>0</v>
      </c>
      <c r="AN276" s="374">
        <f t="shared" si="418"/>
        <v>0</v>
      </c>
      <c r="AO276" s="374">
        <f t="shared" si="418"/>
        <v>0</v>
      </c>
      <c r="AP276" s="374">
        <f t="shared" si="418"/>
        <v>-2568.80516300624</v>
      </c>
      <c r="AQ276" s="374">
        <f t="shared" si="418"/>
        <v>-4270.0309883518785</v>
      </c>
      <c r="AR276" s="374">
        <f t="shared" si="418"/>
        <v>-5280.6531192460097</v>
      </c>
      <c r="AS276" s="374">
        <f t="shared" si="418"/>
        <v>0</v>
      </c>
      <c r="AT276" s="374">
        <f t="shared" si="418"/>
        <v>0</v>
      </c>
      <c r="AU276" s="374">
        <f t="shared" si="418"/>
        <v>0</v>
      </c>
      <c r="AV276" s="374">
        <f t="shared" si="418"/>
        <v>0</v>
      </c>
      <c r="AW276" s="374">
        <f t="shared" ref="AW276:BU276" si="419">IF(AW256=1,-SUM(AW273:AW275),-MAX(0,AW273-AW270)*AW255-SUM(AW273:AW275)*AW256)</f>
        <v>0</v>
      </c>
      <c r="AX276" s="374">
        <f t="shared" si="419"/>
        <v>0</v>
      </c>
      <c r="AY276" s="374">
        <f t="shared" si="419"/>
        <v>0</v>
      </c>
      <c r="AZ276" s="374">
        <f t="shared" si="419"/>
        <v>-148.58876412024256</v>
      </c>
      <c r="BA276" s="374">
        <f t="shared" si="419"/>
        <v>-465.42823474953184</v>
      </c>
      <c r="BB276" s="374">
        <f t="shared" si="419"/>
        <v>-331.39155571471201</v>
      </c>
      <c r="BC276" s="374">
        <f t="shared" si="419"/>
        <v>-348.7896123896935</v>
      </c>
      <c r="BD276" s="374">
        <f t="shared" si="419"/>
        <v>-135563.62357595254</v>
      </c>
      <c r="BE276" s="374">
        <f t="shared" si="419"/>
        <v>-138920.34935973259</v>
      </c>
      <c r="BF276" s="374">
        <f t="shared" si="419"/>
        <v>0</v>
      </c>
      <c r="BG276" s="374">
        <f t="shared" si="419"/>
        <v>0</v>
      </c>
      <c r="BH276" s="374">
        <f t="shared" si="419"/>
        <v>0</v>
      </c>
      <c r="BI276" s="374">
        <f t="shared" si="419"/>
        <v>0</v>
      </c>
      <c r="BJ276" s="374">
        <f t="shared" si="419"/>
        <v>0</v>
      </c>
      <c r="BK276" s="374">
        <f t="shared" si="419"/>
        <v>0</v>
      </c>
      <c r="BL276" s="374">
        <f t="shared" si="419"/>
        <v>0</v>
      </c>
      <c r="BM276" s="374">
        <f t="shared" si="419"/>
        <v>0</v>
      </c>
      <c r="BN276" s="374">
        <f t="shared" si="419"/>
        <v>0</v>
      </c>
      <c r="BO276" s="374">
        <f t="shared" si="419"/>
        <v>0</v>
      </c>
      <c r="BP276" s="374">
        <f t="shared" si="419"/>
        <v>0</v>
      </c>
      <c r="BQ276" s="374">
        <f t="shared" si="419"/>
        <v>0</v>
      </c>
      <c r="BR276" s="374">
        <f t="shared" si="419"/>
        <v>0</v>
      </c>
      <c r="BS276" s="374">
        <f t="shared" si="419"/>
        <v>0</v>
      </c>
      <c r="BT276" s="374">
        <f t="shared" si="419"/>
        <v>0</v>
      </c>
      <c r="BU276" s="374">
        <f t="shared" si="419"/>
        <v>0</v>
      </c>
    </row>
    <row r="277" spans="1:73" ht="13.5" thickBot="1" x14ac:dyDescent="0.25">
      <c r="A277" s="186"/>
      <c r="B277" s="186"/>
      <c r="C277" s="186" t="s">
        <v>138</v>
      </c>
      <c r="D277" s="186"/>
      <c r="E277" s="186"/>
      <c r="F277" s="186"/>
      <c r="G277" s="186"/>
      <c r="H277" s="186"/>
      <c r="I277" s="186"/>
      <c r="J277" s="186"/>
      <c r="K277" s="367"/>
      <c r="L277" s="186"/>
      <c r="M277" s="186"/>
      <c r="N277" s="385">
        <f>IF(ROUND(SUM(N274:N276),2) = 0,0,1)</f>
        <v>0</v>
      </c>
      <c r="O277" s="374"/>
      <c r="P277" s="374"/>
      <c r="Q277" s="373"/>
      <c r="R277" s="373">
        <f>+Inputs!$L$216</f>
        <v>61500</v>
      </c>
      <c r="S277" s="374">
        <f t="shared" ref="S277:AO277" si="420">SUM(S273:S276)</f>
        <v>61500</v>
      </c>
      <c r="T277" s="374">
        <f t="shared" si="420"/>
        <v>61500</v>
      </c>
      <c r="U277" s="374">
        <f t="shared" si="420"/>
        <v>39769.130469647171</v>
      </c>
      <c r="V277" s="374">
        <f t="shared" si="420"/>
        <v>43742.437508790208</v>
      </c>
      <c r="W277" s="374">
        <f t="shared" si="420"/>
        <v>45929.219222449974</v>
      </c>
      <c r="X277" s="374">
        <f t="shared" si="420"/>
        <v>46333.374053113141</v>
      </c>
      <c r="Y277" s="374">
        <f t="shared" si="420"/>
        <v>46920.846023495702</v>
      </c>
      <c r="Z277" s="374">
        <f t="shared" si="420"/>
        <v>48359.600324604813</v>
      </c>
      <c r="AA277" s="374">
        <f t="shared" si="420"/>
        <v>49981.409461011019</v>
      </c>
      <c r="AB277" s="374">
        <f t="shared" si="420"/>
        <v>51784.800923033494</v>
      </c>
      <c r="AC277" s="374">
        <f t="shared" si="420"/>
        <v>53590.79935374346</v>
      </c>
      <c r="AD277" s="374">
        <f t="shared" si="420"/>
        <v>55695.913847119249</v>
      </c>
      <c r="AE277" s="374">
        <f t="shared" si="420"/>
        <v>58041.868639372362</v>
      </c>
      <c r="AF277" s="374">
        <f t="shared" si="420"/>
        <v>60563.467618229792</v>
      </c>
      <c r="AG277" s="374">
        <f t="shared" si="420"/>
        <v>63100.784660665151</v>
      </c>
      <c r="AH277" s="374">
        <f t="shared" si="420"/>
        <v>66018.801758976086</v>
      </c>
      <c r="AI277" s="374">
        <f t="shared" si="420"/>
        <v>69415.056481261141</v>
      </c>
      <c r="AJ277" s="374">
        <f t="shared" si="420"/>
        <v>73777.965910671934</v>
      </c>
      <c r="AK277" s="374">
        <f t="shared" si="420"/>
        <v>78539.241702383806</v>
      </c>
      <c r="AL277" s="374">
        <f t="shared" si="420"/>
        <v>83199.516004699966</v>
      </c>
      <c r="AM277" s="374">
        <f t="shared" si="420"/>
        <v>88303.629788663573</v>
      </c>
      <c r="AN277" s="374">
        <f t="shared" si="420"/>
        <v>89001.438474087801</v>
      </c>
      <c r="AO277" s="374">
        <f t="shared" si="420"/>
        <v>116327.44459041808</v>
      </c>
      <c r="AP277" s="374">
        <f t="shared" ref="AP277:BR277" si="421">SUM(AP273:AP276)</f>
        <v>113758.63942741184</v>
      </c>
      <c r="AQ277" s="374">
        <f t="shared" si="421"/>
        <v>109488.60843905996</v>
      </c>
      <c r="AR277" s="374">
        <f t="shared" si="421"/>
        <v>104207.95531981395</v>
      </c>
      <c r="AS277" s="374">
        <f t="shared" si="421"/>
        <v>104485.62767496044</v>
      </c>
      <c r="AT277" s="374">
        <f t="shared" si="421"/>
        <v>181126.87456639955</v>
      </c>
      <c r="AU277" s="374">
        <f t="shared" si="421"/>
        <v>255667.02541093878</v>
      </c>
      <c r="AV277" s="374">
        <f t="shared" si="421"/>
        <v>256649.74573748122</v>
      </c>
      <c r="AW277" s="374">
        <f t="shared" si="421"/>
        <v>257120.6286538869</v>
      </c>
      <c r="AX277" s="374">
        <f t="shared" si="421"/>
        <v>265830.93702550669</v>
      </c>
      <c r="AY277" s="374">
        <f t="shared" si="421"/>
        <v>275778.17110265931</v>
      </c>
      <c r="AZ277" s="374">
        <f t="shared" si="421"/>
        <v>275629.58233853907</v>
      </c>
      <c r="BA277" s="374">
        <f t="shared" si="421"/>
        <v>275164.15410378954</v>
      </c>
      <c r="BB277" s="374">
        <f t="shared" si="421"/>
        <v>274832.76254807482</v>
      </c>
      <c r="BC277" s="374">
        <f t="shared" si="421"/>
        <v>274483.97293568513</v>
      </c>
      <c r="BD277" s="374">
        <f t="shared" si="421"/>
        <v>138920.34935973259</v>
      </c>
      <c r="BE277" s="374">
        <f t="shared" si="421"/>
        <v>0</v>
      </c>
      <c r="BF277" s="374">
        <f t="shared" si="421"/>
        <v>0</v>
      </c>
      <c r="BG277" s="374">
        <f t="shared" si="421"/>
        <v>0</v>
      </c>
      <c r="BH277" s="374">
        <f t="shared" si="421"/>
        <v>0</v>
      </c>
      <c r="BI277" s="374">
        <f t="shared" si="421"/>
        <v>0</v>
      </c>
      <c r="BJ277" s="374">
        <f t="shared" si="421"/>
        <v>0</v>
      </c>
      <c r="BK277" s="374">
        <f t="shared" si="421"/>
        <v>0</v>
      </c>
      <c r="BL277" s="374">
        <f t="shared" si="421"/>
        <v>0</v>
      </c>
      <c r="BM277" s="374">
        <f t="shared" si="421"/>
        <v>0</v>
      </c>
      <c r="BN277" s="374">
        <f t="shared" si="421"/>
        <v>0</v>
      </c>
      <c r="BO277" s="374">
        <f t="shared" si="421"/>
        <v>0</v>
      </c>
      <c r="BP277" s="374">
        <f t="shared" si="421"/>
        <v>0</v>
      </c>
      <c r="BQ277" s="374">
        <f t="shared" si="421"/>
        <v>0</v>
      </c>
      <c r="BR277" s="374">
        <f t="shared" si="421"/>
        <v>0</v>
      </c>
      <c r="BS277" s="374">
        <f t="shared" ref="BS277:BU277" si="422">SUM(BS273:BS276)</f>
        <v>0</v>
      </c>
      <c r="BT277" s="374">
        <f t="shared" si="422"/>
        <v>0</v>
      </c>
      <c r="BU277" s="374">
        <f t="shared" si="422"/>
        <v>0</v>
      </c>
    </row>
    <row r="278" spans="1:73" x14ac:dyDescent="0.2">
      <c r="A278" s="186"/>
      <c r="B278" s="186"/>
      <c r="C278" s="186"/>
      <c r="D278" s="186"/>
      <c r="E278" s="186"/>
      <c r="F278" s="186"/>
      <c r="G278" s="186"/>
      <c r="H278" s="186"/>
      <c r="I278" s="186"/>
      <c r="J278" s="186"/>
      <c r="K278" s="367"/>
      <c r="L278" s="186"/>
      <c r="M278" s="186"/>
      <c r="N278" s="374"/>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row>
    <row r="279" spans="1:73" ht="15.75" x14ac:dyDescent="0.25">
      <c r="A279" s="186"/>
      <c r="B279" s="186"/>
      <c r="C279" s="456" t="s">
        <v>317</v>
      </c>
      <c r="D279" s="186"/>
      <c r="E279" s="186"/>
      <c r="F279" s="186"/>
      <c r="G279" s="186"/>
      <c r="H279" s="186"/>
      <c r="I279" s="186"/>
      <c r="J279" s="186"/>
      <c r="K279" s="367"/>
      <c r="L279" s="186"/>
      <c r="M279" s="186"/>
      <c r="N279" s="461"/>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row>
    <row r="280" spans="1:73" x14ac:dyDescent="0.2">
      <c r="A280" s="186"/>
      <c r="B280" s="186"/>
      <c r="C280" s="232"/>
      <c r="D280" s="232"/>
      <c r="E280" s="232"/>
      <c r="F280" s="232"/>
      <c r="G280" s="232"/>
      <c r="H280" s="232"/>
      <c r="I280" s="232"/>
      <c r="J280" s="232"/>
      <c r="K280" s="618"/>
      <c r="L280" s="398"/>
      <c r="M280" s="186"/>
      <c r="N280" s="461"/>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row>
    <row r="281" spans="1:73" x14ac:dyDescent="0.2">
      <c r="A281" s="186"/>
      <c r="B281" s="186"/>
      <c r="C281" s="210" t="s">
        <v>315</v>
      </c>
      <c r="D281" s="186"/>
      <c r="E281" s="186"/>
      <c r="F281" s="186"/>
      <c r="G281" s="186"/>
      <c r="H281" s="186"/>
      <c r="I281" s="186"/>
      <c r="J281" s="186"/>
      <c r="K281" s="622" t="s">
        <v>51</v>
      </c>
      <c r="L281" s="186"/>
      <c r="M281" s="186"/>
      <c r="N281" s="461"/>
      <c r="O281" s="186"/>
      <c r="P281" s="186"/>
      <c r="Q281" s="371"/>
      <c r="R281" s="371">
        <f>IF(R7=Inputs!$L$132,1,0)</f>
        <v>0</v>
      </c>
      <c r="S281" s="371">
        <f>IF(S7=Inputs!$L$132,1,0)</f>
        <v>0</v>
      </c>
      <c r="T281" s="371">
        <f>IF(T7=Inputs!$L$132,1,0)</f>
        <v>0</v>
      </c>
      <c r="U281" s="371">
        <f>IF(U7=Inputs!$L$132,1,0)</f>
        <v>0</v>
      </c>
      <c r="V281" s="371">
        <f>IF(V7=Inputs!$L$132,1,0)</f>
        <v>0</v>
      </c>
      <c r="W281" s="371">
        <f>IF(W7=Inputs!$L$132,1,0)</f>
        <v>0</v>
      </c>
      <c r="X281" s="371">
        <f>IF(X7=Inputs!$L$132,1,0)</f>
        <v>0</v>
      </c>
      <c r="Y281" s="371">
        <f>IF(Y7=Inputs!$L$132,1,0)</f>
        <v>0</v>
      </c>
      <c r="Z281" s="371">
        <f>IF(Z7=Inputs!$L$132,1,0)</f>
        <v>0</v>
      </c>
      <c r="AA281" s="371">
        <f>IF(AA7=Inputs!$L$132,1,0)</f>
        <v>0</v>
      </c>
      <c r="AB281" s="371">
        <f>IF(AB7=Inputs!$L$132,1,0)</f>
        <v>0</v>
      </c>
      <c r="AC281" s="371">
        <f>IF(AC7=Inputs!$L$132,1,0)</f>
        <v>0</v>
      </c>
      <c r="AD281" s="371">
        <f>IF(AD7=Inputs!$L$132,1,0)</f>
        <v>0</v>
      </c>
      <c r="AE281" s="371">
        <f>IF(AE7=Inputs!$L$132,1,0)</f>
        <v>0</v>
      </c>
      <c r="AF281" s="371">
        <f>IF(AF7=Inputs!$L$132,1,0)</f>
        <v>0</v>
      </c>
      <c r="AG281" s="371">
        <f>IF(AG7=Inputs!$L$132,1,0)</f>
        <v>0</v>
      </c>
      <c r="AH281" s="371">
        <f>IF(AH7=Inputs!$L$132,1,0)</f>
        <v>0</v>
      </c>
      <c r="AI281" s="371">
        <f>IF(AI7=Inputs!$L$132,1,0)</f>
        <v>0</v>
      </c>
      <c r="AJ281" s="371">
        <f>IF(AJ7=Inputs!$L$132,1,0)</f>
        <v>0</v>
      </c>
      <c r="AK281" s="371">
        <f>IF(AK7=Inputs!$L$132,1,0)</f>
        <v>0</v>
      </c>
      <c r="AL281" s="371">
        <f>IF(AL7=Inputs!$L$132,1,0)</f>
        <v>0</v>
      </c>
      <c r="AM281" s="371">
        <f>IF(AM7=Inputs!$L$132,1,0)</f>
        <v>0</v>
      </c>
      <c r="AN281" s="371">
        <f>IF(AN7=Inputs!$L$132,1,0)</f>
        <v>0</v>
      </c>
      <c r="AO281" s="371">
        <f>IF(AO7=Inputs!$L$132,1,0)</f>
        <v>0</v>
      </c>
      <c r="AP281" s="371">
        <f>IF(AP7=Inputs!$L$132,1,0)</f>
        <v>0</v>
      </c>
      <c r="AQ281" s="371">
        <f>IF(AQ7=Inputs!$L$132,1,0)</f>
        <v>0</v>
      </c>
      <c r="AR281" s="371">
        <f>IF(AR7=Inputs!$L$132,1,0)</f>
        <v>0</v>
      </c>
      <c r="AS281" s="371">
        <f>IF(AS7=Inputs!$L$132,1,0)</f>
        <v>0</v>
      </c>
      <c r="AT281" s="371">
        <f>IF(AT7=Inputs!$L$132,1,0)</f>
        <v>0</v>
      </c>
      <c r="AU281" s="371">
        <f>IF(AU7=Inputs!$L$132,1,0)</f>
        <v>0</v>
      </c>
      <c r="AV281" s="371">
        <f>IF(AV7=Inputs!$L$132,1,0)</f>
        <v>0</v>
      </c>
      <c r="AW281" s="371">
        <f>IF(AW7=Inputs!$L$132,1,0)</f>
        <v>0</v>
      </c>
      <c r="AX281" s="371">
        <f>IF(AX7=Inputs!$L$132,1,0)</f>
        <v>0</v>
      </c>
      <c r="AY281" s="371">
        <f>IF(AY7=Inputs!$L$132,1,0)</f>
        <v>0</v>
      </c>
      <c r="AZ281" s="371">
        <f>IF(AZ7=Inputs!$L$132,1,0)</f>
        <v>0</v>
      </c>
      <c r="BA281" s="371">
        <f>IF(BA7=Inputs!$L$132,1,0)</f>
        <v>0</v>
      </c>
      <c r="BB281" s="371">
        <f>IF(BB7=Inputs!$L$132,1,0)</f>
        <v>0</v>
      </c>
      <c r="BC281" s="371">
        <f>IF(BC7=Inputs!$L$132,1,0)</f>
        <v>0</v>
      </c>
      <c r="BD281" s="371">
        <f>IF(BD7=Inputs!$L$132,1,0)</f>
        <v>0</v>
      </c>
      <c r="BE281" s="371">
        <f>IF(BE7=Inputs!$L$132,1,0)</f>
        <v>1</v>
      </c>
      <c r="BF281" s="371">
        <f>IF(BF7=Inputs!$L$132,1,0)</f>
        <v>0</v>
      </c>
      <c r="BG281" s="371">
        <f>IF(BG7=Inputs!$L$132,1,0)</f>
        <v>0</v>
      </c>
      <c r="BH281" s="371">
        <f>IF(BH7=Inputs!$L$132,1,0)</f>
        <v>0</v>
      </c>
      <c r="BI281" s="371">
        <f>IF(BI7=Inputs!$L$132,1,0)</f>
        <v>0</v>
      </c>
      <c r="BJ281" s="371">
        <f>IF(BJ7=Inputs!$L$132,1,0)</f>
        <v>0</v>
      </c>
      <c r="BK281" s="371">
        <f>IF(BK7=Inputs!$L$132,1,0)</f>
        <v>0</v>
      </c>
      <c r="BL281" s="371">
        <f>IF(BL7=Inputs!$L$132,1,0)</f>
        <v>0</v>
      </c>
      <c r="BM281" s="371">
        <f>IF(BM7=Inputs!$L$132,1,0)</f>
        <v>0</v>
      </c>
      <c r="BN281" s="371">
        <f>IF(BN7=Inputs!$L$132,1,0)</f>
        <v>0</v>
      </c>
      <c r="BO281" s="371">
        <f>IF(BO7=Inputs!$L$132,1,0)</f>
        <v>0</v>
      </c>
      <c r="BP281" s="371">
        <f>IF(BP7=Inputs!$L$132,1,0)</f>
        <v>0</v>
      </c>
      <c r="BQ281" s="371">
        <f>IF(BQ7=Inputs!$L$132,1,0)</f>
        <v>0</v>
      </c>
      <c r="BR281" s="371">
        <f>IF(BR7=Inputs!$L$132,1,0)</f>
        <v>0</v>
      </c>
      <c r="BS281" s="371">
        <f>IF(BS7=Inputs!$L$132,1,0)</f>
        <v>0</v>
      </c>
      <c r="BT281" s="371">
        <f>IF(BT7=Inputs!$L$132,1,0)</f>
        <v>0</v>
      </c>
      <c r="BU281" s="371">
        <f>IF(BU7=Inputs!$L$132,1,0)</f>
        <v>0</v>
      </c>
    </row>
    <row r="282" spans="1:73" x14ac:dyDescent="0.2">
      <c r="A282" s="186"/>
      <c r="B282" s="186"/>
      <c r="C282" s="210" t="s">
        <v>316</v>
      </c>
      <c r="D282" s="186"/>
      <c r="E282" s="186"/>
      <c r="F282" s="186"/>
      <c r="G282" s="186"/>
      <c r="H282" s="186"/>
      <c r="I282" s="186"/>
      <c r="J282" s="186"/>
      <c r="K282" s="622" t="s">
        <v>51</v>
      </c>
      <c r="L282" s="186"/>
      <c r="M282" s="186"/>
      <c r="N282" s="461"/>
      <c r="O282" s="186"/>
      <c r="P282" s="186"/>
      <c r="Q282" s="371"/>
      <c r="R282" s="371">
        <f>IF(SUM($Q$281:R281)=1,1,0)*IF(R7&lt;=Inputs!$L$133,1,0)</f>
        <v>0</v>
      </c>
      <c r="S282" s="371">
        <f>IF(SUM($Q$281:S281)=1,1,0)*IF(S7&lt;=Inputs!$L$133,1,0)</f>
        <v>0</v>
      </c>
      <c r="T282" s="371">
        <f>IF(SUM($Q$281:T281)=1,1,0)*IF(T7&lt;=Inputs!$L$133,1,0)</f>
        <v>0</v>
      </c>
      <c r="U282" s="371">
        <f>IF(SUM($Q$281:U281)=1,1,0)*IF(U7&lt;=Inputs!$L$133,1,0)</f>
        <v>0</v>
      </c>
      <c r="V282" s="371">
        <f>IF(SUM($Q$281:V281)=1,1,0)*IF(V7&lt;=Inputs!$L$133,1,0)</f>
        <v>0</v>
      </c>
      <c r="W282" s="371">
        <f>IF(SUM($Q$281:W281)=1,1,0)*IF(W7&lt;=Inputs!$L$133,1,0)</f>
        <v>0</v>
      </c>
      <c r="X282" s="371">
        <f>IF(SUM($Q$281:X281)=1,1,0)*IF(X7&lt;=Inputs!$L$133,1,0)</f>
        <v>0</v>
      </c>
      <c r="Y282" s="371">
        <f>IF(SUM($Q$281:Y281)=1,1,0)*IF(Y7&lt;=Inputs!$L$133,1,0)</f>
        <v>0</v>
      </c>
      <c r="Z282" s="371">
        <f>IF(SUM($Q$281:Z281)=1,1,0)*IF(Z7&lt;=Inputs!$L$133,1,0)</f>
        <v>0</v>
      </c>
      <c r="AA282" s="371">
        <f>IF(SUM($Q$281:AA281)=1,1,0)*IF(AA7&lt;=Inputs!$L$133,1,0)</f>
        <v>0</v>
      </c>
      <c r="AB282" s="371">
        <f>IF(SUM($Q$281:AB281)=1,1,0)*IF(AB7&lt;=Inputs!$L$133,1,0)</f>
        <v>0</v>
      </c>
      <c r="AC282" s="371">
        <f>IF(SUM($Q$281:AC281)=1,1,0)*IF(AC7&lt;=Inputs!$L$133,1,0)</f>
        <v>0</v>
      </c>
      <c r="AD282" s="371">
        <f>IF(SUM($Q$281:AD281)=1,1,0)*IF(AD7&lt;=Inputs!$L$133,1,0)</f>
        <v>0</v>
      </c>
      <c r="AE282" s="371">
        <f>IF(SUM($Q$281:AE281)=1,1,0)*IF(AE7&lt;=Inputs!$L$133,1,0)</f>
        <v>0</v>
      </c>
      <c r="AF282" s="371">
        <f>IF(SUM($Q$281:AF281)=1,1,0)*IF(AF7&lt;=Inputs!$L$133,1,0)</f>
        <v>0</v>
      </c>
      <c r="AG282" s="371">
        <f>IF(SUM($Q$281:AG281)=1,1,0)*IF(AG7&lt;=Inputs!$L$133,1,0)</f>
        <v>0</v>
      </c>
      <c r="AH282" s="371">
        <f>IF(SUM($Q$281:AH281)=1,1,0)*IF(AH7&lt;=Inputs!$L$133,1,0)</f>
        <v>0</v>
      </c>
      <c r="AI282" s="371">
        <f>IF(SUM($Q$281:AI281)=1,1,0)*IF(AI7&lt;=Inputs!$L$133,1,0)</f>
        <v>0</v>
      </c>
      <c r="AJ282" s="371">
        <f>IF(SUM($Q$281:AJ281)=1,1,0)*IF(AJ7&lt;=Inputs!$L$133,1,0)</f>
        <v>0</v>
      </c>
      <c r="AK282" s="371">
        <f>IF(SUM($Q$281:AK281)=1,1,0)*IF(AK7&lt;=Inputs!$L$133,1,0)</f>
        <v>0</v>
      </c>
      <c r="AL282" s="371">
        <f>IF(SUM($Q$281:AL281)=1,1,0)*IF(AL7&lt;=Inputs!$L$133,1,0)</f>
        <v>0</v>
      </c>
      <c r="AM282" s="371">
        <f>IF(SUM($Q$281:AM281)=1,1,0)*IF(AM7&lt;=Inputs!$L$133,1,0)</f>
        <v>0</v>
      </c>
      <c r="AN282" s="371">
        <f>IF(SUM($Q$281:AN281)=1,1,0)*IF(AN7&lt;=Inputs!$L$133,1,0)</f>
        <v>0</v>
      </c>
      <c r="AO282" s="371">
        <f>IF(SUM($Q$281:AO281)=1,1,0)*IF(AO7&lt;=Inputs!$L$133,1,0)</f>
        <v>0</v>
      </c>
      <c r="AP282" s="371">
        <f>IF(SUM($Q$281:AP281)=1,1,0)*IF(AP7&lt;=Inputs!$L$133,1,0)</f>
        <v>0</v>
      </c>
      <c r="AQ282" s="371">
        <f>IF(SUM($Q$281:AQ281)=1,1,0)*IF(AQ7&lt;=Inputs!$L$133,1,0)</f>
        <v>0</v>
      </c>
      <c r="AR282" s="371">
        <f>IF(SUM($Q$281:AR281)=1,1,0)*IF(AR7&lt;=Inputs!$L$133,1,0)</f>
        <v>0</v>
      </c>
      <c r="AS282" s="371">
        <f>IF(SUM($Q$281:AS281)=1,1,0)*IF(AS7&lt;=Inputs!$L$133,1,0)</f>
        <v>0</v>
      </c>
      <c r="AT282" s="371">
        <f>IF(SUM($Q$281:AT281)=1,1,0)*IF(AT7&lt;=Inputs!$L$133,1,0)</f>
        <v>0</v>
      </c>
      <c r="AU282" s="371">
        <f>IF(SUM($Q$281:AU281)=1,1,0)*IF(AU7&lt;=Inputs!$L$133,1,0)</f>
        <v>0</v>
      </c>
      <c r="AV282" s="371">
        <f>IF(SUM($Q$281:AV281)=1,1,0)*IF(AV7&lt;=Inputs!$L$133,1,0)</f>
        <v>0</v>
      </c>
      <c r="AW282" s="371">
        <f>IF(SUM($Q$281:AW281)=1,1,0)*IF(AW7&lt;=Inputs!$L$133,1,0)</f>
        <v>0</v>
      </c>
      <c r="AX282" s="371">
        <f>IF(SUM($Q$281:AX281)=1,1,0)*IF(AX7&lt;=Inputs!$L$133,1,0)</f>
        <v>0</v>
      </c>
      <c r="AY282" s="371">
        <f>IF(SUM($Q$281:AY281)=1,1,0)*IF(AY7&lt;=Inputs!$L$133,1,0)</f>
        <v>0</v>
      </c>
      <c r="AZ282" s="371">
        <f>IF(SUM($Q$281:AZ281)=1,1,0)*IF(AZ7&lt;=Inputs!$L$133,1,0)</f>
        <v>0</v>
      </c>
      <c r="BA282" s="371">
        <f>IF(SUM($Q$281:BA281)=1,1,0)*IF(BA7&lt;=Inputs!$L$133,1,0)</f>
        <v>0</v>
      </c>
      <c r="BB282" s="371">
        <f>IF(SUM($Q$281:BB281)=1,1,0)*IF(BB7&lt;=Inputs!$L$133,1,0)</f>
        <v>0</v>
      </c>
      <c r="BC282" s="371">
        <f>IF(SUM($Q$281:BC281)=1,1,0)*IF(BC7&lt;=Inputs!$L$133,1,0)</f>
        <v>0</v>
      </c>
      <c r="BD282" s="371">
        <f>IF(SUM($Q$281:BD281)=1,1,0)*IF(BD7&lt;=Inputs!$L$133,1,0)</f>
        <v>0</v>
      </c>
      <c r="BE282" s="371">
        <f>IF(SUM($Q$281:BE281)=1,1,0)*IF(BE7&lt;=Inputs!$L$133,1,0)</f>
        <v>1</v>
      </c>
      <c r="BF282" s="371">
        <f>IF(SUM($Q$281:BF281)=1,1,0)*IF(BF7&lt;=Inputs!$L$133,1,0)</f>
        <v>1</v>
      </c>
      <c r="BG282" s="371">
        <f>IF(SUM($Q$281:BG281)=1,1,0)*IF(BG7&lt;=Inputs!$L$133,1,0)</f>
        <v>1</v>
      </c>
      <c r="BH282" s="371">
        <f>IF(SUM($Q$281:BH281)=1,1,0)*IF(BH7&lt;=Inputs!$L$133,1,0)</f>
        <v>1</v>
      </c>
      <c r="BI282" s="371">
        <f>IF(SUM($Q$281:BI281)=1,1,0)*IF(BI7&lt;=Inputs!$L$133,1,0)</f>
        <v>1</v>
      </c>
      <c r="BJ282" s="371">
        <f>IF(SUM($Q$281:BJ281)=1,1,0)*IF(BJ7&lt;=Inputs!$L$133,1,0)</f>
        <v>1</v>
      </c>
      <c r="BK282" s="371">
        <f>IF(SUM($Q$281:BK281)=1,1,0)*IF(BK7&lt;=Inputs!$L$133,1,0)</f>
        <v>0</v>
      </c>
      <c r="BL282" s="371">
        <f>IF(SUM($Q$281:BL281)=1,1,0)*IF(BL7&lt;=Inputs!$L$133,1,0)</f>
        <v>0</v>
      </c>
      <c r="BM282" s="371">
        <f>IF(SUM($Q$281:BM281)=1,1,0)*IF(BM7&lt;=Inputs!$L$133,1,0)</f>
        <v>0</v>
      </c>
      <c r="BN282" s="371">
        <f>IF(SUM($Q$281:BN281)=1,1,0)*IF(BN7&lt;=Inputs!$L$133,1,0)</f>
        <v>0</v>
      </c>
      <c r="BO282" s="371">
        <f>IF(SUM($Q$281:BO281)=1,1,0)*IF(BO7&lt;=Inputs!$L$133,1,0)</f>
        <v>0</v>
      </c>
      <c r="BP282" s="371">
        <f>IF(SUM($Q$281:BP281)=1,1,0)*IF(BP7&lt;=Inputs!$L$133,1,0)</f>
        <v>0</v>
      </c>
      <c r="BQ282" s="371">
        <f>IF(SUM($Q$281:BQ281)=1,1,0)*IF(BQ7&lt;=Inputs!$L$133,1,0)</f>
        <v>0</v>
      </c>
      <c r="BR282" s="371">
        <f>IF(SUM($Q$281:BR281)=1,1,0)*IF(BR7&lt;=Inputs!$L$133,1,0)</f>
        <v>0</v>
      </c>
      <c r="BS282" s="371">
        <f>IF(SUM($Q$281:BS281)=1,1,0)*IF(BS7&lt;=Inputs!$L$133,1,0)</f>
        <v>0</v>
      </c>
      <c r="BT282" s="371">
        <f>IF(SUM($Q$281:BT281)=1,1,0)*IF(BT7&lt;=Inputs!$L$133,1,0)</f>
        <v>0</v>
      </c>
      <c r="BU282" s="371">
        <f>IF(SUM($Q$281:BU281)=1,1,0)*IF(BU7&lt;=Inputs!$L$133,1,0)</f>
        <v>0</v>
      </c>
    </row>
    <row r="283" spans="1:73" x14ac:dyDescent="0.2">
      <c r="A283" s="186"/>
      <c r="B283" s="186"/>
      <c r="C283" s="186"/>
      <c r="D283" s="186"/>
      <c r="E283" s="186"/>
      <c r="F283" s="186"/>
      <c r="G283" s="186"/>
      <c r="H283" s="186"/>
      <c r="I283" s="186"/>
      <c r="J283" s="186"/>
      <c r="K283" s="367"/>
      <c r="L283" s="186"/>
      <c r="M283" s="186"/>
      <c r="N283" s="461"/>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row>
    <row r="284" spans="1:73" x14ac:dyDescent="0.2">
      <c r="A284" s="186"/>
      <c r="B284" s="186"/>
      <c r="C284" s="186" t="s">
        <v>324</v>
      </c>
      <c r="D284" s="186"/>
      <c r="E284" s="186"/>
      <c r="F284" s="186"/>
      <c r="G284" s="186"/>
      <c r="H284" s="186"/>
      <c r="I284" s="186"/>
      <c r="J284" s="186"/>
      <c r="K284" s="367"/>
      <c r="L284" s="186"/>
      <c r="M284" s="186"/>
      <c r="N284" s="461"/>
      <c r="O284" s="186"/>
      <c r="P284" s="186"/>
      <c r="Q284" s="416"/>
      <c r="R284" s="462"/>
      <c r="S284" s="462"/>
      <c r="T284" s="462"/>
      <c r="U284" s="462"/>
      <c r="V284" s="462"/>
      <c r="W284" s="462"/>
      <c r="X284" s="462"/>
      <c r="Y284" s="462"/>
      <c r="Z284" s="462"/>
      <c r="AA284" s="462"/>
      <c r="AB284" s="462"/>
      <c r="AC284" s="462"/>
      <c r="AD284" s="462"/>
      <c r="AE284" s="462"/>
      <c r="AF284" s="462"/>
      <c r="AG284" s="462"/>
      <c r="AH284" s="462"/>
      <c r="AI284" s="462"/>
      <c r="AJ284" s="462"/>
      <c r="AK284" s="462"/>
      <c r="AL284" s="462"/>
      <c r="AM284" s="462"/>
      <c r="AN284" s="462"/>
      <c r="AO284" s="462"/>
      <c r="AP284" s="462"/>
      <c r="AQ284" s="462"/>
      <c r="AR284" s="462"/>
      <c r="AS284" s="462"/>
      <c r="AT284" s="462"/>
      <c r="AU284" s="462"/>
      <c r="AV284" s="462"/>
      <c r="AW284" s="462"/>
      <c r="AX284" s="462"/>
      <c r="AY284" s="462"/>
      <c r="AZ284" s="462"/>
      <c r="BA284" s="462"/>
      <c r="BB284" s="462"/>
      <c r="BC284" s="462"/>
      <c r="BD284" s="462"/>
      <c r="BE284" s="733">
        <f>+Inputs!L138</f>
        <v>0.25</v>
      </c>
      <c r="BF284" s="733">
        <f>+Inputs!L139</f>
        <v>1</v>
      </c>
      <c r="BG284" s="733">
        <f>+Inputs!L140</f>
        <v>1</v>
      </c>
      <c r="BH284" s="733">
        <f>+Inputs!L141</f>
        <v>1</v>
      </c>
      <c r="BI284" s="733">
        <f>+Inputs!L142</f>
        <v>1</v>
      </c>
      <c r="BJ284" s="733">
        <f>+Inputs!L143</f>
        <v>1</v>
      </c>
      <c r="BK284" s="732">
        <v>0</v>
      </c>
      <c r="BL284" s="732">
        <v>0</v>
      </c>
      <c r="BM284" s="732">
        <v>0</v>
      </c>
      <c r="BN284" s="732">
        <v>0</v>
      </c>
      <c r="BO284" s="732">
        <v>0</v>
      </c>
      <c r="BP284" s="732">
        <v>0</v>
      </c>
      <c r="BQ284" s="732">
        <v>0</v>
      </c>
      <c r="BR284" s="732">
        <v>0</v>
      </c>
      <c r="BS284" s="732">
        <v>0</v>
      </c>
      <c r="BT284" s="732">
        <v>0</v>
      </c>
      <c r="BU284" s="732">
        <v>0</v>
      </c>
    </row>
    <row r="285" spans="1:73" x14ac:dyDescent="0.2">
      <c r="A285" s="186"/>
      <c r="B285" s="186"/>
      <c r="C285" s="210" t="s">
        <v>319</v>
      </c>
      <c r="D285" s="186"/>
      <c r="E285" s="186"/>
      <c r="F285" s="186"/>
      <c r="G285" s="186"/>
      <c r="H285" s="186"/>
      <c r="I285" s="186"/>
      <c r="J285" s="186"/>
      <c r="K285" s="622" t="s">
        <v>63</v>
      </c>
      <c r="L285" s="186"/>
      <c r="M285" s="186"/>
      <c r="N285" s="374">
        <f>SUM(Q285:BU285)</f>
        <v>233282.7437658463</v>
      </c>
      <c r="O285" s="186"/>
      <c r="P285" s="186"/>
      <c r="Q285" s="374"/>
      <c r="R285" s="374">
        <f>Oper!R49*R284</f>
        <v>0</v>
      </c>
      <c r="S285" s="374">
        <f>Oper!S49*S284</f>
        <v>0</v>
      </c>
      <c r="T285" s="374">
        <f>Oper!T49*T284</f>
        <v>0</v>
      </c>
      <c r="U285" s="374">
        <f>Oper!U49*U284</f>
        <v>0</v>
      </c>
      <c r="V285" s="374">
        <f>Oper!V49*V284</f>
        <v>0</v>
      </c>
      <c r="W285" s="374">
        <f>Oper!W49*W284</f>
        <v>0</v>
      </c>
      <c r="X285" s="374">
        <f>Oper!X49*X284</f>
        <v>0</v>
      </c>
      <c r="Y285" s="374">
        <f>Oper!Y49*Y284</f>
        <v>0</v>
      </c>
      <c r="Z285" s="374">
        <f>Oper!Z49*Z284</f>
        <v>0</v>
      </c>
      <c r="AA285" s="374">
        <f>Oper!AA49*AA284</f>
        <v>0</v>
      </c>
      <c r="AB285" s="374">
        <f>Oper!AB49*AB284</f>
        <v>0</v>
      </c>
      <c r="AC285" s="374">
        <f>Oper!AC49*AC284</f>
        <v>0</v>
      </c>
      <c r="AD285" s="374">
        <f>Oper!AD49*AD284</f>
        <v>0</v>
      </c>
      <c r="AE285" s="374">
        <f>Oper!AE49*AE284</f>
        <v>0</v>
      </c>
      <c r="AF285" s="374">
        <f>Oper!AF49*AF284</f>
        <v>0</v>
      </c>
      <c r="AG285" s="374">
        <f>Oper!AG49*AG284</f>
        <v>0</v>
      </c>
      <c r="AH285" s="374">
        <f>Oper!AH49*AH284</f>
        <v>0</v>
      </c>
      <c r="AI285" s="374">
        <f>Oper!AI49*AI284</f>
        <v>0</v>
      </c>
      <c r="AJ285" s="374">
        <f>Oper!AJ49*AJ284</f>
        <v>0</v>
      </c>
      <c r="AK285" s="374">
        <f>Oper!AK49*AK284</f>
        <v>0</v>
      </c>
      <c r="AL285" s="374">
        <f>Oper!AL49*AL284</f>
        <v>0</v>
      </c>
      <c r="AM285" s="374">
        <f>Oper!AM49*AM284</f>
        <v>0</v>
      </c>
      <c r="AN285" s="374">
        <f>Oper!AN49*AN284</f>
        <v>0</v>
      </c>
      <c r="AO285" s="374">
        <f>Oper!AO49*AO284</f>
        <v>0</v>
      </c>
      <c r="AP285" s="374">
        <f>Oper!AP49*AP284</f>
        <v>0</v>
      </c>
      <c r="AQ285" s="374">
        <f>Oper!AQ49*AQ284</f>
        <v>0</v>
      </c>
      <c r="AR285" s="374">
        <f>Oper!AR49*AR284</f>
        <v>0</v>
      </c>
      <c r="AS285" s="374">
        <f>Oper!AS49*AS284</f>
        <v>0</v>
      </c>
      <c r="AT285" s="374">
        <f>Oper!AT49*AT284</f>
        <v>0</v>
      </c>
      <c r="AU285" s="374">
        <f>Oper!AU49*AU284</f>
        <v>0</v>
      </c>
      <c r="AV285" s="374">
        <f>Oper!AV49*AV284</f>
        <v>0</v>
      </c>
      <c r="AW285" s="374">
        <f>Oper!AW49*AW284</f>
        <v>0</v>
      </c>
      <c r="AX285" s="374">
        <f>Oper!AX49*AX284</f>
        <v>0</v>
      </c>
      <c r="AY285" s="374">
        <f>Oper!AY49*AY284</f>
        <v>0</v>
      </c>
      <c r="AZ285" s="374">
        <f>Oper!AZ49*AZ284</f>
        <v>0</v>
      </c>
      <c r="BA285" s="374">
        <f>Oper!BA49*BA284</f>
        <v>0</v>
      </c>
      <c r="BB285" s="374">
        <f>Oper!BB49*BB284</f>
        <v>0</v>
      </c>
      <c r="BC285" s="374">
        <f>Oper!BC49*BC284</f>
        <v>0</v>
      </c>
      <c r="BD285" s="374">
        <f>Oper!BD49*BD284</f>
        <v>0</v>
      </c>
      <c r="BE285" s="374">
        <f>Oper!BE49*BE284</f>
        <v>7560.0952687368126</v>
      </c>
      <c r="BF285" s="374">
        <f>Oper!BF49*BF284</f>
        <v>34373.648331668155</v>
      </c>
      <c r="BG285" s="374">
        <f>Oper!BG49*BG284</f>
        <v>39071.852193292965</v>
      </c>
      <c r="BH285" s="374">
        <f>Oper!BH49*BH284</f>
        <v>44412.208418623974</v>
      </c>
      <c r="BI285" s="374">
        <f>Oper!BI49*BI284</f>
        <v>50482.486646944315</v>
      </c>
      <c r="BJ285" s="374">
        <f>Oper!BJ49*BJ284</f>
        <v>57382.452906580089</v>
      </c>
      <c r="BK285" s="374">
        <f>Oper!BK49*BK284</f>
        <v>0</v>
      </c>
      <c r="BL285" s="374">
        <f>Oper!BL49*BL284</f>
        <v>0</v>
      </c>
      <c r="BM285" s="374">
        <f>Oper!BM49*BM284</f>
        <v>0</v>
      </c>
      <c r="BN285" s="374">
        <f>Oper!BN49*BN284</f>
        <v>0</v>
      </c>
      <c r="BO285" s="374">
        <f>Oper!BO49*BO284</f>
        <v>0</v>
      </c>
      <c r="BP285" s="374">
        <f>Oper!BP49*BP284</f>
        <v>0</v>
      </c>
      <c r="BQ285" s="374">
        <f>Oper!BQ49*BQ284</f>
        <v>0</v>
      </c>
      <c r="BR285" s="374">
        <f>Oper!BR49*BR284</f>
        <v>0</v>
      </c>
      <c r="BS285" s="374">
        <f>Oper!BS49*BS284</f>
        <v>0</v>
      </c>
      <c r="BT285" s="374">
        <f>Oper!BT49*BT284</f>
        <v>0</v>
      </c>
      <c r="BU285" s="374">
        <f>Oper!BU49*BU284</f>
        <v>0</v>
      </c>
    </row>
    <row r="286" spans="1:73" x14ac:dyDescent="0.2">
      <c r="A286" s="186"/>
      <c r="B286" s="186"/>
      <c r="C286" s="186"/>
      <c r="D286" s="186"/>
      <c r="E286" s="186"/>
      <c r="F286" s="186"/>
      <c r="G286" s="186"/>
      <c r="H286" s="186"/>
      <c r="I286" s="186"/>
      <c r="J286" s="186"/>
      <c r="K286" s="367"/>
      <c r="L286" s="186"/>
      <c r="M286" s="186"/>
      <c r="N286" s="461"/>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row>
    <row r="287" spans="1:73" x14ac:dyDescent="0.2">
      <c r="A287" s="186"/>
      <c r="B287" s="186"/>
      <c r="C287" s="210" t="s">
        <v>88</v>
      </c>
      <c r="D287" s="186"/>
      <c r="E287" s="186"/>
      <c r="F287" s="186"/>
      <c r="G287" s="186"/>
      <c r="H287" s="186"/>
      <c r="I287" s="186"/>
      <c r="J287" s="186"/>
      <c r="K287" s="622" t="s">
        <v>63</v>
      </c>
      <c r="L287" s="186"/>
      <c r="M287" s="186"/>
      <c r="N287" s="461"/>
      <c r="O287" s="186"/>
      <c r="P287" s="186"/>
      <c r="Q287" s="374"/>
      <c r="R287" s="374">
        <f t="shared" ref="R287:AO287" si="423">Q291</f>
        <v>0</v>
      </c>
      <c r="S287" s="374">
        <f t="shared" si="423"/>
        <v>0</v>
      </c>
      <c r="T287" s="374">
        <f t="shared" si="423"/>
        <v>0</v>
      </c>
      <c r="U287" s="374">
        <f t="shared" si="423"/>
        <v>0</v>
      </c>
      <c r="V287" s="374">
        <f t="shared" si="423"/>
        <v>0</v>
      </c>
      <c r="W287" s="374">
        <f t="shared" si="423"/>
        <v>0</v>
      </c>
      <c r="X287" s="374">
        <f t="shared" si="423"/>
        <v>0</v>
      </c>
      <c r="Y287" s="374">
        <f t="shared" si="423"/>
        <v>0</v>
      </c>
      <c r="Z287" s="374">
        <f t="shared" si="423"/>
        <v>0</v>
      </c>
      <c r="AA287" s="374">
        <f t="shared" si="423"/>
        <v>0</v>
      </c>
      <c r="AB287" s="374">
        <f t="shared" si="423"/>
        <v>0</v>
      </c>
      <c r="AC287" s="374">
        <f t="shared" si="423"/>
        <v>0</v>
      </c>
      <c r="AD287" s="374">
        <f t="shared" si="423"/>
        <v>0</v>
      </c>
      <c r="AE287" s="374">
        <f t="shared" si="423"/>
        <v>0</v>
      </c>
      <c r="AF287" s="374">
        <f t="shared" si="423"/>
        <v>0</v>
      </c>
      <c r="AG287" s="374">
        <f t="shared" si="423"/>
        <v>0</v>
      </c>
      <c r="AH287" s="374">
        <f t="shared" si="423"/>
        <v>0</v>
      </c>
      <c r="AI287" s="374">
        <f t="shared" si="423"/>
        <v>0</v>
      </c>
      <c r="AJ287" s="374">
        <f t="shared" si="423"/>
        <v>0</v>
      </c>
      <c r="AK287" s="374">
        <f t="shared" si="423"/>
        <v>0</v>
      </c>
      <c r="AL287" s="374">
        <f t="shared" si="423"/>
        <v>0</v>
      </c>
      <c r="AM287" s="374">
        <f t="shared" si="423"/>
        <v>0</v>
      </c>
      <c r="AN287" s="374">
        <f t="shared" si="423"/>
        <v>0</v>
      </c>
      <c r="AO287" s="374">
        <f t="shared" si="423"/>
        <v>0</v>
      </c>
      <c r="AP287" s="374">
        <f t="shared" ref="AP287:BU287" si="424">AO291</f>
        <v>0</v>
      </c>
      <c r="AQ287" s="374">
        <f t="shared" si="424"/>
        <v>0</v>
      </c>
      <c r="AR287" s="374">
        <f t="shared" si="424"/>
        <v>0</v>
      </c>
      <c r="AS287" s="374">
        <f t="shared" si="424"/>
        <v>0</v>
      </c>
      <c r="AT287" s="374">
        <f t="shared" si="424"/>
        <v>0</v>
      </c>
      <c r="AU287" s="374">
        <f t="shared" si="424"/>
        <v>0</v>
      </c>
      <c r="AV287" s="374">
        <f t="shared" si="424"/>
        <v>0</v>
      </c>
      <c r="AW287" s="374">
        <f t="shared" ref="AW287" si="425">AV291</f>
        <v>0</v>
      </c>
      <c r="AX287" s="374">
        <f t="shared" ref="AX287" si="426">AW291</f>
        <v>0</v>
      </c>
      <c r="AY287" s="374">
        <f t="shared" ref="AY287" si="427">AX291</f>
        <v>0</v>
      </c>
      <c r="AZ287" s="374">
        <f t="shared" ref="AZ287" si="428">AY291</f>
        <v>0</v>
      </c>
      <c r="BA287" s="374">
        <f t="shared" ref="BA287" si="429">AZ291</f>
        <v>0</v>
      </c>
      <c r="BB287" s="374">
        <f t="shared" ref="BB287" si="430">BA291</f>
        <v>0</v>
      </c>
      <c r="BC287" s="374">
        <f t="shared" ref="BC287" si="431">BB291</f>
        <v>0</v>
      </c>
      <c r="BD287" s="374">
        <f t="shared" ref="BD287" si="432">BC291</f>
        <v>0</v>
      </c>
      <c r="BE287" s="374">
        <f t="shared" ref="BE287" si="433">BD291</f>
        <v>0</v>
      </c>
      <c r="BF287" s="374">
        <f t="shared" ref="BF287" si="434">BE291</f>
        <v>225722.64849710948</v>
      </c>
      <c r="BG287" s="374">
        <f t="shared" ref="BG287" si="435">BF291</f>
        <v>191349.00016544131</v>
      </c>
      <c r="BH287" s="374">
        <f t="shared" ref="BH287" si="436">BG291</f>
        <v>152277.14797214835</v>
      </c>
      <c r="BI287" s="374">
        <f t="shared" ref="BI287" si="437">BH291</f>
        <v>107864.93955352437</v>
      </c>
      <c r="BJ287" s="374">
        <f t="shared" ref="BJ287" si="438">BI291</f>
        <v>57382.452906580053</v>
      </c>
      <c r="BK287" s="374">
        <f t="shared" si="424"/>
        <v>-133568.75352641862</v>
      </c>
      <c r="BL287" s="374">
        <f t="shared" si="424"/>
        <v>-133568.75352641862</v>
      </c>
      <c r="BM287" s="374">
        <f t="shared" si="424"/>
        <v>-133568.75352641862</v>
      </c>
      <c r="BN287" s="374">
        <f t="shared" si="424"/>
        <v>-133568.75352641862</v>
      </c>
      <c r="BO287" s="374">
        <f t="shared" si="424"/>
        <v>-133568.75352641862</v>
      </c>
      <c r="BP287" s="374">
        <f t="shared" si="424"/>
        <v>-133568.75352641862</v>
      </c>
      <c r="BQ287" s="374">
        <f t="shared" si="424"/>
        <v>-133568.75352641862</v>
      </c>
      <c r="BR287" s="374">
        <f t="shared" si="424"/>
        <v>-133568.75352641862</v>
      </c>
      <c r="BS287" s="374">
        <f t="shared" si="424"/>
        <v>-133568.75352641862</v>
      </c>
      <c r="BT287" s="374">
        <f t="shared" si="424"/>
        <v>-133568.75352641862</v>
      </c>
      <c r="BU287" s="374">
        <f t="shared" si="424"/>
        <v>-133568.75352641862</v>
      </c>
    </row>
    <row r="288" spans="1:73" x14ac:dyDescent="0.2">
      <c r="A288" s="186"/>
      <c r="B288" s="186"/>
      <c r="C288" s="210" t="s">
        <v>176</v>
      </c>
      <c r="D288" s="186"/>
      <c r="E288" s="186"/>
      <c r="F288" s="186"/>
      <c r="G288" s="186"/>
      <c r="H288" s="186"/>
      <c r="I288" s="186"/>
      <c r="J288" s="186"/>
      <c r="K288" s="622" t="s">
        <v>63</v>
      </c>
      <c r="L288" s="186"/>
      <c r="M288" s="186"/>
      <c r="N288" s="374">
        <f>SUM(Q288:BU288)</f>
        <v>233282.7437658463</v>
      </c>
      <c r="O288" s="186"/>
      <c r="P288" s="186"/>
      <c r="Q288" s="374"/>
      <c r="R288" s="374">
        <f>R281*SUM(R285:$BU$285)</f>
        <v>0</v>
      </c>
      <c r="S288" s="374">
        <f>S281*SUM(S285:$BU$285)</f>
        <v>0</v>
      </c>
      <c r="T288" s="374">
        <f>T281*SUM(T285:$BU$285)</f>
        <v>0</v>
      </c>
      <c r="U288" s="374">
        <f>U281*SUM(U285:$BU$285)</f>
        <v>0</v>
      </c>
      <c r="V288" s="374">
        <f>V281*SUM(V285:$BU$285)</f>
        <v>0</v>
      </c>
      <c r="W288" s="374">
        <f>W281*SUM(W285:$BU$285)</f>
        <v>0</v>
      </c>
      <c r="X288" s="374">
        <f>X281*SUM(X285:$BU$285)</f>
        <v>0</v>
      </c>
      <c r="Y288" s="374">
        <f>Y281*SUM(Y285:$BU$285)</f>
        <v>0</v>
      </c>
      <c r="Z288" s="374">
        <f>Z281*SUM(Z285:$BU$285)</f>
        <v>0</v>
      </c>
      <c r="AA288" s="374">
        <f>AA281*SUM(AA285:$BU$285)</f>
        <v>0</v>
      </c>
      <c r="AB288" s="374">
        <f>AB281*SUM(AB285:$BU$285)</f>
        <v>0</v>
      </c>
      <c r="AC288" s="374">
        <f>AC281*SUM(AC285:$BU$285)</f>
        <v>0</v>
      </c>
      <c r="AD288" s="374">
        <f>AD281*SUM(AD285:$BU$285)</f>
        <v>0</v>
      </c>
      <c r="AE288" s="374">
        <f>AE281*SUM(AE285:$BU$285)</f>
        <v>0</v>
      </c>
      <c r="AF288" s="374">
        <f>AF281*SUM(AF285:$BU$285)</f>
        <v>0</v>
      </c>
      <c r="AG288" s="374">
        <f>AG281*SUM(AG285:$BU$285)</f>
        <v>0</v>
      </c>
      <c r="AH288" s="374">
        <f>AH281*SUM(AH285:$BU$285)</f>
        <v>0</v>
      </c>
      <c r="AI288" s="374">
        <f>AI281*SUM(AI285:$BU$285)</f>
        <v>0</v>
      </c>
      <c r="AJ288" s="374">
        <f>AJ281*SUM(AJ285:$BU$285)</f>
        <v>0</v>
      </c>
      <c r="AK288" s="374">
        <f>AK281*SUM(AK285:$BU$285)</f>
        <v>0</v>
      </c>
      <c r="AL288" s="374">
        <f>AL281*SUM(AL285:$BU$285)</f>
        <v>0</v>
      </c>
      <c r="AM288" s="374">
        <f>AM281*SUM(AM285:$BU$285)</f>
        <v>0</v>
      </c>
      <c r="AN288" s="374">
        <f>AN281*SUM(AN285:$BU$285)</f>
        <v>0</v>
      </c>
      <c r="AO288" s="374">
        <f>AO281*SUM(AO285:$BU$285)</f>
        <v>0</v>
      </c>
      <c r="AP288" s="374">
        <f>AP281*SUM(AP285:$BU$285)</f>
        <v>0</v>
      </c>
      <c r="AQ288" s="374">
        <f>AQ281*SUM(AQ285:$BU$285)</f>
        <v>0</v>
      </c>
      <c r="AR288" s="374">
        <f>AR281*SUM(AR285:$BU$285)</f>
        <v>0</v>
      </c>
      <c r="AS288" s="374">
        <f>AS281*SUM(AS285:$BU$285)</f>
        <v>0</v>
      </c>
      <c r="AT288" s="374">
        <f>AT281*SUM(AT285:$BU$285)</f>
        <v>0</v>
      </c>
      <c r="AU288" s="374">
        <f>AU281*SUM(AU285:$BU$285)</f>
        <v>0</v>
      </c>
      <c r="AV288" s="374">
        <f>AV281*SUM(AV285:$BU$285)</f>
        <v>0</v>
      </c>
      <c r="AW288" s="374">
        <f>AW281*SUM(AW285:$BU$285)</f>
        <v>0</v>
      </c>
      <c r="AX288" s="374">
        <f>AX281*SUM(AX285:$BU$285)</f>
        <v>0</v>
      </c>
      <c r="AY288" s="374">
        <f>AY281*SUM(AY285:$BU$285)</f>
        <v>0</v>
      </c>
      <c r="AZ288" s="374">
        <f>AZ281*SUM(AZ285:$BU$285)</f>
        <v>0</v>
      </c>
      <c r="BA288" s="374">
        <f>BA281*SUM(BA285:$BU$285)</f>
        <v>0</v>
      </c>
      <c r="BB288" s="374">
        <f>BB281*SUM(BB285:$BU$285)</f>
        <v>0</v>
      </c>
      <c r="BC288" s="374">
        <f>BC281*SUM(BC285:$BU$285)</f>
        <v>0</v>
      </c>
      <c r="BD288" s="374">
        <f>BD281*SUM(BD285:$BU$285)</f>
        <v>0</v>
      </c>
      <c r="BE288" s="374">
        <f>BE281*SUM(BE285:$BU$285)</f>
        <v>233282.7437658463</v>
      </c>
      <c r="BF288" s="374">
        <f>BF281*SUM(BF285:$BU$285)</f>
        <v>0</v>
      </c>
      <c r="BG288" s="374">
        <f>BG281*SUM(BG285:$BU$285)</f>
        <v>0</v>
      </c>
      <c r="BH288" s="374">
        <f>BH281*SUM(BH285:$BU$285)</f>
        <v>0</v>
      </c>
      <c r="BI288" s="374">
        <f>BI281*SUM(BI285:$BU$285)</f>
        <v>0</v>
      </c>
      <c r="BJ288" s="374">
        <f>BJ281*SUM(BJ285:$BU$285)</f>
        <v>0</v>
      </c>
      <c r="BK288" s="374">
        <f>BK281*SUM(BK285:$BU$285)</f>
        <v>0</v>
      </c>
      <c r="BL288" s="374">
        <f>BL281*SUM(BL285:$BU$285)</f>
        <v>0</v>
      </c>
      <c r="BM288" s="374">
        <f>BM281*SUM(BM285:$BU$285)</f>
        <v>0</v>
      </c>
      <c r="BN288" s="374">
        <f>BN281*SUM(BN285:$BU$285)</f>
        <v>0</v>
      </c>
      <c r="BO288" s="374">
        <f>BO281*SUM(BO285:$BU$285)</f>
        <v>0</v>
      </c>
      <c r="BP288" s="374">
        <f>BP281*SUM(BP285:$BU$285)</f>
        <v>0</v>
      </c>
      <c r="BQ288" s="374">
        <f>BQ281*SUM(BQ285:$BU$285)</f>
        <v>0</v>
      </c>
      <c r="BR288" s="374">
        <f>BR281*SUM(BR285:$BU$285)</f>
        <v>0</v>
      </c>
      <c r="BS288" s="374">
        <f>BS281*SUM(BS285:$BU$285)</f>
        <v>0</v>
      </c>
      <c r="BT288" s="374">
        <f>BT281*SUM(BT285:$BU$285)</f>
        <v>0</v>
      </c>
      <c r="BU288" s="374">
        <f>BU281*SUM(BU285:$BU$285)</f>
        <v>0</v>
      </c>
    </row>
    <row r="289" spans="1:73" x14ac:dyDescent="0.2">
      <c r="A289" s="186"/>
      <c r="B289" s="186"/>
      <c r="C289" s="210" t="s">
        <v>246</v>
      </c>
      <c r="D289" s="186"/>
      <c r="E289" s="186"/>
      <c r="F289" s="186"/>
      <c r="G289" s="186"/>
      <c r="H289" s="186"/>
      <c r="I289" s="186"/>
      <c r="J289" s="186"/>
      <c r="K289" s="622" t="s">
        <v>63</v>
      </c>
      <c r="L289" s="186"/>
      <c r="M289" s="186"/>
      <c r="N289" s="374">
        <f t="shared" ref="N289:N290" si="439">SUM(Q289:BU289)</f>
        <v>-233282.74376584627</v>
      </c>
      <c r="O289" s="186"/>
      <c r="P289" s="186"/>
      <c r="Q289" s="374"/>
      <c r="R289" s="374">
        <f t="shared" ref="R289:AV289" si="440">MAX(-SUM(R287:R288),-R285)*R282</f>
        <v>0</v>
      </c>
      <c r="S289" s="374">
        <f t="shared" si="440"/>
        <v>0</v>
      </c>
      <c r="T289" s="374">
        <f t="shared" si="440"/>
        <v>0</v>
      </c>
      <c r="U289" s="374">
        <f t="shared" si="440"/>
        <v>0</v>
      </c>
      <c r="V289" s="374">
        <f t="shared" si="440"/>
        <v>0</v>
      </c>
      <c r="W289" s="374">
        <f t="shared" si="440"/>
        <v>0</v>
      </c>
      <c r="X289" s="374">
        <f t="shared" si="440"/>
        <v>0</v>
      </c>
      <c r="Y289" s="374">
        <f t="shared" si="440"/>
        <v>0</v>
      </c>
      <c r="Z289" s="374">
        <f t="shared" si="440"/>
        <v>0</v>
      </c>
      <c r="AA289" s="374">
        <f t="shared" si="440"/>
        <v>0</v>
      </c>
      <c r="AB289" s="374">
        <f t="shared" si="440"/>
        <v>0</v>
      </c>
      <c r="AC289" s="374">
        <f t="shared" si="440"/>
        <v>0</v>
      </c>
      <c r="AD289" s="374">
        <f t="shared" si="440"/>
        <v>0</v>
      </c>
      <c r="AE289" s="374">
        <f t="shared" si="440"/>
        <v>0</v>
      </c>
      <c r="AF289" s="374">
        <f t="shared" si="440"/>
        <v>0</v>
      </c>
      <c r="AG289" s="374">
        <f t="shared" si="440"/>
        <v>0</v>
      </c>
      <c r="AH289" s="374">
        <f t="shared" si="440"/>
        <v>0</v>
      </c>
      <c r="AI289" s="374">
        <f t="shared" si="440"/>
        <v>0</v>
      </c>
      <c r="AJ289" s="374">
        <f t="shared" si="440"/>
        <v>0</v>
      </c>
      <c r="AK289" s="374">
        <f t="shared" si="440"/>
        <v>0</v>
      </c>
      <c r="AL289" s="374">
        <f t="shared" si="440"/>
        <v>0</v>
      </c>
      <c r="AM289" s="374">
        <f t="shared" si="440"/>
        <v>0</v>
      </c>
      <c r="AN289" s="374">
        <f t="shared" si="440"/>
        <v>0</v>
      </c>
      <c r="AO289" s="374">
        <f t="shared" si="440"/>
        <v>0</v>
      </c>
      <c r="AP289" s="374">
        <f t="shared" si="440"/>
        <v>0</v>
      </c>
      <c r="AQ289" s="374">
        <f t="shared" si="440"/>
        <v>0</v>
      </c>
      <c r="AR289" s="374">
        <f t="shared" si="440"/>
        <v>0</v>
      </c>
      <c r="AS289" s="374">
        <f t="shared" si="440"/>
        <v>0</v>
      </c>
      <c r="AT289" s="374">
        <f t="shared" si="440"/>
        <v>0</v>
      </c>
      <c r="AU289" s="374">
        <f t="shared" si="440"/>
        <v>0</v>
      </c>
      <c r="AV289" s="374">
        <f t="shared" si="440"/>
        <v>0</v>
      </c>
      <c r="AW289" s="374">
        <f t="shared" ref="AW289:BA289" si="441">MAX(-SUM(AW287:AW288),-AW285)*AW282</f>
        <v>0</v>
      </c>
      <c r="AX289" s="374">
        <f t="shared" si="441"/>
        <v>0</v>
      </c>
      <c r="AY289" s="374">
        <f t="shared" si="441"/>
        <v>0</v>
      </c>
      <c r="AZ289" s="374">
        <f t="shared" si="441"/>
        <v>0</v>
      </c>
      <c r="BA289" s="374">
        <f t="shared" si="441"/>
        <v>0</v>
      </c>
      <c r="BB289" s="374">
        <f t="shared" ref="BB289:BJ289" si="442">MAX(-SUM(BB287:BB288),-BB285)*BB282</f>
        <v>0</v>
      </c>
      <c r="BC289" s="374">
        <f t="shared" si="442"/>
        <v>0</v>
      </c>
      <c r="BD289" s="374">
        <f t="shared" si="442"/>
        <v>0</v>
      </c>
      <c r="BE289" s="374">
        <f t="shared" si="442"/>
        <v>-7560.0952687368126</v>
      </c>
      <c r="BF289" s="374">
        <f t="shared" si="442"/>
        <v>-34373.648331668155</v>
      </c>
      <c r="BG289" s="374">
        <f t="shared" si="442"/>
        <v>-39071.852193292965</v>
      </c>
      <c r="BH289" s="374">
        <f t="shared" si="442"/>
        <v>-44412.208418623974</v>
      </c>
      <c r="BI289" s="374">
        <f t="shared" si="442"/>
        <v>-50482.486646944315</v>
      </c>
      <c r="BJ289" s="374">
        <f t="shared" si="442"/>
        <v>-57382.452906580053</v>
      </c>
      <c r="BK289" s="374">
        <f t="shared" ref="BK289:BU289" si="443">MAX(-SUM(BK287:BK288),-BK285)*BK282</f>
        <v>0</v>
      </c>
      <c r="BL289" s="374">
        <f t="shared" si="443"/>
        <v>0</v>
      </c>
      <c r="BM289" s="374">
        <f t="shared" si="443"/>
        <v>0</v>
      </c>
      <c r="BN289" s="374">
        <f t="shared" si="443"/>
        <v>0</v>
      </c>
      <c r="BO289" s="374">
        <f t="shared" si="443"/>
        <v>0</v>
      </c>
      <c r="BP289" s="374">
        <f t="shared" si="443"/>
        <v>0</v>
      </c>
      <c r="BQ289" s="374">
        <f t="shared" si="443"/>
        <v>0</v>
      </c>
      <c r="BR289" s="374">
        <f t="shared" si="443"/>
        <v>0</v>
      </c>
      <c r="BS289" s="374">
        <f t="shared" si="443"/>
        <v>0</v>
      </c>
      <c r="BT289" s="374">
        <f t="shared" si="443"/>
        <v>0</v>
      </c>
      <c r="BU289" s="374">
        <f t="shared" si="443"/>
        <v>0</v>
      </c>
    </row>
    <row r="290" spans="1:73" x14ac:dyDescent="0.2">
      <c r="A290" s="186"/>
      <c r="B290" s="186"/>
      <c r="C290" s="210" t="s">
        <v>323</v>
      </c>
      <c r="D290" s="186"/>
      <c r="E290" s="186"/>
      <c r="F290" s="186"/>
      <c r="G290" s="186"/>
      <c r="H290" s="186"/>
      <c r="I290" s="186"/>
      <c r="J290" s="186"/>
      <c r="K290" s="622" t="s">
        <v>63</v>
      </c>
      <c r="L290" s="186"/>
      <c r="M290" s="186"/>
      <c r="N290" s="374">
        <f t="shared" si="439"/>
        <v>-133568.75352641862</v>
      </c>
      <c r="O290" s="186"/>
      <c r="P290" s="186"/>
      <c r="Q290" s="374"/>
      <c r="R290" s="374">
        <f>+IF(R7=Inputs!$L$133,+Inputs!$L$134,0)</f>
        <v>0</v>
      </c>
      <c r="S290" s="374">
        <f>+IF(S7=Inputs!$L$133,+Inputs!$L$134,0)</f>
        <v>0</v>
      </c>
      <c r="T290" s="374">
        <f>+IF(T7=Inputs!$L$133,+Inputs!$L$134,0)</f>
        <v>0</v>
      </c>
      <c r="U290" s="374">
        <f>+IF(U7=Inputs!$L$133,+Inputs!$L$134,0)</f>
        <v>0</v>
      </c>
      <c r="V290" s="374">
        <f>+IF(V7=Inputs!$L$133,+Inputs!$L$134,0)</f>
        <v>0</v>
      </c>
      <c r="W290" s="374">
        <f>+IF(W7=Inputs!$L$133,+Inputs!$L$134,0)</f>
        <v>0</v>
      </c>
      <c r="X290" s="374">
        <f>+IF(X7=Inputs!$L$133,+Inputs!$L$134,0)</f>
        <v>0</v>
      </c>
      <c r="Y290" s="374">
        <f>+IF(Y7=Inputs!$L$133,+Inputs!$L$134,0)</f>
        <v>0</v>
      </c>
      <c r="Z290" s="374">
        <f>+IF(Z7=Inputs!$L$133,+Inputs!$L$134,0)</f>
        <v>0</v>
      </c>
      <c r="AA290" s="374">
        <f>+IF(AA7=Inputs!$L$133,+Inputs!$L$134,0)</f>
        <v>0</v>
      </c>
      <c r="AB290" s="374">
        <f>+IF(AB7=Inputs!$L$133,+Inputs!$L$134,0)</f>
        <v>0</v>
      </c>
      <c r="AC290" s="374">
        <f>+IF(AC7=Inputs!$L$133,+Inputs!$L$134,0)</f>
        <v>0</v>
      </c>
      <c r="AD290" s="374">
        <f>+IF(AD7=Inputs!$L$133,+Inputs!$L$134,0)</f>
        <v>0</v>
      </c>
      <c r="AE290" s="374">
        <f>+IF(AE7=Inputs!$L$133,+Inputs!$L$134,0)</f>
        <v>0</v>
      </c>
      <c r="AF290" s="374">
        <f>+IF(AF7=Inputs!$L$133,+Inputs!$L$134,0)</f>
        <v>0</v>
      </c>
      <c r="AG290" s="374">
        <f>+IF(AG7=Inputs!$L$133,+Inputs!$L$134,0)</f>
        <v>0</v>
      </c>
      <c r="AH290" s="374">
        <f>+IF(AH7=Inputs!$L$133,+Inputs!$L$134,0)</f>
        <v>0</v>
      </c>
      <c r="AI290" s="374">
        <f>+IF(AI7=Inputs!$L$133,+Inputs!$L$134,0)</f>
        <v>0</v>
      </c>
      <c r="AJ290" s="374">
        <f>+IF(AJ7=Inputs!$L$133,+Inputs!$L$134,0)</f>
        <v>0</v>
      </c>
      <c r="AK290" s="374">
        <f>+IF(AK7=Inputs!$L$133,+Inputs!$L$134,0)</f>
        <v>0</v>
      </c>
      <c r="AL290" s="374">
        <f>+IF(AL7=Inputs!$L$133,+Inputs!$L$134,0)</f>
        <v>0</v>
      </c>
      <c r="AM290" s="374">
        <f>+IF(AM7=Inputs!$L$133,+Inputs!$L$134,0)</f>
        <v>0</v>
      </c>
      <c r="AN290" s="374">
        <f>+IF(AN7=Inputs!$L$133,+Inputs!$L$134,0)</f>
        <v>0</v>
      </c>
      <c r="AO290" s="374">
        <f>+IF(AO7=Inputs!$L$133,+Inputs!$L$134,0)</f>
        <v>0</v>
      </c>
      <c r="AP290" s="374">
        <f>+IF(AP7=Inputs!$L$133,+Inputs!$L$134,0)</f>
        <v>0</v>
      </c>
      <c r="AQ290" s="374">
        <f>+IF(AQ7=Inputs!$L$133,+Inputs!$L$134,0)</f>
        <v>0</v>
      </c>
      <c r="AR290" s="374">
        <f>+IF(AR7=Inputs!$L$133,+Inputs!$L$134,0)</f>
        <v>0</v>
      </c>
      <c r="AS290" s="374">
        <f>+IF(AS7=Inputs!$L$133,+Inputs!$L$134,0)</f>
        <v>0</v>
      </c>
      <c r="AT290" s="374">
        <f>+IF(AT7=Inputs!$L$133,+Inputs!$L$134,0)</f>
        <v>0</v>
      </c>
      <c r="AU290" s="374">
        <f>+IF(AU7=Inputs!$L$133,+Inputs!$L$134,0)</f>
        <v>0</v>
      </c>
      <c r="AV290" s="374">
        <f>+IF(AV7=Inputs!$L$133,+Inputs!$L$134,0)</f>
        <v>0</v>
      </c>
      <c r="AW290" s="374">
        <f>+IF(AW7=Inputs!$L$133,+Inputs!$L$134,0)</f>
        <v>0</v>
      </c>
      <c r="AX290" s="374">
        <f>+IF(AX7=Inputs!$L$133,+Inputs!$L$134,0)</f>
        <v>0</v>
      </c>
      <c r="AY290" s="374">
        <f>+IF(AY7=Inputs!$L$133,+Inputs!$L$134,0)</f>
        <v>0</v>
      </c>
      <c r="AZ290" s="374">
        <f>+IF(AZ7=Inputs!$L$133,+Inputs!$L$134,0)</f>
        <v>0</v>
      </c>
      <c r="BA290" s="374">
        <f>+IF(BA7=Inputs!$L$133,+Inputs!$L$134,0)</f>
        <v>0</v>
      </c>
      <c r="BB290" s="374">
        <f>+IF(BB7=Inputs!$L$133,+Inputs!$L$134,0)</f>
        <v>0</v>
      </c>
      <c r="BC290" s="374">
        <f>+IF(BC7=Inputs!$L$133,+Inputs!$L$134,0)</f>
        <v>0</v>
      </c>
      <c r="BD290" s="374">
        <f>+IF(BD7=Inputs!$L$133,+Inputs!$L$134,0)</f>
        <v>0</v>
      </c>
      <c r="BE290" s="374">
        <f>+IF(BE7=Inputs!$L$133,+Inputs!$L$134,0)</f>
        <v>0</v>
      </c>
      <c r="BF290" s="374">
        <f>+IF(BF7=Inputs!$L$133,+Inputs!$L$134,0)</f>
        <v>0</v>
      </c>
      <c r="BG290" s="374">
        <f>+IF(BG7=Inputs!$L$133,+Inputs!$L$134,0)</f>
        <v>0</v>
      </c>
      <c r="BH290" s="374">
        <f>+IF(BH7=Inputs!$L$133,+Inputs!$L$134,0)</f>
        <v>0</v>
      </c>
      <c r="BI290" s="374">
        <f>+IF(BI7=Inputs!$L$133,+Inputs!$L$134,0)</f>
        <v>0</v>
      </c>
      <c r="BJ290" s="374">
        <f>+IF(BJ7=Inputs!$L$133,+Inputs!$L$134,0)</f>
        <v>-133568.75352641862</v>
      </c>
      <c r="BK290" s="374">
        <f t="shared" ref="BK290:BU290" si="444">-SUM(BK287:BK289)*IF(AND(BK282=1,BL282=0),1,0)</f>
        <v>0</v>
      </c>
      <c r="BL290" s="374">
        <f t="shared" si="444"/>
        <v>0</v>
      </c>
      <c r="BM290" s="374">
        <f t="shared" si="444"/>
        <v>0</v>
      </c>
      <c r="BN290" s="374">
        <f t="shared" si="444"/>
        <v>0</v>
      </c>
      <c r="BO290" s="374">
        <f t="shared" si="444"/>
        <v>0</v>
      </c>
      <c r="BP290" s="374">
        <f t="shared" si="444"/>
        <v>0</v>
      </c>
      <c r="BQ290" s="374">
        <f t="shared" si="444"/>
        <v>0</v>
      </c>
      <c r="BR290" s="374">
        <f t="shared" si="444"/>
        <v>0</v>
      </c>
      <c r="BS290" s="374">
        <f t="shared" si="444"/>
        <v>0</v>
      </c>
      <c r="BT290" s="374">
        <f t="shared" si="444"/>
        <v>0</v>
      </c>
      <c r="BU290" s="374">
        <f t="shared" si="444"/>
        <v>0</v>
      </c>
    </row>
    <row r="291" spans="1:73" ht="13.5" thickBot="1" x14ac:dyDescent="0.25">
      <c r="A291" s="186"/>
      <c r="B291" s="186"/>
      <c r="C291" s="187" t="s">
        <v>89</v>
      </c>
      <c r="D291" s="186"/>
      <c r="E291" s="186"/>
      <c r="F291" s="186"/>
      <c r="G291" s="186"/>
      <c r="H291" s="186"/>
      <c r="I291" s="186"/>
      <c r="J291" s="186"/>
      <c r="K291" s="622" t="s">
        <v>63</v>
      </c>
      <c r="L291" s="186"/>
      <c r="M291" s="186"/>
      <c r="N291" s="186"/>
      <c r="O291" s="186"/>
      <c r="P291" s="186"/>
      <c r="Q291" s="374"/>
      <c r="R291" s="374">
        <f t="shared" ref="R291:AV291" si="445">SUM(R287:R290)</f>
        <v>0</v>
      </c>
      <c r="S291" s="374">
        <f t="shared" si="445"/>
        <v>0</v>
      </c>
      <c r="T291" s="374">
        <f t="shared" si="445"/>
        <v>0</v>
      </c>
      <c r="U291" s="374">
        <f t="shared" si="445"/>
        <v>0</v>
      </c>
      <c r="V291" s="374">
        <f t="shared" si="445"/>
        <v>0</v>
      </c>
      <c r="W291" s="374">
        <f t="shared" si="445"/>
        <v>0</v>
      </c>
      <c r="X291" s="374">
        <f t="shared" si="445"/>
        <v>0</v>
      </c>
      <c r="Y291" s="374">
        <f t="shared" si="445"/>
        <v>0</v>
      </c>
      <c r="Z291" s="374">
        <f t="shared" si="445"/>
        <v>0</v>
      </c>
      <c r="AA291" s="374">
        <f t="shared" si="445"/>
        <v>0</v>
      </c>
      <c r="AB291" s="374">
        <f t="shared" si="445"/>
        <v>0</v>
      </c>
      <c r="AC291" s="374">
        <f t="shared" si="445"/>
        <v>0</v>
      </c>
      <c r="AD291" s="374">
        <f t="shared" si="445"/>
        <v>0</v>
      </c>
      <c r="AE291" s="374">
        <f t="shared" si="445"/>
        <v>0</v>
      </c>
      <c r="AF291" s="374">
        <f t="shared" si="445"/>
        <v>0</v>
      </c>
      <c r="AG291" s="374">
        <f t="shared" si="445"/>
        <v>0</v>
      </c>
      <c r="AH291" s="374">
        <f t="shared" si="445"/>
        <v>0</v>
      </c>
      <c r="AI291" s="374">
        <f t="shared" si="445"/>
        <v>0</v>
      </c>
      <c r="AJ291" s="374">
        <f t="shared" si="445"/>
        <v>0</v>
      </c>
      <c r="AK291" s="374">
        <f t="shared" si="445"/>
        <v>0</v>
      </c>
      <c r="AL291" s="374">
        <f t="shared" si="445"/>
        <v>0</v>
      </c>
      <c r="AM291" s="374">
        <f t="shared" si="445"/>
        <v>0</v>
      </c>
      <c r="AN291" s="374">
        <f t="shared" si="445"/>
        <v>0</v>
      </c>
      <c r="AO291" s="374">
        <f t="shared" si="445"/>
        <v>0</v>
      </c>
      <c r="AP291" s="374">
        <f t="shared" si="445"/>
        <v>0</v>
      </c>
      <c r="AQ291" s="374">
        <f t="shared" si="445"/>
        <v>0</v>
      </c>
      <c r="AR291" s="374">
        <f t="shared" si="445"/>
        <v>0</v>
      </c>
      <c r="AS291" s="374">
        <f t="shared" si="445"/>
        <v>0</v>
      </c>
      <c r="AT291" s="374">
        <f t="shared" si="445"/>
        <v>0</v>
      </c>
      <c r="AU291" s="374">
        <f t="shared" si="445"/>
        <v>0</v>
      </c>
      <c r="AV291" s="374">
        <f t="shared" si="445"/>
        <v>0</v>
      </c>
      <c r="AW291" s="374">
        <f t="shared" ref="AW291:BA291" si="446">SUM(AW287:AW290)</f>
        <v>0</v>
      </c>
      <c r="AX291" s="374">
        <f t="shared" si="446"/>
        <v>0</v>
      </c>
      <c r="AY291" s="374">
        <f t="shared" si="446"/>
        <v>0</v>
      </c>
      <c r="AZ291" s="374">
        <f t="shared" si="446"/>
        <v>0</v>
      </c>
      <c r="BA291" s="374">
        <f t="shared" si="446"/>
        <v>0</v>
      </c>
      <c r="BB291" s="374">
        <f t="shared" ref="BB291:BJ291" si="447">SUM(BB287:BB290)</f>
        <v>0</v>
      </c>
      <c r="BC291" s="374">
        <f t="shared" si="447"/>
        <v>0</v>
      </c>
      <c r="BD291" s="374">
        <f t="shared" si="447"/>
        <v>0</v>
      </c>
      <c r="BE291" s="374">
        <f t="shared" si="447"/>
        <v>225722.64849710948</v>
      </c>
      <c r="BF291" s="374">
        <f t="shared" si="447"/>
        <v>191349.00016544131</v>
      </c>
      <c r="BG291" s="374">
        <f t="shared" si="447"/>
        <v>152277.14797214835</v>
      </c>
      <c r="BH291" s="374">
        <f t="shared" si="447"/>
        <v>107864.93955352437</v>
      </c>
      <c r="BI291" s="374">
        <f t="shared" si="447"/>
        <v>57382.452906580053</v>
      </c>
      <c r="BJ291" s="374">
        <f t="shared" si="447"/>
        <v>-133568.75352641862</v>
      </c>
      <c r="BK291" s="374">
        <f t="shared" ref="BK291:BU291" si="448">SUM(BK287:BK290)</f>
        <v>-133568.75352641862</v>
      </c>
      <c r="BL291" s="374">
        <f t="shared" si="448"/>
        <v>-133568.75352641862</v>
      </c>
      <c r="BM291" s="374">
        <f t="shared" si="448"/>
        <v>-133568.75352641862</v>
      </c>
      <c r="BN291" s="374">
        <f t="shared" si="448"/>
        <v>-133568.75352641862</v>
      </c>
      <c r="BO291" s="374">
        <f t="shared" si="448"/>
        <v>-133568.75352641862</v>
      </c>
      <c r="BP291" s="374">
        <f t="shared" si="448"/>
        <v>-133568.75352641862</v>
      </c>
      <c r="BQ291" s="374">
        <f t="shared" si="448"/>
        <v>-133568.75352641862</v>
      </c>
      <c r="BR291" s="374">
        <f t="shared" si="448"/>
        <v>-133568.75352641862</v>
      </c>
      <c r="BS291" s="374">
        <f t="shared" si="448"/>
        <v>-133568.75352641862</v>
      </c>
      <c r="BT291" s="374">
        <f t="shared" si="448"/>
        <v>-133568.75352641862</v>
      </c>
      <c r="BU291" s="374">
        <f t="shared" si="448"/>
        <v>-133568.75352641862</v>
      </c>
    </row>
    <row r="292" spans="1:73" ht="13.5" thickBot="1" x14ac:dyDescent="0.25">
      <c r="A292" s="186"/>
      <c r="B292" s="186"/>
      <c r="C292" s="186"/>
      <c r="D292" s="186"/>
      <c r="E292" s="186"/>
      <c r="F292" s="186"/>
      <c r="G292" s="186"/>
      <c r="H292" s="186"/>
      <c r="I292" s="186"/>
      <c r="J292" s="186"/>
      <c r="K292" s="367"/>
      <c r="L292" s="186"/>
      <c r="M292" s="186"/>
      <c r="N292" s="385">
        <f>IF(ROUND(SUM(N288:N289),2) = 0,0,1)</f>
        <v>0</v>
      </c>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row>
    <row r="293" spans="1:73" x14ac:dyDescent="0.2">
      <c r="A293" s="186"/>
      <c r="B293" s="186"/>
      <c r="C293" s="372"/>
      <c r="D293" s="186"/>
      <c r="E293" s="186"/>
      <c r="F293" s="186"/>
      <c r="G293" s="186"/>
      <c r="H293" s="186"/>
      <c r="I293" s="186"/>
      <c r="J293" s="186"/>
      <c r="K293" s="367"/>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row>
    <row r="294" spans="1:73" ht="15.75" x14ac:dyDescent="0.25">
      <c r="A294" s="186"/>
      <c r="B294" s="186"/>
      <c r="C294" s="456" t="s">
        <v>75</v>
      </c>
      <c r="D294" s="186"/>
      <c r="E294" s="186"/>
      <c r="F294" s="186"/>
      <c r="G294" s="186"/>
      <c r="H294" s="186"/>
      <c r="I294" s="186"/>
      <c r="J294" s="186"/>
      <c r="K294" s="367"/>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row>
    <row r="295" spans="1:73" x14ac:dyDescent="0.2">
      <c r="A295" s="186"/>
      <c r="B295" s="186"/>
      <c r="C295" s="186"/>
      <c r="D295" s="186"/>
      <c r="E295" s="186"/>
      <c r="F295" s="186"/>
      <c r="G295" s="186"/>
      <c r="H295" s="186"/>
      <c r="I295" s="186"/>
      <c r="J295" s="186"/>
      <c r="K295" s="367"/>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row>
    <row r="296" spans="1:73" x14ac:dyDescent="0.2">
      <c r="A296" s="186"/>
      <c r="B296" s="186"/>
      <c r="C296" s="186" t="s">
        <v>75</v>
      </c>
      <c r="D296" s="186"/>
      <c r="E296" s="186"/>
      <c r="F296" s="186"/>
      <c r="G296" s="186"/>
      <c r="H296" s="186"/>
      <c r="I296" s="186"/>
      <c r="J296" s="186"/>
      <c r="K296" s="367"/>
      <c r="L296" s="398"/>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row>
    <row r="297" spans="1:73" x14ac:dyDescent="0.2">
      <c r="A297" s="186"/>
      <c r="B297" s="186"/>
      <c r="C297" s="186"/>
      <c r="D297" s="186"/>
      <c r="E297" s="186"/>
      <c r="F297" s="186"/>
      <c r="G297" s="186"/>
      <c r="H297" s="186"/>
      <c r="I297" s="186"/>
      <c r="J297" s="186"/>
      <c r="K297" s="367"/>
      <c r="L297" s="370"/>
      <c r="M297" s="370"/>
      <c r="N297" s="186"/>
      <c r="O297" s="186"/>
      <c r="P297" s="186"/>
      <c r="Q297" s="371"/>
      <c r="R297" s="371"/>
      <c r="S297" s="371"/>
      <c r="T297" s="371"/>
      <c r="U297" s="371"/>
      <c r="V297" s="371"/>
      <c r="W297" s="371"/>
      <c r="X297" s="371"/>
      <c r="Y297" s="371"/>
      <c r="Z297" s="371"/>
      <c r="AA297" s="371"/>
      <c r="AB297" s="371"/>
      <c r="AC297" s="371"/>
      <c r="AD297" s="371"/>
      <c r="AE297" s="371"/>
      <c r="AF297" s="371"/>
      <c r="AG297" s="371"/>
      <c r="AH297" s="371"/>
      <c r="AI297" s="371"/>
      <c r="AJ297" s="371"/>
      <c r="AK297" s="371"/>
      <c r="AL297" s="371"/>
      <c r="AM297" s="371"/>
      <c r="AN297" s="371"/>
      <c r="AO297" s="371"/>
      <c r="AP297" s="371"/>
      <c r="AQ297" s="371"/>
      <c r="AR297" s="371"/>
      <c r="AS297" s="371"/>
      <c r="AT297" s="371"/>
      <c r="AU297" s="371"/>
      <c r="AV297" s="371"/>
      <c r="AW297" s="371"/>
      <c r="AX297" s="371"/>
      <c r="AY297" s="371"/>
      <c r="AZ297" s="371"/>
      <c r="BA297" s="371"/>
      <c r="BB297" s="371"/>
      <c r="BC297" s="371"/>
      <c r="BD297" s="371"/>
      <c r="BE297" s="371"/>
      <c r="BF297" s="371"/>
      <c r="BG297" s="371"/>
      <c r="BH297" s="371"/>
      <c r="BI297" s="371"/>
      <c r="BJ297" s="371"/>
      <c r="BK297" s="371"/>
      <c r="BL297" s="371"/>
      <c r="BM297" s="371"/>
      <c r="BN297" s="371"/>
      <c r="BO297" s="371"/>
      <c r="BP297" s="371"/>
      <c r="BQ297" s="371"/>
      <c r="BR297" s="371"/>
      <c r="BS297" s="371"/>
      <c r="BT297" s="371"/>
      <c r="BU297" s="371"/>
    </row>
    <row r="298" spans="1:73" x14ac:dyDescent="0.2">
      <c r="A298" s="186"/>
      <c r="B298" s="186"/>
      <c r="C298" s="186" t="s">
        <v>247</v>
      </c>
      <c r="D298" s="186"/>
      <c r="E298" s="186"/>
      <c r="F298" s="186"/>
      <c r="G298" s="186"/>
      <c r="H298" s="186"/>
      <c r="I298" s="186"/>
      <c r="J298" s="186"/>
      <c r="K298" s="367" t="s">
        <v>248</v>
      </c>
      <c r="L298" s="370"/>
      <c r="M298" s="370">
        <f>+Inputs!$L$146</f>
        <v>44196</v>
      </c>
      <c r="N298" s="186"/>
      <c r="O298" s="186"/>
      <c r="P298" s="186"/>
      <c r="Q298" s="371"/>
      <c r="R298" s="371">
        <f t="shared" ref="R298:AW298" si="449">IF(R9&lt;=$M$298,1,0)</f>
        <v>1</v>
      </c>
      <c r="S298" s="371">
        <f t="shared" si="449"/>
        <v>1</v>
      </c>
      <c r="T298" s="371">
        <f t="shared" si="449"/>
        <v>1</v>
      </c>
      <c r="U298" s="371">
        <f t="shared" si="449"/>
        <v>1</v>
      </c>
      <c r="V298" s="371">
        <f t="shared" si="449"/>
        <v>0</v>
      </c>
      <c r="W298" s="371">
        <f t="shared" si="449"/>
        <v>0</v>
      </c>
      <c r="X298" s="371">
        <f t="shared" si="449"/>
        <v>0</v>
      </c>
      <c r="Y298" s="371">
        <f t="shared" si="449"/>
        <v>0</v>
      </c>
      <c r="Z298" s="371">
        <f t="shared" si="449"/>
        <v>0</v>
      </c>
      <c r="AA298" s="371">
        <f t="shared" si="449"/>
        <v>0</v>
      </c>
      <c r="AB298" s="371">
        <f t="shared" si="449"/>
        <v>0</v>
      </c>
      <c r="AC298" s="371">
        <f t="shared" si="449"/>
        <v>0</v>
      </c>
      <c r="AD298" s="371">
        <f t="shared" si="449"/>
        <v>0</v>
      </c>
      <c r="AE298" s="371">
        <f t="shared" si="449"/>
        <v>0</v>
      </c>
      <c r="AF298" s="371">
        <f t="shared" si="449"/>
        <v>0</v>
      </c>
      <c r="AG298" s="371">
        <f t="shared" si="449"/>
        <v>0</v>
      </c>
      <c r="AH298" s="371">
        <f t="shared" si="449"/>
        <v>0</v>
      </c>
      <c r="AI298" s="371">
        <f t="shared" si="449"/>
        <v>0</v>
      </c>
      <c r="AJ298" s="371">
        <f t="shared" si="449"/>
        <v>0</v>
      </c>
      <c r="AK298" s="371">
        <f t="shared" si="449"/>
        <v>0</v>
      </c>
      <c r="AL298" s="371">
        <f t="shared" si="449"/>
        <v>0</v>
      </c>
      <c r="AM298" s="371">
        <f t="shared" si="449"/>
        <v>0</v>
      </c>
      <c r="AN298" s="371">
        <f t="shared" si="449"/>
        <v>0</v>
      </c>
      <c r="AO298" s="371">
        <f t="shared" si="449"/>
        <v>0</v>
      </c>
      <c r="AP298" s="371">
        <f t="shared" si="449"/>
        <v>0</v>
      </c>
      <c r="AQ298" s="371">
        <f t="shared" si="449"/>
        <v>0</v>
      </c>
      <c r="AR298" s="371">
        <f t="shared" si="449"/>
        <v>0</v>
      </c>
      <c r="AS298" s="371">
        <f t="shared" si="449"/>
        <v>0</v>
      </c>
      <c r="AT298" s="371">
        <f t="shared" si="449"/>
        <v>0</v>
      </c>
      <c r="AU298" s="371">
        <f t="shared" si="449"/>
        <v>0</v>
      </c>
      <c r="AV298" s="371">
        <f t="shared" si="449"/>
        <v>0</v>
      </c>
      <c r="AW298" s="371">
        <f t="shared" si="449"/>
        <v>0</v>
      </c>
      <c r="AX298" s="371">
        <f t="shared" ref="AX298:BU298" si="450">IF(AX9&lt;=$M$298,1,0)</f>
        <v>0</v>
      </c>
      <c r="AY298" s="371">
        <f t="shared" si="450"/>
        <v>0</v>
      </c>
      <c r="AZ298" s="371">
        <f t="shared" si="450"/>
        <v>0</v>
      </c>
      <c r="BA298" s="371">
        <f t="shared" si="450"/>
        <v>0</v>
      </c>
      <c r="BB298" s="371">
        <f t="shared" si="450"/>
        <v>0</v>
      </c>
      <c r="BC298" s="371">
        <f t="shared" si="450"/>
        <v>0</v>
      </c>
      <c r="BD298" s="371">
        <f t="shared" si="450"/>
        <v>0</v>
      </c>
      <c r="BE298" s="371">
        <f t="shared" si="450"/>
        <v>0</v>
      </c>
      <c r="BF298" s="371">
        <f t="shared" si="450"/>
        <v>0</v>
      </c>
      <c r="BG298" s="371">
        <f t="shared" si="450"/>
        <v>0</v>
      </c>
      <c r="BH298" s="371">
        <f t="shared" si="450"/>
        <v>0</v>
      </c>
      <c r="BI298" s="371">
        <f t="shared" si="450"/>
        <v>0</v>
      </c>
      <c r="BJ298" s="371">
        <f t="shared" si="450"/>
        <v>0</v>
      </c>
      <c r="BK298" s="371">
        <f t="shared" si="450"/>
        <v>0</v>
      </c>
      <c r="BL298" s="371">
        <f t="shared" si="450"/>
        <v>0</v>
      </c>
      <c r="BM298" s="371">
        <f t="shared" si="450"/>
        <v>0</v>
      </c>
      <c r="BN298" s="371">
        <f t="shared" si="450"/>
        <v>0</v>
      </c>
      <c r="BO298" s="371">
        <f t="shared" si="450"/>
        <v>0</v>
      </c>
      <c r="BP298" s="371">
        <f t="shared" si="450"/>
        <v>0</v>
      </c>
      <c r="BQ298" s="371">
        <f t="shared" si="450"/>
        <v>0</v>
      </c>
      <c r="BR298" s="371">
        <f t="shared" si="450"/>
        <v>0</v>
      </c>
      <c r="BS298" s="371">
        <f t="shared" si="450"/>
        <v>0</v>
      </c>
      <c r="BT298" s="371">
        <f t="shared" si="450"/>
        <v>0</v>
      </c>
      <c r="BU298" s="371">
        <f t="shared" si="450"/>
        <v>0</v>
      </c>
    </row>
    <row r="299" spans="1:73" x14ac:dyDescent="0.2">
      <c r="A299" s="186"/>
      <c r="B299" s="186"/>
      <c r="C299" s="186" t="s">
        <v>249</v>
      </c>
      <c r="D299" s="186"/>
      <c r="E299" s="186"/>
      <c r="F299" s="186"/>
      <c r="G299" s="186"/>
      <c r="H299" s="186"/>
      <c r="I299" s="186"/>
      <c r="J299" s="186"/>
      <c r="K299" s="367" t="s">
        <v>248</v>
      </c>
      <c r="L299" s="370"/>
      <c r="M299" s="370">
        <f>+Inputs!$L$146</f>
        <v>44196</v>
      </c>
      <c r="N299" s="186"/>
      <c r="O299" s="186"/>
      <c r="P299" s="186"/>
      <c r="Q299" s="371"/>
      <c r="R299" s="371">
        <f t="shared" ref="R299:AW299" si="451">IF(AND($M$299&gt;R8,$M$299&lt;=R9),1,0)</f>
        <v>0</v>
      </c>
      <c r="S299" s="371">
        <f t="shared" si="451"/>
        <v>0</v>
      </c>
      <c r="T299" s="371">
        <f t="shared" si="451"/>
        <v>0</v>
      </c>
      <c r="U299" s="371">
        <f t="shared" si="451"/>
        <v>1</v>
      </c>
      <c r="V299" s="371">
        <f t="shared" si="451"/>
        <v>0</v>
      </c>
      <c r="W299" s="371">
        <f t="shared" si="451"/>
        <v>0</v>
      </c>
      <c r="X299" s="371">
        <f t="shared" si="451"/>
        <v>0</v>
      </c>
      <c r="Y299" s="371">
        <f t="shared" si="451"/>
        <v>0</v>
      </c>
      <c r="Z299" s="371">
        <f t="shared" si="451"/>
        <v>0</v>
      </c>
      <c r="AA299" s="371">
        <f t="shared" si="451"/>
        <v>0</v>
      </c>
      <c r="AB299" s="371">
        <f t="shared" si="451"/>
        <v>0</v>
      </c>
      <c r="AC299" s="371">
        <f t="shared" si="451"/>
        <v>0</v>
      </c>
      <c r="AD299" s="371">
        <f t="shared" si="451"/>
        <v>0</v>
      </c>
      <c r="AE299" s="371">
        <f t="shared" si="451"/>
        <v>0</v>
      </c>
      <c r="AF299" s="371">
        <f t="shared" si="451"/>
        <v>0</v>
      </c>
      <c r="AG299" s="371">
        <f t="shared" si="451"/>
        <v>0</v>
      </c>
      <c r="AH299" s="371">
        <f t="shared" si="451"/>
        <v>0</v>
      </c>
      <c r="AI299" s="371">
        <f t="shared" si="451"/>
        <v>0</v>
      </c>
      <c r="AJ299" s="371">
        <f t="shared" si="451"/>
        <v>0</v>
      </c>
      <c r="AK299" s="371">
        <f t="shared" si="451"/>
        <v>0</v>
      </c>
      <c r="AL299" s="371">
        <f t="shared" si="451"/>
        <v>0</v>
      </c>
      <c r="AM299" s="371">
        <f t="shared" si="451"/>
        <v>0</v>
      </c>
      <c r="AN299" s="371">
        <f t="shared" si="451"/>
        <v>0</v>
      </c>
      <c r="AO299" s="371">
        <f t="shared" si="451"/>
        <v>0</v>
      </c>
      <c r="AP299" s="371">
        <f t="shared" si="451"/>
        <v>0</v>
      </c>
      <c r="AQ299" s="371">
        <f t="shared" si="451"/>
        <v>0</v>
      </c>
      <c r="AR299" s="371">
        <f t="shared" si="451"/>
        <v>0</v>
      </c>
      <c r="AS299" s="371">
        <f t="shared" si="451"/>
        <v>0</v>
      </c>
      <c r="AT299" s="371">
        <f t="shared" si="451"/>
        <v>0</v>
      </c>
      <c r="AU299" s="371">
        <f t="shared" si="451"/>
        <v>0</v>
      </c>
      <c r="AV299" s="371">
        <f t="shared" si="451"/>
        <v>0</v>
      </c>
      <c r="AW299" s="371">
        <f t="shared" si="451"/>
        <v>0</v>
      </c>
      <c r="AX299" s="371">
        <f t="shared" ref="AX299:BU299" si="452">IF(AND($M$299&gt;AX8,$M$299&lt;=AX9),1,0)</f>
        <v>0</v>
      </c>
      <c r="AY299" s="371">
        <f t="shared" si="452"/>
        <v>0</v>
      </c>
      <c r="AZ299" s="371">
        <f t="shared" si="452"/>
        <v>0</v>
      </c>
      <c r="BA299" s="371">
        <f t="shared" si="452"/>
        <v>0</v>
      </c>
      <c r="BB299" s="371">
        <f t="shared" si="452"/>
        <v>0</v>
      </c>
      <c r="BC299" s="371">
        <f t="shared" si="452"/>
        <v>0</v>
      </c>
      <c r="BD299" s="371">
        <f t="shared" si="452"/>
        <v>0</v>
      </c>
      <c r="BE299" s="371">
        <f t="shared" si="452"/>
        <v>0</v>
      </c>
      <c r="BF299" s="371">
        <f t="shared" si="452"/>
        <v>0</v>
      </c>
      <c r="BG299" s="371">
        <f t="shared" si="452"/>
        <v>0</v>
      </c>
      <c r="BH299" s="371">
        <f t="shared" si="452"/>
        <v>0</v>
      </c>
      <c r="BI299" s="371">
        <f t="shared" si="452"/>
        <v>0</v>
      </c>
      <c r="BJ299" s="371">
        <f t="shared" si="452"/>
        <v>0</v>
      </c>
      <c r="BK299" s="371">
        <f t="shared" si="452"/>
        <v>0</v>
      </c>
      <c r="BL299" s="371">
        <f t="shared" si="452"/>
        <v>0</v>
      </c>
      <c r="BM299" s="371">
        <f t="shared" si="452"/>
        <v>0</v>
      </c>
      <c r="BN299" s="371">
        <f t="shared" si="452"/>
        <v>0</v>
      </c>
      <c r="BO299" s="371">
        <f t="shared" si="452"/>
        <v>0</v>
      </c>
      <c r="BP299" s="371">
        <f t="shared" si="452"/>
        <v>0</v>
      </c>
      <c r="BQ299" s="371">
        <f t="shared" si="452"/>
        <v>0</v>
      </c>
      <c r="BR299" s="371">
        <f t="shared" si="452"/>
        <v>0</v>
      </c>
      <c r="BS299" s="371">
        <f t="shared" si="452"/>
        <v>0</v>
      </c>
      <c r="BT299" s="371">
        <f t="shared" si="452"/>
        <v>0</v>
      </c>
      <c r="BU299" s="371">
        <f t="shared" si="452"/>
        <v>0</v>
      </c>
    </row>
    <row r="300" spans="1:73" x14ac:dyDescent="0.2">
      <c r="A300" s="186"/>
      <c r="B300" s="186"/>
      <c r="C300" s="186"/>
      <c r="D300" s="186"/>
      <c r="E300" s="186"/>
      <c r="F300" s="186"/>
      <c r="G300" s="186"/>
      <c r="H300" s="186"/>
      <c r="I300" s="186"/>
      <c r="J300" s="186"/>
      <c r="K300" s="367"/>
      <c r="L300" s="186"/>
      <c r="M300" s="186"/>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c r="AK300" s="374"/>
      <c r="AL300" s="374"/>
      <c r="AM300" s="374"/>
      <c r="AN300" s="374"/>
      <c r="AO300" s="374"/>
      <c r="AP300" s="374"/>
      <c r="AQ300" s="374"/>
      <c r="AR300" s="374"/>
      <c r="AS300" s="374"/>
      <c r="AT300" s="374"/>
      <c r="AU300" s="374"/>
      <c r="AV300" s="374"/>
      <c r="AW300" s="374"/>
      <c r="AX300" s="374"/>
      <c r="AY300" s="374"/>
      <c r="AZ300" s="374"/>
      <c r="BA300" s="374"/>
      <c r="BB300" s="374"/>
      <c r="BC300" s="374"/>
      <c r="BD300" s="374"/>
      <c r="BE300" s="374"/>
      <c r="BF300" s="374"/>
      <c r="BG300" s="374"/>
      <c r="BH300" s="374"/>
      <c r="BI300" s="374"/>
      <c r="BJ300" s="374"/>
      <c r="BK300" s="374"/>
      <c r="BL300" s="374"/>
      <c r="BM300" s="374"/>
      <c r="BN300" s="374"/>
      <c r="BO300" s="374"/>
      <c r="BP300" s="374"/>
      <c r="BQ300" s="374"/>
      <c r="BR300" s="374"/>
      <c r="BS300" s="374"/>
      <c r="BT300" s="374"/>
      <c r="BU300" s="374"/>
    </row>
    <row r="301" spans="1:73" x14ac:dyDescent="0.2">
      <c r="A301" s="186"/>
      <c r="B301" s="186"/>
      <c r="C301" s="186" t="s">
        <v>250</v>
      </c>
      <c r="D301" s="186"/>
      <c r="E301" s="186"/>
      <c r="F301" s="186"/>
      <c r="G301" s="186"/>
      <c r="H301" s="186"/>
      <c r="I301" s="186"/>
      <c r="J301" s="186"/>
      <c r="K301" s="367" t="s">
        <v>63</v>
      </c>
      <c r="L301" s="186"/>
      <c r="M301" s="186"/>
      <c r="N301" s="374">
        <f>SUM(Q301:BU301)</f>
        <v>30163809.490715798</v>
      </c>
      <c r="O301" s="374"/>
      <c r="P301" s="374"/>
      <c r="Q301" s="374"/>
      <c r="R301" s="374">
        <f t="shared" ref="R301:AV301" si="453">+MAX(R240-R248-R249-R250,0)</f>
        <v>0</v>
      </c>
      <c r="S301" s="374">
        <f t="shared" si="453"/>
        <v>46089.205415482946</v>
      </c>
      <c r="T301" s="374">
        <f t="shared" si="453"/>
        <v>66536.014867182152</v>
      </c>
      <c r="U301" s="374">
        <f t="shared" si="453"/>
        <v>82439.741395575635</v>
      </c>
      <c r="V301" s="374">
        <f t="shared" si="453"/>
        <v>64936.703322905661</v>
      </c>
      <c r="W301" s="374">
        <f t="shared" si="453"/>
        <v>78791.618545604477</v>
      </c>
      <c r="X301" s="374">
        <f t="shared" si="453"/>
        <v>94084.949761677388</v>
      </c>
      <c r="Y301" s="374">
        <f t="shared" si="453"/>
        <v>108916.77205663553</v>
      </c>
      <c r="Z301" s="374">
        <f t="shared" si="453"/>
        <v>124570.63434382016</v>
      </c>
      <c r="AA301" s="374">
        <f t="shared" si="453"/>
        <v>143016.37432390204</v>
      </c>
      <c r="AB301" s="374">
        <f t="shared" si="453"/>
        <v>161032.80369670255</v>
      </c>
      <c r="AC301" s="374">
        <f t="shared" si="453"/>
        <v>180188.636978233</v>
      </c>
      <c r="AD301" s="374">
        <f t="shared" si="453"/>
        <v>200132.27931181935</v>
      </c>
      <c r="AE301" s="374">
        <f t="shared" si="453"/>
        <v>209843.07853689627</v>
      </c>
      <c r="AF301" s="374">
        <f t="shared" si="453"/>
        <v>242256.37419751711</v>
      </c>
      <c r="AG301" s="374">
        <f t="shared" si="453"/>
        <v>265555.01824693044</v>
      </c>
      <c r="AH301" s="374">
        <f t="shared" si="453"/>
        <v>292616.36552417465</v>
      </c>
      <c r="AI301" s="374">
        <f t="shared" si="453"/>
        <v>323258.91351240419</v>
      </c>
      <c r="AJ301" s="374">
        <f t="shared" si="453"/>
        <v>357082.81061343051</v>
      </c>
      <c r="AK301" s="374">
        <f t="shared" si="453"/>
        <v>395420.17085327074</v>
      </c>
      <c r="AL301" s="374">
        <f t="shared" si="453"/>
        <v>423676.42416936782</v>
      </c>
      <c r="AM301" s="374">
        <f t="shared" si="453"/>
        <v>455492.88145072729</v>
      </c>
      <c r="AN301" s="374">
        <f t="shared" si="453"/>
        <v>495274.75144114264</v>
      </c>
      <c r="AO301" s="374">
        <f t="shared" si="453"/>
        <v>487072.89874041325</v>
      </c>
      <c r="AP301" s="374">
        <f t="shared" si="453"/>
        <v>578420.87642062781</v>
      </c>
      <c r="AQ301" s="374">
        <f t="shared" si="453"/>
        <v>622462.31660118187</v>
      </c>
      <c r="AR301" s="374">
        <f t="shared" si="453"/>
        <v>670123.04279516125</v>
      </c>
      <c r="AS301" s="374">
        <f t="shared" si="453"/>
        <v>716555.59271697863</v>
      </c>
      <c r="AT301" s="374">
        <f t="shared" si="453"/>
        <v>696910.7845384276</v>
      </c>
      <c r="AU301" s="374">
        <f t="shared" si="453"/>
        <v>686909.87386723165</v>
      </c>
      <c r="AV301" s="374">
        <f t="shared" si="453"/>
        <v>746033.98516871454</v>
      </c>
      <c r="AW301" s="374">
        <f t="shared" ref="AW301:BU301" si="454">+MAX(AW240-AW248-AW249-AW250,0)</f>
        <v>807502.83337323822</v>
      </c>
      <c r="AX301" s="374">
        <f t="shared" si="454"/>
        <v>864251.51904584584</v>
      </c>
      <c r="AY301" s="374">
        <f t="shared" si="454"/>
        <v>897016.12517696281</v>
      </c>
      <c r="AZ301" s="374">
        <f t="shared" si="454"/>
        <v>979532.58161589003</v>
      </c>
      <c r="BA301" s="374">
        <f t="shared" si="454"/>
        <v>1059170.9752302826</v>
      </c>
      <c r="BB301" s="374">
        <f t="shared" si="454"/>
        <v>1143471.7474454443</v>
      </c>
      <c r="BC301" s="374">
        <f t="shared" si="454"/>
        <v>1232863.2869510818</v>
      </c>
      <c r="BD301" s="374">
        <f t="shared" si="454"/>
        <v>1462819.6715564479</v>
      </c>
      <c r="BE301" s="374">
        <f t="shared" si="454"/>
        <v>1586118.7054500782</v>
      </c>
      <c r="BF301" s="374">
        <f t="shared" si="454"/>
        <v>1877951.2000004875</v>
      </c>
      <c r="BG301" s="374">
        <f t="shared" si="454"/>
        <v>2022875.7896959386</v>
      </c>
      <c r="BH301" s="374">
        <f t="shared" si="454"/>
        <v>2179018.6750670709</v>
      </c>
      <c r="BI301" s="374">
        <f t="shared" si="454"/>
        <v>2347204.8376066857</v>
      </c>
      <c r="BJ301" s="374">
        <f t="shared" si="454"/>
        <v>1688309.6490862106</v>
      </c>
      <c r="BK301" s="374">
        <f t="shared" si="454"/>
        <v>0</v>
      </c>
      <c r="BL301" s="374">
        <f t="shared" si="454"/>
        <v>0</v>
      </c>
      <c r="BM301" s="374">
        <f t="shared" si="454"/>
        <v>0</v>
      </c>
      <c r="BN301" s="374">
        <f t="shared" si="454"/>
        <v>0</v>
      </c>
      <c r="BO301" s="374">
        <f t="shared" si="454"/>
        <v>0</v>
      </c>
      <c r="BP301" s="374">
        <f t="shared" si="454"/>
        <v>0</v>
      </c>
      <c r="BQ301" s="374">
        <f t="shared" si="454"/>
        <v>0</v>
      </c>
      <c r="BR301" s="374">
        <f t="shared" si="454"/>
        <v>0</v>
      </c>
      <c r="BS301" s="374">
        <f t="shared" si="454"/>
        <v>0</v>
      </c>
      <c r="BT301" s="374">
        <f t="shared" si="454"/>
        <v>0</v>
      </c>
      <c r="BU301" s="374">
        <f t="shared" si="454"/>
        <v>0</v>
      </c>
    </row>
    <row r="302" spans="1:73" x14ac:dyDescent="0.2">
      <c r="A302" s="186"/>
      <c r="B302" s="186"/>
      <c r="C302" s="186" t="s">
        <v>329</v>
      </c>
      <c r="D302" s="186"/>
      <c r="E302" s="186"/>
      <c r="F302" s="186"/>
      <c r="G302" s="186"/>
      <c r="H302" s="186"/>
      <c r="I302" s="186"/>
      <c r="J302" s="186"/>
      <c r="K302" s="367"/>
      <c r="L302" s="186"/>
      <c r="M302" s="186"/>
      <c r="N302" s="374"/>
      <c r="O302" s="374"/>
      <c r="P302" s="374"/>
      <c r="Q302" s="374"/>
      <c r="R302" s="374">
        <f>MIN(CF!R46,0)</f>
        <v>0</v>
      </c>
      <c r="S302" s="374">
        <f>MIN(CF!S46,0)</f>
        <v>0</v>
      </c>
      <c r="T302" s="374">
        <f>MIN(CF!T46,0)</f>
        <v>0</v>
      </c>
      <c r="U302" s="374">
        <f>MIN(CF!U46,0)</f>
        <v>0</v>
      </c>
      <c r="V302" s="374">
        <f>MIN(CF!V46,0)</f>
        <v>0</v>
      </c>
      <c r="W302" s="374">
        <f>MIN(CF!W46,0)</f>
        <v>0</v>
      </c>
      <c r="X302" s="374">
        <f>MIN(CF!X46,0)</f>
        <v>0</v>
      </c>
      <c r="Y302" s="374">
        <f>MIN(CF!Y46,0)</f>
        <v>0</v>
      </c>
      <c r="Z302" s="374">
        <f>MIN(CF!Z46,0)</f>
        <v>0</v>
      </c>
      <c r="AA302" s="374">
        <f>MIN(CF!AA46,0)</f>
        <v>0</v>
      </c>
      <c r="AB302" s="374">
        <f>MIN(CF!AB46,0)</f>
        <v>0</v>
      </c>
      <c r="AC302" s="374">
        <f>MIN(CF!AC46,0)</f>
        <v>0</v>
      </c>
      <c r="AD302" s="374">
        <f>MIN(CF!AD46,0)</f>
        <v>0</v>
      </c>
      <c r="AE302" s="374">
        <f>MIN(CF!AE46,0)</f>
        <v>0</v>
      </c>
      <c r="AF302" s="374">
        <f>MIN(CF!AF46,0)</f>
        <v>0</v>
      </c>
      <c r="AG302" s="374">
        <f>MIN(CF!AG46,0)</f>
        <v>0</v>
      </c>
      <c r="AH302" s="374">
        <f>MIN(CF!AH46,0)</f>
        <v>0</v>
      </c>
      <c r="AI302" s="374">
        <f>MIN(CF!AI46,0)</f>
        <v>0</v>
      </c>
      <c r="AJ302" s="374">
        <f>MIN(CF!AJ46,0)</f>
        <v>0</v>
      </c>
      <c r="AK302" s="374">
        <f>MIN(CF!AK46,0)</f>
        <v>0</v>
      </c>
      <c r="AL302" s="374">
        <f>MIN(CF!AL46,0)</f>
        <v>0</v>
      </c>
      <c r="AM302" s="374">
        <f>MIN(CF!AM46,0)</f>
        <v>0</v>
      </c>
      <c r="AN302" s="374">
        <f>MIN(CF!AN46,0)</f>
        <v>0</v>
      </c>
      <c r="AO302" s="374">
        <f>MIN(CF!AO46,0)</f>
        <v>0</v>
      </c>
      <c r="AP302" s="374">
        <f>MIN(CF!AP46,0)</f>
        <v>0</v>
      </c>
      <c r="AQ302" s="374">
        <f>MIN(CF!AQ46,0)</f>
        <v>0</v>
      </c>
      <c r="AR302" s="374">
        <f>MIN(CF!AR46,0)</f>
        <v>0</v>
      </c>
      <c r="AS302" s="374">
        <f>MIN(CF!AS46,0)</f>
        <v>0</v>
      </c>
      <c r="AT302" s="374">
        <f>MIN(CF!AT46,0)</f>
        <v>0</v>
      </c>
      <c r="AU302" s="374">
        <f>MIN(CF!AU46,0)</f>
        <v>0</v>
      </c>
      <c r="AV302" s="374">
        <f>MIN(CF!AV46,0)</f>
        <v>0</v>
      </c>
      <c r="AW302" s="374">
        <f>MIN(CF!AW46,0)</f>
        <v>0</v>
      </c>
      <c r="AX302" s="374">
        <f>MIN(CF!AX46,0)</f>
        <v>0</v>
      </c>
      <c r="AY302" s="374">
        <f>MIN(CF!AY46,0)</f>
        <v>0</v>
      </c>
      <c r="AZ302" s="374">
        <f>MIN(CF!AZ46,0)</f>
        <v>0</v>
      </c>
      <c r="BA302" s="374">
        <f>MIN(CF!BA46,0)</f>
        <v>0</v>
      </c>
      <c r="BB302" s="374">
        <f>MIN(CF!BB46,0)</f>
        <v>0</v>
      </c>
      <c r="BC302" s="374">
        <f>MIN(CF!BC46,0)</f>
        <v>0</v>
      </c>
      <c r="BD302" s="374">
        <f>MIN(CF!BD46,0)</f>
        <v>0</v>
      </c>
      <c r="BE302" s="374">
        <f>MIN(CF!BE46,0)</f>
        <v>0</v>
      </c>
      <c r="BF302" s="374">
        <f>MIN(CF!BF46,0)</f>
        <v>0</v>
      </c>
      <c r="BG302" s="374">
        <f>MIN(CF!BG46,0)</f>
        <v>0</v>
      </c>
      <c r="BH302" s="374">
        <f>MIN(CF!BH46,0)</f>
        <v>0</v>
      </c>
      <c r="BI302" s="374">
        <f>MIN(CF!BI46,0)</f>
        <v>0</v>
      </c>
      <c r="BJ302" s="374">
        <f>MIN(CF!BJ46,0)</f>
        <v>0</v>
      </c>
      <c r="BK302" s="374">
        <f>MIN(CF!BK46,0)</f>
        <v>0</v>
      </c>
      <c r="BL302" s="374">
        <f>MIN(CF!BL46,0)</f>
        <v>0</v>
      </c>
      <c r="BM302" s="374">
        <f>MIN(CF!BM46,0)</f>
        <v>0</v>
      </c>
      <c r="BN302" s="374">
        <f>MIN(CF!BN46,0)</f>
        <v>0</v>
      </c>
      <c r="BO302" s="374">
        <f>MIN(CF!BO46,0)</f>
        <v>0</v>
      </c>
      <c r="BP302" s="374">
        <f>MIN(CF!BP46,0)</f>
        <v>0</v>
      </c>
      <c r="BQ302" s="374">
        <f>MIN(CF!BQ46,0)</f>
        <v>0</v>
      </c>
      <c r="BR302" s="374">
        <f>MIN(CF!BR46,0)</f>
        <v>0</v>
      </c>
      <c r="BS302" s="374">
        <f>MIN(CF!BS46,0)</f>
        <v>0</v>
      </c>
      <c r="BT302" s="374">
        <f>MIN(CF!BT46,0)</f>
        <v>0</v>
      </c>
      <c r="BU302" s="374">
        <f>MIN(CF!BU46,0)</f>
        <v>0</v>
      </c>
    </row>
    <row r="303" spans="1:73" x14ac:dyDescent="0.2">
      <c r="A303" s="186"/>
      <c r="B303" s="186"/>
      <c r="C303" s="186"/>
      <c r="D303" s="186"/>
      <c r="E303" s="186"/>
      <c r="F303" s="186"/>
      <c r="G303" s="186"/>
      <c r="H303" s="186"/>
      <c r="I303" s="186"/>
      <c r="J303" s="186"/>
      <c r="K303" s="367"/>
      <c r="L303" s="186"/>
      <c r="M303" s="186"/>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c r="AN303" s="374"/>
      <c r="AO303" s="374"/>
      <c r="AP303" s="374"/>
      <c r="AQ303" s="374"/>
      <c r="AR303" s="374"/>
      <c r="AS303" s="374"/>
      <c r="AT303" s="374"/>
      <c r="AU303" s="374"/>
      <c r="AV303" s="374"/>
      <c r="AW303" s="374"/>
      <c r="AX303" s="374"/>
      <c r="AY303" s="374"/>
      <c r="AZ303" s="374"/>
      <c r="BA303" s="374"/>
      <c r="BB303" s="374"/>
      <c r="BC303" s="374"/>
      <c r="BD303" s="374"/>
      <c r="BE303" s="374"/>
      <c r="BF303" s="374"/>
      <c r="BG303" s="374"/>
      <c r="BH303" s="374"/>
      <c r="BI303" s="374"/>
      <c r="BJ303" s="374"/>
      <c r="BK303" s="374"/>
      <c r="BL303" s="374"/>
      <c r="BM303" s="374"/>
      <c r="BN303" s="374"/>
      <c r="BO303" s="374"/>
      <c r="BP303" s="374"/>
      <c r="BQ303" s="374"/>
      <c r="BR303" s="374"/>
      <c r="BS303" s="374"/>
      <c r="BT303" s="374"/>
      <c r="BU303" s="374"/>
    </row>
    <row r="304" spans="1:73" x14ac:dyDescent="0.2">
      <c r="A304" s="186"/>
      <c r="B304" s="186"/>
      <c r="C304" s="186" t="s">
        <v>134</v>
      </c>
      <c r="D304" s="186"/>
      <c r="E304" s="186"/>
      <c r="F304" s="186"/>
      <c r="G304" s="186"/>
      <c r="H304" s="186"/>
      <c r="I304" s="186"/>
      <c r="J304" s="186"/>
      <c r="K304" s="367"/>
      <c r="L304" s="186"/>
      <c r="M304" s="186"/>
      <c r="N304" s="374">
        <f>Q304</f>
        <v>0</v>
      </c>
      <c r="O304" s="374"/>
      <c r="P304" s="374"/>
      <c r="Q304" s="374"/>
      <c r="R304" s="374"/>
      <c r="S304" s="374">
        <f t="shared" ref="S304:AO304" si="455">+R307</f>
        <v>52505.482650000005</v>
      </c>
      <c r="T304" s="374">
        <f t="shared" si="455"/>
        <v>98594.688065482944</v>
      </c>
      <c r="U304" s="374">
        <f t="shared" si="455"/>
        <v>165130.7029326651</v>
      </c>
      <c r="V304" s="374">
        <f t="shared" si="455"/>
        <v>0</v>
      </c>
      <c r="W304" s="374">
        <f t="shared" si="455"/>
        <v>0</v>
      </c>
      <c r="X304" s="374">
        <f t="shared" si="455"/>
        <v>0</v>
      </c>
      <c r="Y304" s="374">
        <f t="shared" si="455"/>
        <v>0</v>
      </c>
      <c r="Z304" s="374">
        <f t="shared" si="455"/>
        <v>0</v>
      </c>
      <c r="AA304" s="374">
        <f t="shared" si="455"/>
        <v>0</v>
      </c>
      <c r="AB304" s="374">
        <f t="shared" si="455"/>
        <v>0</v>
      </c>
      <c r="AC304" s="374">
        <f t="shared" si="455"/>
        <v>0</v>
      </c>
      <c r="AD304" s="374">
        <f t="shared" si="455"/>
        <v>0</v>
      </c>
      <c r="AE304" s="374">
        <f t="shared" si="455"/>
        <v>0</v>
      </c>
      <c r="AF304" s="374">
        <f t="shared" si="455"/>
        <v>0</v>
      </c>
      <c r="AG304" s="374">
        <f t="shared" si="455"/>
        <v>0</v>
      </c>
      <c r="AH304" s="374">
        <f t="shared" si="455"/>
        <v>0</v>
      </c>
      <c r="AI304" s="374">
        <f t="shared" si="455"/>
        <v>0</v>
      </c>
      <c r="AJ304" s="374">
        <f t="shared" si="455"/>
        <v>0</v>
      </c>
      <c r="AK304" s="374">
        <f t="shared" si="455"/>
        <v>0</v>
      </c>
      <c r="AL304" s="374">
        <f t="shared" si="455"/>
        <v>0</v>
      </c>
      <c r="AM304" s="374">
        <f t="shared" si="455"/>
        <v>0</v>
      </c>
      <c r="AN304" s="374">
        <f t="shared" si="455"/>
        <v>0</v>
      </c>
      <c r="AO304" s="374">
        <f t="shared" si="455"/>
        <v>0</v>
      </c>
      <c r="AP304" s="374">
        <f t="shared" ref="AP304:BR304" si="456">+AO307</f>
        <v>0</v>
      </c>
      <c r="AQ304" s="374">
        <f t="shared" si="456"/>
        <v>0</v>
      </c>
      <c r="AR304" s="374">
        <f t="shared" si="456"/>
        <v>0</v>
      </c>
      <c r="AS304" s="374">
        <f t="shared" si="456"/>
        <v>0</v>
      </c>
      <c r="AT304" s="374">
        <f t="shared" si="456"/>
        <v>0</v>
      </c>
      <c r="AU304" s="374">
        <f t="shared" si="456"/>
        <v>0</v>
      </c>
      <c r="AV304" s="374">
        <f t="shared" si="456"/>
        <v>0</v>
      </c>
      <c r="AW304" s="374">
        <f t="shared" si="456"/>
        <v>0</v>
      </c>
      <c r="AX304" s="374">
        <f t="shared" si="456"/>
        <v>0</v>
      </c>
      <c r="AY304" s="374">
        <f t="shared" si="456"/>
        <v>0</v>
      </c>
      <c r="AZ304" s="374">
        <f t="shared" si="456"/>
        <v>0</v>
      </c>
      <c r="BA304" s="374">
        <f t="shared" si="456"/>
        <v>0</v>
      </c>
      <c r="BB304" s="374">
        <f t="shared" si="456"/>
        <v>0</v>
      </c>
      <c r="BC304" s="374">
        <f t="shared" si="456"/>
        <v>0</v>
      </c>
      <c r="BD304" s="374">
        <f t="shared" si="456"/>
        <v>0</v>
      </c>
      <c r="BE304" s="374">
        <f t="shared" si="456"/>
        <v>0</v>
      </c>
      <c r="BF304" s="374">
        <f t="shared" si="456"/>
        <v>0</v>
      </c>
      <c r="BG304" s="374">
        <f t="shared" si="456"/>
        <v>0</v>
      </c>
      <c r="BH304" s="374">
        <f t="shared" si="456"/>
        <v>0</v>
      </c>
      <c r="BI304" s="374">
        <f t="shared" si="456"/>
        <v>0</v>
      </c>
      <c r="BJ304" s="374">
        <f t="shared" si="456"/>
        <v>0</v>
      </c>
      <c r="BK304" s="374">
        <f t="shared" si="456"/>
        <v>0</v>
      </c>
      <c r="BL304" s="374">
        <f t="shared" si="456"/>
        <v>0</v>
      </c>
      <c r="BM304" s="374">
        <f t="shared" si="456"/>
        <v>0</v>
      </c>
      <c r="BN304" s="374">
        <f t="shared" si="456"/>
        <v>0</v>
      </c>
      <c r="BO304" s="374">
        <f t="shared" si="456"/>
        <v>0</v>
      </c>
      <c r="BP304" s="374">
        <f t="shared" si="456"/>
        <v>0</v>
      </c>
      <c r="BQ304" s="374">
        <f t="shared" si="456"/>
        <v>0</v>
      </c>
      <c r="BR304" s="374">
        <f t="shared" si="456"/>
        <v>0</v>
      </c>
      <c r="BS304" s="374">
        <f t="shared" ref="BS304:BU304" si="457">+BR307</f>
        <v>0</v>
      </c>
      <c r="BT304" s="374">
        <f t="shared" si="457"/>
        <v>0</v>
      </c>
      <c r="BU304" s="374">
        <f t="shared" si="457"/>
        <v>0</v>
      </c>
    </row>
    <row r="305" spans="1:73" x14ac:dyDescent="0.2">
      <c r="A305" s="186"/>
      <c r="B305" s="186"/>
      <c r="C305" s="186" t="s">
        <v>251</v>
      </c>
      <c r="D305" s="186"/>
      <c r="E305" s="186"/>
      <c r="F305" s="186"/>
      <c r="G305" s="186"/>
      <c r="H305" s="186"/>
      <c r="I305" s="186"/>
      <c r="J305" s="186"/>
      <c r="K305" s="367" t="s">
        <v>63</v>
      </c>
      <c r="L305" s="186"/>
      <c r="M305" s="186"/>
      <c r="N305" s="374">
        <f>SUM(Q305:BU305)</f>
        <v>247570.44432824073</v>
      </c>
      <c r="O305" s="374"/>
      <c r="P305" s="374"/>
      <c r="Q305" s="373"/>
      <c r="R305" s="374">
        <f>+Inputs!L219</f>
        <v>52505.482650000005</v>
      </c>
      <c r="S305" s="374">
        <f t="shared" ref="S305:AW305" si="458">+S298 * S301</f>
        <v>46089.205415482946</v>
      </c>
      <c r="T305" s="374">
        <f t="shared" si="458"/>
        <v>66536.014867182152</v>
      </c>
      <c r="U305" s="374">
        <f t="shared" si="458"/>
        <v>82439.741395575635</v>
      </c>
      <c r="V305" s="374">
        <f t="shared" si="458"/>
        <v>0</v>
      </c>
      <c r="W305" s="374">
        <f t="shared" si="458"/>
        <v>0</v>
      </c>
      <c r="X305" s="374">
        <f t="shared" si="458"/>
        <v>0</v>
      </c>
      <c r="Y305" s="374">
        <f t="shared" si="458"/>
        <v>0</v>
      </c>
      <c r="Z305" s="374">
        <f t="shared" si="458"/>
        <v>0</v>
      </c>
      <c r="AA305" s="374">
        <f t="shared" si="458"/>
        <v>0</v>
      </c>
      <c r="AB305" s="374">
        <f t="shared" si="458"/>
        <v>0</v>
      </c>
      <c r="AC305" s="374">
        <f t="shared" si="458"/>
        <v>0</v>
      </c>
      <c r="AD305" s="374">
        <f t="shared" si="458"/>
        <v>0</v>
      </c>
      <c r="AE305" s="374">
        <f t="shared" si="458"/>
        <v>0</v>
      </c>
      <c r="AF305" s="374">
        <f t="shared" si="458"/>
        <v>0</v>
      </c>
      <c r="AG305" s="374">
        <f t="shared" si="458"/>
        <v>0</v>
      </c>
      <c r="AH305" s="374">
        <f t="shared" si="458"/>
        <v>0</v>
      </c>
      <c r="AI305" s="374">
        <f t="shared" si="458"/>
        <v>0</v>
      </c>
      <c r="AJ305" s="374">
        <f t="shared" si="458"/>
        <v>0</v>
      </c>
      <c r="AK305" s="374">
        <f t="shared" si="458"/>
        <v>0</v>
      </c>
      <c r="AL305" s="374">
        <f t="shared" si="458"/>
        <v>0</v>
      </c>
      <c r="AM305" s="374">
        <f t="shared" si="458"/>
        <v>0</v>
      </c>
      <c r="AN305" s="374">
        <f t="shared" si="458"/>
        <v>0</v>
      </c>
      <c r="AO305" s="374">
        <f t="shared" si="458"/>
        <v>0</v>
      </c>
      <c r="AP305" s="374">
        <f t="shared" si="458"/>
        <v>0</v>
      </c>
      <c r="AQ305" s="374">
        <f t="shared" si="458"/>
        <v>0</v>
      </c>
      <c r="AR305" s="374">
        <f t="shared" si="458"/>
        <v>0</v>
      </c>
      <c r="AS305" s="374">
        <f t="shared" si="458"/>
        <v>0</v>
      </c>
      <c r="AT305" s="374">
        <f t="shared" si="458"/>
        <v>0</v>
      </c>
      <c r="AU305" s="374">
        <f t="shared" si="458"/>
        <v>0</v>
      </c>
      <c r="AV305" s="374">
        <f t="shared" si="458"/>
        <v>0</v>
      </c>
      <c r="AW305" s="374">
        <f t="shared" si="458"/>
        <v>0</v>
      </c>
      <c r="AX305" s="374">
        <f t="shared" ref="AX305:BU305" si="459">+AX298 * AX301</f>
        <v>0</v>
      </c>
      <c r="AY305" s="374">
        <f t="shared" si="459"/>
        <v>0</v>
      </c>
      <c r="AZ305" s="374">
        <f t="shared" si="459"/>
        <v>0</v>
      </c>
      <c r="BA305" s="374">
        <f t="shared" si="459"/>
        <v>0</v>
      </c>
      <c r="BB305" s="374">
        <f t="shared" si="459"/>
        <v>0</v>
      </c>
      <c r="BC305" s="374">
        <f t="shared" si="459"/>
        <v>0</v>
      </c>
      <c r="BD305" s="374">
        <f t="shared" si="459"/>
        <v>0</v>
      </c>
      <c r="BE305" s="374">
        <f t="shared" si="459"/>
        <v>0</v>
      </c>
      <c r="BF305" s="374">
        <f t="shared" si="459"/>
        <v>0</v>
      </c>
      <c r="BG305" s="374">
        <f t="shared" si="459"/>
        <v>0</v>
      </c>
      <c r="BH305" s="374">
        <f t="shared" si="459"/>
        <v>0</v>
      </c>
      <c r="BI305" s="374">
        <f t="shared" si="459"/>
        <v>0</v>
      </c>
      <c r="BJ305" s="374">
        <f t="shared" si="459"/>
        <v>0</v>
      </c>
      <c r="BK305" s="374">
        <f t="shared" si="459"/>
        <v>0</v>
      </c>
      <c r="BL305" s="374">
        <f t="shared" si="459"/>
        <v>0</v>
      </c>
      <c r="BM305" s="374">
        <f t="shared" si="459"/>
        <v>0</v>
      </c>
      <c r="BN305" s="374">
        <f t="shared" si="459"/>
        <v>0</v>
      </c>
      <c r="BO305" s="374">
        <f t="shared" si="459"/>
        <v>0</v>
      </c>
      <c r="BP305" s="374">
        <f t="shared" si="459"/>
        <v>0</v>
      </c>
      <c r="BQ305" s="374">
        <f t="shared" si="459"/>
        <v>0</v>
      </c>
      <c r="BR305" s="374">
        <f t="shared" si="459"/>
        <v>0</v>
      </c>
      <c r="BS305" s="374">
        <f t="shared" si="459"/>
        <v>0</v>
      </c>
      <c r="BT305" s="374">
        <f t="shared" si="459"/>
        <v>0</v>
      </c>
      <c r="BU305" s="374">
        <f t="shared" si="459"/>
        <v>0</v>
      </c>
    </row>
    <row r="306" spans="1:73" x14ac:dyDescent="0.2">
      <c r="A306" s="186"/>
      <c r="B306" s="186"/>
      <c r="C306" s="186" t="s">
        <v>246</v>
      </c>
      <c r="D306" s="186"/>
      <c r="E306" s="186"/>
      <c r="F306" s="186"/>
      <c r="G306" s="186"/>
      <c r="H306" s="186"/>
      <c r="I306" s="186"/>
      <c r="J306" s="186"/>
      <c r="K306" s="367" t="s">
        <v>63</v>
      </c>
      <c r="L306" s="186"/>
      <c r="M306" s="186"/>
      <c r="N306" s="374">
        <f>SUM(Q306:BU306)</f>
        <v>-247570.44432824073</v>
      </c>
      <c r="O306" s="374"/>
      <c r="P306" s="374"/>
      <c r="Q306" s="373"/>
      <c r="R306" s="374">
        <f t="shared" ref="R306:AW306" si="460">-(+SUM(Q307,R305) * R299)+R302</f>
        <v>0</v>
      </c>
      <c r="S306" s="374">
        <f t="shared" si="460"/>
        <v>0</v>
      </c>
      <c r="T306" s="374">
        <f t="shared" si="460"/>
        <v>0</v>
      </c>
      <c r="U306" s="374">
        <f t="shared" si="460"/>
        <v>-247570.44432824073</v>
      </c>
      <c r="V306" s="374">
        <f t="shared" si="460"/>
        <v>0</v>
      </c>
      <c r="W306" s="374">
        <f t="shared" si="460"/>
        <v>0</v>
      </c>
      <c r="X306" s="374">
        <f t="shared" si="460"/>
        <v>0</v>
      </c>
      <c r="Y306" s="374">
        <f t="shared" si="460"/>
        <v>0</v>
      </c>
      <c r="Z306" s="374">
        <f t="shared" si="460"/>
        <v>0</v>
      </c>
      <c r="AA306" s="374">
        <f t="shared" si="460"/>
        <v>0</v>
      </c>
      <c r="AB306" s="374">
        <f t="shared" si="460"/>
        <v>0</v>
      </c>
      <c r="AC306" s="374">
        <f t="shared" si="460"/>
        <v>0</v>
      </c>
      <c r="AD306" s="374">
        <f t="shared" si="460"/>
        <v>0</v>
      </c>
      <c r="AE306" s="374">
        <f t="shared" si="460"/>
        <v>0</v>
      </c>
      <c r="AF306" s="374">
        <f t="shared" si="460"/>
        <v>0</v>
      </c>
      <c r="AG306" s="374">
        <f t="shared" si="460"/>
        <v>0</v>
      </c>
      <c r="AH306" s="374">
        <f t="shared" si="460"/>
        <v>0</v>
      </c>
      <c r="AI306" s="374">
        <f t="shared" si="460"/>
        <v>0</v>
      </c>
      <c r="AJ306" s="374">
        <f t="shared" si="460"/>
        <v>0</v>
      </c>
      <c r="AK306" s="374">
        <f t="shared" si="460"/>
        <v>0</v>
      </c>
      <c r="AL306" s="374">
        <f t="shared" si="460"/>
        <v>0</v>
      </c>
      <c r="AM306" s="374">
        <f t="shared" si="460"/>
        <v>0</v>
      </c>
      <c r="AN306" s="374">
        <f t="shared" si="460"/>
        <v>0</v>
      </c>
      <c r="AO306" s="374">
        <f t="shared" si="460"/>
        <v>0</v>
      </c>
      <c r="AP306" s="374">
        <f t="shared" si="460"/>
        <v>0</v>
      </c>
      <c r="AQ306" s="374">
        <f t="shared" si="460"/>
        <v>0</v>
      </c>
      <c r="AR306" s="374">
        <f t="shared" si="460"/>
        <v>0</v>
      </c>
      <c r="AS306" s="374">
        <f t="shared" si="460"/>
        <v>0</v>
      </c>
      <c r="AT306" s="374">
        <f t="shared" si="460"/>
        <v>0</v>
      </c>
      <c r="AU306" s="374">
        <f t="shared" si="460"/>
        <v>0</v>
      </c>
      <c r="AV306" s="374">
        <f t="shared" si="460"/>
        <v>0</v>
      </c>
      <c r="AW306" s="374">
        <f t="shared" si="460"/>
        <v>0</v>
      </c>
      <c r="AX306" s="374">
        <f t="shared" ref="AX306:BU306" si="461">-(+SUM(AW307,AX305) * AX299)+AX302</f>
        <v>0</v>
      </c>
      <c r="AY306" s="374">
        <f t="shared" si="461"/>
        <v>0</v>
      </c>
      <c r="AZ306" s="374">
        <f t="shared" si="461"/>
        <v>0</v>
      </c>
      <c r="BA306" s="374">
        <f t="shared" si="461"/>
        <v>0</v>
      </c>
      <c r="BB306" s="374">
        <f t="shared" si="461"/>
        <v>0</v>
      </c>
      <c r="BC306" s="374">
        <f t="shared" si="461"/>
        <v>0</v>
      </c>
      <c r="BD306" s="374">
        <f t="shared" si="461"/>
        <v>0</v>
      </c>
      <c r="BE306" s="374">
        <f t="shared" si="461"/>
        <v>0</v>
      </c>
      <c r="BF306" s="374">
        <f t="shared" si="461"/>
        <v>0</v>
      </c>
      <c r="BG306" s="374">
        <f t="shared" si="461"/>
        <v>0</v>
      </c>
      <c r="BH306" s="374">
        <f t="shared" si="461"/>
        <v>0</v>
      </c>
      <c r="BI306" s="374">
        <f t="shared" si="461"/>
        <v>0</v>
      </c>
      <c r="BJ306" s="374">
        <f t="shared" si="461"/>
        <v>0</v>
      </c>
      <c r="BK306" s="374">
        <f t="shared" si="461"/>
        <v>0</v>
      </c>
      <c r="BL306" s="374">
        <f t="shared" si="461"/>
        <v>0</v>
      </c>
      <c r="BM306" s="374">
        <f t="shared" si="461"/>
        <v>0</v>
      </c>
      <c r="BN306" s="374">
        <f t="shared" si="461"/>
        <v>0</v>
      </c>
      <c r="BO306" s="374">
        <f t="shared" si="461"/>
        <v>0</v>
      </c>
      <c r="BP306" s="374">
        <f t="shared" si="461"/>
        <v>0</v>
      </c>
      <c r="BQ306" s="374">
        <f t="shared" si="461"/>
        <v>0</v>
      </c>
      <c r="BR306" s="374">
        <f t="shared" si="461"/>
        <v>0</v>
      </c>
      <c r="BS306" s="374">
        <f t="shared" si="461"/>
        <v>0</v>
      </c>
      <c r="BT306" s="374">
        <f t="shared" si="461"/>
        <v>0</v>
      </c>
      <c r="BU306" s="374">
        <f t="shared" si="461"/>
        <v>0</v>
      </c>
    </row>
    <row r="307" spans="1:73" ht="13.5" thickBot="1" x14ac:dyDescent="0.25">
      <c r="A307" s="186"/>
      <c r="B307" s="186"/>
      <c r="C307" s="186" t="s">
        <v>138</v>
      </c>
      <c r="D307" s="186"/>
      <c r="E307" s="186"/>
      <c r="F307" s="186"/>
      <c r="G307" s="186"/>
      <c r="H307" s="186"/>
      <c r="I307" s="186"/>
      <c r="J307" s="186"/>
      <c r="K307" s="367"/>
      <c r="L307" s="186"/>
      <c r="M307" s="186"/>
      <c r="N307" s="374"/>
      <c r="O307" s="374"/>
      <c r="P307" s="374"/>
      <c r="Q307" s="374"/>
      <c r="R307" s="374">
        <f t="shared" ref="R307:AO307" si="462">SUM(R304:R306)</f>
        <v>52505.482650000005</v>
      </c>
      <c r="S307" s="374">
        <f t="shared" si="462"/>
        <v>98594.688065482944</v>
      </c>
      <c r="T307" s="374">
        <f t="shared" si="462"/>
        <v>165130.7029326651</v>
      </c>
      <c r="U307" s="374">
        <f t="shared" si="462"/>
        <v>0</v>
      </c>
      <c r="V307" s="374">
        <f t="shared" si="462"/>
        <v>0</v>
      </c>
      <c r="W307" s="374">
        <f t="shared" si="462"/>
        <v>0</v>
      </c>
      <c r="X307" s="374">
        <f t="shared" si="462"/>
        <v>0</v>
      </c>
      <c r="Y307" s="374">
        <f t="shared" si="462"/>
        <v>0</v>
      </c>
      <c r="Z307" s="374">
        <f t="shared" si="462"/>
        <v>0</v>
      </c>
      <c r="AA307" s="374">
        <f t="shared" si="462"/>
        <v>0</v>
      </c>
      <c r="AB307" s="374">
        <f t="shared" si="462"/>
        <v>0</v>
      </c>
      <c r="AC307" s="374">
        <f t="shared" si="462"/>
        <v>0</v>
      </c>
      <c r="AD307" s="374">
        <f t="shared" si="462"/>
        <v>0</v>
      </c>
      <c r="AE307" s="374">
        <f t="shared" si="462"/>
        <v>0</v>
      </c>
      <c r="AF307" s="374">
        <f t="shared" si="462"/>
        <v>0</v>
      </c>
      <c r="AG307" s="374">
        <f t="shared" si="462"/>
        <v>0</v>
      </c>
      <c r="AH307" s="374">
        <f t="shared" si="462"/>
        <v>0</v>
      </c>
      <c r="AI307" s="374">
        <f t="shared" si="462"/>
        <v>0</v>
      </c>
      <c r="AJ307" s="374">
        <f t="shared" si="462"/>
        <v>0</v>
      </c>
      <c r="AK307" s="374">
        <f t="shared" si="462"/>
        <v>0</v>
      </c>
      <c r="AL307" s="374">
        <f t="shared" si="462"/>
        <v>0</v>
      </c>
      <c r="AM307" s="374">
        <f t="shared" si="462"/>
        <v>0</v>
      </c>
      <c r="AN307" s="374">
        <f t="shared" si="462"/>
        <v>0</v>
      </c>
      <c r="AO307" s="374">
        <f t="shared" si="462"/>
        <v>0</v>
      </c>
      <c r="AP307" s="374">
        <f t="shared" ref="AP307:BR307" si="463">SUM(AP304:AP306)</f>
        <v>0</v>
      </c>
      <c r="AQ307" s="374">
        <f t="shared" si="463"/>
        <v>0</v>
      </c>
      <c r="AR307" s="374">
        <f t="shared" si="463"/>
        <v>0</v>
      </c>
      <c r="AS307" s="374">
        <f t="shared" si="463"/>
        <v>0</v>
      </c>
      <c r="AT307" s="374">
        <f t="shared" si="463"/>
        <v>0</v>
      </c>
      <c r="AU307" s="374">
        <f t="shared" si="463"/>
        <v>0</v>
      </c>
      <c r="AV307" s="374">
        <f t="shared" si="463"/>
        <v>0</v>
      </c>
      <c r="AW307" s="374">
        <f t="shared" si="463"/>
        <v>0</v>
      </c>
      <c r="AX307" s="374">
        <f t="shared" si="463"/>
        <v>0</v>
      </c>
      <c r="AY307" s="374">
        <f t="shared" si="463"/>
        <v>0</v>
      </c>
      <c r="AZ307" s="374">
        <f t="shared" si="463"/>
        <v>0</v>
      </c>
      <c r="BA307" s="374">
        <f t="shared" si="463"/>
        <v>0</v>
      </c>
      <c r="BB307" s="374">
        <f t="shared" si="463"/>
        <v>0</v>
      </c>
      <c r="BC307" s="374">
        <f t="shared" si="463"/>
        <v>0</v>
      </c>
      <c r="BD307" s="374">
        <f t="shared" si="463"/>
        <v>0</v>
      </c>
      <c r="BE307" s="374">
        <f t="shared" si="463"/>
        <v>0</v>
      </c>
      <c r="BF307" s="374">
        <f t="shared" si="463"/>
        <v>0</v>
      </c>
      <c r="BG307" s="374">
        <f t="shared" si="463"/>
        <v>0</v>
      </c>
      <c r="BH307" s="374">
        <f t="shared" si="463"/>
        <v>0</v>
      </c>
      <c r="BI307" s="374">
        <f t="shared" si="463"/>
        <v>0</v>
      </c>
      <c r="BJ307" s="374">
        <f t="shared" si="463"/>
        <v>0</v>
      </c>
      <c r="BK307" s="374">
        <f t="shared" si="463"/>
        <v>0</v>
      </c>
      <c r="BL307" s="374">
        <f t="shared" si="463"/>
        <v>0</v>
      </c>
      <c r="BM307" s="374">
        <f t="shared" si="463"/>
        <v>0</v>
      </c>
      <c r="BN307" s="374">
        <f t="shared" si="463"/>
        <v>0</v>
      </c>
      <c r="BO307" s="374">
        <f t="shared" si="463"/>
        <v>0</v>
      </c>
      <c r="BP307" s="374">
        <f t="shared" si="463"/>
        <v>0</v>
      </c>
      <c r="BQ307" s="374">
        <f t="shared" si="463"/>
        <v>0</v>
      </c>
      <c r="BR307" s="374">
        <f t="shared" si="463"/>
        <v>0</v>
      </c>
      <c r="BS307" s="374">
        <f t="shared" ref="BS307:BU307" si="464">SUM(BS304:BS306)</f>
        <v>0</v>
      </c>
      <c r="BT307" s="374">
        <f t="shared" si="464"/>
        <v>0</v>
      </c>
      <c r="BU307" s="374">
        <f t="shared" si="464"/>
        <v>0</v>
      </c>
    </row>
    <row r="308" spans="1:73" ht="13.5" thickBot="1" x14ac:dyDescent="0.25">
      <c r="A308" s="186"/>
      <c r="B308" s="186"/>
      <c r="C308" s="186"/>
      <c r="D308" s="186"/>
      <c r="E308" s="186"/>
      <c r="F308" s="186"/>
      <c r="G308" s="186"/>
      <c r="H308" s="186"/>
      <c r="I308" s="186"/>
      <c r="J308" s="186"/>
      <c r="K308" s="367"/>
      <c r="L308" s="186"/>
      <c r="M308" s="186"/>
      <c r="N308" s="385">
        <f>IF(ROUND(SUM(N304:N306),2) = 0,0,1)</f>
        <v>0</v>
      </c>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c r="AK308" s="374"/>
      <c r="AL308" s="374"/>
      <c r="AM308" s="374"/>
      <c r="AN308" s="374"/>
      <c r="AO308" s="374"/>
      <c r="AP308" s="374"/>
      <c r="AQ308" s="374"/>
      <c r="AR308" s="374"/>
      <c r="AS308" s="374"/>
      <c r="AT308" s="374"/>
      <c r="AU308" s="374"/>
      <c r="AV308" s="374"/>
      <c r="AW308" s="374"/>
      <c r="AX308" s="374"/>
      <c r="AY308" s="374"/>
      <c r="AZ308" s="374"/>
      <c r="BA308" s="374"/>
      <c r="BB308" s="374"/>
      <c r="BC308" s="374"/>
      <c r="BD308" s="374"/>
      <c r="BE308" s="374"/>
      <c r="BF308" s="374"/>
      <c r="BG308" s="374"/>
      <c r="BH308" s="374"/>
      <c r="BI308" s="374"/>
      <c r="BJ308" s="374"/>
      <c r="BK308" s="374"/>
      <c r="BL308" s="374"/>
      <c r="BM308" s="374"/>
      <c r="BN308" s="374"/>
      <c r="BO308" s="374"/>
      <c r="BP308" s="374"/>
      <c r="BQ308" s="374"/>
      <c r="BR308" s="374"/>
      <c r="BS308" s="374"/>
      <c r="BT308" s="374"/>
      <c r="BU308" s="374"/>
    </row>
    <row r="309" spans="1:73" x14ac:dyDescent="0.2">
      <c r="A309" s="186"/>
      <c r="B309" s="186"/>
      <c r="C309" s="186"/>
      <c r="D309" s="186"/>
      <c r="E309" s="186"/>
      <c r="F309" s="186"/>
      <c r="G309" s="186"/>
      <c r="H309" s="186"/>
      <c r="I309" s="186"/>
      <c r="J309" s="186"/>
      <c r="K309" s="367"/>
      <c r="L309" s="186"/>
      <c r="M309" s="186"/>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c r="AK309" s="374"/>
      <c r="AL309" s="374"/>
      <c r="AM309" s="374"/>
      <c r="AN309" s="374"/>
      <c r="AO309" s="374"/>
      <c r="AP309" s="374"/>
      <c r="AQ309" s="374"/>
      <c r="AR309" s="374"/>
      <c r="AS309" s="374"/>
      <c r="AT309" s="374"/>
      <c r="AU309" s="374"/>
      <c r="AV309" s="374"/>
      <c r="AW309" s="374"/>
      <c r="AX309" s="374"/>
      <c r="AY309" s="374"/>
      <c r="AZ309" s="374"/>
      <c r="BA309" s="374"/>
      <c r="BB309" s="374"/>
      <c r="BC309" s="374"/>
      <c r="BD309" s="374"/>
      <c r="BE309" s="374"/>
      <c r="BF309" s="374"/>
      <c r="BG309" s="374"/>
      <c r="BH309" s="374"/>
      <c r="BI309" s="374"/>
      <c r="BJ309" s="374"/>
      <c r="BK309" s="374"/>
      <c r="BL309" s="374"/>
      <c r="BM309" s="374"/>
      <c r="BN309" s="374"/>
      <c r="BO309" s="374"/>
      <c r="BP309" s="374"/>
      <c r="BQ309" s="374"/>
      <c r="BR309" s="374"/>
      <c r="BS309" s="374"/>
      <c r="BT309" s="374"/>
      <c r="BU309" s="374"/>
    </row>
    <row r="310" spans="1:73" ht="15.75" x14ac:dyDescent="0.25">
      <c r="A310" s="186"/>
      <c r="B310" s="186"/>
      <c r="C310" s="456" t="s">
        <v>350</v>
      </c>
      <c r="D310" s="186"/>
      <c r="E310" s="186"/>
      <c r="F310" s="186"/>
      <c r="G310" s="186"/>
      <c r="H310" s="186"/>
      <c r="I310" s="186"/>
      <c r="J310" s="186"/>
      <c r="K310" s="367"/>
      <c r="L310" s="186"/>
      <c r="M310" s="186"/>
      <c r="N310" s="461"/>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row>
    <row r="311" spans="1:73" x14ac:dyDescent="0.2">
      <c r="A311" s="186"/>
      <c r="B311" s="186"/>
      <c r="C311" s="232"/>
      <c r="D311" s="232"/>
      <c r="E311" s="232"/>
      <c r="F311" s="232"/>
      <c r="G311" s="232"/>
      <c r="H311" s="232"/>
      <c r="I311" s="232"/>
      <c r="J311" s="232"/>
      <c r="K311" s="618"/>
      <c r="L311" s="398"/>
      <c r="M311" s="186"/>
      <c r="N311" s="461"/>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row>
    <row r="312" spans="1:73" x14ac:dyDescent="0.2">
      <c r="A312" s="186"/>
      <c r="B312" s="186"/>
      <c r="C312" s="210" t="s">
        <v>316</v>
      </c>
      <c r="D312" s="186"/>
      <c r="E312" s="186"/>
      <c r="F312" s="186"/>
      <c r="G312" s="186"/>
      <c r="H312" s="186"/>
      <c r="I312" s="186"/>
      <c r="J312" s="186"/>
      <c r="K312" s="622" t="s">
        <v>51</v>
      </c>
      <c r="L312" s="186"/>
      <c r="M312" s="186"/>
      <c r="N312" s="461"/>
      <c r="O312" s="186"/>
      <c r="P312" s="186"/>
      <c r="Q312" s="371"/>
      <c r="R312" s="371">
        <f t="shared" ref="R312:AW312" si="465">R13</f>
        <v>1</v>
      </c>
      <c r="S312" s="371">
        <f t="shared" si="465"/>
        <v>1</v>
      </c>
      <c r="T312" s="371">
        <f t="shared" si="465"/>
        <v>1</v>
      </c>
      <c r="U312" s="371">
        <f t="shared" si="465"/>
        <v>1</v>
      </c>
      <c r="V312" s="371">
        <f t="shared" si="465"/>
        <v>1</v>
      </c>
      <c r="W312" s="371">
        <f t="shared" si="465"/>
        <v>1</v>
      </c>
      <c r="X312" s="371">
        <f t="shared" si="465"/>
        <v>1</v>
      </c>
      <c r="Y312" s="371">
        <f t="shared" si="465"/>
        <v>1</v>
      </c>
      <c r="Z312" s="371">
        <f t="shared" si="465"/>
        <v>1</v>
      </c>
      <c r="AA312" s="371">
        <f t="shared" si="465"/>
        <v>1</v>
      </c>
      <c r="AB312" s="371">
        <f t="shared" si="465"/>
        <v>1</v>
      </c>
      <c r="AC312" s="371">
        <f t="shared" si="465"/>
        <v>1</v>
      </c>
      <c r="AD312" s="371">
        <f t="shared" si="465"/>
        <v>1</v>
      </c>
      <c r="AE312" s="371">
        <f t="shared" si="465"/>
        <v>1</v>
      </c>
      <c r="AF312" s="371">
        <f t="shared" si="465"/>
        <v>1</v>
      </c>
      <c r="AG312" s="371">
        <f t="shared" si="465"/>
        <v>1</v>
      </c>
      <c r="AH312" s="371">
        <f t="shared" si="465"/>
        <v>1</v>
      </c>
      <c r="AI312" s="371">
        <f t="shared" si="465"/>
        <v>1</v>
      </c>
      <c r="AJ312" s="371">
        <f t="shared" si="465"/>
        <v>1</v>
      </c>
      <c r="AK312" s="371">
        <f t="shared" si="465"/>
        <v>1</v>
      </c>
      <c r="AL312" s="371">
        <f t="shared" si="465"/>
        <v>1</v>
      </c>
      <c r="AM312" s="371">
        <f t="shared" si="465"/>
        <v>1</v>
      </c>
      <c r="AN312" s="371">
        <f t="shared" si="465"/>
        <v>1</v>
      </c>
      <c r="AO312" s="371">
        <f t="shared" si="465"/>
        <v>1</v>
      </c>
      <c r="AP312" s="371">
        <f t="shared" si="465"/>
        <v>1</v>
      </c>
      <c r="AQ312" s="371">
        <f t="shared" si="465"/>
        <v>1</v>
      </c>
      <c r="AR312" s="371">
        <f t="shared" si="465"/>
        <v>1</v>
      </c>
      <c r="AS312" s="371">
        <f t="shared" si="465"/>
        <v>1</v>
      </c>
      <c r="AT312" s="371">
        <f t="shared" si="465"/>
        <v>1</v>
      </c>
      <c r="AU312" s="371">
        <f t="shared" si="465"/>
        <v>1</v>
      </c>
      <c r="AV312" s="371">
        <f t="shared" si="465"/>
        <v>1</v>
      </c>
      <c r="AW312" s="371">
        <f t="shared" si="465"/>
        <v>1</v>
      </c>
      <c r="AX312" s="371">
        <f t="shared" ref="AX312:BU312" si="466">AX13</f>
        <v>1</v>
      </c>
      <c r="AY312" s="371">
        <f t="shared" si="466"/>
        <v>1</v>
      </c>
      <c r="AZ312" s="371">
        <f t="shared" si="466"/>
        <v>1</v>
      </c>
      <c r="BA312" s="371">
        <f t="shared" si="466"/>
        <v>1</v>
      </c>
      <c r="BB312" s="371">
        <f t="shared" si="466"/>
        <v>1</v>
      </c>
      <c r="BC312" s="371">
        <f t="shared" si="466"/>
        <v>1</v>
      </c>
      <c r="BD312" s="371">
        <f t="shared" si="466"/>
        <v>1</v>
      </c>
      <c r="BE312" s="371">
        <f t="shared" si="466"/>
        <v>1</v>
      </c>
      <c r="BF312" s="371">
        <f t="shared" si="466"/>
        <v>1</v>
      </c>
      <c r="BG312" s="371">
        <f t="shared" si="466"/>
        <v>1</v>
      </c>
      <c r="BH312" s="371">
        <f t="shared" si="466"/>
        <v>1</v>
      </c>
      <c r="BI312" s="371">
        <f t="shared" si="466"/>
        <v>1</v>
      </c>
      <c r="BJ312" s="371">
        <f t="shared" si="466"/>
        <v>1</v>
      </c>
      <c r="BK312" s="371">
        <f t="shared" si="466"/>
        <v>0</v>
      </c>
      <c r="BL312" s="371">
        <f t="shared" si="466"/>
        <v>0</v>
      </c>
      <c r="BM312" s="371">
        <f t="shared" si="466"/>
        <v>0</v>
      </c>
      <c r="BN312" s="371">
        <f t="shared" si="466"/>
        <v>0</v>
      </c>
      <c r="BO312" s="371">
        <f t="shared" si="466"/>
        <v>0</v>
      </c>
      <c r="BP312" s="371">
        <f t="shared" si="466"/>
        <v>0</v>
      </c>
      <c r="BQ312" s="371">
        <f t="shared" si="466"/>
        <v>0</v>
      </c>
      <c r="BR312" s="371">
        <f t="shared" si="466"/>
        <v>0</v>
      </c>
      <c r="BS312" s="371">
        <f t="shared" si="466"/>
        <v>0</v>
      </c>
      <c r="BT312" s="371">
        <f t="shared" si="466"/>
        <v>0</v>
      </c>
      <c r="BU312" s="371">
        <f t="shared" si="466"/>
        <v>0</v>
      </c>
    </row>
    <row r="313" spans="1:73" x14ac:dyDescent="0.2">
      <c r="A313" s="186"/>
      <c r="B313" s="186"/>
      <c r="C313" s="186"/>
      <c r="D313" s="186"/>
      <c r="E313" s="186"/>
      <c r="F313" s="186"/>
      <c r="G313" s="186"/>
      <c r="H313" s="186"/>
      <c r="I313" s="186"/>
      <c r="J313" s="186"/>
      <c r="K313" s="367"/>
      <c r="L313" s="186"/>
      <c r="M313" s="186"/>
      <c r="N313" s="461"/>
      <c r="O313" s="186"/>
      <c r="P313" s="186"/>
      <c r="Q313" s="371"/>
      <c r="R313" s="371"/>
      <c r="S313" s="371"/>
      <c r="T313" s="371"/>
      <c r="U313" s="371"/>
      <c r="V313" s="371"/>
      <c r="W313" s="371"/>
      <c r="X313" s="371"/>
      <c r="Y313" s="371"/>
      <c r="Z313" s="371"/>
      <c r="AA313" s="371"/>
      <c r="AB313" s="371"/>
      <c r="AC313" s="371"/>
      <c r="AD313" s="371"/>
      <c r="AE313" s="371"/>
      <c r="AF313" s="371"/>
      <c r="AG313" s="371"/>
      <c r="AH313" s="371"/>
      <c r="AI313" s="371"/>
      <c r="AJ313" s="371"/>
      <c r="AK313" s="371"/>
      <c r="AL313" s="371"/>
      <c r="AM313" s="371"/>
      <c r="AN313" s="371"/>
      <c r="AO313" s="371"/>
      <c r="AP313" s="371"/>
      <c r="AQ313" s="371"/>
      <c r="AR313" s="371"/>
      <c r="AS313" s="371"/>
      <c r="AT313" s="371"/>
      <c r="AU313" s="371"/>
      <c r="AV313" s="371"/>
      <c r="AW313" s="371"/>
      <c r="AX313" s="371"/>
      <c r="AY313" s="371"/>
      <c r="AZ313" s="371"/>
      <c r="BA313" s="371"/>
      <c r="BB313" s="371"/>
      <c r="BC313" s="371"/>
      <c r="BD313" s="371"/>
      <c r="BE313" s="371"/>
      <c r="BF313" s="371"/>
      <c r="BG313" s="371"/>
      <c r="BH313" s="371"/>
      <c r="BI313" s="371"/>
      <c r="BJ313" s="371"/>
      <c r="BK313" s="371"/>
      <c r="BL313" s="371"/>
      <c r="BM313" s="371"/>
      <c r="BN313" s="371"/>
      <c r="BO313" s="371"/>
      <c r="BP313" s="371"/>
      <c r="BQ313" s="371"/>
      <c r="BR313" s="371"/>
      <c r="BS313" s="371"/>
      <c r="BT313" s="371"/>
      <c r="BU313" s="371"/>
    </row>
    <row r="314" spans="1:73" x14ac:dyDescent="0.2">
      <c r="A314" s="186"/>
      <c r="B314" s="186"/>
      <c r="C314" s="210" t="s">
        <v>88</v>
      </c>
      <c r="D314" s="186"/>
      <c r="E314" s="186"/>
      <c r="F314" s="186"/>
      <c r="G314" s="186"/>
      <c r="H314" s="186"/>
      <c r="I314" s="186"/>
      <c r="J314" s="186"/>
      <c r="K314" s="622" t="s">
        <v>63</v>
      </c>
      <c r="L314" s="186"/>
      <c r="M314" s="186"/>
      <c r="N314" s="374">
        <f>R317</f>
        <v>1982.7223300000005</v>
      </c>
      <c r="O314" s="186"/>
      <c r="P314" s="186"/>
      <c r="Q314" s="371"/>
      <c r="R314" s="371">
        <f t="shared" ref="R314:AO314" si="467">Q317</f>
        <v>0</v>
      </c>
      <c r="S314" s="371">
        <f t="shared" si="467"/>
        <v>1982.7223300000005</v>
      </c>
      <c r="T314" s="371">
        <f t="shared" si="467"/>
        <v>1982.7223300000005</v>
      </c>
      <c r="U314" s="371">
        <f t="shared" si="467"/>
        <v>1982.7223300000005</v>
      </c>
      <c r="V314" s="371">
        <f t="shared" si="467"/>
        <v>1982.7223300000005</v>
      </c>
      <c r="W314" s="371">
        <f t="shared" si="467"/>
        <v>1982.7223300000005</v>
      </c>
      <c r="X314" s="371">
        <f t="shared" si="467"/>
        <v>1982.7223300000005</v>
      </c>
      <c r="Y314" s="371">
        <f t="shared" si="467"/>
        <v>1982.7223300000005</v>
      </c>
      <c r="Z314" s="371">
        <f t="shared" si="467"/>
        <v>1982.7223300000005</v>
      </c>
      <c r="AA314" s="371">
        <f t="shared" si="467"/>
        <v>1982.7223300000005</v>
      </c>
      <c r="AB314" s="371">
        <f t="shared" si="467"/>
        <v>1982.7223300000005</v>
      </c>
      <c r="AC314" s="371">
        <f t="shared" si="467"/>
        <v>1982.7223300000005</v>
      </c>
      <c r="AD314" s="371">
        <f t="shared" si="467"/>
        <v>1982.7223300000005</v>
      </c>
      <c r="AE314" s="371">
        <f t="shared" si="467"/>
        <v>1982.7223300000005</v>
      </c>
      <c r="AF314" s="371">
        <f t="shared" si="467"/>
        <v>1982.7223300000005</v>
      </c>
      <c r="AG314" s="371">
        <f t="shared" si="467"/>
        <v>1982.7223300000005</v>
      </c>
      <c r="AH314" s="371">
        <f t="shared" si="467"/>
        <v>1982.7223300000005</v>
      </c>
      <c r="AI314" s="371">
        <f t="shared" si="467"/>
        <v>1982.7223300000005</v>
      </c>
      <c r="AJ314" s="371">
        <f t="shared" si="467"/>
        <v>1982.7223300000005</v>
      </c>
      <c r="AK314" s="371">
        <f t="shared" si="467"/>
        <v>1982.7223300000005</v>
      </c>
      <c r="AL314" s="371">
        <f t="shared" si="467"/>
        <v>1982.7223300000005</v>
      </c>
      <c r="AM314" s="371">
        <f t="shared" si="467"/>
        <v>1982.7223300000005</v>
      </c>
      <c r="AN314" s="371">
        <f t="shared" si="467"/>
        <v>1982.7223300000005</v>
      </c>
      <c r="AO314" s="371">
        <f t="shared" si="467"/>
        <v>1982.7223300000005</v>
      </c>
      <c r="AP314" s="371">
        <f t="shared" ref="AP314:BU314" si="468">AO317</f>
        <v>1982.7223300000005</v>
      </c>
      <c r="AQ314" s="371">
        <f t="shared" si="468"/>
        <v>1982.7223300000005</v>
      </c>
      <c r="AR314" s="371">
        <f t="shared" si="468"/>
        <v>1982.7223300000005</v>
      </c>
      <c r="AS314" s="371">
        <f t="shared" si="468"/>
        <v>1982.7223300000005</v>
      </c>
      <c r="AT314" s="371">
        <f t="shared" si="468"/>
        <v>1982.7223300000005</v>
      </c>
      <c r="AU314" s="371">
        <f t="shared" si="468"/>
        <v>1982.7223300000005</v>
      </c>
      <c r="AV314" s="371">
        <f t="shared" si="468"/>
        <v>1982.7223300000005</v>
      </c>
      <c r="AW314" s="371">
        <f t="shared" si="468"/>
        <v>1982.7223300000005</v>
      </c>
      <c r="AX314" s="371">
        <f t="shared" si="468"/>
        <v>1982.7223300000005</v>
      </c>
      <c r="AY314" s="371">
        <f t="shared" si="468"/>
        <v>1982.7223300000005</v>
      </c>
      <c r="AZ314" s="371">
        <f t="shared" si="468"/>
        <v>1982.7223300000005</v>
      </c>
      <c r="BA314" s="371">
        <f t="shared" si="468"/>
        <v>1982.7223300000005</v>
      </c>
      <c r="BB314" s="371">
        <f t="shared" si="468"/>
        <v>1982.7223300000005</v>
      </c>
      <c r="BC314" s="371">
        <f t="shared" si="468"/>
        <v>1982.7223300000005</v>
      </c>
      <c r="BD314" s="371">
        <f t="shared" si="468"/>
        <v>1982.7223300000005</v>
      </c>
      <c r="BE314" s="371">
        <f t="shared" si="468"/>
        <v>1982.7223300000005</v>
      </c>
      <c r="BF314" s="371">
        <f t="shared" si="468"/>
        <v>1982.7223300000005</v>
      </c>
      <c r="BG314" s="371">
        <f t="shared" si="468"/>
        <v>1982.7223300000005</v>
      </c>
      <c r="BH314" s="371">
        <f t="shared" si="468"/>
        <v>1982.7223300000005</v>
      </c>
      <c r="BI314" s="371">
        <f t="shared" si="468"/>
        <v>1982.7223300000005</v>
      </c>
      <c r="BJ314" s="371">
        <f t="shared" si="468"/>
        <v>1982.7223300000005</v>
      </c>
      <c r="BK314" s="371">
        <f t="shared" si="468"/>
        <v>0</v>
      </c>
      <c r="BL314" s="371">
        <f t="shared" si="468"/>
        <v>0</v>
      </c>
      <c r="BM314" s="371">
        <f t="shared" si="468"/>
        <v>0</v>
      </c>
      <c r="BN314" s="371">
        <f t="shared" si="468"/>
        <v>0</v>
      </c>
      <c r="BO314" s="371">
        <f t="shared" si="468"/>
        <v>0</v>
      </c>
      <c r="BP314" s="371">
        <f t="shared" si="468"/>
        <v>0</v>
      </c>
      <c r="BQ314" s="371">
        <f t="shared" si="468"/>
        <v>0</v>
      </c>
      <c r="BR314" s="371">
        <f t="shared" si="468"/>
        <v>0</v>
      </c>
      <c r="BS314" s="371">
        <f t="shared" si="468"/>
        <v>0</v>
      </c>
      <c r="BT314" s="371">
        <f t="shared" si="468"/>
        <v>0</v>
      </c>
      <c r="BU314" s="371">
        <f t="shared" si="468"/>
        <v>0</v>
      </c>
    </row>
    <row r="315" spans="1:73" x14ac:dyDescent="0.2">
      <c r="A315" s="186"/>
      <c r="B315" s="186"/>
      <c r="C315" s="210" t="s">
        <v>176</v>
      </c>
      <c r="D315" s="186"/>
      <c r="E315" s="186"/>
      <c r="F315" s="186"/>
      <c r="G315" s="186"/>
      <c r="H315" s="186"/>
      <c r="I315" s="186"/>
      <c r="J315" s="186"/>
      <c r="K315" s="622" t="s">
        <v>63</v>
      </c>
      <c r="L315" s="186"/>
      <c r="M315" s="186"/>
      <c r="N315" s="374">
        <f>SUM(Q315:BU315)</f>
        <v>0</v>
      </c>
      <c r="O315" s="186"/>
      <c r="P315" s="186"/>
      <c r="Q315" s="374"/>
      <c r="R315" s="373"/>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374"/>
      <c r="AX315" s="374"/>
      <c r="AY315" s="374"/>
      <c r="AZ315" s="374"/>
      <c r="BA315" s="374"/>
      <c r="BB315" s="374"/>
      <c r="BC315" s="374"/>
      <c r="BD315" s="374"/>
      <c r="BE315" s="374"/>
      <c r="BF315" s="374"/>
      <c r="BG315" s="374"/>
      <c r="BH315" s="374"/>
      <c r="BI315" s="374"/>
      <c r="BJ315" s="374"/>
      <c r="BK315" s="374"/>
      <c r="BL315" s="374"/>
      <c r="BM315" s="374"/>
      <c r="BN315" s="374"/>
      <c r="BO315" s="374"/>
      <c r="BP315" s="374"/>
      <c r="BQ315" s="374"/>
      <c r="BR315" s="374"/>
      <c r="BS315" s="374"/>
      <c r="BT315" s="374"/>
      <c r="BU315" s="374"/>
    </row>
    <row r="316" spans="1:73" ht="15.75" x14ac:dyDescent="0.25">
      <c r="A316" s="186"/>
      <c r="B316" s="186"/>
      <c r="C316" s="187" t="s">
        <v>246</v>
      </c>
      <c r="D316" s="220"/>
      <c r="E316" s="220"/>
      <c r="F316" s="220"/>
      <c r="G316" s="220"/>
      <c r="H316" s="186"/>
      <c r="I316" s="186"/>
      <c r="J316" s="186"/>
      <c r="K316" s="622" t="s">
        <v>63</v>
      </c>
      <c r="L316" s="398"/>
      <c r="M316" s="186"/>
      <c r="N316" s="374">
        <f>SUM(Q316:BU316)</f>
        <v>-1982.7223300000005</v>
      </c>
      <c r="O316" s="186"/>
      <c r="P316" s="186"/>
      <c r="Q316" s="374"/>
      <c r="R316" s="374">
        <f t="shared" ref="R316:AO316" si="469">-SUM(R314:R315)*IF(AND(R312=1,S312=0),1,0)</f>
        <v>0</v>
      </c>
      <c r="S316" s="374">
        <f t="shared" si="469"/>
        <v>0</v>
      </c>
      <c r="T316" s="374">
        <f t="shared" si="469"/>
        <v>0</v>
      </c>
      <c r="U316" s="374">
        <f t="shared" si="469"/>
        <v>0</v>
      </c>
      <c r="V316" s="374">
        <f t="shared" si="469"/>
        <v>0</v>
      </c>
      <c r="W316" s="374">
        <f t="shared" si="469"/>
        <v>0</v>
      </c>
      <c r="X316" s="374">
        <f t="shared" si="469"/>
        <v>0</v>
      </c>
      <c r="Y316" s="374">
        <f t="shared" si="469"/>
        <v>0</v>
      </c>
      <c r="Z316" s="374">
        <f t="shared" si="469"/>
        <v>0</v>
      </c>
      <c r="AA316" s="374">
        <f t="shared" si="469"/>
        <v>0</v>
      </c>
      <c r="AB316" s="374">
        <f t="shared" si="469"/>
        <v>0</v>
      </c>
      <c r="AC316" s="374">
        <f t="shared" si="469"/>
        <v>0</v>
      </c>
      <c r="AD316" s="374">
        <f t="shared" si="469"/>
        <v>0</v>
      </c>
      <c r="AE316" s="374">
        <f t="shared" si="469"/>
        <v>0</v>
      </c>
      <c r="AF316" s="374">
        <f t="shared" si="469"/>
        <v>0</v>
      </c>
      <c r="AG316" s="374">
        <f t="shared" si="469"/>
        <v>0</v>
      </c>
      <c r="AH316" s="374">
        <f t="shared" si="469"/>
        <v>0</v>
      </c>
      <c r="AI316" s="374">
        <f t="shared" si="469"/>
        <v>0</v>
      </c>
      <c r="AJ316" s="374">
        <f t="shared" si="469"/>
        <v>0</v>
      </c>
      <c r="AK316" s="374">
        <f t="shared" si="469"/>
        <v>0</v>
      </c>
      <c r="AL316" s="374">
        <f t="shared" si="469"/>
        <v>0</v>
      </c>
      <c r="AM316" s="374">
        <f t="shared" si="469"/>
        <v>0</v>
      </c>
      <c r="AN316" s="374">
        <f t="shared" si="469"/>
        <v>0</v>
      </c>
      <c r="AO316" s="374">
        <f t="shared" si="469"/>
        <v>0</v>
      </c>
      <c r="AP316" s="374">
        <f t="shared" ref="AP316:BR316" si="470">-SUM(AP314:AP315)*IF(AND(AP312=1,AQ312=0),1,0)</f>
        <v>0</v>
      </c>
      <c r="AQ316" s="374">
        <f t="shared" si="470"/>
        <v>0</v>
      </c>
      <c r="AR316" s="374">
        <f t="shared" si="470"/>
        <v>0</v>
      </c>
      <c r="AS316" s="374">
        <f t="shared" si="470"/>
        <v>0</v>
      </c>
      <c r="AT316" s="374">
        <f t="shared" si="470"/>
        <v>0</v>
      </c>
      <c r="AU316" s="374">
        <f t="shared" si="470"/>
        <v>0</v>
      </c>
      <c r="AV316" s="374">
        <f t="shared" si="470"/>
        <v>0</v>
      </c>
      <c r="AW316" s="374">
        <f t="shared" si="470"/>
        <v>0</v>
      </c>
      <c r="AX316" s="374">
        <f t="shared" si="470"/>
        <v>0</v>
      </c>
      <c r="AY316" s="374">
        <f t="shared" si="470"/>
        <v>0</v>
      </c>
      <c r="AZ316" s="374">
        <f t="shared" si="470"/>
        <v>0</v>
      </c>
      <c r="BA316" s="374">
        <f t="shared" si="470"/>
        <v>0</v>
      </c>
      <c r="BB316" s="374">
        <f t="shared" si="470"/>
        <v>0</v>
      </c>
      <c r="BC316" s="374">
        <f t="shared" si="470"/>
        <v>0</v>
      </c>
      <c r="BD316" s="374">
        <f t="shared" si="470"/>
        <v>0</v>
      </c>
      <c r="BE316" s="374">
        <f t="shared" si="470"/>
        <v>0</v>
      </c>
      <c r="BF316" s="374">
        <f t="shared" si="470"/>
        <v>0</v>
      </c>
      <c r="BG316" s="374">
        <f t="shared" si="470"/>
        <v>0</v>
      </c>
      <c r="BH316" s="374">
        <f t="shared" si="470"/>
        <v>0</v>
      </c>
      <c r="BI316" s="374">
        <f t="shared" si="470"/>
        <v>0</v>
      </c>
      <c r="BJ316" s="374">
        <f t="shared" si="470"/>
        <v>-1982.7223300000005</v>
      </c>
      <c r="BK316" s="374">
        <f t="shared" si="470"/>
        <v>0</v>
      </c>
      <c r="BL316" s="374">
        <f t="shared" si="470"/>
        <v>0</v>
      </c>
      <c r="BM316" s="374">
        <f t="shared" si="470"/>
        <v>0</v>
      </c>
      <c r="BN316" s="374">
        <f t="shared" si="470"/>
        <v>0</v>
      </c>
      <c r="BO316" s="374">
        <f t="shared" si="470"/>
        <v>0</v>
      </c>
      <c r="BP316" s="374">
        <f t="shared" si="470"/>
        <v>0</v>
      </c>
      <c r="BQ316" s="374">
        <f t="shared" si="470"/>
        <v>0</v>
      </c>
      <c r="BR316" s="374">
        <f t="shared" si="470"/>
        <v>0</v>
      </c>
      <c r="BS316" s="374">
        <f t="shared" ref="BS316:BU316" si="471">-SUM(BS314:BS315)*IF(AND(BS312=1,BT312=0),1,0)</f>
        <v>0</v>
      </c>
      <c r="BT316" s="374">
        <f t="shared" si="471"/>
        <v>0</v>
      </c>
      <c r="BU316" s="374">
        <f t="shared" si="471"/>
        <v>0</v>
      </c>
    </row>
    <row r="317" spans="1:73" ht="13.5" thickBot="1" x14ac:dyDescent="0.25">
      <c r="A317" s="186"/>
      <c r="B317" s="186"/>
      <c r="C317" s="187" t="s">
        <v>89</v>
      </c>
      <c r="D317" s="186"/>
      <c r="E317" s="186"/>
      <c r="F317" s="186"/>
      <c r="G317" s="186"/>
      <c r="H317" s="186"/>
      <c r="I317" s="186"/>
      <c r="J317" s="186"/>
      <c r="K317" s="622" t="s">
        <v>63</v>
      </c>
      <c r="L317" s="186"/>
      <c r="M317" s="186"/>
      <c r="N317" s="186"/>
      <c r="O317" s="186"/>
      <c r="P317" s="186"/>
      <c r="Q317" s="373"/>
      <c r="R317" s="373">
        <f>+Inputs!L217</f>
        <v>1982.7223300000005</v>
      </c>
      <c r="S317" s="374">
        <f t="shared" ref="S317:AO317" si="472">SUM(S314:S316)</f>
        <v>1982.7223300000005</v>
      </c>
      <c r="T317" s="374">
        <f t="shared" si="472"/>
        <v>1982.7223300000005</v>
      </c>
      <c r="U317" s="374">
        <f t="shared" si="472"/>
        <v>1982.7223300000005</v>
      </c>
      <c r="V317" s="374">
        <f t="shared" si="472"/>
        <v>1982.7223300000005</v>
      </c>
      <c r="W317" s="374">
        <f t="shared" si="472"/>
        <v>1982.7223300000005</v>
      </c>
      <c r="X317" s="374">
        <f t="shared" si="472"/>
        <v>1982.7223300000005</v>
      </c>
      <c r="Y317" s="374">
        <f t="shared" si="472"/>
        <v>1982.7223300000005</v>
      </c>
      <c r="Z317" s="374">
        <f t="shared" si="472"/>
        <v>1982.7223300000005</v>
      </c>
      <c r="AA317" s="374">
        <f t="shared" si="472"/>
        <v>1982.7223300000005</v>
      </c>
      <c r="AB317" s="374">
        <f t="shared" si="472"/>
        <v>1982.7223300000005</v>
      </c>
      <c r="AC317" s="374">
        <f t="shared" si="472"/>
        <v>1982.7223300000005</v>
      </c>
      <c r="AD317" s="374">
        <f t="shared" si="472"/>
        <v>1982.7223300000005</v>
      </c>
      <c r="AE317" s="374">
        <f t="shared" si="472"/>
        <v>1982.7223300000005</v>
      </c>
      <c r="AF317" s="374">
        <f t="shared" si="472"/>
        <v>1982.7223300000005</v>
      </c>
      <c r="AG317" s="374">
        <f t="shared" si="472"/>
        <v>1982.7223300000005</v>
      </c>
      <c r="AH317" s="374">
        <f t="shared" si="472"/>
        <v>1982.7223300000005</v>
      </c>
      <c r="AI317" s="374">
        <f t="shared" si="472"/>
        <v>1982.7223300000005</v>
      </c>
      <c r="AJ317" s="374">
        <f t="shared" si="472"/>
        <v>1982.7223300000005</v>
      </c>
      <c r="AK317" s="374">
        <f t="shared" si="472"/>
        <v>1982.7223300000005</v>
      </c>
      <c r="AL317" s="374">
        <f t="shared" si="472"/>
        <v>1982.7223300000005</v>
      </c>
      <c r="AM317" s="374">
        <f t="shared" si="472"/>
        <v>1982.7223300000005</v>
      </c>
      <c r="AN317" s="374">
        <f t="shared" si="472"/>
        <v>1982.7223300000005</v>
      </c>
      <c r="AO317" s="374">
        <f t="shared" si="472"/>
        <v>1982.7223300000005</v>
      </c>
      <c r="AP317" s="374">
        <f t="shared" ref="AP317:BR317" si="473">SUM(AP314:AP316)</f>
        <v>1982.7223300000005</v>
      </c>
      <c r="AQ317" s="374">
        <f t="shared" si="473"/>
        <v>1982.7223300000005</v>
      </c>
      <c r="AR317" s="374">
        <f t="shared" si="473"/>
        <v>1982.7223300000005</v>
      </c>
      <c r="AS317" s="374">
        <f t="shared" si="473"/>
        <v>1982.7223300000005</v>
      </c>
      <c r="AT317" s="374">
        <f t="shared" si="473"/>
        <v>1982.7223300000005</v>
      </c>
      <c r="AU317" s="374">
        <f t="shared" si="473"/>
        <v>1982.7223300000005</v>
      </c>
      <c r="AV317" s="374">
        <f t="shared" si="473"/>
        <v>1982.7223300000005</v>
      </c>
      <c r="AW317" s="374">
        <f t="shared" si="473"/>
        <v>1982.7223300000005</v>
      </c>
      <c r="AX317" s="374">
        <f t="shared" si="473"/>
        <v>1982.7223300000005</v>
      </c>
      <c r="AY317" s="374">
        <f t="shared" si="473"/>
        <v>1982.7223300000005</v>
      </c>
      <c r="AZ317" s="374">
        <f t="shared" si="473"/>
        <v>1982.7223300000005</v>
      </c>
      <c r="BA317" s="374">
        <f t="shared" si="473"/>
        <v>1982.7223300000005</v>
      </c>
      <c r="BB317" s="374">
        <f t="shared" si="473"/>
        <v>1982.7223300000005</v>
      </c>
      <c r="BC317" s="374">
        <f t="shared" si="473"/>
        <v>1982.7223300000005</v>
      </c>
      <c r="BD317" s="374">
        <f t="shared" si="473"/>
        <v>1982.7223300000005</v>
      </c>
      <c r="BE317" s="374">
        <f t="shared" si="473"/>
        <v>1982.7223300000005</v>
      </c>
      <c r="BF317" s="374">
        <f t="shared" si="473"/>
        <v>1982.7223300000005</v>
      </c>
      <c r="BG317" s="374">
        <f t="shared" si="473"/>
        <v>1982.7223300000005</v>
      </c>
      <c r="BH317" s="374">
        <f t="shared" si="473"/>
        <v>1982.7223300000005</v>
      </c>
      <c r="BI317" s="374">
        <f t="shared" si="473"/>
        <v>1982.7223300000005</v>
      </c>
      <c r="BJ317" s="374">
        <f t="shared" si="473"/>
        <v>0</v>
      </c>
      <c r="BK317" s="374">
        <f t="shared" si="473"/>
        <v>0</v>
      </c>
      <c r="BL317" s="374">
        <f t="shared" si="473"/>
        <v>0</v>
      </c>
      <c r="BM317" s="374">
        <f t="shared" si="473"/>
        <v>0</v>
      </c>
      <c r="BN317" s="374">
        <f t="shared" si="473"/>
        <v>0</v>
      </c>
      <c r="BO317" s="374">
        <f t="shared" si="473"/>
        <v>0</v>
      </c>
      <c r="BP317" s="374">
        <f t="shared" si="473"/>
        <v>0</v>
      </c>
      <c r="BQ317" s="374">
        <f t="shared" si="473"/>
        <v>0</v>
      </c>
      <c r="BR317" s="374">
        <f t="shared" si="473"/>
        <v>0</v>
      </c>
      <c r="BS317" s="374">
        <f t="shared" ref="BS317:BU317" si="474">SUM(BS314:BS316)</f>
        <v>0</v>
      </c>
      <c r="BT317" s="374">
        <f t="shared" si="474"/>
        <v>0</v>
      </c>
      <c r="BU317" s="374">
        <f t="shared" si="474"/>
        <v>0</v>
      </c>
    </row>
    <row r="318" spans="1:73" ht="16.5" thickBot="1" x14ac:dyDescent="0.3">
      <c r="A318" s="186"/>
      <c r="B318" s="186"/>
      <c r="C318" s="456"/>
      <c r="D318" s="186"/>
      <c r="E318" s="186"/>
      <c r="F318" s="186"/>
      <c r="G318" s="186"/>
      <c r="H318" s="186"/>
      <c r="I318" s="186"/>
      <c r="J318" s="186"/>
      <c r="K318" s="367"/>
      <c r="L318" s="186"/>
      <c r="M318" s="186"/>
      <c r="N318" s="385">
        <f>IF(ROUND(SUM(N314:N316),2) = 0,0,1)</f>
        <v>0</v>
      </c>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row>
    <row r="319" spans="1:73" ht="15.75" x14ac:dyDescent="0.25">
      <c r="A319" s="186"/>
      <c r="B319" s="186"/>
      <c r="C319" s="456"/>
      <c r="D319" s="186"/>
      <c r="E319" s="186"/>
      <c r="F319" s="186"/>
      <c r="G319" s="186"/>
      <c r="H319" s="186"/>
      <c r="I319" s="186"/>
      <c r="J319" s="186"/>
      <c r="K319" s="367"/>
      <c r="L319" s="186"/>
      <c r="M319" s="186"/>
      <c r="N319" s="461"/>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row>
    <row r="320" spans="1:73" ht="15.75" x14ac:dyDescent="0.25">
      <c r="A320" s="186"/>
      <c r="B320" s="186"/>
      <c r="C320" s="456" t="s">
        <v>73</v>
      </c>
      <c r="D320" s="186"/>
      <c r="E320" s="186"/>
      <c r="F320" s="186"/>
      <c r="G320" s="186"/>
      <c r="H320" s="186"/>
      <c r="I320" s="186"/>
      <c r="J320" s="186"/>
      <c r="K320" s="367"/>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row>
    <row r="321" spans="1:73" x14ac:dyDescent="0.2">
      <c r="A321" s="186"/>
      <c r="B321" s="396"/>
      <c r="C321" s="186"/>
      <c r="D321" s="186"/>
      <c r="E321" s="186"/>
      <c r="F321" s="186"/>
      <c r="G321" s="186"/>
      <c r="H321" s="186"/>
      <c r="I321" s="186"/>
      <c r="J321" s="186"/>
      <c r="K321" s="367"/>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v>0</v>
      </c>
      <c r="BL321" s="186">
        <v>0</v>
      </c>
      <c r="BM321" s="186">
        <v>0</v>
      </c>
      <c r="BN321" s="186">
        <v>0</v>
      </c>
      <c r="BO321" s="186">
        <v>0</v>
      </c>
      <c r="BP321" s="186">
        <v>0</v>
      </c>
      <c r="BQ321" s="186">
        <v>0</v>
      </c>
      <c r="BR321" s="186">
        <v>0</v>
      </c>
      <c r="BS321" s="186">
        <v>0</v>
      </c>
      <c r="BT321" s="186">
        <v>0</v>
      </c>
      <c r="BU321" s="186">
        <v>0</v>
      </c>
    </row>
    <row r="322" spans="1:73" x14ac:dyDescent="0.2">
      <c r="A322" s="186"/>
      <c r="B322" s="396" t="s">
        <v>252</v>
      </c>
      <c r="C322" s="186"/>
      <c r="D322" s="186"/>
      <c r="E322" s="186"/>
      <c r="F322" s="186"/>
      <c r="G322" s="186"/>
      <c r="H322" s="186"/>
      <c r="I322" s="186"/>
      <c r="J322" s="186"/>
      <c r="K322" s="367"/>
      <c r="L322" s="186"/>
      <c r="M322" s="186"/>
      <c r="N322" s="186"/>
      <c r="O322" s="186"/>
      <c r="P322" s="186"/>
      <c r="Q322" s="374"/>
      <c r="R322" s="374"/>
      <c r="S322" s="374"/>
      <c r="T322" s="374"/>
      <c r="U322" s="374"/>
      <c r="V322" s="374"/>
      <c r="W322" s="374"/>
      <c r="X322" s="374"/>
      <c r="Y322" s="374"/>
      <c r="Z322" s="374"/>
      <c r="AA322" s="374"/>
      <c r="AB322" s="374"/>
      <c r="AC322" s="374"/>
      <c r="AD322" s="374"/>
      <c r="AE322" s="374"/>
      <c r="AF322" s="374"/>
      <c r="AG322" s="374"/>
      <c r="AH322" s="374"/>
      <c r="AI322" s="374"/>
      <c r="AJ322" s="374"/>
      <c r="AK322" s="374"/>
      <c r="AL322" s="374"/>
      <c r="AM322" s="374"/>
      <c r="AN322" s="374"/>
      <c r="AO322" s="374"/>
      <c r="AP322" s="374"/>
      <c r="AQ322" s="374"/>
      <c r="AR322" s="374"/>
      <c r="AS322" s="374"/>
      <c r="AT322" s="374"/>
      <c r="AU322" s="374"/>
      <c r="AV322" s="374"/>
      <c r="AW322" s="374"/>
      <c r="AX322" s="374"/>
      <c r="AY322" s="374"/>
      <c r="AZ322" s="374"/>
      <c r="BA322" s="374"/>
      <c r="BB322" s="374"/>
      <c r="BC322" s="374"/>
      <c r="BD322" s="374"/>
      <c r="BE322" s="374"/>
      <c r="BF322" s="374"/>
      <c r="BG322" s="374"/>
      <c r="BH322" s="374"/>
      <c r="BI322" s="374"/>
      <c r="BJ322" s="374"/>
      <c r="BK322" s="374"/>
      <c r="BL322" s="374"/>
      <c r="BM322" s="374"/>
      <c r="BN322" s="374"/>
      <c r="BO322" s="374"/>
      <c r="BP322" s="374"/>
      <c r="BQ322" s="374"/>
      <c r="BR322" s="374"/>
      <c r="BS322" s="374"/>
      <c r="BT322" s="374"/>
      <c r="BU322" s="374"/>
    </row>
    <row r="323" spans="1:73" x14ac:dyDescent="0.2">
      <c r="A323" s="186"/>
      <c r="B323" s="186"/>
      <c r="C323" s="186" t="s">
        <v>33</v>
      </c>
      <c r="D323" s="186"/>
      <c r="E323" s="186"/>
      <c r="F323" s="186"/>
      <c r="G323" s="186"/>
      <c r="H323" s="186"/>
      <c r="I323" s="186"/>
      <c r="J323" s="186"/>
      <c r="K323" s="367" t="s">
        <v>63</v>
      </c>
      <c r="L323" s="186"/>
      <c r="M323" s="186"/>
      <c r="N323" s="186"/>
      <c r="O323" s="186"/>
      <c r="P323" s="186"/>
      <c r="Q323" s="374"/>
      <c r="R323" s="374">
        <f t="shared" ref="R323:AV323" si="475">+R247+R248</f>
        <v>0</v>
      </c>
      <c r="S323" s="374">
        <f t="shared" si="475"/>
        <v>20000</v>
      </c>
      <c r="T323" s="374">
        <f t="shared" si="475"/>
        <v>20000</v>
      </c>
      <c r="U323" s="374">
        <f t="shared" si="475"/>
        <v>20000</v>
      </c>
      <c r="V323" s="374">
        <f t="shared" si="475"/>
        <v>9878.1060939583367</v>
      </c>
      <c r="W323" s="374">
        <f t="shared" si="475"/>
        <v>12616.097558921861</v>
      </c>
      <c r="X323" s="374">
        <f t="shared" si="475"/>
        <v>15653.182921797337</v>
      </c>
      <c r="Y323" s="374">
        <f t="shared" si="475"/>
        <v>18496.88491650908</v>
      </c>
      <c r="Z323" s="374">
        <f t="shared" si="475"/>
        <v>20565.408951782316</v>
      </c>
      <c r="AA323" s="374">
        <f t="shared" si="475"/>
        <v>21159.016610952393</v>
      </c>
      <c r="AB323" s="374">
        <f t="shared" si="475"/>
        <v>19423.781875152086</v>
      </c>
      <c r="AC323" s="374">
        <f t="shared" si="475"/>
        <v>18196.305968984969</v>
      </c>
      <c r="AD323" s="374">
        <f t="shared" si="475"/>
        <v>18052.281591187533</v>
      </c>
      <c r="AE323" s="374">
        <f t="shared" si="475"/>
        <v>19739.893757320926</v>
      </c>
      <c r="AF323" s="374">
        <f t="shared" si="475"/>
        <v>24243.865008533932</v>
      </c>
      <c r="AG323" s="374">
        <f t="shared" si="475"/>
        <v>32872.075977334389</v>
      </c>
      <c r="AH323" s="374">
        <f t="shared" si="475"/>
        <v>41973.934033036086</v>
      </c>
      <c r="AI323" s="374">
        <f t="shared" si="475"/>
        <v>49094.509709044716</v>
      </c>
      <c r="AJ323" s="374">
        <f t="shared" si="475"/>
        <v>51752.984463308487</v>
      </c>
      <c r="AK323" s="374">
        <f t="shared" si="475"/>
        <v>47159.463581367825</v>
      </c>
      <c r="AL323" s="374">
        <f t="shared" si="475"/>
        <v>31919.541379036604</v>
      </c>
      <c r="AM323" s="374">
        <f t="shared" si="475"/>
        <v>21991.531697785067</v>
      </c>
      <c r="AN323" s="374">
        <f t="shared" si="475"/>
        <v>16325.518905281609</v>
      </c>
      <c r="AO323" s="374">
        <f t="shared" si="475"/>
        <v>14470.359891956416</v>
      </c>
      <c r="AP323" s="374">
        <f t="shared" si="475"/>
        <v>16481.184737764808</v>
      </c>
      <c r="AQ323" s="374">
        <f t="shared" si="475"/>
        <v>22896.100451764207</v>
      </c>
      <c r="AR323" s="374">
        <f t="shared" si="475"/>
        <v>30665.730209618927</v>
      </c>
      <c r="AS323" s="374">
        <f t="shared" si="475"/>
        <v>38813.995251982633</v>
      </c>
      <c r="AT323" s="374">
        <f t="shared" si="475"/>
        <v>46010.550278753377</v>
      </c>
      <c r="AU323" s="374">
        <f t="shared" si="475"/>
        <v>50432.455875650994</v>
      </c>
      <c r="AV323" s="374">
        <f t="shared" si="475"/>
        <v>49572.017634016469</v>
      </c>
      <c r="AW323" s="374">
        <f t="shared" ref="AW323:BU323" si="476">+AW247+AW248</f>
        <v>49078.557792993728</v>
      </c>
      <c r="AX323" s="374">
        <f t="shared" si="476"/>
        <v>49457.653113859822</v>
      </c>
      <c r="AY323" s="374">
        <f t="shared" si="476"/>
        <v>51267.429626476769</v>
      </c>
      <c r="AZ323" s="374">
        <f t="shared" si="476"/>
        <v>55124.977731993538</v>
      </c>
      <c r="BA323" s="374">
        <f t="shared" si="476"/>
        <v>61713.531747568784</v>
      </c>
      <c r="BB323" s="374">
        <f t="shared" si="476"/>
        <v>69167.390896627199</v>
      </c>
      <c r="BC323" s="374">
        <f t="shared" si="476"/>
        <v>77704.401350689863</v>
      </c>
      <c r="BD323" s="374">
        <f t="shared" si="476"/>
        <v>87584.085926721658</v>
      </c>
      <c r="BE323" s="374">
        <f t="shared" si="476"/>
        <v>99114.762919822184</v>
      </c>
      <c r="BF323" s="374">
        <f t="shared" si="476"/>
        <v>0</v>
      </c>
      <c r="BG323" s="374">
        <f t="shared" si="476"/>
        <v>0</v>
      </c>
      <c r="BH323" s="374">
        <f t="shared" si="476"/>
        <v>0</v>
      </c>
      <c r="BI323" s="374">
        <f t="shared" si="476"/>
        <v>0</v>
      </c>
      <c r="BJ323" s="374">
        <f t="shared" si="476"/>
        <v>0</v>
      </c>
      <c r="BK323" s="374">
        <f t="shared" si="476"/>
        <v>0</v>
      </c>
      <c r="BL323" s="374">
        <f t="shared" si="476"/>
        <v>0</v>
      </c>
      <c r="BM323" s="374">
        <f t="shared" si="476"/>
        <v>0</v>
      </c>
      <c r="BN323" s="374">
        <f t="shared" si="476"/>
        <v>0</v>
      </c>
      <c r="BO323" s="374">
        <f t="shared" si="476"/>
        <v>0</v>
      </c>
      <c r="BP323" s="374">
        <f t="shared" si="476"/>
        <v>0</v>
      </c>
      <c r="BQ323" s="374">
        <f t="shared" si="476"/>
        <v>0</v>
      </c>
      <c r="BR323" s="374">
        <f t="shared" si="476"/>
        <v>0</v>
      </c>
      <c r="BS323" s="374">
        <f t="shared" si="476"/>
        <v>0</v>
      </c>
      <c r="BT323" s="374">
        <f t="shared" si="476"/>
        <v>0</v>
      </c>
      <c r="BU323" s="374">
        <f t="shared" si="476"/>
        <v>0</v>
      </c>
    </row>
    <row r="324" spans="1:73" x14ac:dyDescent="0.2">
      <c r="A324" s="186"/>
      <c r="B324" s="186"/>
      <c r="C324" s="186" t="s">
        <v>43</v>
      </c>
      <c r="D324" s="186"/>
      <c r="E324" s="186"/>
      <c r="F324" s="186"/>
      <c r="G324" s="186"/>
      <c r="H324" s="186"/>
      <c r="I324" s="186"/>
      <c r="J324" s="186"/>
      <c r="K324" s="367" t="s">
        <v>63</v>
      </c>
      <c r="L324" s="186"/>
      <c r="M324" s="186"/>
      <c r="N324" s="186"/>
      <c r="O324" s="186"/>
      <c r="P324" s="186"/>
      <c r="Q324" s="374"/>
      <c r="R324" s="374">
        <f t="shared" ref="R324:AV324" si="477">+R273+R274</f>
        <v>0</v>
      </c>
      <c r="S324" s="374">
        <f t="shared" si="477"/>
        <v>61500</v>
      </c>
      <c r="T324" s="374">
        <f t="shared" si="477"/>
        <v>61500</v>
      </c>
      <c r="U324" s="374">
        <f t="shared" si="477"/>
        <v>61500</v>
      </c>
      <c r="V324" s="374">
        <f t="shared" si="477"/>
        <v>39769.130469647171</v>
      </c>
      <c r="W324" s="374">
        <f t="shared" si="477"/>
        <v>43742.437508790208</v>
      </c>
      <c r="X324" s="374">
        <f t="shared" si="477"/>
        <v>45929.219222449974</v>
      </c>
      <c r="Y324" s="374">
        <f t="shared" si="477"/>
        <v>46333.374053113141</v>
      </c>
      <c r="Z324" s="374">
        <f t="shared" si="477"/>
        <v>46920.846023495702</v>
      </c>
      <c r="AA324" s="374">
        <f t="shared" si="477"/>
        <v>48359.600324604813</v>
      </c>
      <c r="AB324" s="374">
        <f t="shared" si="477"/>
        <v>49981.409461011019</v>
      </c>
      <c r="AC324" s="374">
        <f t="shared" si="477"/>
        <v>51784.800923033494</v>
      </c>
      <c r="AD324" s="374">
        <f t="shared" si="477"/>
        <v>53590.79935374346</v>
      </c>
      <c r="AE324" s="374">
        <f t="shared" si="477"/>
        <v>55695.913847119249</v>
      </c>
      <c r="AF324" s="374">
        <f t="shared" si="477"/>
        <v>58041.868639372362</v>
      </c>
      <c r="AG324" s="374">
        <f t="shared" si="477"/>
        <v>60563.467618229792</v>
      </c>
      <c r="AH324" s="374">
        <f t="shared" si="477"/>
        <v>63100.784660665151</v>
      </c>
      <c r="AI324" s="374">
        <f t="shared" si="477"/>
        <v>66018.801758976086</v>
      </c>
      <c r="AJ324" s="374">
        <f t="shared" si="477"/>
        <v>69415.056481261141</v>
      </c>
      <c r="AK324" s="374">
        <f t="shared" si="477"/>
        <v>73777.965910671934</v>
      </c>
      <c r="AL324" s="374">
        <f t="shared" si="477"/>
        <v>78539.241702383806</v>
      </c>
      <c r="AM324" s="374">
        <f t="shared" si="477"/>
        <v>83199.516004699966</v>
      </c>
      <c r="AN324" s="374">
        <f t="shared" si="477"/>
        <v>88303.629788663573</v>
      </c>
      <c r="AO324" s="374">
        <f t="shared" si="477"/>
        <v>89001.438474087801</v>
      </c>
      <c r="AP324" s="374">
        <f t="shared" si="477"/>
        <v>116327.44459041808</v>
      </c>
      <c r="AQ324" s="374">
        <f t="shared" si="477"/>
        <v>113758.63942741184</v>
      </c>
      <c r="AR324" s="374">
        <f t="shared" si="477"/>
        <v>109488.60843905996</v>
      </c>
      <c r="AS324" s="374">
        <f t="shared" si="477"/>
        <v>104207.95531981395</v>
      </c>
      <c r="AT324" s="374">
        <f t="shared" si="477"/>
        <v>104485.62767496044</v>
      </c>
      <c r="AU324" s="374">
        <f t="shared" si="477"/>
        <v>181126.87456639955</v>
      </c>
      <c r="AV324" s="374">
        <f t="shared" si="477"/>
        <v>255667.02541093878</v>
      </c>
      <c r="AW324" s="374">
        <f t="shared" ref="AW324:BU324" si="478">+AW273+AW274</f>
        <v>256649.74573748122</v>
      </c>
      <c r="AX324" s="374">
        <f t="shared" si="478"/>
        <v>257120.6286538869</v>
      </c>
      <c r="AY324" s="374">
        <f t="shared" si="478"/>
        <v>265830.93702550669</v>
      </c>
      <c r="AZ324" s="374">
        <f t="shared" si="478"/>
        <v>275778.17110265931</v>
      </c>
      <c r="BA324" s="374">
        <f t="shared" si="478"/>
        <v>275629.58233853907</v>
      </c>
      <c r="BB324" s="374">
        <f t="shared" si="478"/>
        <v>275164.15410378954</v>
      </c>
      <c r="BC324" s="374">
        <f t="shared" si="478"/>
        <v>274832.76254807482</v>
      </c>
      <c r="BD324" s="374">
        <f t="shared" si="478"/>
        <v>274483.97293568513</v>
      </c>
      <c r="BE324" s="374">
        <f t="shared" si="478"/>
        <v>138920.34935973259</v>
      </c>
      <c r="BF324" s="374">
        <f t="shared" si="478"/>
        <v>0</v>
      </c>
      <c r="BG324" s="374">
        <f t="shared" si="478"/>
        <v>0</v>
      </c>
      <c r="BH324" s="374">
        <f t="shared" si="478"/>
        <v>0</v>
      </c>
      <c r="BI324" s="374">
        <f t="shared" si="478"/>
        <v>0</v>
      </c>
      <c r="BJ324" s="374">
        <f t="shared" si="478"/>
        <v>0</v>
      </c>
      <c r="BK324" s="374">
        <f t="shared" si="478"/>
        <v>0</v>
      </c>
      <c r="BL324" s="374">
        <f t="shared" si="478"/>
        <v>0</v>
      </c>
      <c r="BM324" s="374">
        <f t="shared" si="478"/>
        <v>0</v>
      </c>
      <c r="BN324" s="374">
        <f t="shared" si="478"/>
        <v>0</v>
      </c>
      <c r="BO324" s="374">
        <f t="shared" si="478"/>
        <v>0</v>
      </c>
      <c r="BP324" s="374">
        <f t="shared" si="478"/>
        <v>0</v>
      </c>
      <c r="BQ324" s="374">
        <f t="shared" si="478"/>
        <v>0</v>
      </c>
      <c r="BR324" s="374">
        <f t="shared" si="478"/>
        <v>0</v>
      </c>
      <c r="BS324" s="374">
        <f t="shared" si="478"/>
        <v>0</v>
      </c>
      <c r="BT324" s="374">
        <f t="shared" si="478"/>
        <v>0</v>
      </c>
      <c r="BU324" s="374">
        <f t="shared" si="478"/>
        <v>0</v>
      </c>
    </row>
    <row r="325" spans="1:73" x14ac:dyDescent="0.2">
      <c r="A325" s="186"/>
      <c r="B325" s="186"/>
      <c r="C325" s="186" t="s">
        <v>75</v>
      </c>
      <c r="D325" s="186"/>
      <c r="E325" s="186"/>
      <c r="F325" s="186"/>
      <c r="G325" s="186"/>
      <c r="H325" s="186"/>
      <c r="I325" s="186"/>
      <c r="J325" s="186"/>
      <c r="K325" s="367" t="s">
        <v>63</v>
      </c>
      <c r="L325" s="186"/>
      <c r="M325" s="186"/>
      <c r="N325" s="186"/>
      <c r="O325" s="186"/>
      <c r="P325" s="186"/>
      <c r="Q325" s="374"/>
      <c r="R325" s="374">
        <f t="shared" ref="R325:AO325" si="479">+R304</f>
        <v>0</v>
      </c>
      <c r="S325" s="374">
        <f t="shared" si="479"/>
        <v>52505.482650000005</v>
      </c>
      <c r="T325" s="374">
        <f t="shared" si="479"/>
        <v>98594.688065482944</v>
      </c>
      <c r="U325" s="374">
        <f t="shared" si="479"/>
        <v>165130.7029326651</v>
      </c>
      <c r="V325" s="374">
        <f t="shared" si="479"/>
        <v>0</v>
      </c>
      <c r="W325" s="374">
        <f t="shared" si="479"/>
        <v>0</v>
      </c>
      <c r="X325" s="374">
        <f t="shared" si="479"/>
        <v>0</v>
      </c>
      <c r="Y325" s="374">
        <f t="shared" si="479"/>
        <v>0</v>
      </c>
      <c r="Z325" s="374">
        <f t="shared" si="479"/>
        <v>0</v>
      </c>
      <c r="AA325" s="374">
        <f t="shared" si="479"/>
        <v>0</v>
      </c>
      <c r="AB325" s="374">
        <f t="shared" si="479"/>
        <v>0</v>
      </c>
      <c r="AC325" s="374">
        <f t="shared" si="479"/>
        <v>0</v>
      </c>
      <c r="AD325" s="374">
        <f t="shared" si="479"/>
        <v>0</v>
      </c>
      <c r="AE325" s="374">
        <f t="shared" si="479"/>
        <v>0</v>
      </c>
      <c r="AF325" s="374">
        <f t="shared" si="479"/>
        <v>0</v>
      </c>
      <c r="AG325" s="374">
        <f t="shared" si="479"/>
        <v>0</v>
      </c>
      <c r="AH325" s="374">
        <f t="shared" si="479"/>
        <v>0</v>
      </c>
      <c r="AI325" s="374">
        <f t="shared" si="479"/>
        <v>0</v>
      </c>
      <c r="AJ325" s="374">
        <f t="shared" si="479"/>
        <v>0</v>
      </c>
      <c r="AK325" s="374">
        <f t="shared" si="479"/>
        <v>0</v>
      </c>
      <c r="AL325" s="374">
        <f t="shared" si="479"/>
        <v>0</v>
      </c>
      <c r="AM325" s="374">
        <f t="shared" si="479"/>
        <v>0</v>
      </c>
      <c r="AN325" s="374">
        <f t="shared" si="479"/>
        <v>0</v>
      </c>
      <c r="AO325" s="374">
        <f t="shared" si="479"/>
        <v>0</v>
      </c>
      <c r="AP325" s="374">
        <f t="shared" ref="AP325:BU325" si="480">+AP304</f>
        <v>0</v>
      </c>
      <c r="AQ325" s="374">
        <f t="shared" si="480"/>
        <v>0</v>
      </c>
      <c r="AR325" s="374">
        <f t="shared" si="480"/>
        <v>0</v>
      </c>
      <c r="AS325" s="374">
        <f t="shared" si="480"/>
        <v>0</v>
      </c>
      <c r="AT325" s="374">
        <f t="shared" si="480"/>
        <v>0</v>
      </c>
      <c r="AU325" s="374">
        <f t="shared" si="480"/>
        <v>0</v>
      </c>
      <c r="AV325" s="374">
        <f t="shared" si="480"/>
        <v>0</v>
      </c>
      <c r="AW325" s="374">
        <f t="shared" si="480"/>
        <v>0</v>
      </c>
      <c r="AX325" s="374">
        <f t="shared" si="480"/>
        <v>0</v>
      </c>
      <c r="AY325" s="374">
        <f t="shared" si="480"/>
        <v>0</v>
      </c>
      <c r="AZ325" s="374">
        <f t="shared" si="480"/>
        <v>0</v>
      </c>
      <c r="BA325" s="374">
        <f t="shared" si="480"/>
        <v>0</v>
      </c>
      <c r="BB325" s="374">
        <f t="shared" si="480"/>
        <v>0</v>
      </c>
      <c r="BC325" s="374">
        <f t="shared" si="480"/>
        <v>0</v>
      </c>
      <c r="BD325" s="374">
        <f t="shared" si="480"/>
        <v>0</v>
      </c>
      <c r="BE325" s="374">
        <f t="shared" si="480"/>
        <v>0</v>
      </c>
      <c r="BF325" s="374">
        <f t="shared" si="480"/>
        <v>0</v>
      </c>
      <c r="BG325" s="374">
        <f t="shared" si="480"/>
        <v>0</v>
      </c>
      <c r="BH325" s="374">
        <f t="shared" si="480"/>
        <v>0</v>
      </c>
      <c r="BI325" s="374">
        <f t="shared" si="480"/>
        <v>0</v>
      </c>
      <c r="BJ325" s="374">
        <f t="shared" si="480"/>
        <v>0</v>
      </c>
      <c r="BK325" s="374">
        <f t="shared" si="480"/>
        <v>0</v>
      </c>
      <c r="BL325" s="374">
        <f t="shared" si="480"/>
        <v>0</v>
      </c>
      <c r="BM325" s="374">
        <f t="shared" si="480"/>
        <v>0</v>
      </c>
      <c r="BN325" s="374">
        <f t="shared" si="480"/>
        <v>0</v>
      </c>
      <c r="BO325" s="374">
        <f t="shared" si="480"/>
        <v>0</v>
      </c>
      <c r="BP325" s="374">
        <f t="shared" si="480"/>
        <v>0</v>
      </c>
      <c r="BQ325" s="374">
        <f t="shared" si="480"/>
        <v>0</v>
      </c>
      <c r="BR325" s="374">
        <f t="shared" si="480"/>
        <v>0</v>
      </c>
      <c r="BS325" s="374">
        <f t="shared" si="480"/>
        <v>0</v>
      </c>
      <c r="BT325" s="374">
        <f t="shared" si="480"/>
        <v>0</v>
      </c>
      <c r="BU325" s="374">
        <f t="shared" si="480"/>
        <v>0</v>
      </c>
    </row>
    <row r="326" spans="1:73" x14ac:dyDescent="0.2">
      <c r="A326" s="186"/>
      <c r="B326" s="186"/>
      <c r="C326" s="210" t="s">
        <v>317</v>
      </c>
      <c r="D326" s="186"/>
      <c r="E326" s="186"/>
      <c r="F326" s="186"/>
      <c r="G326" s="186"/>
      <c r="H326" s="186"/>
      <c r="I326" s="186"/>
      <c r="J326" s="186"/>
      <c r="K326" s="367" t="s">
        <v>63</v>
      </c>
      <c r="L326" s="186"/>
      <c r="M326" s="186"/>
      <c r="N326" s="186"/>
      <c r="O326" s="186"/>
      <c r="P326" s="186"/>
      <c r="Q326" s="374"/>
      <c r="R326" s="374">
        <f t="shared" ref="R326:AO326" si="481">R287</f>
        <v>0</v>
      </c>
      <c r="S326" s="374">
        <f t="shared" si="481"/>
        <v>0</v>
      </c>
      <c r="T326" s="374">
        <f t="shared" si="481"/>
        <v>0</v>
      </c>
      <c r="U326" s="374">
        <f t="shared" si="481"/>
        <v>0</v>
      </c>
      <c r="V326" s="374">
        <f t="shared" si="481"/>
        <v>0</v>
      </c>
      <c r="W326" s="374">
        <f t="shared" si="481"/>
        <v>0</v>
      </c>
      <c r="X326" s="374">
        <f t="shared" si="481"/>
        <v>0</v>
      </c>
      <c r="Y326" s="374">
        <f t="shared" si="481"/>
        <v>0</v>
      </c>
      <c r="Z326" s="374">
        <f t="shared" si="481"/>
        <v>0</v>
      </c>
      <c r="AA326" s="374">
        <f t="shared" si="481"/>
        <v>0</v>
      </c>
      <c r="AB326" s="374">
        <f t="shared" si="481"/>
        <v>0</v>
      </c>
      <c r="AC326" s="374">
        <f t="shared" si="481"/>
        <v>0</v>
      </c>
      <c r="AD326" s="374">
        <f t="shared" si="481"/>
        <v>0</v>
      </c>
      <c r="AE326" s="374">
        <f t="shared" si="481"/>
        <v>0</v>
      </c>
      <c r="AF326" s="374">
        <f t="shared" si="481"/>
        <v>0</v>
      </c>
      <c r="AG326" s="374">
        <f t="shared" si="481"/>
        <v>0</v>
      </c>
      <c r="AH326" s="374">
        <f t="shared" si="481"/>
        <v>0</v>
      </c>
      <c r="AI326" s="374">
        <f t="shared" si="481"/>
        <v>0</v>
      </c>
      <c r="AJ326" s="374">
        <f t="shared" si="481"/>
        <v>0</v>
      </c>
      <c r="AK326" s="374">
        <f t="shared" si="481"/>
        <v>0</v>
      </c>
      <c r="AL326" s="374">
        <f t="shared" si="481"/>
        <v>0</v>
      </c>
      <c r="AM326" s="374">
        <f t="shared" si="481"/>
        <v>0</v>
      </c>
      <c r="AN326" s="374">
        <f t="shared" si="481"/>
        <v>0</v>
      </c>
      <c r="AO326" s="374">
        <f t="shared" si="481"/>
        <v>0</v>
      </c>
      <c r="AP326" s="374">
        <f t="shared" ref="AP326:BU326" si="482">AP287</f>
        <v>0</v>
      </c>
      <c r="AQ326" s="374">
        <f t="shared" si="482"/>
        <v>0</v>
      </c>
      <c r="AR326" s="374">
        <f t="shared" si="482"/>
        <v>0</v>
      </c>
      <c r="AS326" s="374">
        <f t="shared" si="482"/>
        <v>0</v>
      </c>
      <c r="AT326" s="374">
        <f t="shared" si="482"/>
        <v>0</v>
      </c>
      <c r="AU326" s="374">
        <f t="shared" si="482"/>
        <v>0</v>
      </c>
      <c r="AV326" s="374">
        <f t="shared" si="482"/>
        <v>0</v>
      </c>
      <c r="AW326" s="374">
        <f t="shared" si="482"/>
        <v>0</v>
      </c>
      <c r="AX326" s="374">
        <f t="shared" si="482"/>
        <v>0</v>
      </c>
      <c r="AY326" s="374">
        <f t="shared" si="482"/>
        <v>0</v>
      </c>
      <c r="AZ326" s="374">
        <f t="shared" si="482"/>
        <v>0</v>
      </c>
      <c r="BA326" s="374">
        <f t="shared" si="482"/>
        <v>0</v>
      </c>
      <c r="BB326" s="374">
        <f t="shared" si="482"/>
        <v>0</v>
      </c>
      <c r="BC326" s="374">
        <f t="shared" si="482"/>
        <v>0</v>
      </c>
      <c r="BD326" s="374">
        <f t="shared" si="482"/>
        <v>0</v>
      </c>
      <c r="BE326" s="374">
        <f t="shared" si="482"/>
        <v>0</v>
      </c>
      <c r="BF326" s="374">
        <f t="shared" si="482"/>
        <v>225722.64849710948</v>
      </c>
      <c r="BG326" s="374">
        <f t="shared" si="482"/>
        <v>191349.00016544131</v>
      </c>
      <c r="BH326" s="374">
        <f t="shared" si="482"/>
        <v>152277.14797214835</v>
      </c>
      <c r="BI326" s="374">
        <f t="shared" si="482"/>
        <v>107864.93955352437</v>
      </c>
      <c r="BJ326" s="374">
        <f t="shared" si="482"/>
        <v>57382.452906580053</v>
      </c>
      <c r="BK326" s="374">
        <f t="shared" si="482"/>
        <v>-133568.75352641862</v>
      </c>
      <c r="BL326" s="374">
        <f t="shared" si="482"/>
        <v>-133568.75352641862</v>
      </c>
      <c r="BM326" s="374">
        <f t="shared" si="482"/>
        <v>-133568.75352641862</v>
      </c>
      <c r="BN326" s="374">
        <f t="shared" si="482"/>
        <v>-133568.75352641862</v>
      </c>
      <c r="BO326" s="374">
        <f t="shared" si="482"/>
        <v>-133568.75352641862</v>
      </c>
      <c r="BP326" s="374">
        <f t="shared" si="482"/>
        <v>-133568.75352641862</v>
      </c>
      <c r="BQ326" s="374">
        <f t="shared" si="482"/>
        <v>-133568.75352641862</v>
      </c>
      <c r="BR326" s="374">
        <f t="shared" si="482"/>
        <v>-133568.75352641862</v>
      </c>
      <c r="BS326" s="374">
        <f t="shared" si="482"/>
        <v>-133568.75352641862</v>
      </c>
      <c r="BT326" s="374">
        <f t="shared" si="482"/>
        <v>-133568.75352641862</v>
      </c>
      <c r="BU326" s="374">
        <f t="shared" si="482"/>
        <v>-133568.75352641862</v>
      </c>
    </row>
    <row r="327" spans="1:73" x14ac:dyDescent="0.2">
      <c r="A327" s="186"/>
      <c r="B327" s="186"/>
      <c r="C327" s="186" t="s">
        <v>91</v>
      </c>
      <c r="D327" s="186"/>
      <c r="E327" s="186"/>
      <c r="F327" s="186"/>
      <c r="G327" s="186"/>
      <c r="H327" s="186"/>
      <c r="I327" s="186"/>
      <c r="J327" s="186"/>
      <c r="K327" s="367" t="s">
        <v>63</v>
      </c>
      <c r="L327" s="186"/>
      <c r="M327" s="186"/>
      <c r="N327" s="186"/>
      <c r="O327" s="186"/>
      <c r="P327" s="186"/>
      <c r="Q327" s="374"/>
      <c r="R327" s="374">
        <f>+CF!R55</f>
        <v>0</v>
      </c>
      <c r="S327" s="374">
        <f>+CF!S55</f>
        <v>0</v>
      </c>
      <c r="T327" s="374">
        <f>+CF!T55</f>
        <v>0</v>
      </c>
      <c r="U327" s="374">
        <f>+CF!U55</f>
        <v>0</v>
      </c>
      <c r="V327" s="374">
        <f>+CF!V55</f>
        <v>0</v>
      </c>
      <c r="W327" s="374">
        <f>+CF!W55</f>
        <v>0</v>
      </c>
      <c r="X327" s="374">
        <f>+CF!X55</f>
        <v>0</v>
      </c>
      <c r="Y327" s="374">
        <f>+CF!Y55</f>
        <v>0</v>
      </c>
      <c r="Z327" s="374">
        <f>+CF!Z55</f>
        <v>0</v>
      </c>
      <c r="AA327" s="374">
        <f>+CF!AA55</f>
        <v>0</v>
      </c>
      <c r="AB327" s="374">
        <f>+CF!AB55</f>
        <v>0</v>
      </c>
      <c r="AC327" s="374">
        <f>+CF!AC55</f>
        <v>0</v>
      </c>
      <c r="AD327" s="374">
        <f>+CF!AD55</f>
        <v>0</v>
      </c>
      <c r="AE327" s="374">
        <f>+CF!AE55</f>
        <v>0</v>
      </c>
      <c r="AF327" s="374">
        <f>+CF!AF55</f>
        <v>0</v>
      </c>
      <c r="AG327" s="374">
        <f>+CF!AG55</f>
        <v>0</v>
      </c>
      <c r="AH327" s="374">
        <f>+CF!AH55</f>
        <v>0</v>
      </c>
      <c r="AI327" s="374">
        <f>+CF!AI55</f>
        <v>0</v>
      </c>
      <c r="AJ327" s="374">
        <f>+CF!AJ55</f>
        <v>0</v>
      </c>
      <c r="AK327" s="374">
        <f>+CF!AK55</f>
        <v>0</v>
      </c>
      <c r="AL327" s="374">
        <f>+CF!AL55</f>
        <v>0</v>
      </c>
      <c r="AM327" s="374">
        <f>+CF!AM55</f>
        <v>0</v>
      </c>
      <c r="AN327" s="374">
        <f>+CF!AN55</f>
        <v>0</v>
      </c>
      <c r="AO327" s="374">
        <f>+CF!AO55</f>
        <v>0</v>
      </c>
      <c r="AP327" s="374">
        <f>+CF!AP55</f>
        <v>0</v>
      </c>
      <c r="AQ327" s="374">
        <f>+CF!AQ55</f>
        <v>0</v>
      </c>
      <c r="AR327" s="374">
        <f>+CF!AR55</f>
        <v>0</v>
      </c>
      <c r="AS327" s="374">
        <f>+CF!AS55</f>
        <v>0</v>
      </c>
      <c r="AT327" s="374">
        <f>+CF!AT55</f>
        <v>0</v>
      </c>
      <c r="AU327" s="374">
        <f>+CF!AU55</f>
        <v>0</v>
      </c>
      <c r="AV327" s="374">
        <f>+CF!AV55</f>
        <v>0</v>
      </c>
      <c r="AW327" s="374">
        <f>+CF!AW55</f>
        <v>0</v>
      </c>
      <c r="AX327" s="374">
        <f>+CF!AX55</f>
        <v>0</v>
      </c>
      <c r="AY327" s="374">
        <f>+CF!AY55</f>
        <v>0</v>
      </c>
      <c r="AZ327" s="374">
        <f>+CF!AZ55</f>
        <v>0</v>
      </c>
      <c r="BA327" s="374">
        <f>+CF!BA55</f>
        <v>0</v>
      </c>
      <c r="BB327" s="374">
        <f>+CF!BB55</f>
        <v>0</v>
      </c>
      <c r="BC327" s="374">
        <f>+CF!BC55</f>
        <v>0</v>
      </c>
      <c r="BD327" s="374">
        <f>+CF!BD55</f>
        <v>0</v>
      </c>
      <c r="BE327" s="374">
        <f>+CF!BE55</f>
        <v>0</v>
      </c>
      <c r="BF327" s="374">
        <f>+CF!BF55</f>
        <v>0</v>
      </c>
      <c r="BG327" s="374">
        <f>+CF!BG55</f>
        <v>0</v>
      </c>
      <c r="BH327" s="374">
        <f>+CF!BH55</f>
        <v>0</v>
      </c>
      <c r="BI327" s="374">
        <f>+CF!BI55</f>
        <v>0</v>
      </c>
      <c r="BJ327" s="374">
        <f>+CF!BJ55</f>
        <v>0</v>
      </c>
      <c r="BK327" s="374">
        <f>+CF!BK55</f>
        <v>0</v>
      </c>
      <c r="BL327" s="374">
        <f>+CF!BL55</f>
        <v>0</v>
      </c>
      <c r="BM327" s="374">
        <f>+CF!BM55</f>
        <v>0</v>
      </c>
      <c r="BN327" s="374">
        <f>+CF!BN55</f>
        <v>0</v>
      </c>
      <c r="BO327" s="374">
        <f>+CF!BO55</f>
        <v>0</v>
      </c>
      <c r="BP327" s="374">
        <f>+CF!BP55</f>
        <v>0</v>
      </c>
      <c r="BQ327" s="374">
        <f>+CF!BQ55</f>
        <v>0</v>
      </c>
      <c r="BR327" s="374">
        <f>+CF!BR55</f>
        <v>0</v>
      </c>
      <c r="BS327" s="374">
        <f>+CF!BS55</f>
        <v>0</v>
      </c>
      <c r="BT327" s="374">
        <f>+CF!BT55</f>
        <v>0</v>
      </c>
      <c r="BU327" s="374">
        <f>+CF!BU55</f>
        <v>0</v>
      </c>
    </row>
    <row r="328" spans="1:73" x14ac:dyDescent="0.2">
      <c r="A328" s="186"/>
      <c r="B328" s="186"/>
      <c r="C328" s="186"/>
      <c r="D328" s="186"/>
      <c r="E328" s="186"/>
      <c r="F328" s="186"/>
      <c r="G328" s="186"/>
      <c r="H328" s="186"/>
      <c r="I328" s="186"/>
      <c r="J328" s="186"/>
      <c r="K328" s="367"/>
      <c r="L328" s="186"/>
      <c r="M328" s="186"/>
      <c r="N328" s="374"/>
      <c r="O328" s="186"/>
      <c r="P328" s="186"/>
      <c r="Q328" s="374"/>
      <c r="R328" s="374"/>
      <c r="S328" s="374"/>
      <c r="T328" s="374"/>
      <c r="U328" s="374"/>
      <c r="V328" s="374"/>
      <c r="W328" s="374"/>
      <c r="X328" s="374"/>
      <c r="Y328" s="374"/>
      <c r="Z328" s="374"/>
      <c r="AA328" s="374"/>
      <c r="AB328" s="374"/>
      <c r="AC328" s="374"/>
      <c r="AD328" s="374"/>
      <c r="AE328" s="374"/>
      <c r="AF328" s="374"/>
      <c r="AG328" s="374"/>
      <c r="AH328" s="374"/>
      <c r="AI328" s="374"/>
      <c r="AJ328" s="374"/>
      <c r="AK328" s="374"/>
      <c r="AL328" s="374"/>
      <c r="AM328" s="374"/>
      <c r="AN328" s="374"/>
      <c r="AO328" s="374"/>
      <c r="AP328" s="374"/>
      <c r="AQ328" s="374"/>
      <c r="AR328" s="374"/>
      <c r="AS328" s="374"/>
      <c r="AT328" s="374"/>
      <c r="AU328" s="374"/>
      <c r="AV328" s="374"/>
      <c r="AW328" s="374"/>
      <c r="AX328" s="374"/>
      <c r="AY328" s="374"/>
      <c r="AZ328" s="374"/>
      <c r="BA328" s="374"/>
      <c r="BB328" s="374"/>
      <c r="BC328" s="374"/>
      <c r="BD328" s="374"/>
      <c r="BE328" s="374"/>
      <c r="BF328" s="374"/>
      <c r="BG328" s="374"/>
      <c r="BH328" s="374"/>
      <c r="BI328" s="374"/>
      <c r="BJ328" s="374"/>
      <c r="BK328" s="374"/>
      <c r="BL328" s="374"/>
      <c r="BM328" s="374"/>
      <c r="BN328" s="374"/>
      <c r="BO328" s="374"/>
      <c r="BP328" s="374"/>
      <c r="BQ328" s="374"/>
      <c r="BR328" s="374"/>
      <c r="BS328" s="374"/>
      <c r="BT328" s="374"/>
      <c r="BU328" s="374"/>
    </row>
    <row r="329" spans="1:73" x14ac:dyDescent="0.2">
      <c r="A329" s="186"/>
      <c r="B329" s="186"/>
      <c r="C329" s="186" t="s">
        <v>253</v>
      </c>
      <c r="D329" s="186"/>
      <c r="E329" s="186"/>
      <c r="F329" s="186"/>
      <c r="G329" s="186"/>
      <c r="H329" s="186"/>
      <c r="I329" s="186"/>
      <c r="J329" s="186"/>
      <c r="K329" s="367" t="s">
        <v>63</v>
      </c>
      <c r="L329" s="186"/>
      <c r="M329" s="186"/>
      <c r="N329" s="374">
        <f>SUM(Q329:BU329)</f>
        <v>7147538.4146428863</v>
      </c>
      <c r="O329" s="186"/>
      <c r="P329" s="186"/>
      <c r="Q329" s="374"/>
      <c r="R329" s="374">
        <f t="shared" ref="R329:AO329" si="483">SUMIF(R323:R327,"&gt;=0")</f>
        <v>0</v>
      </c>
      <c r="S329" s="374">
        <f t="shared" si="483"/>
        <v>134005.48265000002</v>
      </c>
      <c r="T329" s="374">
        <f t="shared" si="483"/>
        <v>180094.68806548294</v>
      </c>
      <c r="U329" s="374">
        <f t="shared" si="483"/>
        <v>246630.7029326651</v>
      </c>
      <c r="V329" s="374">
        <f t="shared" si="483"/>
        <v>49647.236563605504</v>
      </c>
      <c r="W329" s="374">
        <f t="shared" si="483"/>
        <v>56358.535067712073</v>
      </c>
      <c r="X329" s="374">
        <f t="shared" si="483"/>
        <v>61582.402144247309</v>
      </c>
      <c r="Y329" s="374">
        <f t="shared" si="483"/>
        <v>64830.25896962222</v>
      </c>
      <c r="Z329" s="374">
        <f t="shared" si="483"/>
        <v>67486.254975278018</v>
      </c>
      <c r="AA329" s="374">
        <f t="shared" si="483"/>
        <v>69518.616935557206</v>
      </c>
      <c r="AB329" s="374">
        <f t="shared" si="483"/>
        <v>69405.191336163101</v>
      </c>
      <c r="AC329" s="374">
        <f t="shared" si="483"/>
        <v>69981.106892018463</v>
      </c>
      <c r="AD329" s="374">
        <f t="shared" si="483"/>
        <v>71643.080944930989</v>
      </c>
      <c r="AE329" s="374">
        <f t="shared" si="483"/>
        <v>75435.807604440168</v>
      </c>
      <c r="AF329" s="374">
        <f t="shared" si="483"/>
        <v>82285.733647906294</v>
      </c>
      <c r="AG329" s="374">
        <f t="shared" si="483"/>
        <v>93435.543595564173</v>
      </c>
      <c r="AH329" s="374">
        <f t="shared" si="483"/>
        <v>105074.71869370123</v>
      </c>
      <c r="AI329" s="374">
        <f t="shared" si="483"/>
        <v>115113.31146802081</v>
      </c>
      <c r="AJ329" s="374">
        <f t="shared" si="483"/>
        <v>121168.04094456963</v>
      </c>
      <c r="AK329" s="374">
        <f t="shared" si="483"/>
        <v>120937.42949203975</v>
      </c>
      <c r="AL329" s="374">
        <f t="shared" si="483"/>
        <v>110458.78308142041</v>
      </c>
      <c r="AM329" s="374">
        <f t="shared" si="483"/>
        <v>105191.04770248503</v>
      </c>
      <c r="AN329" s="374">
        <f t="shared" si="483"/>
        <v>104629.14869394519</v>
      </c>
      <c r="AO329" s="374">
        <f t="shared" si="483"/>
        <v>103471.79836604421</v>
      </c>
      <c r="AP329" s="374">
        <f t="shared" ref="AP329:BU329" si="484">SUMIF(AP323:AP327,"&gt;=0")</f>
        <v>132808.6293281829</v>
      </c>
      <c r="AQ329" s="374">
        <f t="shared" si="484"/>
        <v>136654.73987917605</v>
      </c>
      <c r="AR329" s="374">
        <f t="shared" si="484"/>
        <v>140154.33864867888</v>
      </c>
      <c r="AS329" s="374">
        <f t="shared" si="484"/>
        <v>143021.95057179657</v>
      </c>
      <c r="AT329" s="374">
        <f t="shared" si="484"/>
        <v>150496.17795371381</v>
      </c>
      <c r="AU329" s="374">
        <f t="shared" si="484"/>
        <v>231559.33044205053</v>
      </c>
      <c r="AV329" s="374">
        <f t="shared" si="484"/>
        <v>305239.04304495524</v>
      </c>
      <c r="AW329" s="374">
        <f t="shared" si="484"/>
        <v>305728.30353047495</v>
      </c>
      <c r="AX329" s="374">
        <f t="shared" si="484"/>
        <v>306578.28176774672</v>
      </c>
      <c r="AY329" s="374">
        <f t="shared" si="484"/>
        <v>317098.36665198347</v>
      </c>
      <c r="AZ329" s="374">
        <f t="shared" si="484"/>
        <v>330903.14883465285</v>
      </c>
      <c r="BA329" s="374">
        <f t="shared" si="484"/>
        <v>337343.11408610787</v>
      </c>
      <c r="BB329" s="374">
        <f t="shared" si="484"/>
        <v>344331.54500041675</v>
      </c>
      <c r="BC329" s="374">
        <f t="shared" si="484"/>
        <v>352537.1638987647</v>
      </c>
      <c r="BD329" s="374">
        <f t="shared" si="484"/>
        <v>362068.05886240676</v>
      </c>
      <c r="BE329" s="374">
        <f t="shared" si="484"/>
        <v>238035.11227955477</v>
      </c>
      <c r="BF329" s="374">
        <f t="shared" si="484"/>
        <v>225722.64849710948</v>
      </c>
      <c r="BG329" s="374">
        <f t="shared" si="484"/>
        <v>191349.00016544131</v>
      </c>
      <c r="BH329" s="374">
        <f t="shared" si="484"/>
        <v>152277.14797214835</v>
      </c>
      <c r="BI329" s="374">
        <f t="shared" si="484"/>
        <v>107864.93955352437</v>
      </c>
      <c r="BJ329" s="374">
        <f t="shared" si="484"/>
        <v>57382.452906580053</v>
      </c>
      <c r="BK329" s="374">
        <f t="shared" si="484"/>
        <v>0</v>
      </c>
      <c r="BL329" s="374">
        <f t="shared" si="484"/>
        <v>0</v>
      </c>
      <c r="BM329" s="374">
        <f t="shared" si="484"/>
        <v>0</v>
      </c>
      <c r="BN329" s="374">
        <f t="shared" si="484"/>
        <v>0</v>
      </c>
      <c r="BO329" s="374">
        <f t="shared" si="484"/>
        <v>0</v>
      </c>
      <c r="BP329" s="374">
        <f t="shared" si="484"/>
        <v>0</v>
      </c>
      <c r="BQ329" s="374">
        <f t="shared" si="484"/>
        <v>0</v>
      </c>
      <c r="BR329" s="374">
        <f t="shared" si="484"/>
        <v>0</v>
      </c>
      <c r="BS329" s="374">
        <f t="shared" si="484"/>
        <v>0</v>
      </c>
      <c r="BT329" s="374">
        <f t="shared" si="484"/>
        <v>0</v>
      </c>
      <c r="BU329" s="374">
        <f t="shared" si="484"/>
        <v>0</v>
      </c>
    </row>
    <row r="330" spans="1:73" x14ac:dyDescent="0.2">
      <c r="A330" s="186"/>
      <c r="B330" s="186"/>
      <c r="C330" s="186" t="s">
        <v>254</v>
      </c>
      <c r="D330" s="186"/>
      <c r="E330" s="186"/>
      <c r="F330" s="186"/>
      <c r="G330" s="186"/>
      <c r="H330" s="186"/>
      <c r="I330" s="186"/>
      <c r="J330" s="186"/>
      <c r="K330" s="367" t="s">
        <v>63</v>
      </c>
      <c r="L330" s="186"/>
      <c r="M330" s="186"/>
      <c r="N330" s="374">
        <f>SUM(Q330:BU330)</f>
        <v>-1469256.288790605</v>
      </c>
      <c r="O330" s="186"/>
      <c r="P330" s="186"/>
      <c r="Q330" s="374"/>
      <c r="R330" s="374">
        <f t="shared" ref="R330:AO330" si="485">SUMIF(R323:R327,"&lt;0")</f>
        <v>0</v>
      </c>
      <c r="S330" s="374">
        <f t="shared" si="485"/>
        <v>0</v>
      </c>
      <c r="T330" s="374">
        <f t="shared" si="485"/>
        <v>0</v>
      </c>
      <c r="U330" s="374">
        <f t="shared" si="485"/>
        <v>0</v>
      </c>
      <c r="V330" s="374">
        <f t="shared" si="485"/>
        <v>0</v>
      </c>
      <c r="W330" s="374">
        <f t="shared" si="485"/>
        <v>0</v>
      </c>
      <c r="X330" s="374">
        <f t="shared" si="485"/>
        <v>0</v>
      </c>
      <c r="Y330" s="374">
        <f t="shared" si="485"/>
        <v>0</v>
      </c>
      <c r="Z330" s="374">
        <f t="shared" si="485"/>
        <v>0</v>
      </c>
      <c r="AA330" s="374">
        <f t="shared" si="485"/>
        <v>0</v>
      </c>
      <c r="AB330" s="374">
        <f t="shared" si="485"/>
        <v>0</v>
      </c>
      <c r="AC330" s="374">
        <f t="shared" si="485"/>
        <v>0</v>
      </c>
      <c r="AD330" s="374">
        <f t="shared" si="485"/>
        <v>0</v>
      </c>
      <c r="AE330" s="374">
        <f t="shared" si="485"/>
        <v>0</v>
      </c>
      <c r="AF330" s="374">
        <f t="shared" si="485"/>
        <v>0</v>
      </c>
      <c r="AG330" s="374">
        <f t="shared" si="485"/>
        <v>0</v>
      </c>
      <c r="AH330" s="374">
        <f t="shared" si="485"/>
        <v>0</v>
      </c>
      <c r="AI330" s="374">
        <f t="shared" si="485"/>
        <v>0</v>
      </c>
      <c r="AJ330" s="374">
        <f t="shared" si="485"/>
        <v>0</v>
      </c>
      <c r="AK330" s="374">
        <f t="shared" si="485"/>
        <v>0</v>
      </c>
      <c r="AL330" s="374">
        <f t="shared" si="485"/>
        <v>0</v>
      </c>
      <c r="AM330" s="374">
        <f t="shared" si="485"/>
        <v>0</v>
      </c>
      <c r="AN330" s="374">
        <f t="shared" si="485"/>
        <v>0</v>
      </c>
      <c r="AO330" s="374">
        <f t="shared" si="485"/>
        <v>0</v>
      </c>
      <c r="AP330" s="374">
        <f t="shared" ref="AP330:BU330" si="486">SUMIF(AP323:AP327,"&lt;0")</f>
        <v>0</v>
      </c>
      <c r="AQ330" s="374">
        <f t="shared" si="486"/>
        <v>0</v>
      </c>
      <c r="AR330" s="374">
        <f t="shared" si="486"/>
        <v>0</v>
      </c>
      <c r="AS330" s="374">
        <f t="shared" si="486"/>
        <v>0</v>
      </c>
      <c r="AT330" s="374">
        <f t="shared" si="486"/>
        <v>0</v>
      </c>
      <c r="AU330" s="374">
        <f t="shared" si="486"/>
        <v>0</v>
      </c>
      <c r="AV330" s="374">
        <f t="shared" si="486"/>
        <v>0</v>
      </c>
      <c r="AW330" s="374">
        <f t="shared" si="486"/>
        <v>0</v>
      </c>
      <c r="AX330" s="374">
        <f t="shared" si="486"/>
        <v>0</v>
      </c>
      <c r="AY330" s="374">
        <f t="shared" si="486"/>
        <v>0</v>
      </c>
      <c r="AZ330" s="374">
        <f t="shared" si="486"/>
        <v>0</v>
      </c>
      <c r="BA330" s="374">
        <f t="shared" si="486"/>
        <v>0</v>
      </c>
      <c r="BB330" s="374">
        <f t="shared" si="486"/>
        <v>0</v>
      </c>
      <c r="BC330" s="374">
        <f t="shared" si="486"/>
        <v>0</v>
      </c>
      <c r="BD330" s="374">
        <f t="shared" si="486"/>
        <v>0</v>
      </c>
      <c r="BE330" s="374">
        <f t="shared" si="486"/>
        <v>0</v>
      </c>
      <c r="BF330" s="374">
        <f t="shared" si="486"/>
        <v>0</v>
      </c>
      <c r="BG330" s="374">
        <f t="shared" si="486"/>
        <v>0</v>
      </c>
      <c r="BH330" s="374">
        <f t="shared" si="486"/>
        <v>0</v>
      </c>
      <c r="BI330" s="374">
        <f t="shared" si="486"/>
        <v>0</v>
      </c>
      <c r="BJ330" s="374">
        <f t="shared" si="486"/>
        <v>0</v>
      </c>
      <c r="BK330" s="374">
        <f t="shared" si="486"/>
        <v>-133568.75352641862</v>
      </c>
      <c r="BL330" s="374">
        <f t="shared" si="486"/>
        <v>-133568.75352641862</v>
      </c>
      <c r="BM330" s="374">
        <f t="shared" si="486"/>
        <v>-133568.75352641862</v>
      </c>
      <c r="BN330" s="374">
        <f t="shared" si="486"/>
        <v>-133568.75352641862</v>
      </c>
      <c r="BO330" s="374">
        <f t="shared" si="486"/>
        <v>-133568.75352641862</v>
      </c>
      <c r="BP330" s="374">
        <f t="shared" si="486"/>
        <v>-133568.75352641862</v>
      </c>
      <c r="BQ330" s="374">
        <f t="shared" si="486"/>
        <v>-133568.75352641862</v>
      </c>
      <c r="BR330" s="374">
        <f t="shared" si="486"/>
        <v>-133568.75352641862</v>
      </c>
      <c r="BS330" s="374">
        <f t="shared" si="486"/>
        <v>-133568.75352641862</v>
      </c>
      <c r="BT330" s="374">
        <f t="shared" si="486"/>
        <v>-133568.75352641862</v>
      </c>
      <c r="BU330" s="374">
        <f t="shared" si="486"/>
        <v>-133568.75352641862</v>
      </c>
    </row>
    <row r="331" spans="1:73" x14ac:dyDescent="0.2">
      <c r="A331" s="186"/>
      <c r="B331" s="232"/>
      <c r="C331" s="186"/>
      <c r="D331" s="186"/>
      <c r="E331" s="186"/>
      <c r="F331" s="186"/>
      <c r="G331" s="186"/>
      <c r="H331" s="186"/>
      <c r="I331" s="186"/>
      <c r="J331" s="186"/>
      <c r="K331" s="367"/>
      <c r="L331" s="186"/>
      <c r="M331" s="186"/>
      <c r="N331" s="186"/>
      <c r="O331" s="186"/>
      <c r="P331" s="186"/>
      <c r="Q331" s="374"/>
      <c r="R331" s="382"/>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374"/>
      <c r="AX331" s="374"/>
      <c r="AY331" s="374"/>
      <c r="AZ331" s="374"/>
      <c r="BA331" s="374"/>
      <c r="BB331" s="374"/>
      <c r="BC331" s="374"/>
      <c r="BD331" s="374"/>
      <c r="BE331" s="374"/>
      <c r="BF331" s="374"/>
      <c r="BG331" s="374"/>
      <c r="BH331" s="374"/>
      <c r="BI331" s="374"/>
      <c r="BJ331" s="374"/>
      <c r="BK331" s="374"/>
      <c r="BL331" s="374"/>
      <c r="BM331" s="374"/>
      <c r="BN331" s="374"/>
      <c r="BO331" s="374"/>
      <c r="BP331" s="374"/>
      <c r="BQ331" s="374"/>
      <c r="BR331" s="374"/>
      <c r="BS331" s="374"/>
      <c r="BT331" s="374"/>
      <c r="BU331" s="374"/>
    </row>
    <row r="332" spans="1:73" x14ac:dyDescent="0.2">
      <c r="A332" s="186"/>
      <c r="B332" s="232"/>
      <c r="C332" s="186" t="s">
        <v>334</v>
      </c>
      <c r="D332" s="186"/>
      <c r="E332" s="186"/>
      <c r="F332" s="730">
        <v>0.5</v>
      </c>
      <c r="G332" s="186"/>
      <c r="H332" s="186"/>
      <c r="I332" s="186"/>
      <c r="J332" s="186"/>
      <c r="K332" s="367" t="s">
        <v>63</v>
      </c>
      <c r="L332" s="186"/>
      <c r="M332" s="186"/>
      <c r="N332" s="374">
        <f>SUM(Q332:BU332)</f>
        <v>17801160.705326021</v>
      </c>
      <c r="O332" s="186"/>
      <c r="P332" s="186"/>
      <c r="Q332" s="374"/>
      <c r="R332" s="374">
        <f>(CF!R25+CF!R26+CF!R27)*$F$332</f>
        <v>0</v>
      </c>
      <c r="S332" s="374">
        <f>(CF!S25+CF!S26+CF!S27)*$F$332</f>
        <v>48759.480756983059</v>
      </c>
      <c r="T332" s="374">
        <f>(CF!T25+CF!T26+CF!T27)*$F$332</f>
        <v>56724.005853438743</v>
      </c>
      <c r="U332" s="374">
        <f>(CF!U25+CF!U26+CF!U27)*$F$332</f>
        <v>65827.140436800619</v>
      </c>
      <c r="V332" s="374">
        <f>(CF!V25+CF!V26+CF!V27)*$F$332</f>
        <v>76233.334372232712</v>
      </c>
      <c r="W332" s="374">
        <f>(CF!W25+CF!W26+CF!W27)*$F$332</f>
        <v>82423.470046861912</v>
      </c>
      <c r="X332" s="374">
        <f>(CF!X25+CF!X26+CF!X27)*$F$332</f>
        <v>89100.229884471264</v>
      </c>
      <c r="Y332" s="374">
        <f>(CF!Y25+CF!Y26+CF!Y27)*$F$332</f>
        <v>96301.220717352451</v>
      </c>
      <c r="Z332" s="374">
        <f>(CF!Z25+CF!Z26+CF!Z27)*$F$332</f>
        <v>104066.92855208728</v>
      </c>
      <c r="AA332" s="374">
        <f>(CF!AA25+CF!AA26+CF!AA27)*$F$332</f>
        <v>112440.93784261131</v>
      </c>
      <c r="AB332" s="374">
        <f>(CF!AB25+CF!AB26+CF!AB27)*$F$332</f>
        <v>122092.44930738422</v>
      </c>
      <c r="AC332" s="374">
        <f>(CF!AC25+CF!AC26+CF!AC27)*$F$332</f>
        <v>132553.91069092933</v>
      </c>
      <c r="AD332" s="374">
        <f>(CF!AD25+CF!AD26+CF!AD27)*$F$332</f>
        <v>143892.41838169025</v>
      </c>
      <c r="AE332" s="374">
        <f>(CF!AE25+CF!AE26+CF!AE27)*$F$332</f>
        <v>156180.58478062027</v>
      </c>
      <c r="AF332" s="374">
        <f>(CF!AF25+CF!AF26+CF!AF27)*$F$332</f>
        <v>169496.98970367914</v>
      </c>
      <c r="AG332" s="374">
        <f>(CF!AG25+CF!AG26+CF!AG27)*$F$332</f>
        <v>181766.8859145467</v>
      </c>
      <c r="AH332" s="374">
        <f>(CF!AH25+CF!AH26+CF!AH27)*$F$332</f>
        <v>194774.11440958906</v>
      </c>
      <c r="AI332" s="374">
        <f>(CF!AI25+CF!AI26+CF!AI27)*$F$332</f>
        <v>208509.67837600739</v>
      </c>
      <c r="AJ332" s="374">
        <f>(CF!AJ25+CF!AJ26+CF!AJ27)*$F$332</f>
        <v>222940.49550764673</v>
      </c>
      <c r="AK332" s="374">
        <f>(CF!AK25+CF!AK26+CF!AK27)*$F$332</f>
        <v>237998.93320162859</v>
      </c>
      <c r="AL332" s="374">
        <f>(CF!AL25+CF!AL26+CF!AL27)*$F$332</f>
        <v>255862.16551000084</v>
      </c>
      <c r="AM332" s="374">
        <f>(CF!AM25+CF!AM26+CF!AM27)*$F$332</f>
        <v>275052.00236690778</v>
      </c>
      <c r="AN332" s="374">
        <f>(CF!AN25+CF!AN26+CF!AN27)*$F$332</f>
        <v>295666.28217376268</v>
      </c>
      <c r="AO332" s="374">
        <f>(CF!AO25+CF!AO26+CF!AO27)*$F$332</f>
        <v>317810.0258314021</v>
      </c>
      <c r="AP332" s="374">
        <f>(CF!AP25+CF!AP26+CF!AP27)*$F$332</f>
        <v>341595.96239354083</v>
      </c>
      <c r="AQ332" s="374">
        <f>(CF!AQ25+CF!AQ26+CF!AQ27)*$F$332</f>
        <v>363981.93547485181</v>
      </c>
      <c r="AR332" s="374">
        <f>(CF!AR25+CF!AR26+CF!AR27)*$F$332</f>
        <v>387821.20761448226</v>
      </c>
      <c r="AS332" s="374">
        <f>(CF!AS25+CF!AS26+CF!AS27)*$F$332</f>
        <v>413207.54571396112</v>
      </c>
      <c r="AT332" s="374">
        <f>(CF!AT25+CF!AT26+CF!AT27)*$F$332</f>
        <v>440240.74167073786</v>
      </c>
      <c r="AU332" s="374">
        <f>(CF!AU25+CF!AU26+CF!AU27)*$F$332</f>
        <v>469026.99844599434</v>
      </c>
      <c r="AV332" s="374">
        <f>(CF!AV25+CF!AV26+CF!AV27)*$F$332</f>
        <v>498640.36642381898</v>
      </c>
      <c r="AW332" s="374">
        <f>(CF!AW25+CF!AW26+CF!AW27)*$F$332</f>
        <v>530111.86234241922</v>
      </c>
      <c r="AX332" s="374">
        <f>(CF!AX25+CF!AX26+CF!AX27)*$F$332</f>
        <v>563557.56556851603</v>
      </c>
      <c r="AY332" s="374">
        <f>(CF!AY25+CF!AY26+CF!AY27)*$F$332</f>
        <v>599100.78440451762</v>
      </c>
      <c r="AZ332" s="374">
        <f>(CF!AZ25+CF!AZ26+CF!AZ27)*$F$332</f>
        <v>636872.5052661337</v>
      </c>
      <c r="BA332" s="374">
        <f>(CF!BA25+CF!BA26+CF!BA27)*$F$332</f>
        <v>677915.1652031017</v>
      </c>
      <c r="BB332" s="374">
        <f>(CF!BB25+CF!BB26+CF!BB27)*$F$332</f>
        <v>721587.67042039311</v>
      </c>
      <c r="BC332" s="374">
        <f>(CF!BC25+CF!BC26+CF!BC27)*$F$332</f>
        <v>768057.84918409586</v>
      </c>
      <c r="BD332" s="374">
        <f>(CF!BD25+CF!BD26+CF!BD27)*$F$332</f>
        <v>817504.20911464479</v>
      </c>
      <c r="BE332" s="374">
        <f>(CF!BE25+CF!BE26+CF!BE27)*$F$332</f>
        <v>870116.61533485656</v>
      </c>
      <c r="BF332" s="374">
        <f>(CF!BF25+CF!BF26+CF!BF27)*$F$332</f>
        <v>937781.5618404242</v>
      </c>
      <c r="BG332" s="374">
        <f>(CF!BG25+CF!BG26+CF!BG27)*$F$332</f>
        <v>1010685.0784195332</v>
      </c>
      <c r="BH332" s="374">
        <f>(CF!BH25+CF!BH26+CF!BH27)*$F$332</f>
        <v>1089231.41153943</v>
      </c>
      <c r="BI332" s="374">
        <f>(CF!BI25+CF!BI26+CF!BI27)*$F$332</f>
        <v>1173855.9275857119</v>
      </c>
      <c r="BJ332" s="374">
        <f>(CF!BJ25+CF!BJ26+CF!BJ27)*$F$332</f>
        <v>843794.05674621859</v>
      </c>
      <c r="BK332" s="374">
        <f>(CF!BK25+CF!BK26+CF!BK27)*$F$332</f>
        <v>0</v>
      </c>
      <c r="BL332" s="374">
        <f>(CF!BL25+CF!BL26+CF!BL27)*$F$332</f>
        <v>0</v>
      </c>
      <c r="BM332" s="374">
        <f>(CF!BM25+CF!BM26+CF!BM27)*$F$332</f>
        <v>0</v>
      </c>
      <c r="BN332" s="374">
        <f>(CF!BN25+CF!BN26+CF!BN27)*$F$332</f>
        <v>0</v>
      </c>
      <c r="BO332" s="374">
        <f>(CF!BO25+CF!BO26+CF!BO27)*$F$332</f>
        <v>0</v>
      </c>
      <c r="BP332" s="374">
        <f>(CF!BP25+CF!BP26+CF!BP27)*$F$332</f>
        <v>0</v>
      </c>
      <c r="BQ332" s="374">
        <f>(CF!BQ25+CF!BQ26+CF!BQ27)*$F$332</f>
        <v>0</v>
      </c>
      <c r="BR332" s="374">
        <f>(CF!BR25+CF!BR26+CF!BR27)*$F$332</f>
        <v>0</v>
      </c>
      <c r="BS332" s="374">
        <f>(CF!BS25+CF!BS26+CF!BS27)*$F$332</f>
        <v>0</v>
      </c>
      <c r="BT332" s="374">
        <f>(CF!BT25+CF!BT26+CF!BT27)*$F$332</f>
        <v>0</v>
      </c>
      <c r="BU332" s="374">
        <f>(CF!BU25+CF!BU26+CF!BU27)*$F$332</f>
        <v>0</v>
      </c>
    </row>
    <row r="333" spans="1:73" x14ac:dyDescent="0.2">
      <c r="A333" s="186"/>
      <c r="B333" s="232"/>
      <c r="C333" s="186" t="s">
        <v>336</v>
      </c>
      <c r="D333" s="186"/>
      <c r="E333" s="186"/>
      <c r="F333" s="463"/>
      <c r="G333" s="186"/>
      <c r="H333" s="186"/>
      <c r="I333" s="186"/>
      <c r="J333" s="186"/>
      <c r="K333" s="367"/>
      <c r="L333" s="186"/>
      <c r="M333" s="186"/>
      <c r="N333" s="374"/>
      <c r="O333" s="186"/>
      <c r="P333" s="186"/>
      <c r="Q333" s="374"/>
      <c r="R333" s="464">
        <f t="shared" ref="R333:BG333" si="487">R335</f>
        <v>0</v>
      </c>
      <c r="S333" s="464">
        <f t="shared" si="487"/>
        <v>0</v>
      </c>
      <c r="T333" s="464">
        <f t="shared" si="487"/>
        <v>1.2914362028787818E-2</v>
      </c>
      <c r="U333" s="464">
        <f t="shared" si="487"/>
        <v>1.3906467307500442E-2</v>
      </c>
      <c r="V333" s="464">
        <f t="shared" si="487"/>
        <v>1.5598000000000001E-2</v>
      </c>
      <c r="W333" s="464">
        <f t="shared" si="487"/>
        <v>1.6246492259182677E-2</v>
      </c>
      <c r="X333" s="464">
        <f t="shared" si="487"/>
        <v>1.7206282118317397E-2</v>
      </c>
      <c r="Y333" s="464">
        <f t="shared" si="487"/>
        <v>1.8507832085554551E-2</v>
      </c>
      <c r="Z333" s="464">
        <f t="shared" si="487"/>
        <v>1.8698682323067761E-2</v>
      </c>
      <c r="AA333" s="464">
        <f t="shared" si="487"/>
        <v>1.975E-2</v>
      </c>
      <c r="AB333" s="464">
        <f t="shared" si="487"/>
        <v>2.0709999999999999E-2</v>
      </c>
      <c r="AC333" s="464">
        <f t="shared" si="487"/>
        <v>2.1679500000000001E-2</v>
      </c>
      <c r="AD333" s="464">
        <f t="shared" si="487"/>
        <v>2.1630499999999997E-2</v>
      </c>
      <c r="AE333" s="464">
        <f t="shared" si="487"/>
        <v>2.1865000000000002E-2</v>
      </c>
      <c r="AF333" s="464">
        <f t="shared" si="487"/>
        <v>2.2357500000000002E-2</v>
      </c>
      <c r="AG333" s="464">
        <f t="shared" si="487"/>
        <v>2.1872999999999997E-2</v>
      </c>
      <c r="AH333" s="464">
        <f t="shared" si="487"/>
        <v>2.1772E-2</v>
      </c>
      <c r="AI333" s="464">
        <f t="shared" si="487"/>
        <v>2.2040500000000001E-2</v>
      </c>
      <c r="AJ333" s="464">
        <f t="shared" si="487"/>
        <v>2.2280500000000002E-2</v>
      </c>
      <c r="AK333" s="464">
        <f t="shared" si="487"/>
        <v>2.2496499999999999E-2</v>
      </c>
      <c r="AL333" s="464">
        <f t="shared" si="487"/>
        <v>2.16125E-2</v>
      </c>
      <c r="AM333" s="464">
        <f t="shared" si="487"/>
        <v>2.1232000000000001E-2</v>
      </c>
      <c r="AN333" s="464">
        <f t="shared" si="487"/>
        <v>2.2100000000000002E-2</v>
      </c>
      <c r="AO333" s="464">
        <f t="shared" si="487"/>
        <v>2.1359999999999997E-2</v>
      </c>
      <c r="AP333" s="464">
        <f t="shared" si="487"/>
        <v>2.1402999999999998E-2</v>
      </c>
      <c r="AQ333" s="464">
        <f t="shared" si="487"/>
        <v>2.1007000000000001E-2</v>
      </c>
      <c r="AR333" s="464">
        <f t="shared" si="487"/>
        <v>2.0815E-2</v>
      </c>
      <c r="AS333" s="464">
        <f t="shared" si="487"/>
        <v>2.0805000000000001E-2</v>
      </c>
      <c r="AT333" s="464">
        <f t="shared" si="487"/>
        <v>2.0785999999999999E-2</v>
      </c>
      <c r="AU333" s="464">
        <f t="shared" si="487"/>
        <v>2.0758499999999999E-2</v>
      </c>
      <c r="AV333" s="464">
        <f t="shared" si="487"/>
        <v>2.0188999999999999E-2</v>
      </c>
      <c r="AW333" s="464">
        <f t="shared" si="487"/>
        <v>1.98925E-2</v>
      </c>
      <c r="AX333" s="464">
        <f t="shared" si="487"/>
        <v>1.9827999999999998E-2</v>
      </c>
      <c r="AY333" s="464">
        <f t="shared" si="487"/>
        <v>1.9761000000000001E-2</v>
      </c>
      <c r="AZ333" s="464">
        <f t="shared" si="487"/>
        <v>1.9689499999999999E-2</v>
      </c>
      <c r="BA333" s="464">
        <f t="shared" si="487"/>
        <v>1.9615E-2</v>
      </c>
      <c r="BB333" s="464">
        <f t="shared" si="487"/>
        <v>1.9536999999999999E-2</v>
      </c>
      <c r="BC333" s="464">
        <f t="shared" si="487"/>
        <v>1.9456000000000001E-2</v>
      </c>
      <c r="BD333" s="464">
        <f t="shared" si="487"/>
        <v>1.9372500000000001E-2</v>
      </c>
      <c r="BE333" s="464">
        <f t="shared" si="487"/>
        <v>1.9286499999999998E-2</v>
      </c>
      <c r="BF333" s="464">
        <f t="shared" si="487"/>
        <v>1.9098500000000001E-2</v>
      </c>
      <c r="BG333" s="464">
        <f t="shared" si="487"/>
        <v>1.8960499999999998E-2</v>
      </c>
      <c r="BH333" s="464">
        <f>BH335</f>
        <v>1.8868000000000003E-2</v>
      </c>
      <c r="BI333" s="464">
        <f t="shared" ref="BI333:BU333" si="488">BI335</f>
        <v>1.8772499999999998E-2</v>
      </c>
      <c r="BJ333" s="464">
        <f t="shared" si="488"/>
        <v>1.8676000000000002E-2</v>
      </c>
      <c r="BK333" s="464">
        <f t="shared" si="488"/>
        <v>0</v>
      </c>
      <c r="BL333" s="464">
        <f t="shared" si="488"/>
        <v>0</v>
      </c>
      <c r="BM333" s="464">
        <f t="shared" si="488"/>
        <v>0</v>
      </c>
      <c r="BN333" s="464">
        <f t="shared" si="488"/>
        <v>0</v>
      </c>
      <c r="BO333" s="464">
        <f t="shared" si="488"/>
        <v>0</v>
      </c>
      <c r="BP333" s="464">
        <f t="shared" si="488"/>
        <v>0</v>
      </c>
      <c r="BQ333" s="464">
        <f t="shared" si="488"/>
        <v>0</v>
      </c>
      <c r="BR333" s="464">
        <f t="shared" si="488"/>
        <v>0</v>
      </c>
      <c r="BS333" s="464">
        <f t="shared" si="488"/>
        <v>0</v>
      </c>
      <c r="BT333" s="464">
        <f t="shared" si="488"/>
        <v>0</v>
      </c>
      <c r="BU333" s="464">
        <f t="shared" si="488"/>
        <v>0</v>
      </c>
    </row>
    <row r="334" spans="1:73" x14ac:dyDescent="0.2">
      <c r="A334" s="186"/>
      <c r="B334" s="232"/>
      <c r="C334" s="186"/>
      <c r="D334" s="186"/>
      <c r="E334" s="186"/>
      <c r="F334" s="186"/>
      <c r="G334" s="186"/>
      <c r="H334" s="186"/>
      <c r="I334" s="186"/>
      <c r="J334" s="186"/>
      <c r="K334" s="367"/>
      <c r="L334" s="194"/>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row>
    <row r="335" spans="1:73" s="270" customFormat="1" x14ac:dyDescent="0.2">
      <c r="A335" s="258"/>
      <c r="B335" s="488"/>
      <c r="C335" s="258" t="s">
        <v>469</v>
      </c>
      <c r="D335" s="258"/>
      <c r="E335" s="258"/>
      <c r="F335" s="258"/>
      <c r="G335" s="258"/>
      <c r="H335" s="258"/>
      <c r="I335" s="258"/>
      <c r="J335" s="258"/>
      <c r="K335" s="628" t="s">
        <v>20</v>
      </c>
      <c r="L335" s="489"/>
      <c r="M335" s="258"/>
      <c r="N335" s="258"/>
      <c r="O335" s="258"/>
      <c r="P335" s="258"/>
      <c r="Q335" s="551"/>
      <c r="R335" s="731">
        <v>0</v>
      </c>
      <c r="S335" s="731">
        <v>0</v>
      </c>
      <c r="T335" s="731">
        <v>1.2914362028787818E-2</v>
      </c>
      <c r="U335" s="731">
        <v>1.3906467307500442E-2</v>
      </c>
      <c r="V335" s="731">
        <v>1.5598000000000001E-2</v>
      </c>
      <c r="W335" s="731">
        <v>1.6246492259182677E-2</v>
      </c>
      <c r="X335" s="731">
        <v>1.7206282118317397E-2</v>
      </c>
      <c r="Y335" s="731">
        <v>1.8507832085554551E-2</v>
      </c>
      <c r="Z335" s="731">
        <v>1.8698682323067761E-2</v>
      </c>
      <c r="AA335" s="731">
        <v>1.975E-2</v>
      </c>
      <c r="AB335" s="731">
        <v>2.0709999999999999E-2</v>
      </c>
      <c r="AC335" s="731">
        <v>2.1679500000000001E-2</v>
      </c>
      <c r="AD335" s="731">
        <v>2.1630499999999997E-2</v>
      </c>
      <c r="AE335" s="731">
        <v>2.1865000000000002E-2</v>
      </c>
      <c r="AF335" s="731">
        <v>2.2357500000000002E-2</v>
      </c>
      <c r="AG335" s="731">
        <v>2.1872999999999997E-2</v>
      </c>
      <c r="AH335" s="731">
        <v>2.1772E-2</v>
      </c>
      <c r="AI335" s="731">
        <v>2.2040500000000001E-2</v>
      </c>
      <c r="AJ335" s="731">
        <v>2.2280500000000002E-2</v>
      </c>
      <c r="AK335" s="731">
        <v>2.2496499999999999E-2</v>
      </c>
      <c r="AL335" s="731">
        <v>2.16125E-2</v>
      </c>
      <c r="AM335" s="731">
        <v>2.1232000000000001E-2</v>
      </c>
      <c r="AN335" s="731">
        <v>2.2100000000000002E-2</v>
      </c>
      <c r="AO335" s="731">
        <v>2.1359999999999997E-2</v>
      </c>
      <c r="AP335" s="731">
        <v>2.1402999999999998E-2</v>
      </c>
      <c r="AQ335" s="731">
        <v>2.1007000000000001E-2</v>
      </c>
      <c r="AR335" s="731">
        <v>2.0815E-2</v>
      </c>
      <c r="AS335" s="731">
        <v>2.0805000000000001E-2</v>
      </c>
      <c r="AT335" s="731">
        <v>2.0785999999999999E-2</v>
      </c>
      <c r="AU335" s="731">
        <v>2.0758499999999999E-2</v>
      </c>
      <c r="AV335" s="731">
        <v>2.0188999999999999E-2</v>
      </c>
      <c r="AW335" s="731">
        <v>1.98925E-2</v>
      </c>
      <c r="AX335" s="731">
        <v>1.9827999999999998E-2</v>
      </c>
      <c r="AY335" s="731">
        <v>1.9761000000000001E-2</v>
      </c>
      <c r="AZ335" s="731">
        <v>1.9689499999999999E-2</v>
      </c>
      <c r="BA335" s="731">
        <v>1.9615E-2</v>
      </c>
      <c r="BB335" s="731">
        <v>1.9536999999999999E-2</v>
      </c>
      <c r="BC335" s="731">
        <v>1.9456000000000001E-2</v>
      </c>
      <c r="BD335" s="731">
        <v>1.9372500000000001E-2</v>
      </c>
      <c r="BE335" s="731">
        <v>1.9286499999999998E-2</v>
      </c>
      <c r="BF335" s="731">
        <v>1.9098500000000001E-2</v>
      </c>
      <c r="BG335" s="731">
        <v>1.8960499999999998E-2</v>
      </c>
      <c r="BH335" s="731">
        <v>1.8868000000000003E-2</v>
      </c>
      <c r="BI335" s="731">
        <v>1.8772499999999998E-2</v>
      </c>
      <c r="BJ335" s="731">
        <v>1.8676000000000002E-2</v>
      </c>
      <c r="BK335" s="731">
        <v>0</v>
      </c>
      <c r="BL335" s="731">
        <v>0</v>
      </c>
      <c r="BM335" s="731">
        <v>0</v>
      </c>
      <c r="BN335" s="731">
        <v>0</v>
      </c>
      <c r="BO335" s="731">
        <v>0</v>
      </c>
      <c r="BP335" s="731">
        <v>0</v>
      </c>
      <c r="BQ335" s="731">
        <v>0</v>
      </c>
      <c r="BR335" s="731">
        <v>0</v>
      </c>
      <c r="BS335" s="731">
        <v>0</v>
      </c>
      <c r="BT335" s="731">
        <v>0</v>
      </c>
      <c r="BU335" s="731">
        <v>0</v>
      </c>
    </row>
    <row r="336" spans="1:73" x14ac:dyDescent="0.2">
      <c r="A336" s="186"/>
      <c r="B336" s="232"/>
      <c r="C336" s="186" t="s">
        <v>29</v>
      </c>
      <c r="D336" s="186"/>
      <c r="E336" s="186"/>
      <c r="F336" s="186"/>
      <c r="G336" s="186"/>
      <c r="H336" s="186"/>
      <c r="I336" s="186"/>
      <c r="J336" s="186"/>
      <c r="K336" s="367" t="s">
        <v>20</v>
      </c>
      <c r="L336" s="730">
        <v>0.05</v>
      </c>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row>
    <row r="337" spans="1:74" ht="12" customHeight="1" x14ac:dyDescent="0.2">
      <c r="A337" s="186"/>
      <c r="B337" s="232"/>
      <c r="C337" s="186"/>
      <c r="D337" s="186"/>
      <c r="E337" s="186"/>
      <c r="F337" s="186"/>
      <c r="G337" s="186"/>
      <c r="H337" s="186"/>
      <c r="I337" s="186"/>
      <c r="J337" s="186"/>
      <c r="K337" s="367"/>
      <c r="L337" s="186"/>
      <c r="M337" s="186"/>
      <c r="N337" s="374"/>
      <c r="O337" s="186"/>
      <c r="P337" s="186"/>
      <c r="Q337" s="374"/>
      <c r="R337" s="374"/>
      <c r="S337" s="374"/>
      <c r="T337" s="374"/>
      <c r="U337" s="374"/>
      <c r="V337" s="374"/>
      <c r="W337" s="374"/>
      <c r="X337" s="374"/>
      <c r="Y337" s="374"/>
      <c r="Z337" s="374"/>
      <c r="AA337" s="374"/>
      <c r="AB337" s="374"/>
      <c r="AC337" s="374"/>
      <c r="AD337" s="374"/>
      <c r="AE337" s="374"/>
      <c r="AF337" s="374"/>
      <c r="AG337" s="374"/>
      <c r="AH337" s="374"/>
      <c r="AI337" s="374"/>
      <c r="AJ337" s="374"/>
      <c r="AK337" s="374"/>
      <c r="AL337" s="374"/>
      <c r="AM337" s="374"/>
      <c r="AN337" s="374"/>
      <c r="AO337" s="374"/>
      <c r="AP337" s="374"/>
      <c r="AQ337" s="374"/>
      <c r="AR337" s="374"/>
      <c r="AS337" s="374"/>
      <c r="AT337" s="374"/>
      <c r="AU337" s="374"/>
      <c r="AV337" s="374"/>
      <c r="AW337" s="374"/>
      <c r="AX337" s="374"/>
      <c r="AY337" s="374"/>
      <c r="AZ337" s="374"/>
      <c r="BA337" s="374"/>
      <c r="BB337" s="374"/>
      <c r="BC337" s="374"/>
      <c r="BD337" s="374"/>
      <c r="BE337" s="374"/>
      <c r="BF337" s="374"/>
      <c r="BG337" s="374"/>
      <c r="BH337" s="374"/>
      <c r="BI337" s="374"/>
      <c r="BJ337" s="374"/>
      <c r="BK337" s="374"/>
      <c r="BL337" s="374"/>
      <c r="BM337" s="374"/>
      <c r="BN337" s="374"/>
      <c r="BO337" s="374"/>
      <c r="BP337" s="374"/>
      <c r="BQ337" s="374"/>
      <c r="BR337" s="374"/>
      <c r="BS337" s="374"/>
      <c r="BT337" s="374"/>
      <c r="BU337" s="374"/>
    </row>
    <row r="338" spans="1:74" x14ac:dyDescent="0.2">
      <c r="A338" s="186"/>
      <c r="B338" s="465"/>
      <c r="C338" s="186" t="s">
        <v>73</v>
      </c>
      <c r="D338" s="186"/>
      <c r="E338" s="186"/>
      <c r="F338" s="186"/>
      <c r="G338" s="186"/>
      <c r="H338" s="186"/>
      <c r="I338" s="186"/>
      <c r="J338" s="186"/>
      <c r="K338" s="367" t="s">
        <v>63</v>
      </c>
      <c r="L338" s="186"/>
      <c r="M338" s="186"/>
      <c r="N338" s="374">
        <f>SUM(Q338:BU338)</f>
        <v>137781.49206140466</v>
      </c>
      <c r="O338" s="186"/>
      <c r="P338" s="186"/>
      <c r="Q338" s="373"/>
      <c r="R338" s="374">
        <f>(R329 * (R$335) + R330 * ($L336))*Oper!R12</f>
        <v>0</v>
      </c>
      <c r="S338" s="374">
        <f>(S329 * (S$335) + S330 * ($L336))*Oper!S12</f>
        <v>0</v>
      </c>
      <c r="T338" s="374">
        <f>(T329 * (T$335) + T330 * ($L336))*Oper!T12</f>
        <v>2325.8080011392594</v>
      </c>
      <c r="U338" s="374">
        <f>(U329 * (U$335) + U330 * ($L336))*Oper!U12</f>
        <v>3429.7618073589606</v>
      </c>
      <c r="V338" s="374">
        <f>(V329 * (V$335) + V330 * ($L336))*Oper!V12</f>
        <v>774.39759591911866</v>
      </c>
      <c r="W338" s="374">
        <f>(W329 * (W$335) + W330 * ($L336))*Oper!W12</f>
        <v>915.62850371645959</v>
      </c>
      <c r="X338" s="374">
        <f>(X329 * (X$335) + X330 * ($L336))*Oper!X12</f>
        <v>1059.6041848175935</v>
      </c>
      <c r="Y338" s="374">
        <f>(Y329 * (Y$335) + Y330 * ($L336))*Oper!Y12</f>
        <v>1199.8675470727849</v>
      </c>
      <c r="Z338" s="374">
        <f>(Z329 * (Z$335) + Z330 * ($L336))*Oper!Z12</f>
        <v>1261.9040429562749</v>
      </c>
      <c r="AA338" s="374">
        <f>(AA329 * (AA$335) + AA330 * ($L336))*Oper!AA12</f>
        <v>1372.9926844772549</v>
      </c>
      <c r="AB338" s="374">
        <f>(AB329 * (AB$335) + AB330 * ($L336))*Oper!AB12</f>
        <v>1437.3815125719377</v>
      </c>
      <c r="AC338" s="374">
        <f>(AC329 * (AC$335) + AC330 * ($L336))*Oper!AC12</f>
        <v>1517.1554068655144</v>
      </c>
      <c r="AD338" s="374">
        <f>(AD329 * (AD$335) + AD330 * ($L336))*Oper!AD12</f>
        <v>1549.6756623793297</v>
      </c>
      <c r="AE338" s="374">
        <f>(AE329 * (AE$335) + AE330 * ($L336))*Oper!AE12</f>
        <v>1649.4039332710845</v>
      </c>
      <c r="AF338" s="374">
        <f>(AF329 * (AF$335) + AF330 * ($L336))*Oper!AF12</f>
        <v>1839.7032900330651</v>
      </c>
      <c r="AG338" s="374">
        <f>(AG329 * (AG$335) + AG330 * ($L336))*Oper!AG12</f>
        <v>2043.7156450657749</v>
      </c>
      <c r="AH338" s="374">
        <f>(AH329 * (AH$335) + AH330 * ($L336))*Oper!AH12</f>
        <v>2287.6867753992633</v>
      </c>
      <c r="AI338" s="374">
        <f>(AI329 * (AI$335) + AI330 * ($L336))*Oper!AI12</f>
        <v>2537.1549414109127</v>
      </c>
      <c r="AJ338" s="374">
        <f>(AJ329 * (AJ$335) + AJ330 * ($L336))*Oper!AJ12</f>
        <v>2699.684536265484</v>
      </c>
      <c r="AK338" s="374">
        <f>(AK329 * (AK$335) + AK330 * ($L336))*Oper!AK12</f>
        <v>2720.668882567672</v>
      </c>
      <c r="AL338" s="374">
        <f>(AL329 * (AL$335) + AL330 * ($L336))*Oper!AL12</f>
        <v>2387.2904493471983</v>
      </c>
      <c r="AM338" s="374">
        <f>(AM329 * (AM$335) + AM330 * ($L336))*Oper!AM12</f>
        <v>2233.4163248191621</v>
      </c>
      <c r="AN338" s="374">
        <f>(AN329 * (AN$335) + AN330 * ($L336))*Oper!AN12</f>
        <v>2312.3041861361889</v>
      </c>
      <c r="AO338" s="374">
        <f>(AO329 * (AO$335) + AO330 * ($L336))*Oper!AO12</f>
        <v>2210.1576130987041</v>
      </c>
      <c r="AP338" s="374">
        <f>(AP329 * (AP$335) + AP330 * ($L336))*Oper!AP12</f>
        <v>2842.5030935110985</v>
      </c>
      <c r="AQ338" s="374">
        <f>(AQ329 * (AQ$335) + AQ330 * ($L336))*Oper!AQ12</f>
        <v>2870.7061206418516</v>
      </c>
      <c r="AR338" s="374">
        <f>(AR329 * (AR$335) + AR330 * ($L336))*Oper!AR12</f>
        <v>2917.3125589722508</v>
      </c>
      <c r="AS338" s="374">
        <f>(AS329 * (AS$335) + AS330 * ($L336))*Oper!AS12</f>
        <v>2975.5716816462277</v>
      </c>
      <c r="AT338" s="374">
        <f>(AT329 * (AT$335) + AT330 * ($L336))*Oper!AT12</f>
        <v>3128.2135549458949</v>
      </c>
      <c r="AU338" s="374">
        <f>(AU329 * (AU$335) + AU330 * ($L336))*Oper!AU12</f>
        <v>4806.8243609813053</v>
      </c>
      <c r="AV338" s="374">
        <f>(AV329 * (AV$335) + AV330 * ($L336))*Oper!AV12</f>
        <v>6162.4710400346012</v>
      </c>
      <c r="AW338" s="374">
        <f>(AW329 * (AW$335) + AW330 * ($L336))*Oper!AW12</f>
        <v>6081.7002779799732</v>
      </c>
      <c r="AX338" s="374">
        <f>(AX329 * (AX$335) + AX330 * ($L336))*Oper!AX12</f>
        <v>6078.834170890882</v>
      </c>
      <c r="AY338" s="374">
        <f>(AY329 * (AY$335) + AY330 * ($L336))*Oper!AY12</f>
        <v>6266.1808234098453</v>
      </c>
      <c r="AZ338" s="374">
        <f>(AZ329 * (AZ$335) + AZ330 * ($L336))*Oper!AZ12</f>
        <v>6515.3175489798969</v>
      </c>
      <c r="BA338" s="374">
        <f>(BA329 * (BA$335) + BA330 * ($L336))*Oper!BA12</f>
        <v>6616.985182799006</v>
      </c>
      <c r="BB338" s="374">
        <f>(BB329 * (BB$335) + BB330 * ($L336))*Oper!BB12</f>
        <v>6727.2053946731412</v>
      </c>
      <c r="BC338" s="374">
        <f>(BC329 * (BC$335) + BC330 * ($L336))*Oper!BC12</f>
        <v>6858.9630608143661</v>
      </c>
      <c r="BD338" s="374">
        <f>(BD329 * (BD$335) + BD330 * ($L336))*Oper!BD12</f>
        <v>7014.1634703119753</v>
      </c>
      <c r="BE338" s="374">
        <f>(BE329 * (BE$335) + BE330 * ($L336))*Oper!BE12</f>
        <v>4590.8641929796322</v>
      </c>
      <c r="BF338" s="374">
        <f>(BF329 * (BF$335) + BF330 * ($L336))*Oper!BF12</f>
        <v>4310.9640023220454</v>
      </c>
      <c r="BG338" s="374">
        <f>(BG329 * (BG$335) + BG330 * ($L336))*Oper!BG12</f>
        <v>3628.0727176368496</v>
      </c>
      <c r="BH338" s="374">
        <f>(BH329 * (BH$335) + BH330 * ($L336))*Oper!BH12</f>
        <v>2873.1652279384953</v>
      </c>
      <c r="BI338" s="374">
        <f>(BI329 * (BI$335) + BI330 * ($L336))*Oper!BI12</f>
        <v>2024.894577768536</v>
      </c>
      <c r="BJ338" s="374">
        <f>(BJ329 * (BJ$335) + BJ330 * ($L336))*Oper!BJ12</f>
        <v>725.21547547773264</v>
      </c>
      <c r="BK338" s="374">
        <f>(BK329 * (BK$335) + BK330 * ($L336))*Oper!BK12</f>
        <v>0</v>
      </c>
      <c r="BL338" s="374">
        <f>(BL329 * (BL$335) + BL330 * ($L336))*Oper!BL12</f>
        <v>0</v>
      </c>
      <c r="BM338" s="374">
        <f>(BM329 * (BM$335) + BM330 * ($L336))*Oper!BM12</f>
        <v>0</v>
      </c>
      <c r="BN338" s="374">
        <f>(BN329 * (BN$335) + BN330 * ($L336))*Oper!BN12</f>
        <v>0</v>
      </c>
      <c r="BO338" s="374">
        <f>(BO329 * (BO$335) + BO330 * ($L336))*Oper!BO12</f>
        <v>0</v>
      </c>
      <c r="BP338" s="374">
        <f>(BP329 * (BP$335) + BP330 * ($L336))*Oper!BP12</f>
        <v>0</v>
      </c>
      <c r="BQ338" s="374">
        <f>(BQ329 * (BQ$335) + BQ330 * ($L336))*Oper!BQ12</f>
        <v>0</v>
      </c>
      <c r="BR338" s="374">
        <f>(BR329 * (BR$335) + BR330 * ($L336))*Oper!BR12</f>
        <v>0</v>
      </c>
      <c r="BS338" s="374">
        <f>(BS329 * (BS$335) + BS330 * ($L336))*Oper!BS12</f>
        <v>0</v>
      </c>
      <c r="BT338" s="374">
        <f>(BT329 * (BT$335) + BT330 * ($L336))*Oper!BT12</f>
        <v>0</v>
      </c>
      <c r="BU338" s="374">
        <f>(BU329 * (BU$335) + BU330 * ($L336))*Oper!BU12</f>
        <v>0</v>
      </c>
    </row>
    <row r="339" spans="1:74" x14ac:dyDescent="0.2">
      <c r="A339" s="186"/>
      <c r="B339" s="465"/>
      <c r="C339" s="186" t="s">
        <v>335</v>
      </c>
      <c r="D339" s="186"/>
      <c r="E339" s="186"/>
      <c r="F339" s="186"/>
      <c r="G339" s="186"/>
      <c r="H339" s="186"/>
      <c r="I339" s="186"/>
      <c r="J339" s="186"/>
      <c r="K339" s="367" t="s">
        <v>63</v>
      </c>
      <c r="L339" s="186"/>
      <c r="M339" s="186"/>
      <c r="N339" s="374">
        <f>SUM(Q339:BU339)</f>
        <v>176129.34152519397</v>
      </c>
      <c r="O339" s="186"/>
      <c r="P339" s="186"/>
      <c r="Q339" s="373"/>
      <c r="R339" s="374">
        <f t="shared" ref="R339" si="489">R332*R333*50%</f>
        <v>0</v>
      </c>
      <c r="S339" s="374">
        <f t="shared" ref="S339:BJ339" si="490">S332*S333*50%</f>
        <v>0</v>
      </c>
      <c r="T339" s="374">
        <f t="shared" si="490"/>
        <v>366.2771736571936</v>
      </c>
      <c r="U339" s="374">
        <f t="shared" si="490"/>
        <v>457.71148821530409</v>
      </c>
      <c r="V339" s="374">
        <f t="shared" si="490"/>
        <v>594.5437747690429</v>
      </c>
      <c r="W339" s="374">
        <f t="shared" si="490"/>
        <v>669.54613404565862</v>
      </c>
      <c r="X339" s="374">
        <f t="shared" si="490"/>
        <v>766.5418460995736</v>
      </c>
      <c r="Y339" s="374">
        <f t="shared" si="490"/>
        <v>891.1634113353432</v>
      </c>
      <c r="Z339" s="374">
        <f t="shared" si="490"/>
        <v>972.9572186664351</v>
      </c>
      <c r="AA339" s="374">
        <f t="shared" si="490"/>
        <v>1110.3542611957866</v>
      </c>
      <c r="AB339" s="374">
        <f t="shared" si="490"/>
        <v>1264.2673125779636</v>
      </c>
      <c r="AC339" s="374">
        <f t="shared" si="490"/>
        <v>1436.8512534120014</v>
      </c>
      <c r="AD339" s="374">
        <f t="shared" si="490"/>
        <v>1556.2324779025753</v>
      </c>
      <c r="AE339" s="374">
        <f t="shared" si="490"/>
        <v>1707.4442431141313</v>
      </c>
      <c r="AF339" s="374">
        <f t="shared" si="490"/>
        <v>1894.7644736500033</v>
      </c>
      <c r="AG339" s="374">
        <f t="shared" si="490"/>
        <v>1987.8935478044398</v>
      </c>
      <c r="AH339" s="374">
        <f t="shared" si="490"/>
        <v>2120.3110094627864</v>
      </c>
      <c r="AI339" s="374">
        <f t="shared" si="490"/>
        <v>2297.8287831231955</v>
      </c>
      <c r="AJ339" s="374">
        <f t="shared" si="490"/>
        <v>2483.6128550790618</v>
      </c>
      <c r="AK339" s="374">
        <f t="shared" si="490"/>
        <v>2677.0715003852188</v>
      </c>
      <c r="AL339" s="374">
        <f t="shared" si="490"/>
        <v>2764.9105260424467</v>
      </c>
      <c r="AM339" s="374">
        <f t="shared" si="490"/>
        <v>2919.9520571270932</v>
      </c>
      <c r="AN339" s="374">
        <f t="shared" si="490"/>
        <v>3267.1124180200777</v>
      </c>
      <c r="AO339" s="374">
        <f t="shared" si="490"/>
        <v>3394.2110758793742</v>
      </c>
      <c r="AP339" s="374">
        <f t="shared" si="490"/>
        <v>3655.5891915544771</v>
      </c>
      <c r="AQ339" s="374">
        <f t="shared" si="490"/>
        <v>3823.0842592601061</v>
      </c>
      <c r="AR339" s="374">
        <f t="shared" si="490"/>
        <v>4036.249218247724</v>
      </c>
      <c r="AS339" s="374">
        <f t="shared" si="490"/>
        <v>4298.3914942894808</v>
      </c>
      <c r="AT339" s="374">
        <f t="shared" si="490"/>
        <v>4575.422028183978</v>
      </c>
      <c r="AU339" s="374">
        <f t="shared" si="490"/>
        <v>4868.1484736205866</v>
      </c>
      <c r="AV339" s="374">
        <f t="shared" si="490"/>
        <v>5033.5251788652404</v>
      </c>
      <c r="AW339" s="374">
        <f t="shared" si="490"/>
        <v>5272.6251108232873</v>
      </c>
      <c r="AX339" s="374">
        <f t="shared" si="490"/>
        <v>5587.1097050462677</v>
      </c>
      <c r="AY339" s="374">
        <f t="shared" si="490"/>
        <v>5919.4153003088368</v>
      </c>
      <c r="AZ339" s="374">
        <f t="shared" si="490"/>
        <v>6269.8505962187692</v>
      </c>
      <c r="BA339" s="374">
        <f t="shared" si="490"/>
        <v>6648.6529827294198</v>
      </c>
      <c r="BB339" s="374">
        <f t="shared" si="490"/>
        <v>7048.8291585016095</v>
      </c>
      <c r="BC339" s="374">
        <f t="shared" si="490"/>
        <v>7471.6667568628845</v>
      </c>
      <c r="BD339" s="374">
        <f t="shared" si="490"/>
        <v>7918.5501455367285</v>
      </c>
      <c r="BE339" s="374">
        <f t="shared" si="490"/>
        <v>8390.752050827854</v>
      </c>
      <c r="BF339" s="374">
        <f t="shared" si="490"/>
        <v>8955.1105794046707</v>
      </c>
      <c r="BG339" s="374">
        <f t="shared" si="490"/>
        <v>9581.5472146867796</v>
      </c>
      <c r="BH339" s="374">
        <f t="shared" si="490"/>
        <v>10275.809136462984</v>
      </c>
      <c r="BI339" s="374">
        <f t="shared" si="490"/>
        <v>11018.105200301387</v>
      </c>
      <c r="BJ339" s="374">
        <f t="shared" si="490"/>
        <v>7879.34890189619</v>
      </c>
      <c r="BK339" s="374">
        <f t="shared" ref="BK339:BU339" si="491">BK332*BK333*50%</f>
        <v>0</v>
      </c>
      <c r="BL339" s="374">
        <f t="shared" si="491"/>
        <v>0</v>
      </c>
      <c r="BM339" s="374">
        <f t="shared" si="491"/>
        <v>0</v>
      </c>
      <c r="BN339" s="374">
        <f t="shared" si="491"/>
        <v>0</v>
      </c>
      <c r="BO339" s="374">
        <f t="shared" si="491"/>
        <v>0</v>
      </c>
      <c r="BP339" s="374">
        <f t="shared" si="491"/>
        <v>0</v>
      </c>
      <c r="BQ339" s="374">
        <f t="shared" si="491"/>
        <v>0</v>
      </c>
      <c r="BR339" s="374">
        <f t="shared" si="491"/>
        <v>0</v>
      </c>
      <c r="BS339" s="374">
        <f t="shared" si="491"/>
        <v>0</v>
      </c>
      <c r="BT339" s="374">
        <f t="shared" si="491"/>
        <v>0</v>
      </c>
      <c r="BU339" s="374">
        <f t="shared" si="491"/>
        <v>0</v>
      </c>
    </row>
    <row r="340" spans="1:74" x14ac:dyDescent="0.2">
      <c r="A340" s="409"/>
      <c r="B340" s="389"/>
      <c r="C340" s="466" t="s">
        <v>255</v>
      </c>
      <c r="D340" s="467"/>
      <c r="E340" s="467"/>
      <c r="F340" s="467"/>
      <c r="G340" s="467"/>
      <c r="H340" s="467"/>
      <c r="I340" s="467"/>
      <c r="J340" s="467"/>
      <c r="K340" s="632" t="s">
        <v>63</v>
      </c>
      <c r="L340" s="467"/>
      <c r="M340" s="467"/>
      <c r="N340" s="468">
        <f>SUM(Q340:BU340)</f>
        <v>313910.83358659851</v>
      </c>
      <c r="O340" s="469"/>
      <c r="P340" s="469"/>
      <c r="Q340" s="468"/>
      <c r="R340" s="468">
        <f t="shared" ref="R340" si="492">SUM(R338:R339)</f>
        <v>0</v>
      </c>
      <c r="S340" s="468">
        <f t="shared" ref="S340:BJ340" si="493">SUM(S338:S339)</f>
        <v>0</v>
      </c>
      <c r="T340" s="468">
        <f t="shared" si="493"/>
        <v>2692.085174796453</v>
      </c>
      <c r="U340" s="468">
        <f t="shared" si="493"/>
        <v>3887.4732955742647</v>
      </c>
      <c r="V340" s="468">
        <f t="shared" si="493"/>
        <v>1368.9413706881614</v>
      </c>
      <c r="W340" s="468">
        <f t="shared" si="493"/>
        <v>1585.1746377621182</v>
      </c>
      <c r="X340" s="468">
        <f t="shared" si="493"/>
        <v>1826.1460309171671</v>
      </c>
      <c r="Y340" s="468">
        <f t="shared" si="493"/>
        <v>2091.0309584081278</v>
      </c>
      <c r="Z340" s="468">
        <f t="shared" si="493"/>
        <v>2234.8612616227101</v>
      </c>
      <c r="AA340" s="468">
        <f t="shared" si="493"/>
        <v>2483.3469456730418</v>
      </c>
      <c r="AB340" s="468">
        <f t="shared" si="493"/>
        <v>2701.6488251499013</v>
      </c>
      <c r="AC340" s="468">
        <f t="shared" si="493"/>
        <v>2954.0066602775159</v>
      </c>
      <c r="AD340" s="468">
        <f t="shared" si="493"/>
        <v>3105.9081402819047</v>
      </c>
      <c r="AE340" s="468">
        <f t="shared" si="493"/>
        <v>3356.848176385216</v>
      </c>
      <c r="AF340" s="468">
        <f t="shared" si="493"/>
        <v>3734.4677636830684</v>
      </c>
      <c r="AG340" s="468">
        <f t="shared" si="493"/>
        <v>4031.6091928702144</v>
      </c>
      <c r="AH340" s="468">
        <f t="shared" si="493"/>
        <v>4407.9977848620492</v>
      </c>
      <c r="AI340" s="468">
        <f t="shared" si="493"/>
        <v>4834.9837245341078</v>
      </c>
      <c r="AJ340" s="468">
        <f t="shared" si="493"/>
        <v>5183.2973913445458</v>
      </c>
      <c r="AK340" s="468">
        <f t="shared" si="493"/>
        <v>5397.7403829528903</v>
      </c>
      <c r="AL340" s="468">
        <f t="shared" si="493"/>
        <v>5152.2009753896455</v>
      </c>
      <c r="AM340" s="468">
        <f t="shared" si="493"/>
        <v>5153.3683819462549</v>
      </c>
      <c r="AN340" s="468">
        <f t="shared" si="493"/>
        <v>5579.4166041562667</v>
      </c>
      <c r="AO340" s="468">
        <f t="shared" si="493"/>
        <v>5604.3686889780784</v>
      </c>
      <c r="AP340" s="468">
        <f t="shared" si="493"/>
        <v>6498.0922850655752</v>
      </c>
      <c r="AQ340" s="468">
        <f t="shared" si="493"/>
        <v>6693.7903799019577</v>
      </c>
      <c r="AR340" s="468">
        <f t="shared" si="493"/>
        <v>6953.5617772199748</v>
      </c>
      <c r="AS340" s="468">
        <f t="shared" si="493"/>
        <v>7273.9631759357089</v>
      </c>
      <c r="AT340" s="468">
        <f t="shared" si="493"/>
        <v>7703.6355831298733</v>
      </c>
      <c r="AU340" s="468">
        <f t="shared" si="493"/>
        <v>9674.9728346018928</v>
      </c>
      <c r="AV340" s="468">
        <f t="shared" si="493"/>
        <v>11195.996218899842</v>
      </c>
      <c r="AW340" s="468">
        <f t="shared" si="493"/>
        <v>11354.32538880326</v>
      </c>
      <c r="AX340" s="468">
        <f t="shared" si="493"/>
        <v>11665.94387593715</v>
      </c>
      <c r="AY340" s="468">
        <f t="shared" si="493"/>
        <v>12185.596123718682</v>
      </c>
      <c r="AZ340" s="468">
        <f t="shared" si="493"/>
        <v>12785.168145198666</v>
      </c>
      <c r="BA340" s="468">
        <f t="shared" si="493"/>
        <v>13265.638165528426</v>
      </c>
      <c r="BB340" s="468">
        <f t="shared" si="493"/>
        <v>13776.034553174752</v>
      </c>
      <c r="BC340" s="468">
        <f t="shared" si="493"/>
        <v>14330.629817677251</v>
      </c>
      <c r="BD340" s="468">
        <f t="shared" si="493"/>
        <v>14932.713615848705</v>
      </c>
      <c r="BE340" s="468">
        <f t="shared" si="493"/>
        <v>12981.616243807486</v>
      </c>
      <c r="BF340" s="468">
        <f t="shared" si="493"/>
        <v>13266.074581726716</v>
      </c>
      <c r="BG340" s="468">
        <f t="shared" si="493"/>
        <v>13209.619932323629</v>
      </c>
      <c r="BH340" s="468">
        <f t="shared" si="493"/>
        <v>13148.974364401478</v>
      </c>
      <c r="BI340" s="468">
        <f t="shared" si="493"/>
        <v>13042.999778069923</v>
      </c>
      <c r="BJ340" s="468">
        <f t="shared" si="493"/>
        <v>8604.564377373923</v>
      </c>
      <c r="BK340" s="425">
        <f t="shared" ref="BK340:BU340" si="494">SUM(BK338:BK339)</f>
        <v>0</v>
      </c>
      <c r="BL340" s="425">
        <f t="shared" si="494"/>
        <v>0</v>
      </c>
      <c r="BM340" s="425">
        <f t="shared" si="494"/>
        <v>0</v>
      </c>
      <c r="BN340" s="425">
        <f t="shared" si="494"/>
        <v>0</v>
      </c>
      <c r="BO340" s="425">
        <f t="shared" si="494"/>
        <v>0</v>
      </c>
      <c r="BP340" s="425">
        <f t="shared" si="494"/>
        <v>0</v>
      </c>
      <c r="BQ340" s="425">
        <f t="shared" si="494"/>
        <v>0</v>
      </c>
      <c r="BR340" s="425">
        <f t="shared" si="494"/>
        <v>0</v>
      </c>
      <c r="BS340" s="425">
        <f t="shared" si="494"/>
        <v>0</v>
      </c>
      <c r="BT340" s="425">
        <f t="shared" si="494"/>
        <v>0</v>
      </c>
      <c r="BU340" s="425">
        <f t="shared" si="494"/>
        <v>0</v>
      </c>
    </row>
    <row r="341" spans="1:74" x14ac:dyDescent="0.2">
      <c r="A341" s="409"/>
      <c r="B341" s="389"/>
      <c r="C341" s="187"/>
      <c r="D341" s="210"/>
      <c r="E341" s="210"/>
      <c r="F341" s="210"/>
      <c r="G341" s="210"/>
      <c r="H341" s="210"/>
      <c r="I341" s="210"/>
      <c r="J341" s="210"/>
      <c r="K341" s="622"/>
      <c r="L341" s="210"/>
      <c r="M341" s="210"/>
      <c r="N341" s="425"/>
      <c r="O341" s="409"/>
      <c r="P341" s="409"/>
      <c r="Q341" s="425"/>
      <c r="R341" s="425"/>
      <c r="S341" s="425"/>
      <c r="T341" s="425"/>
      <c r="U341" s="425"/>
      <c r="V341" s="425"/>
      <c r="W341" s="425"/>
      <c r="X341" s="425"/>
      <c r="Y341" s="425"/>
      <c r="Z341" s="425"/>
      <c r="AA341" s="425"/>
      <c r="AB341" s="425"/>
      <c r="AC341" s="425"/>
      <c r="AD341" s="425"/>
      <c r="AE341" s="425"/>
      <c r="AF341" s="425"/>
      <c r="AG341" s="425"/>
      <c r="AH341" s="425"/>
      <c r="AI341" s="425"/>
      <c r="AJ341" s="425"/>
      <c r="AK341" s="425"/>
      <c r="AL341" s="425"/>
      <c r="AM341" s="425"/>
      <c r="AN341" s="425"/>
      <c r="AO341" s="425"/>
      <c r="AP341" s="425"/>
      <c r="AQ341" s="425"/>
      <c r="AR341" s="425"/>
      <c r="AS341" s="425"/>
      <c r="AT341" s="425"/>
      <c r="AU341" s="425"/>
      <c r="AV341" s="425"/>
      <c r="AW341" s="425"/>
      <c r="AX341" s="425"/>
      <c r="AY341" s="425"/>
      <c r="AZ341" s="425"/>
      <c r="BA341" s="425"/>
      <c r="BB341" s="425"/>
      <c r="BC341" s="425"/>
      <c r="BD341" s="425"/>
      <c r="BE341" s="425"/>
      <c r="BF341" s="425"/>
      <c r="BG341" s="425"/>
      <c r="BH341" s="425"/>
      <c r="BI341" s="425"/>
      <c r="BJ341" s="425"/>
      <c r="BK341" s="425"/>
      <c r="BL341" s="425"/>
      <c r="BM341" s="425"/>
      <c r="BN341" s="425"/>
      <c r="BO341" s="425"/>
      <c r="BP341" s="425"/>
      <c r="BQ341" s="425"/>
      <c r="BR341" s="425"/>
      <c r="BS341" s="425"/>
      <c r="BT341" s="425"/>
      <c r="BU341" s="425"/>
    </row>
    <row r="342" spans="1:74" ht="15.75" x14ac:dyDescent="0.25">
      <c r="A342" s="375"/>
      <c r="B342" s="375" t="s">
        <v>207</v>
      </c>
      <c r="C342" s="375"/>
      <c r="D342" s="375"/>
      <c r="E342" s="375"/>
      <c r="F342" s="375"/>
      <c r="G342" s="375"/>
      <c r="H342" s="375"/>
      <c r="I342" s="375"/>
      <c r="J342" s="375"/>
      <c r="K342" s="615"/>
      <c r="L342" s="375"/>
      <c r="M342" s="375"/>
      <c r="N342" s="375"/>
      <c r="O342" s="376"/>
      <c r="P342" s="377"/>
      <c r="Q342" s="377"/>
      <c r="R342" s="377"/>
      <c r="S342" s="377"/>
      <c r="T342" s="377"/>
      <c r="U342" s="377"/>
      <c r="V342" s="377"/>
      <c r="W342" s="377"/>
      <c r="X342" s="377"/>
      <c r="Y342" s="377"/>
      <c r="Z342" s="377"/>
      <c r="AA342" s="377"/>
      <c r="AB342" s="377"/>
      <c r="AC342" s="377"/>
      <c r="AD342" s="377"/>
      <c r="AE342" s="377"/>
      <c r="AF342" s="377"/>
      <c r="AG342" s="377"/>
      <c r="AH342" s="377"/>
      <c r="AI342" s="377"/>
      <c r="AJ342" s="377"/>
      <c r="AK342" s="377"/>
      <c r="AL342" s="377"/>
      <c r="AM342" s="377"/>
      <c r="AN342" s="377"/>
      <c r="AO342" s="377"/>
      <c r="AP342" s="377"/>
      <c r="AQ342" s="377"/>
      <c r="AR342" s="377"/>
      <c r="AS342" s="377"/>
      <c r="AT342" s="377"/>
      <c r="AU342" s="377"/>
      <c r="AV342" s="377"/>
      <c r="AW342" s="377"/>
      <c r="AX342" s="377"/>
      <c r="AY342" s="377"/>
      <c r="AZ342" s="377"/>
      <c r="BA342" s="377"/>
      <c r="BB342" s="377"/>
      <c r="BC342" s="377"/>
      <c r="BD342" s="377"/>
      <c r="BE342" s="377"/>
      <c r="BF342" s="377"/>
      <c r="BG342" s="377"/>
      <c r="BH342" s="377"/>
      <c r="BI342" s="377"/>
      <c r="BJ342" s="378"/>
      <c r="BK342" s="377"/>
      <c r="BL342" s="377"/>
      <c r="BM342" s="377"/>
      <c r="BN342" s="377"/>
      <c r="BO342" s="377"/>
      <c r="BP342" s="377"/>
      <c r="BQ342" s="377"/>
      <c r="BR342" s="377"/>
      <c r="BS342" s="377"/>
      <c r="BT342" s="377"/>
      <c r="BU342" s="377"/>
    </row>
    <row r="343" spans="1:74" x14ac:dyDescent="0.2">
      <c r="A343" s="186"/>
      <c r="B343" s="186"/>
      <c r="C343" s="186"/>
      <c r="D343" s="186"/>
      <c r="E343" s="186"/>
      <c r="F343" s="186"/>
      <c r="G343" s="186"/>
      <c r="H343" s="186"/>
      <c r="I343" s="186"/>
      <c r="J343" s="186"/>
      <c r="K343" s="367"/>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row>
    <row r="344" spans="1:74" x14ac:dyDescent="0.2">
      <c r="A344" s="186"/>
      <c r="B344" s="186"/>
      <c r="C344" s="387" t="s">
        <v>279</v>
      </c>
      <c r="D344" s="186"/>
      <c r="E344" s="186"/>
      <c r="F344" s="186"/>
      <c r="G344" s="186"/>
      <c r="H344" s="186"/>
      <c r="I344" s="186"/>
      <c r="J344" s="186"/>
      <c r="K344" s="367" t="s">
        <v>63</v>
      </c>
      <c r="L344" s="370"/>
      <c r="M344" s="186"/>
      <c r="N344" s="374">
        <f>SUM(Q344:BU344)</f>
        <v>38515255.610091619</v>
      </c>
      <c r="O344" s="186"/>
      <c r="P344" s="186"/>
      <c r="Q344" s="374"/>
      <c r="R344" s="374"/>
      <c r="S344" s="374">
        <f>+Acc!S16</f>
        <v>118385.88824258334</v>
      </c>
      <c r="T344" s="374">
        <f>+Acc!T16</f>
        <v>135523.30071911303</v>
      </c>
      <c r="U344" s="374">
        <f>+Acc!U16</f>
        <v>155007.90602940397</v>
      </c>
      <c r="V344" s="374">
        <f>+Acc!V16</f>
        <v>177172.65595104065</v>
      </c>
      <c r="W344" s="374">
        <f>+Acc!W16</f>
        <v>190618.33383550725</v>
      </c>
      <c r="X344" s="374">
        <f>+Acc!X16</f>
        <v>205083.20401391943</v>
      </c>
      <c r="Y344" s="374">
        <f>+Acc!Y16</f>
        <v>220644.46141165117</v>
      </c>
      <c r="Z344" s="374">
        <f>+Acc!Z16</f>
        <v>237385.14474138763</v>
      </c>
      <c r="AA344" s="374">
        <f>+Acc!AA16</f>
        <v>255394.57873366229</v>
      </c>
      <c r="AB344" s="374">
        <f>+Acc!AB16</f>
        <v>276228.42658277228</v>
      </c>
      <c r="AC344" s="374">
        <f>+Acc!AC16</f>
        <v>298758.97588646598</v>
      </c>
      <c r="AD344" s="374">
        <f>+Acc!AD16</f>
        <v>323124.27256532089</v>
      </c>
      <c r="AE344" s="374">
        <f>+Acc!AE16</f>
        <v>349473.58787748212</v>
      </c>
      <c r="AF344" s="374">
        <f>+Acc!AF16</f>
        <v>377968.33092216315</v>
      </c>
      <c r="AG344" s="374">
        <f>+Acc!AG16</f>
        <v>404274.70615933061</v>
      </c>
      <c r="AH344" s="374">
        <f>+Acc!AH16</f>
        <v>432135.8195189283</v>
      </c>
      <c r="AI344" s="374">
        <f>+Acc!AI16</f>
        <v>461537.30685369787</v>
      </c>
      <c r="AJ344" s="374">
        <f>+Acc!AJ16</f>
        <v>492416.79754232417</v>
      </c>
      <c r="AK344" s="374">
        <f>+Acc!AK16</f>
        <v>524642.9923395334</v>
      </c>
      <c r="AL344" s="374">
        <f>+Acc!AL16</f>
        <v>562789.32042620645</v>
      </c>
      <c r="AM344" s="374">
        <f>+Acc!AM16</f>
        <v>603709.23429929616</v>
      </c>
      <c r="AN344" s="374">
        <f>+Acc!AN16</f>
        <v>647604.3989289446</v>
      </c>
      <c r="AO344" s="374">
        <f>+Acc!AO16</f>
        <v>694691.1421669611</v>
      </c>
      <c r="AP344" s="374">
        <f>+Acc!AP16</f>
        <v>745201.52087198477</v>
      </c>
      <c r="AQ344" s="374">
        <f>+Acc!AQ16</f>
        <v>792674.2453344469</v>
      </c>
      <c r="AR344" s="374">
        <f>+Acc!AR16</f>
        <v>843171.19814959902</v>
      </c>
      <c r="AS344" s="374">
        <f>+Acc!AS16</f>
        <v>896885.03641123092</v>
      </c>
      <c r="AT344" s="374">
        <f>+Acc!AT16</f>
        <v>954020.69034579908</v>
      </c>
      <c r="AU344" s="374">
        <f>+Acc!AU16</f>
        <v>1014796.1451667695</v>
      </c>
      <c r="AV344" s="374">
        <f>+Acc!AV16</f>
        <v>1077480.5551897804</v>
      </c>
      <c r="AW344" s="374">
        <f>+Acc!AW16</f>
        <v>1144037.0091485586</v>
      </c>
      <c r="AX344" s="374">
        <f>+Acc!AX16</f>
        <v>1214704.6849221813</v>
      </c>
      <c r="AY344" s="374">
        <f>+Acc!AY16</f>
        <v>1289737.5345138805</v>
      </c>
      <c r="AZ344" s="374">
        <f>+Acc!AZ16</f>
        <v>1369405.1966552755</v>
      </c>
      <c r="BA344" s="374">
        <f>+Acc!BA16</f>
        <v>1455892.2500829627</v>
      </c>
      <c r="BB344" s="374">
        <f>+Acc!BB16</f>
        <v>1547841.5366238826</v>
      </c>
      <c r="BC344" s="374">
        <f>+Acc!BC16</f>
        <v>1645598.032657746</v>
      </c>
      <c r="BD344" s="374">
        <f>+Acc!BD16</f>
        <v>1749528.5021189298</v>
      </c>
      <c r="BE344" s="374">
        <f>+Acc!BE16</f>
        <v>1860022.8725255821</v>
      </c>
      <c r="BF344" s="374">
        <f>+Acc!BF16</f>
        <v>2002219.3388551215</v>
      </c>
      <c r="BG344" s="374">
        <f>+Acc!BG16</f>
        <v>2155286.5505584273</v>
      </c>
      <c r="BH344" s="374">
        <f>+Acc!BH16</f>
        <v>2320055.5627807616</v>
      </c>
      <c r="BI344" s="374">
        <f>+Acc!BI16</f>
        <v>2497420.9638135266</v>
      </c>
      <c r="BJ344" s="374">
        <f>+Acc!BJ16</f>
        <v>1794705.3976174702</v>
      </c>
      <c r="BK344" s="374">
        <f>+Acc!BK16</f>
        <v>0</v>
      </c>
      <c r="BL344" s="374">
        <f>+Acc!BL16</f>
        <v>0</v>
      </c>
      <c r="BM344" s="374">
        <f>+Acc!BM16</f>
        <v>0</v>
      </c>
      <c r="BN344" s="374">
        <f>+Acc!BN16</f>
        <v>0</v>
      </c>
      <c r="BO344" s="374">
        <f>+Acc!BO16</f>
        <v>0</v>
      </c>
      <c r="BP344" s="374">
        <f>+Acc!BP16</f>
        <v>0</v>
      </c>
      <c r="BQ344" s="374">
        <f>+Acc!BQ16</f>
        <v>0</v>
      </c>
      <c r="BR344" s="374">
        <f>+Acc!BR16</f>
        <v>0</v>
      </c>
      <c r="BS344" s="374">
        <f>+Acc!BS16</f>
        <v>0</v>
      </c>
      <c r="BT344" s="374">
        <f>+Acc!BT16</f>
        <v>0</v>
      </c>
      <c r="BU344" s="374">
        <f>+Acc!BU16</f>
        <v>0</v>
      </c>
    </row>
    <row r="345" spans="1:74" x14ac:dyDescent="0.2">
      <c r="A345" s="186"/>
      <c r="B345" s="186"/>
      <c r="C345" s="387" t="s">
        <v>65</v>
      </c>
      <c r="D345" s="186"/>
      <c r="E345" s="186"/>
      <c r="F345" s="186"/>
      <c r="G345" s="186"/>
      <c r="H345" s="186"/>
      <c r="I345" s="186"/>
      <c r="J345" s="186"/>
      <c r="K345" s="367" t="s">
        <v>63</v>
      </c>
      <c r="L345" s="186"/>
      <c r="M345" s="186"/>
      <c r="N345" s="374">
        <f>SUM(Q345:BU345)</f>
        <v>-3046502.9529659953</v>
      </c>
      <c r="O345" s="186"/>
      <c r="P345" s="186"/>
      <c r="Q345" s="374"/>
      <c r="R345" s="374"/>
      <c r="S345" s="374">
        <f>+Acc!S17</f>
        <v>-20866.926728617222</v>
      </c>
      <c r="T345" s="374">
        <f>+Acc!T17</f>
        <v>-22075.289012235549</v>
      </c>
      <c r="U345" s="374">
        <f>+Acc!U17</f>
        <v>-23353.625155802732</v>
      </c>
      <c r="V345" s="374">
        <f>+Acc!V17</f>
        <v>-24705.987206575235</v>
      </c>
      <c r="W345" s="374">
        <f>+Acc!W17</f>
        <v>-25771.393741783409</v>
      </c>
      <c r="X345" s="374">
        <f>+Acc!X17</f>
        <v>-26882.74424497689</v>
      </c>
      <c r="Y345" s="374">
        <f>+Acc!Y17</f>
        <v>-28042.019976946256</v>
      </c>
      <c r="Z345" s="374">
        <f>+Acc!Z17</f>
        <v>-29251.287637213056</v>
      </c>
      <c r="AA345" s="374">
        <f>+Acc!AA17</f>
        <v>-30512.70304843966</v>
      </c>
      <c r="AB345" s="374">
        <f>+Acc!AB17</f>
        <v>-32043.527968003862</v>
      </c>
      <c r="AC345" s="374">
        <f>+Acc!AC17</f>
        <v>-33651.154504607315</v>
      </c>
      <c r="AD345" s="374">
        <f>+Acc!AD17</f>
        <v>-35339.435801940366</v>
      </c>
      <c r="AE345" s="374">
        <f>+Acc!AE17</f>
        <v>-37112.418316241608</v>
      </c>
      <c r="AF345" s="374">
        <f>+Acc!AF17</f>
        <v>-38974.351514804897</v>
      </c>
      <c r="AG345" s="374">
        <f>+Acc!AG17</f>
        <v>-40740.934330237193</v>
      </c>
      <c r="AH345" s="374">
        <f>+Acc!AH17</f>
        <v>-42587.590699750173</v>
      </c>
      <c r="AI345" s="374">
        <f>+Acc!AI17</f>
        <v>-44517.950101683113</v>
      </c>
      <c r="AJ345" s="374">
        <f>+Acc!AJ17</f>
        <v>-46535.806527030727</v>
      </c>
      <c r="AK345" s="374">
        <f>+Acc!AK17</f>
        <v>-48645.125936276221</v>
      </c>
      <c r="AL345" s="374">
        <f>+Acc!AL17</f>
        <v>-51064.989406204753</v>
      </c>
      <c r="AM345" s="374">
        <f>+Acc!AM17</f>
        <v>-53605.229565480651</v>
      </c>
      <c r="AN345" s="374">
        <f>+Acc!AN17</f>
        <v>-56271.834581419265</v>
      </c>
      <c r="AO345" s="374">
        <f>+Acc!AO17</f>
        <v>-59071.090504156869</v>
      </c>
      <c r="AP345" s="374">
        <f>+Acc!AP17</f>
        <v>-62009.596084903082</v>
      </c>
      <c r="AQ345" s="374">
        <f>+Acc!AQ17</f>
        <v>-64710.374384743314</v>
      </c>
      <c r="AR345" s="374">
        <f>+Acc!AR17</f>
        <v>-67528.782920634447</v>
      </c>
      <c r="AS345" s="374">
        <f>+Acc!AS17</f>
        <v>-70469.944983308698</v>
      </c>
      <c r="AT345" s="374">
        <f>+Acc!AT17</f>
        <v>-73539.207004323398</v>
      </c>
      <c r="AU345" s="374">
        <f>+Acc!AU17</f>
        <v>-76742.148274780877</v>
      </c>
      <c r="AV345" s="374">
        <f>+Acc!AV17</f>
        <v>-80199.822342142434</v>
      </c>
      <c r="AW345" s="374">
        <f>+Acc!AW17</f>
        <v>-83813.284463720251</v>
      </c>
      <c r="AX345" s="374">
        <f>+Acc!AX17</f>
        <v>-87589.553785149139</v>
      </c>
      <c r="AY345" s="374">
        <f>+Acc!AY17</f>
        <v>-91535.96570484525</v>
      </c>
      <c r="AZ345" s="374">
        <f>+Acc!AZ17</f>
        <v>-95660.186123008156</v>
      </c>
      <c r="BA345" s="374">
        <f>+Acc!BA17</f>
        <v>-100061.91967675925</v>
      </c>
      <c r="BB345" s="374">
        <f>+Acc!BB17</f>
        <v>-104666.19578309647</v>
      </c>
      <c r="BC345" s="374">
        <f>+Acc!BC17</f>
        <v>-109482.33428955424</v>
      </c>
      <c r="BD345" s="374">
        <f>+Acc!BD17</f>
        <v>-114520.08388964013</v>
      </c>
      <c r="BE345" s="374">
        <f>+Acc!BE17</f>
        <v>-119789.64185586889</v>
      </c>
      <c r="BF345" s="374">
        <f>+Acc!BF17</f>
        <v>-126656.21517427311</v>
      </c>
      <c r="BG345" s="374">
        <f>+Acc!BG17</f>
        <v>-133916.39371936084</v>
      </c>
      <c r="BH345" s="374">
        <f>+Acc!BH17</f>
        <v>-141592.73970190145</v>
      </c>
      <c r="BI345" s="374">
        <f>+Acc!BI17</f>
        <v>-149709.10864210289</v>
      </c>
      <c r="BJ345" s="374">
        <f>+Acc!BJ17</f>
        <v>-240686.03765145168</v>
      </c>
      <c r="BK345" s="374">
        <f>+Acc!BK17</f>
        <v>0</v>
      </c>
      <c r="BL345" s="374">
        <f>+Acc!BL17</f>
        <v>0</v>
      </c>
      <c r="BM345" s="374">
        <f>+Acc!BM17</f>
        <v>0</v>
      </c>
      <c r="BN345" s="374">
        <f>+Acc!BN17</f>
        <v>0</v>
      </c>
      <c r="BO345" s="374">
        <f>+Acc!BO17</f>
        <v>0</v>
      </c>
      <c r="BP345" s="374">
        <f>+Acc!BP17</f>
        <v>0</v>
      </c>
      <c r="BQ345" s="374">
        <f>+Acc!BQ17</f>
        <v>0</v>
      </c>
      <c r="BR345" s="374">
        <f>+Acc!BR17</f>
        <v>0</v>
      </c>
      <c r="BS345" s="374">
        <f>+Acc!BS17</f>
        <v>0</v>
      </c>
      <c r="BT345" s="374">
        <f>+Acc!BT17</f>
        <v>0</v>
      </c>
      <c r="BU345" s="374">
        <f>+Acc!BU17</f>
        <v>0</v>
      </c>
    </row>
    <row r="346" spans="1:74" x14ac:dyDescent="0.2">
      <c r="A346" s="186"/>
      <c r="B346" s="186"/>
      <c r="C346" s="387" t="s">
        <v>274</v>
      </c>
      <c r="D346" s="186"/>
      <c r="E346" s="186"/>
      <c r="F346" s="186"/>
      <c r="G346" s="186"/>
      <c r="H346" s="186"/>
      <c r="I346" s="186"/>
      <c r="J346" s="186"/>
      <c r="K346" s="367" t="s">
        <v>63</v>
      </c>
      <c r="L346" s="186"/>
      <c r="M346" s="186"/>
      <c r="N346" s="374">
        <f>SUM(Q346:BU346)</f>
        <v>-209073.66959467556</v>
      </c>
      <c r="O346" s="186"/>
      <c r="P346" s="186"/>
      <c r="Q346" s="374"/>
      <c r="R346" s="374"/>
      <c r="S346" s="374">
        <f>+CF!S32</f>
        <v>-446</v>
      </c>
      <c r="T346" s="374">
        <f>+CF!T32</f>
        <v>-737.58974504569574</v>
      </c>
      <c r="U346" s="374">
        <f>+CF!U32</f>
        <v>-845.09727037031769</v>
      </c>
      <c r="V346" s="374">
        <f>+CF!V32</f>
        <v>-947.27186232849067</v>
      </c>
      <c r="W346" s="374">
        <f>+CF!W32</f>
        <v>-1019.4985617497009</v>
      </c>
      <c r="X346" s="374">
        <f>+CF!X32</f>
        <v>-1097.2312440403507</v>
      </c>
      <c r="Y346" s="374">
        <f>+CF!Y32</f>
        <v>-1180.8721342435792</v>
      </c>
      <c r="Z346" s="374">
        <f>+CF!Z32</f>
        <v>-1270.0974482756708</v>
      </c>
      <c r="AA346" s="374">
        <f>+CF!AA32</f>
        <v>-1366.5625319919407</v>
      </c>
      <c r="AB346" s="374">
        <f>+CF!AB32</f>
        <v>-1477.6866800817588</v>
      </c>
      <c r="AC346" s="374">
        <f>+CF!AC32</f>
        <v>-1597.9256776029658</v>
      </c>
      <c r="AD346" s="374">
        <f>+CF!AD32</f>
        <v>-1727.2994169124825</v>
      </c>
      <c r="AE346" s="374">
        <f>+CF!AE32</f>
        <v>-1867.6403246759485</v>
      </c>
      <c r="AF346" s="374">
        <f>+CF!AF32</f>
        <v>-2019.9423845308647</v>
      </c>
      <c r="AG346" s="374">
        <f>+CF!AG32</f>
        <v>-2165.5608753220044</v>
      </c>
      <c r="AH346" s="374">
        <f>+CF!AH32</f>
        <v>-2321.9700940118796</v>
      </c>
      <c r="AI346" s="374">
        <f>+CF!AI32</f>
        <v>-2489.7667838205948</v>
      </c>
      <c r="AJ346" s="374">
        <f>+CF!AJ32</f>
        <v>-2669.0732419341457</v>
      </c>
      <c r="AK346" s="374">
        <f>+CF!AK32</f>
        <v>-2860.4583224723983</v>
      </c>
      <c r="AL346" s="374">
        <f>+CF!AL32</f>
        <v>-3065.0901951231494</v>
      </c>
      <c r="AM346" s="374">
        <f>+CF!AM32</f>
        <v>-3285.9896090785355</v>
      </c>
      <c r="AN346" s="374">
        <f>+CF!AN32</f>
        <v>-3525.1806027610319</v>
      </c>
      <c r="AO346" s="374">
        <f>+CF!AO32</f>
        <v>-3779.4945750365664</v>
      </c>
      <c r="AP346" s="374">
        <f>+CF!AP32</f>
        <v>-4056.8510170263103</v>
      </c>
      <c r="AQ346" s="374">
        <f>+CF!AQ32</f>
        <v>-4314.1450040972704</v>
      </c>
      <c r="AR346" s="374">
        <f>+CF!AR32</f>
        <v>-4588.1007215996615</v>
      </c>
      <c r="AS346" s="374">
        <f>+CF!AS32</f>
        <v>-4879.7400909298531</v>
      </c>
      <c r="AT346" s="374">
        <f>+CF!AT32</f>
        <v>-5190.4247287486833</v>
      </c>
      <c r="AU346" s="374">
        <f>+CF!AU32</f>
        <v>-5528.8514273091296</v>
      </c>
      <c r="AV346" s="374">
        <f>+CF!AV32</f>
        <v>-5875.2188723279269</v>
      </c>
      <c r="AW346" s="374">
        <f>+CF!AW32</f>
        <v>-6235.334184088123</v>
      </c>
      <c r="AX346" s="374">
        <f>+CF!AX32</f>
        <v>-6618.4474026856469</v>
      </c>
      <c r="AY346" s="374">
        <f>+CF!AY32</f>
        <v>-7026.2168164658833</v>
      </c>
      <c r="AZ346" s="374">
        <f>+CF!AZ32</f>
        <v>-7459.425386884267</v>
      </c>
      <c r="BA346" s="374">
        <f>+CF!BA32</f>
        <v>-7928.821010847113</v>
      </c>
      <c r="BB346" s="374">
        <f>+CF!BB32</f>
        <v>-8427.8598957397426</v>
      </c>
      <c r="BC346" s="374">
        <f>+CF!BC32</f>
        <v>-8958.4792187224703</v>
      </c>
      <c r="BD346" s="374">
        <f>+CF!BD32</f>
        <v>-9522.6761102401288</v>
      </c>
      <c r="BE346" s="374">
        <f>+CF!BE32</f>
        <v>-10108.901955415566</v>
      </c>
      <c r="BF346" s="374">
        <f>+CF!BF32</f>
        <v>-10877.998262087507</v>
      </c>
      <c r="BG346" s="374">
        <f>+CF!BG32</f>
        <v>-11703.98707545153</v>
      </c>
      <c r="BH346" s="374">
        <f>+CF!BH32</f>
        <v>-12593.122376190302</v>
      </c>
      <c r="BI346" s="374">
        <f>+CF!BI32</f>
        <v>-13550.017342808085</v>
      </c>
      <c r="BJ346" s="374">
        <f>+CF!BJ32</f>
        <v>-9865.7511136003723</v>
      </c>
      <c r="BK346" s="374">
        <f>+CF!BK32</f>
        <v>0</v>
      </c>
      <c r="BL346" s="374">
        <f>+CF!BL32</f>
        <v>0</v>
      </c>
      <c r="BM346" s="374">
        <f>+CF!BM32</f>
        <v>0</v>
      </c>
      <c r="BN346" s="374">
        <f>+CF!BN32</f>
        <v>0</v>
      </c>
      <c r="BO346" s="374">
        <f>+CF!BO32</f>
        <v>0</v>
      </c>
      <c r="BP346" s="374">
        <f>+CF!BP32</f>
        <v>0</v>
      </c>
      <c r="BQ346" s="374">
        <f>+CF!BQ32</f>
        <v>0</v>
      </c>
      <c r="BR346" s="374">
        <f>+CF!BR32</f>
        <v>0</v>
      </c>
      <c r="BS346" s="374">
        <f>+CF!BS32</f>
        <v>0</v>
      </c>
      <c r="BT346" s="374">
        <f>+CF!BT32</f>
        <v>0</v>
      </c>
      <c r="BU346" s="374">
        <f>+CF!BU32</f>
        <v>0</v>
      </c>
    </row>
    <row r="347" spans="1:74" x14ac:dyDescent="0.2">
      <c r="A347" s="186"/>
      <c r="B347" s="186"/>
      <c r="C347" s="387" t="s">
        <v>73</v>
      </c>
      <c r="D347" s="186"/>
      <c r="E347" s="186"/>
      <c r="F347" s="186"/>
      <c r="G347" s="186"/>
      <c r="H347" s="186"/>
      <c r="I347" s="186"/>
      <c r="J347" s="186"/>
      <c r="K347" s="367" t="s">
        <v>63</v>
      </c>
      <c r="L347" s="370"/>
      <c r="M347" s="186"/>
      <c r="N347" s="374">
        <f>SUM(Q347:BU347)</f>
        <v>313910.83358659851</v>
      </c>
      <c r="O347" s="186"/>
      <c r="P347" s="186"/>
      <c r="Q347" s="374"/>
      <c r="R347" s="374"/>
      <c r="S347" s="374">
        <f>+Acc!S28 * S12</f>
        <v>0</v>
      </c>
      <c r="T347" s="374">
        <f>+Acc!T28 * T12</f>
        <v>2692.085174796453</v>
      </c>
      <c r="U347" s="374">
        <f>+Acc!U28 * U12</f>
        <v>3887.4732955742647</v>
      </c>
      <c r="V347" s="374">
        <f>+Acc!V28 * V12</f>
        <v>1368.9413706881614</v>
      </c>
      <c r="W347" s="374">
        <f>+Acc!W28 * W12</f>
        <v>1585.1746377621182</v>
      </c>
      <c r="X347" s="374">
        <f>+Acc!X28 * X12</f>
        <v>1826.1460309171671</v>
      </c>
      <c r="Y347" s="374">
        <f>+Acc!Y28 * Y12</f>
        <v>2091.0309584081278</v>
      </c>
      <c r="Z347" s="374">
        <f>+Acc!Z28 * Z12</f>
        <v>2234.8612616227101</v>
      </c>
      <c r="AA347" s="374">
        <f>+Acc!AA28 * AA12</f>
        <v>2483.3469456730418</v>
      </c>
      <c r="AB347" s="374">
        <f>+Acc!AB28 * AB12</f>
        <v>2701.6488251499013</v>
      </c>
      <c r="AC347" s="374">
        <f>+Acc!AC28 * AC12</f>
        <v>2954.0066602775159</v>
      </c>
      <c r="AD347" s="374">
        <f>+Acc!AD28 * AD12</f>
        <v>3105.9081402819047</v>
      </c>
      <c r="AE347" s="374">
        <f>+Acc!AE28 * AE12</f>
        <v>3356.848176385216</v>
      </c>
      <c r="AF347" s="374">
        <f>+Acc!AF28 * AF12</f>
        <v>3734.4677636830684</v>
      </c>
      <c r="AG347" s="374">
        <f>+Acc!AG28 * AG12</f>
        <v>4031.6091928702144</v>
      </c>
      <c r="AH347" s="374">
        <f>+Acc!AH28 * AH12</f>
        <v>4407.9977848620492</v>
      </c>
      <c r="AI347" s="374">
        <f>+Acc!AI28 * AI12</f>
        <v>4834.9837245341078</v>
      </c>
      <c r="AJ347" s="374">
        <f>+Acc!AJ28 * AJ12</f>
        <v>5183.2973913445458</v>
      </c>
      <c r="AK347" s="374">
        <f>+Acc!AK28 * AK12</f>
        <v>5397.7403829528903</v>
      </c>
      <c r="AL347" s="374">
        <f>+Acc!AL28 * AL12</f>
        <v>5152.2009753896455</v>
      </c>
      <c r="AM347" s="374">
        <f>+Acc!AM28 * AM12</f>
        <v>5153.3683819462549</v>
      </c>
      <c r="AN347" s="374">
        <f>+Acc!AN28 * AN12</f>
        <v>5579.4166041562667</v>
      </c>
      <c r="AO347" s="374">
        <f>+Acc!AO28 * AO12</f>
        <v>5604.3686889780784</v>
      </c>
      <c r="AP347" s="374">
        <f>+Acc!AP28 * AP12</f>
        <v>6498.0922850655752</v>
      </c>
      <c r="AQ347" s="374">
        <f>+Acc!AQ28 * AQ12</f>
        <v>6693.7903799019577</v>
      </c>
      <c r="AR347" s="374">
        <f>+Acc!AR28 * AR12</f>
        <v>6953.5617772199748</v>
      </c>
      <c r="AS347" s="374">
        <f>+Acc!AS28 * AS12</f>
        <v>7273.9631759357089</v>
      </c>
      <c r="AT347" s="374">
        <f>+Acc!AT28 * AT12</f>
        <v>7703.6355831298733</v>
      </c>
      <c r="AU347" s="374">
        <f>+Acc!AU28 * AU12</f>
        <v>9674.9728346018928</v>
      </c>
      <c r="AV347" s="374">
        <f>+Acc!AV28 * AV12</f>
        <v>11195.996218899842</v>
      </c>
      <c r="AW347" s="374">
        <f>+Acc!AW28 * AW12</f>
        <v>11354.32538880326</v>
      </c>
      <c r="AX347" s="374">
        <f>+Acc!AX28 * AX12</f>
        <v>11665.94387593715</v>
      </c>
      <c r="AY347" s="374">
        <f>+Acc!AY28 * AY12</f>
        <v>12185.596123718682</v>
      </c>
      <c r="AZ347" s="374">
        <f>+Acc!AZ28 * AZ12</f>
        <v>12785.168145198666</v>
      </c>
      <c r="BA347" s="374">
        <f>+Acc!BA28 * BA12</f>
        <v>13265.638165528426</v>
      </c>
      <c r="BB347" s="374">
        <f>+Acc!BB28 * BB12</f>
        <v>13776.034553174752</v>
      </c>
      <c r="BC347" s="374">
        <f>+Acc!BC28 * BC12</f>
        <v>14330.629817677251</v>
      </c>
      <c r="BD347" s="374">
        <f>+Acc!BD28 * BD12</f>
        <v>14932.713615848705</v>
      </c>
      <c r="BE347" s="374">
        <f>+Acc!BE28 * BE12</f>
        <v>12981.616243807486</v>
      </c>
      <c r="BF347" s="374">
        <f>+Acc!BF28 * BF12</f>
        <v>13266.074581726716</v>
      </c>
      <c r="BG347" s="374">
        <f>+Acc!BG28 * BG12</f>
        <v>13209.619932323629</v>
      </c>
      <c r="BH347" s="374">
        <f>+Acc!BH28 * BH12</f>
        <v>13148.974364401478</v>
      </c>
      <c r="BI347" s="374">
        <f>+Acc!BI28 * BI12</f>
        <v>13042.999778069923</v>
      </c>
      <c r="BJ347" s="374">
        <f>+Acc!BJ28 * BJ12</f>
        <v>8604.564377373923</v>
      </c>
      <c r="BK347" s="374">
        <f>+Acc!BK28 * BK12</f>
        <v>0</v>
      </c>
      <c r="BL347" s="374">
        <f>+Acc!BL28 * BL12</f>
        <v>0</v>
      </c>
      <c r="BM347" s="374">
        <f>+Acc!BM28 * BM12</f>
        <v>0</v>
      </c>
      <c r="BN347" s="374">
        <f>+Acc!BN28 * BN12</f>
        <v>0</v>
      </c>
      <c r="BO347" s="374">
        <f>+Acc!BO28 * BO12</f>
        <v>0</v>
      </c>
      <c r="BP347" s="374">
        <f>+Acc!BP28 * BP12</f>
        <v>0</v>
      </c>
      <c r="BQ347" s="374">
        <f>+Acc!BQ28 * BQ12</f>
        <v>0</v>
      </c>
      <c r="BR347" s="374">
        <f>+Acc!BR28 * BR12</f>
        <v>0</v>
      </c>
      <c r="BS347" s="374">
        <f>+Acc!BS28 * BS12</f>
        <v>0</v>
      </c>
      <c r="BT347" s="374">
        <f>+Acc!BT28 * BT12</f>
        <v>0</v>
      </c>
      <c r="BU347" s="374">
        <f>+Acc!BU28 * BU12</f>
        <v>0</v>
      </c>
    </row>
    <row r="348" spans="1:74" x14ac:dyDescent="0.2">
      <c r="A348" s="409"/>
      <c r="B348" s="409"/>
      <c r="C348" s="470" t="s">
        <v>208</v>
      </c>
      <c r="D348" s="469"/>
      <c r="E348" s="469"/>
      <c r="F348" s="469"/>
      <c r="G348" s="469"/>
      <c r="H348" s="469"/>
      <c r="I348" s="469"/>
      <c r="J348" s="469"/>
      <c r="K348" s="633" t="s">
        <v>63</v>
      </c>
      <c r="L348" s="469"/>
      <c r="M348" s="469"/>
      <c r="N348" s="471">
        <f>SUM(Q348:BU348)</f>
        <v>35573589.821117535</v>
      </c>
      <c r="O348" s="469"/>
      <c r="P348" s="469"/>
      <c r="Q348" s="471"/>
      <c r="R348" s="471"/>
      <c r="S348" s="471">
        <f t="shared" ref="S348:AO348" si="495">SUM(S344:S347)</f>
        <v>97072.961513966118</v>
      </c>
      <c r="T348" s="471">
        <f t="shared" si="495"/>
        <v>115402.50713662824</v>
      </c>
      <c r="U348" s="471">
        <f t="shared" si="495"/>
        <v>134696.65689880517</v>
      </c>
      <c r="V348" s="471">
        <f t="shared" si="495"/>
        <v>152888.33825282511</v>
      </c>
      <c r="W348" s="471">
        <f t="shared" si="495"/>
        <v>165412.61616973625</v>
      </c>
      <c r="X348" s="471">
        <f t="shared" si="495"/>
        <v>178929.37455581932</v>
      </c>
      <c r="Y348" s="471">
        <f t="shared" si="495"/>
        <v>193512.60025886947</v>
      </c>
      <c r="Z348" s="471">
        <f t="shared" si="495"/>
        <v>209098.62091752162</v>
      </c>
      <c r="AA348" s="471">
        <f t="shared" si="495"/>
        <v>225998.66009890373</v>
      </c>
      <c r="AB348" s="471">
        <f t="shared" si="495"/>
        <v>245408.86075983656</v>
      </c>
      <c r="AC348" s="471">
        <f t="shared" si="495"/>
        <v>266463.90236453316</v>
      </c>
      <c r="AD348" s="471">
        <f t="shared" si="495"/>
        <v>289163.44548674993</v>
      </c>
      <c r="AE348" s="471">
        <f t="shared" si="495"/>
        <v>313850.37741294981</v>
      </c>
      <c r="AF348" s="471">
        <f t="shared" si="495"/>
        <v>340708.50478651049</v>
      </c>
      <c r="AG348" s="471">
        <f t="shared" si="495"/>
        <v>365399.82014664158</v>
      </c>
      <c r="AH348" s="471">
        <f t="shared" si="495"/>
        <v>391634.25651002832</v>
      </c>
      <c r="AI348" s="471">
        <f t="shared" si="495"/>
        <v>419364.5736927283</v>
      </c>
      <c r="AJ348" s="471">
        <f t="shared" si="495"/>
        <v>448395.2151647039</v>
      </c>
      <c r="AK348" s="471">
        <f t="shared" si="495"/>
        <v>478535.14846373769</v>
      </c>
      <c r="AL348" s="471">
        <f t="shared" si="495"/>
        <v>513811.44180026813</v>
      </c>
      <c r="AM348" s="471">
        <f t="shared" si="495"/>
        <v>551971.38350668328</v>
      </c>
      <c r="AN348" s="471">
        <f t="shared" si="495"/>
        <v>593386.80034892063</v>
      </c>
      <c r="AO348" s="471">
        <f t="shared" si="495"/>
        <v>637444.92577674566</v>
      </c>
      <c r="AP348" s="471">
        <f t="shared" ref="AP348:BU348" si="496">SUM(AP344:AP347)</f>
        <v>685633.16605512088</v>
      </c>
      <c r="AQ348" s="471">
        <f t="shared" si="496"/>
        <v>730343.51632550836</v>
      </c>
      <c r="AR348" s="471">
        <f t="shared" si="496"/>
        <v>778007.87628458487</v>
      </c>
      <c r="AS348" s="471">
        <f t="shared" si="496"/>
        <v>828809.31451292802</v>
      </c>
      <c r="AT348" s="471">
        <f t="shared" si="496"/>
        <v>882994.69419585681</v>
      </c>
      <c r="AU348" s="471">
        <f t="shared" si="496"/>
        <v>942200.11829928146</v>
      </c>
      <c r="AV348" s="471">
        <f t="shared" si="496"/>
        <v>1002601.5101942099</v>
      </c>
      <c r="AW348" s="471">
        <f t="shared" si="496"/>
        <v>1065342.7158895535</v>
      </c>
      <c r="AX348" s="471">
        <f t="shared" si="496"/>
        <v>1132162.6276102837</v>
      </c>
      <c r="AY348" s="471">
        <f t="shared" si="496"/>
        <v>1203360.9481162881</v>
      </c>
      <c r="AZ348" s="471">
        <f t="shared" si="496"/>
        <v>1279070.7532905817</v>
      </c>
      <c r="BA348" s="471">
        <f t="shared" si="496"/>
        <v>1361167.1475608847</v>
      </c>
      <c r="BB348" s="471">
        <f t="shared" si="496"/>
        <v>1448523.5154982214</v>
      </c>
      <c r="BC348" s="471">
        <f t="shared" si="496"/>
        <v>1541487.8489671464</v>
      </c>
      <c r="BD348" s="471">
        <f t="shared" si="496"/>
        <v>1640418.4557348981</v>
      </c>
      <c r="BE348" s="471">
        <f t="shared" si="496"/>
        <v>1743105.9449581052</v>
      </c>
      <c r="BF348" s="471">
        <f t="shared" si="496"/>
        <v>1877951.2000004875</v>
      </c>
      <c r="BG348" s="471">
        <f t="shared" si="496"/>
        <v>2022875.7896959386</v>
      </c>
      <c r="BH348" s="471">
        <f t="shared" si="496"/>
        <v>2179018.6750670709</v>
      </c>
      <c r="BI348" s="471">
        <f t="shared" si="496"/>
        <v>2347204.8376066857</v>
      </c>
      <c r="BJ348" s="471">
        <f t="shared" si="496"/>
        <v>1552758.1732297922</v>
      </c>
      <c r="BK348" s="471">
        <f t="shared" si="496"/>
        <v>0</v>
      </c>
      <c r="BL348" s="471">
        <f t="shared" si="496"/>
        <v>0</v>
      </c>
      <c r="BM348" s="471">
        <f t="shared" si="496"/>
        <v>0</v>
      </c>
      <c r="BN348" s="471">
        <f t="shared" si="496"/>
        <v>0</v>
      </c>
      <c r="BO348" s="471">
        <f t="shared" si="496"/>
        <v>0</v>
      </c>
      <c r="BP348" s="471">
        <f t="shared" si="496"/>
        <v>0</v>
      </c>
      <c r="BQ348" s="471">
        <f t="shared" si="496"/>
        <v>0</v>
      </c>
      <c r="BR348" s="471">
        <f t="shared" si="496"/>
        <v>0</v>
      </c>
      <c r="BS348" s="471">
        <f t="shared" si="496"/>
        <v>0</v>
      </c>
      <c r="BT348" s="471">
        <f t="shared" si="496"/>
        <v>0</v>
      </c>
      <c r="BU348" s="471">
        <f t="shared" si="496"/>
        <v>0</v>
      </c>
      <c r="BV348" s="472"/>
    </row>
    <row r="349" spans="1:74" ht="15" x14ac:dyDescent="0.2">
      <c r="A349" s="186"/>
      <c r="B349" s="186"/>
      <c r="C349" s="372"/>
      <c r="D349" s="473"/>
      <c r="E349" s="186"/>
      <c r="F349" s="186"/>
      <c r="G349" s="186"/>
      <c r="H349" s="474"/>
      <c r="I349" s="186"/>
      <c r="J349" s="186"/>
      <c r="K349" s="367"/>
      <c r="L349" s="374"/>
      <c r="M349" s="186"/>
      <c r="N349" s="475"/>
      <c r="O349" s="186"/>
      <c r="P349" s="186"/>
      <c r="Q349" s="374"/>
      <c r="R349" s="374"/>
      <c r="S349" s="374"/>
      <c r="T349" s="374"/>
      <c r="U349" s="374"/>
      <c r="V349" s="374"/>
      <c r="W349" s="374"/>
      <c r="X349" s="374"/>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374"/>
      <c r="AX349" s="374"/>
      <c r="AY349" s="374"/>
      <c r="AZ349" s="374"/>
      <c r="BA349" s="374"/>
      <c r="BB349" s="374"/>
      <c r="BC349" s="374"/>
      <c r="BD349" s="374"/>
      <c r="BE349" s="374"/>
      <c r="BF349" s="374"/>
      <c r="BG349" s="374"/>
      <c r="BH349" s="374"/>
      <c r="BI349" s="374"/>
      <c r="BJ349" s="374"/>
      <c r="BK349" s="374"/>
      <c r="BL349" s="374"/>
      <c r="BM349" s="374"/>
      <c r="BN349" s="374"/>
      <c r="BO349" s="374"/>
      <c r="BP349" s="374"/>
      <c r="BQ349" s="374"/>
      <c r="BR349" s="374"/>
      <c r="BS349" s="374"/>
      <c r="BT349" s="374"/>
      <c r="BU349" s="374"/>
    </row>
    <row r="350" spans="1:74" x14ac:dyDescent="0.2">
      <c r="A350" s="186"/>
      <c r="B350" s="186"/>
      <c r="C350" s="387" t="s">
        <v>209</v>
      </c>
      <c r="D350" s="186"/>
      <c r="E350" s="186"/>
      <c r="F350" s="186"/>
      <c r="G350" s="186"/>
      <c r="H350" s="186"/>
      <c r="I350" s="186"/>
      <c r="J350" s="186"/>
      <c r="K350" s="367" t="s">
        <v>63</v>
      </c>
      <c r="L350" s="186"/>
      <c r="M350" s="186"/>
      <c r="N350" s="374">
        <f>SUM(Q350:BU350)</f>
        <v>-130979.91449963803</v>
      </c>
      <c r="O350" s="186"/>
      <c r="P350" s="186"/>
      <c r="Q350" s="374"/>
      <c r="R350" s="374"/>
      <c r="S350" s="374">
        <f>+(CF!S48+Fin!S250)*S$12</f>
        <v>0</v>
      </c>
      <c r="T350" s="374">
        <f>+(CF!T48+Fin!T250)*T$12</f>
        <v>0</v>
      </c>
      <c r="U350" s="374">
        <f>+(CF!U48+Fin!U250)*U$12</f>
        <v>0</v>
      </c>
      <c r="V350" s="374">
        <f>+(CF!V48+Fin!V250)*V$12</f>
        <v>-2737.9914649635248</v>
      </c>
      <c r="W350" s="374">
        <f>+(CF!W48+Fin!W250)*W$12</f>
        <v>-3037.0853628754758</v>
      </c>
      <c r="X350" s="374">
        <f>+(CF!X48+Fin!X250)*X$12</f>
        <v>-2843.7019947117424</v>
      </c>
      <c r="Y350" s="374">
        <f>+(CF!Y48+Fin!Y250)*Y$12</f>
        <v>-2068.5240352732362</v>
      </c>
      <c r="Z350" s="374">
        <f>+(CF!Z48+Fin!Z250)*Z$12</f>
        <v>-593.60765917007666</v>
      </c>
      <c r="AA350" s="374">
        <f>+(CF!AA48+Fin!AA250)*AA$12</f>
        <v>0</v>
      </c>
      <c r="AB350" s="374">
        <f>+(CF!AB48+Fin!AB250)*AB$12</f>
        <v>0</v>
      </c>
      <c r="AC350" s="374">
        <f>+(CF!AC48+Fin!AC250)*AC$12</f>
        <v>0</v>
      </c>
      <c r="AD350" s="374">
        <f>+(CF!AD48+Fin!AD250)*AD$12</f>
        <v>-1687.6121661333927</v>
      </c>
      <c r="AE350" s="374">
        <f>+(CF!AE48+Fin!AE250)*AE$12</f>
        <v>-4503.9712512130063</v>
      </c>
      <c r="AF350" s="374">
        <f>+(CF!AF48+Fin!AF250)*AF$12</f>
        <v>-8628.2109688004566</v>
      </c>
      <c r="AG350" s="374">
        <f>+(CF!AG48+Fin!AG250)*AG$12</f>
        <v>-9101.8580557016976</v>
      </c>
      <c r="AH350" s="374">
        <f>+(CF!AH48+Fin!AH250)*AH$12</f>
        <v>-7120.5756760086297</v>
      </c>
      <c r="AI350" s="374">
        <f>+(CF!AI48+Fin!AI250)*AI$12</f>
        <v>-2658.4747542637706</v>
      </c>
      <c r="AJ350" s="374">
        <f>+(CF!AJ48+Fin!AJ250)*AJ$12</f>
        <v>0</v>
      </c>
      <c r="AK350" s="374">
        <f>+(CF!AK48+Fin!AK250)*AK$12</f>
        <v>0</v>
      </c>
      <c r="AL350" s="374">
        <f>+(CF!AL48+Fin!AL250)*AL$12</f>
        <v>0</v>
      </c>
      <c r="AM350" s="374">
        <f>+(CF!AM48+Fin!AM250)*AM$12</f>
        <v>0</v>
      </c>
      <c r="AN350" s="374">
        <f>+(CF!AN48+Fin!AN250)*AN$12</f>
        <v>0</v>
      </c>
      <c r="AO350" s="374">
        <f>+(CF!AO48+Fin!AO250)*AO$12</f>
        <v>-2010.8248458083926</v>
      </c>
      <c r="AP350" s="374">
        <f>+(CF!AP48+Fin!AP250)*AP$12</f>
        <v>-6414.9157139993986</v>
      </c>
      <c r="AQ350" s="374">
        <f>+(CF!AQ48+Fin!AQ250)*AQ$12</f>
        <v>-7769.6297578547201</v>
      </c>
      <c r="AR350" s="374">
        <f>+(CF!AR48+Fin!AR250)*AR$12</f>
        <v>-8148.265042363706</v>
      </c>
      <c r="AS350" s="374">
        <f>+(CF!AS48+Fin!AS250)*AS$12</f>
        <v>-7196.555026770744</v>
      </c>
      <c r="AT350" s="374">
        <f>+(CF!AT48+Fin!AT250)*AT$12</f>
        <v>-4421.9055968976172</v>
      </c>
      <c r="AU350" s="374">
        <f>+(CF!AU48+Fin!AU250)*AU$12</f>
        <v>0</v>
      </c>
      <c r="AV350" s="374">
        <f>+(CF!AV48+Fin!AV250)*AV$12</f>
        <v>0</v>
      </c>
      <c r="AW350" s="374">
        <f>+(CF!AW48+Fin!AW250)*AW$12</f>
        <v>-379.09532086609397</v>
      </c>
      <c r="AX350" s="374">
        <f>+(CF!AX48+Fin!AX250)*AX$12</f>
        <v>-1809.776512616947</v>
      </c>
      <c r="AY350" s="374">
        <f>+(CF!AY48+Fin!AY250)*AY$12</f>
        <v>-3857.5481055167693</v>
      </c>
      <c r="AZ350" s="374">
        <f>+(CF!AZ48+Fin!AZ250)*AZ$12</f>
        <v>-6588.554015575246</v>
      </c>
      <c r="BA350" s="374">
        <f>+(CF!BA48+Fin!BA250)*BA$12</f>
        <v>-7453.8591490584149</v>
      </c>
      <c r="BB350" s="374">
        <f>+(CF!BB48+Fin!BB250)*BB$12</f>
        <v>-8537.0104540626635</v>
      </c>
      <c r="BC350" s="374">
        <f>+(CF!BC48+Fin!BC250)*BC$12</f>
        <v>-9879.6845760317956</v>
      </c>
      <c r="BD350" s="374">
        <f>+(CF!BD48+Fin!BD250)*BD$12</f>
        <v>-11530.676993100526</v>
      </c>
      <c r="BE350" s="374">
        <f>+(CF!BE48+Fin!BE250)*BE$12</f>
        <v>0</v>
      </c>
      <c r="BF350" s="374">
        <f>+(CF!BF48+Fin!BF250)*BF$12</f>
        <v>0</v>
      </c>
      <c r="BG350" s="374">
        <f>+(CF!BG48+Fin!BG250)*BG$12</f>
        <v>0</v>
      </c>
      <c r="BH350" s="374">
        <f>+(CF!BH48+Fin!BH250)*BH$12</f>
        <v>0</v>
      </c>
      <c r="BI350" s="374">
        <f>+(CF!BI48+Fin!BI250)*BI$12</f>
        <v>0</v>
      </c>
      <c r="BJ350" s="374">
        <f>+(CF!BJ48+Fin!BJ250)*BJ$12</f>
        <v>0</v>
      </c>
      <c r="BK350" s="374">
        <f>+CF!BK48*BK$12</f>
        <v>0</v>
      </c>
      <c r="BL350" s="374">
        <f>+CF!BL48*BL$12</f>
        <v>0</v>
      </c>
      <c r="BM350" s="374">
        <f>+CF!BM48*BM$12</f>
        <v>0</v>
      </c>
      <c r="BN350" s="374">
        <f>+CF!BN48*BN$12</f>
        <v>0</v>
      </c>
      <c r="BO350" s="374">
        <f>+CF!BO48*BO$12</f>
        <v>0</v>
      </c>
      <c r="BP350" s="374">
        <f>+CF!BP48*BP$12</f>
        <v>0</v>
      </c>
      <c r="BQ350" s="374">
        <f>+CF!BQ48*BQ$12</f>
        <v>0</v>
      </c>
      <c r="BR350" s="374">
        <f>+CF!BR48*BR$12</f>
        <v>0</v>
      </c>
      <c r="BS350" s="374">
        <f>+CF!BS48*BS$12</f>
        <v>0</v>
      </c>
      <c r="BT350" s="374">
        <f>+CF!BT48*BT$12</f>
        <v>0</v>
      </c>
      <c r="BU350" s="374">
        <f>+CF!BU48*BU$12</f>
        <v>0</v>
      </c>
    </row>
    <row r="351" spans="1:74" x14ac:dyDescent="0.2">
      <c r="A351" s="186"/>
      <c r="B351" s="186"/>
      <c r="C351" s="387" t="s">
        <v>210</v>
      </c>
      <c r="D351" s="186"/>
      <c r="E351" s="186"/>
      <c r="F351" s="186"/>
      <c r="G351" s="186"/>
      <c r="H351" s="186"/>
      <c r="I351" s="186"/>
      <c r="J351" s="186"/>
      <c r="K351" s="367" t="s">
        <v>63</v>
      </c>
      <c r="L351" s="370"/>
      <c r="M351" s="186"/>
      <c r="N351" s="374">
        <f>SUM(Q351:BU351)</f>
        <v>-691496.72836553829</v>
      </c>
      <c r="O351" s="186"/>
      <c r="P351" s="186"/>
      <c r="Q351" s="374"/>
      <c r="R351" s="374"/>
      <c r="S351" s="374">
        <f>+(CF!S28+Oper!S20) * S$12</f>
        <v>-6893.0040000000026</v>
      </c>
      <c r="T351" s="374">
        <f>+(CF!T28+Oper!T20) * T$12</f>
        <v>-4923.1641749466244</v>
      </c>
      <c r="U351" s="374">
        <f>+(CF!U28+Oper!U20) * U$12</f>
        <v>-3516.2529273851965</v>
      </c>
      <c r="V351" s="374">
        <f>+(CF!V28+Oper!V20) * V$12</f>
        <v>-2511.4000285149973</v>
      </c>
      <c r="W351" s="374">
        <f>+(CF!W28+Oper!W20) * W$12</f>
        <v>-3207.5042996959728</v>
      </c>
      <c r="X351" s="374">
        <f>+(CF!X28+Oper!X20) * X$12</f>
        <v>-4096.5532036931381</v>
      </c>
      <c r="Y351" s="374">
        <f>+(CF!Y28+Oper!Y20) * Y$12</f>
        <v>-5232.0267044627799</v>
      </c>
      <c r="Z351" s="374">
        <f>+(CF!Z28+Oper!Z20) * Z$12</f>
        <v>-6682.2282233593996</v>
      </c>
      <c r="AA351" s="374">
        <f>+(CF!AA28+Oper!AA20) * AA$12</f>
        <v>-8534.3933720700988</v>
      </c>
      <c r="AB351" s="374">
        <f>+(CF!AB28+Oper!AB20) * AB$12</f>
        <v>-7834.4943124637866</v>
      </c>
      <c r="AC351" s="374">
        <f>+(CF!AC28+Oper!AC20) * AC$12</f>
        <v>-7191.9934383267437</v>
      </c>
      <c r="AD351" s="374">
        <f>+(CF!AD28+Oper!AD20) * AD$12</f>
        <v>-6602.1835684591333</v>
      </c>
      <c r="AE351" s="374">
        <f>+(CF!AE28+Oper!AE20) * AE$12</f>
        <v>-6060.7435539836861</v>
      </c>
      <c r="AF351" s="374">
        <f>+(CF!AF28+Oper!AF20) * AF$12</f>
        <v>-5563.7066201307889</v>
      </c>
      <c r="AG351" s="374">
        <f>+(CF!AG28+Oper!AG20) * AG$12</f>
        <v>-7543.7883632894109</v>
      </c>
      <c r="AH351" s="374">
        <f>+(CF!AH28+Oper!AH20) * AH$12</f>
        <v>-10228.566449602433</v>
      </c>
      <c r="AI351" s="374">
        <f>+(CF!AI28+Oper!AI20) * AI$12</f>
        <v>-13868.837058455365</v>
      </c>
      <c r="AJ351" s="374">
        <f>+(CF!AJ28+Oper!AJ20) * AJ$12</f>
        <v>-18804.652861346072</v>
      </c>
      <c r="AK351" s="374">
        <f>+(CF!AK28+Oper!AK20) * AK$12</f>
        <v>-25497.088742573676</v>
      </c>
      <c r="AL351" s="374">
        <f>+(CF!AL28+Oper!AL20) * AL$12</f>
        <v>-17257.519856207484</v>
      </c>
      <c r="AM351" s="374">
        <f>+(CF!AM28+Oper!AM20) * AM$12</f>
        <v>-11680.62732942951</v>
      </c>
      <c r="AN351" s="374">
        <f>+(CF!AN28+Oper!AN20) * AN$12</f>
        <v>-7905.9480125667942</v>
      </c>
      <c r="AO351" s="374">
        <f>+(CF!AO28+Oper!AO20) * AO$12</f>
        <v>-5351.0836545507345</v>
      </c>
      <c r="AP351" s="374">
        <f>+(CF!AP28+Oper!AP20) * AP$12</f>
        <v>-3621.8422170858075</v>
      </c>
      <c r="AQ351" s="374">
        <f>+(CF!AQ28+Oper!AQ20) * AQ$12</f>
        <v>-5031.5595961266754</v>
      </c>
      <c r="AR351" s="374">
        <f>+(CF!AR28+Oper!AR20) * AR$12</f>
        <v>-6989.9764959238264</v>
      </c>
      <c r="AS351" s="374">
        <f>+(CF!AS28+Oper!AS20) * AS$12</f>
        <v>-9710.6613725056704</v>
      </c>
      <c r="AT351" s="374">
        <f>+(CF!AT28+Oper!AT20) * AT$12</f>
        <v>-13490.309208687973</v>
      </c>
      <c r="AU351" s="374">
        <f>+(CF!AU28+Oper!AU20) * AU$12</f>
        <v>-18741.096570547237</v>
      </c>
      <c r="AV351" s="374">
        <f>+(CF!AV28+Oper!AV20) * AV$12</f>
        <v>-18421.350964280813</v>
      </c>
      <c r="AW351" s="374">
        <f>+(CF!AW28+Oper!AW20) * AW$12</f>
        <v>-18107.060601913374</v>
      </c>
      <c r="AX351" s="374">
        <f>+(CF!AX28+Oper!AX20) * AX$12</f>
        <v>-17798.132410434951</v>
      </c>
      <c r="AY351" s="374">
        <f>+(CF!AY28+Oper!AY20) * AY$12</f>
        <v>-17494.474904772869</v>
      </c>
      <c r="AZ351" s="374">
        <f>+(CF!AZ28+Oper!AZ20) * AZ$12</f>
        <v>-17195.998160699615</v>
      </c>
      <c r="BA351" s="374">
        <f>+(CF!BA28+Oper!BA20) * BA$12</f>
        <v>-19251.269063199168</v>
      </c>
      <c r="BB351" s="374">
        <f>+(CF!BB28+Oper!BB20) * BB$12</f>
        <v>-21552.186565749842</v>
      </c>
      <c r="BC351" s="374">
        <f>+(CF!BC28+Oper!BC20) * BC$12</f>
        <v>-24128.110424305614</v>
      </c>
      <c r="BD351" s="374">
        <f>+(CF!BD28+Oper!BD20) * BD$12</f>
        <v>-27011.909481734325</v>
      </c>
      <c r="BE351" s="374">
        <f>+(CF!BE28+Oper!BE20) * BE$12</f>
        <v>-30240.38107494725</v>
      </c>
      <c r="BF351" s="374">
        <f>+(CF!BF28+Oper!BF20) * BF$12</f>
        <v>-34373.648331668155</v>
      </c>
      <c r="BG351" s="374">
        <f>+(CF!BG28+Oper!BG20) * BG$12</f>
        <v>-39071.852193292965</v>
      </c>
      <c r="BH351" s="374">
        <f>+(CF!BH28+Oper!BH20) * BH$12</f>
        <v>-44412.208418623974</v>
      </c>
      <c r="BI351" s="374">
        <f>+(CF!BI28+Oper!BI20) * BI$12</f>
        <v>-50482.486646944315</v>
      </c>
      <c r="BJ351" s="374">
        <f>+(CF!BJ28+Oper!BJ20) * BJ$12</f>
        <v>-57382.452906580089</v>
      </c>
      <c r="BK351" s="374">
        <f>+CF!BK28 * BK$12</f>
        <v>0</v>
      </c>
      <c r="BL351" s="374">
        <f>+CF!BL28 * BL$12</f>
        <v>0</v>
      </c>
      <c r="BM351" s="374">
        <f>+CF!BM28 * BM$12</f>
        <v>0</v>
      </c>
      <c r="BN351" s="374">
        <f>+CF!BN28 * BN$12</f>
        <v>0</v>
      </c>
      <c r="BO351" s="374">
        <f>+CF!BO28 * BO$12</f>
        <v>0</v>
      </c>
      <c r="BP351" s="374">
        <f>+CF!BP28 * BP$12</f>
        <v>0</v>
      </c>
      <c r="BQ351" s="374">
        <f>+CF!BQ28 * BQ$12</f>
        <v>0</v>
      </c>
      <c r="BR351" s="374">
        <f>+CF!BR28 * BR$12</f>
        <v>0</v>
      </c>
      <c r="BS351" s="374">
        <f>+CF!BS28 * BS$12</f>
        <v>0</v>
      </c>
      <c r="BT351" s="374">
        <f>+CF!BT28 * BT$12</f>
        <v>0</v>
      </c>
      <c r="BU351" s="374">
        <f>+CF!BU28 * BU$12</f>
        <v>0</v>
      </c>
    </row>
    <row r="352" spans="1:74" x14ac:dyDescent="0.2">
      <c r="A352" s="186"/>
      <c r="B352" s="186"/>
      <c r="C352" s="388" t="s">
        <v>211</v>
      </c>
      <c r="D352" s="383"/>
      <c r="E352" s="383"/>
      <c r="F352" s="383"/>
      <c r="G352" s="383"/>
      <c r="H352" s="383"/>
      <c r="I352" s="383"/>
      <c r="J352" s="383"/>
      <c r="K352" s="617" t="s">
        <v>63</v>
      </c>
      <c r="L352" s="476"/>
      <c r="M352" s="383"/>
      <c r="N352" s="384">
        <f>SUM(Q352:BU352)</f>
        <v>304072.69300676737</v>
      </c>
      <c r="O352" s="383"/>
      <c r="P352" s="383"/>
      <c r="Q352" s="384"/>
      <c r="R352" s="384"/>
      <c r="S352" s="384">
        <f t="shared" ref="S352:AX352" si="497">+S213</f>
        <v>0</v>
      </c>
      <c r="T352" s="384">
        <f t="shared" si="497"/>
        <v>0</v>
      </c>
      <c r="U352" s="384">
        <f t="shared" si="497"/>
        <v>1758.1264636925982</v>
      </c>
      <c r="V352" s="384">
        <f t="shared" si="497"/>
        <v>2511.4000285149973</v>
      </c>
      <c r="W352" s="384">
        <f t="shared" si="497"/>
        <v>3207.5042996959728</v>
      </c>
      <c r="X352" s="384">
        <f t="shared" si="497"/>
        <v>4096.5532036931381</v>
      </c>
      <c r="Y352" s="384">
        <f t="shared" si="497"/>
        <v>5232.0267044627799</v>
      </c>
      <c r="Z352" s="384">
        <f t="shared" si="497"/>
        <v>6682.2282233593996</v>
      </c>
      <c r="AA352" s="384">
        <f t="shared" si="497"/>
        <v>8534.3933720700988</v>
      </c>
      <c r="AB352" s="384">
        <f t="shared" si="497"/>
        <v>7834.4943124637866</v>
      </c>
      <c r="AC352" s="384">
        <f t="shared" si="497"/>
        <v>7191.9934383267437</v>
      </c>
      <c r="AD352" s="384">
        <f t="shared" si="497"/>
        <v>6602.1835684591333</v>
      </c>
      <c r="AE352" s="384">
        <f t="shared" si="497"/>
        <v>6060.7435539836861</v>
      </c>
      <c r="AF352" s="384">
        <f t="shared" si="497"/>
        <v>5563.7066201307889</v>
      </c>
      <c r="AG352" s="384">
        <f t="shared" si="497"/>
        <v>7543.7883632894109</v>
      </c>
      <c r="AH352" s="384">
        <f t="shared" si="497"/>
        <v>10228.566449602433</v>
      </c>
      <c r="AI352" s="384">
        <f t="shared" si="497"/>
        <v>13868.837058455365</v>
      </c>
      <c r="AJ352" s="384">
        <f t="shared" si="497"/>
        <v>18804.652861346072</v>
      </c>
      <c r="AK352" s="384">
        <f t="shared" si="497"/>
        <v>25497.088742573676</v>
      </c>
      <c r="AL352" s="384">
        <f t="shared" si="497"/>
        <v>17257.519856207484</v>
      </c>
      <c r="AM352" s="384">
        <f t="shared" si="497"/>
        <v>11680.62732942951</v>
      </c>
      <c r="AN352" s="384">
        <f t="shared" si="497"/>
        <v>7905.9480125667942</v>
      </c>
      <c r="AO352" s="384">
        <f t="shared" si="497"/>
        <v>5351.0836545507345</v>
      </c>
      <c r="AP352" s="384">
        <f t="shared" si="497"/>
        <v>3621.8422170858075</v>
      </c>
      <c r="AQ352" s="384">
        <f t="shared" si="497"/>
        <v>5031.5595961266754</v>
      </c>
      <c r="AR352" s="384">
        <f t="shared" si="497"/>
        <v>6989.9764959238264</v>
      </c>
      <c r="AS352" s="384">
        <f t="shared" si="497"/>
        <v>9710.6613725056704</v>
      </c>
      <c r="AT352" s="384">
        <f t="shared" si="497"/>
        <v>13490.309208687973</v>
      </c>
      <c r="AU352" s="384">
        <f t="shared" si="497"/>
        <v>18741.096570547237</v>
      </c>
      <c r="AV352" s="384">
        <f t="shared" si="497"/>
        <v>18421.350964280813</v>
      </c>
      <c r="AW352" s="384">
        <f t="shared" si="497"/>
        <v>18107.060601913374</v>
      </c>
      <c r="AX352" s="384">
        <f t="shared" si="497"/>
        <v>17798.132410434951</v>
      </c>
      <c r="AY352" s="384">
        <f t="shared" ref="AY352:BU352" si="498">+AY213</f>
        <v>8747.2374523864346</v>
      </c>
      <c r="AZ352" s="384">
        <f t="shared" si="498"/>
        <v>0</v>
      </c>
      <c r="BA352" s="384">
        <f t="shared" si="498"/>
        <v>0</v>
      </c>
      <c r="BB352" s="384">
        <f t="shared" si="498"/>
        <v>0</v>
      </c>
      <c r="BC352" s="384">
        <f t="shared" si="498"/>
        <v>0</v>
      </c>
      <c r="BD352" s="384">
        <f t="shared" si="498"/>
        <v>0</v>
      </c>
      <c r="BE352" s="384">
        <f t="shared" si="498"/>
        <v>0</v>
      </c>
      <c r="BF352" s="384">
        <f t="shared" si="498"/>
        <v>0</v>
      </c>
      <c r="BG352" s="384">
        <f t="shared" si="498"/>
        <v>0</v>
      </c>
      <c r="BH352" s="384">
        <f t="shared" si="498"/>
        <v>0</v>
      </c>
      <c r="BI352" s="384">
        <f t="shared" si="498"/>
        <v>0</v>
      </c>
      <c r="BJ352" s="384">
        <f t="shared" si="498"/>
        <v>0</v>
      </c>
      <c r="BK352" s="384">
        <f t="shared" si="498"/>
        <v>0</v>
      </c>
      <c r="BL352" s="384">
        <f t="shared" si="498"/>
        <v>0</v>
      </c>
      <c r="BM352" s="384">
        <f t="shared" si="498"/>
        <v>0</v>
      </c>
      <c r="BN352" s="384">
        <f t="shared" si="498"/>
        <v>0</v>
      </c>
      <c r="BO352" s="384">
        <f t="shared" si="498"/>
        <v>0</v>
      </c>
      <c r="BP352" s="384">
        <f t="shared" si="498"/>
        <v>0</v>
      </c>
      <c r="BQ352" s="384">
        <f t="shared" si="498"/>
        <v>0</v>
      </c>
      <c r="BR352" s="384">
        <f t="shared" si="498"/>
        <v>0</v>
      </c>
      <c r="BS352" s="384">
        <f t="shared" si="498"/>
        <v>0</v>
      </c>
      <c r="BT352" s="384">
        <f t="shared" si="498"/>
        <v>0</v>
      </c>
      <c r="BU352" s="384">
        <f t="shared" si="498"/>
        <v>0</v>
      </c>
    </row>
    <row r="353" spans="1:73" x14ac:dyDescent="0.2">
      <c r="A353" s="409"/>
      <c r="B353" s="409"/>
      <c r="C353" s="389" t="s">
        <v>212</v>
      </c>
      <c r="D353" s="409"/>
      <c r="E353" s="409"/>
      <c r="F353" s="409"/>
      <c r="G353" s="409"/>
      <c r="H353" s="409"/>
      <c r="I353" s="409"/>
      <c r="J353" s="409"/>
      <c r="K353" s="608" t="s">
        <v>63</v>
      </c>
      <c r="L353" s="409"/>
      <c r="M353" s="409"/>
      <c r="N353" s="451">
        <f>SUM(Q353:BU353)</f>
        <v>35055185.871259138</v>
      </c>
      <c r="O353" s="409"/>
      <c r="P353" s="409"/>
      <c r="Q353" s="451"/>
      <c r="R353" s="451"/>
      <c r="S353" s="451">
        <f t="shared" ref="S353:AO353" si="499">SUM(S348:S352)</f>
        <v>90179.957513966117</v>
      </c>
      <c r="T353" s="451">
        <f t="shared" si="499"/>
        <v>110479.34296168161</v>
      </c>
      <c r="U353" s="451">
        <f t="shared" si="499"/>
        <v>132938.5304351126</v>
      </c>
      <c r="V353" s="451">
        <f t="shared" si="499"/>
        <v>150150.34678786158</v>
      </c>
      <c r="W353" s="451">
        <f t="shared" si="499"/>
        <v>162375.53080686077</v>
      </c>
      <c r="X353" s="451">
        <f t="shared" si="499"/>
        <v>176085.67256110758</v>
      </c>
      <c r="Y353" s="451">
        <f t="shared" si="499"/>
        <v>191444.07622359623</v>
      </c>
      <c r="Z353" s="451">
        <f t="shared" si="499"/>
        <v>208505.01325835154</v>
      </c>
      <c r="AA353" s="451">
        <f t="shared" si="499"/>
        <v>225998.66009890373</v>
      </c>
      <c r="AB353" s="451">
        <f t="shared" si="499"/>
        <v>245408.86075983656</v>
      </c>
      <c r="AC353" s="451">
        <f t="shared" si="499"/>
        <v>266463.90236453316</v>
      </c>
      <c r="AD353" s="451">
        <f t="shared" si="499"/>
        <v>287475.83332061651</v>
      </c>
      <c r="AE353" s="451">
        <f t="shared" si="499"/>
        <v>309346.40616173681</v>
      </c>
      <c r="AF353" s="451">
        <f t="shared" si="499"/>
        <v>332080.29381771001</v>
      </c>
      <c r="AG353" s="451">
        <f t="shared" si="499"/>
        <v>356297.96209093987</v>
      </c>
      <c r="AH353" s="451">
        <f t="shared" si="499"/>
        <v>384513.68083401967</v>
      </c>
      <c r="AI353" s="451">
        <f t="shared" si="499"/>
        <v>416706.09893846454</v>
      </c>
      <c r="AJ353" s="451">
        <f t="shared" si="499"/>
        <v>448395.2151647039</v>
      </c>
      <c r="AK353" s="451">
        <f t="shared" si="499"/>
        <v>478535.14846373769</v>
      </c>
      <c r="AL353" s="451">
        <f t="shared" si="499"/>
        <v>513811.44180026813</v>
      </c>
      <c r="AM353" s="451">
        <f t="shared" si="499"/>
        <v>551971.38350668328</v>
      </c>
      <c r="AN353" s="451">
        <f t="shared" si="499"/>
        <v>593386.80034892063</v>
      </c>
      <c r="AO353" s="451">
        <f t="shared" si="499"/>
        <v>635434.10093093722</v>
      </c>
      <c r="AP353" s="451">
        <f t="shared" ref="AP353:BU353" si="500">SUM(AP348:AP352)</f>
        <v>679218.25034112146</v>
      </c>
      <c r="AQ353" s="451">
        <f t="shared" si="500"/>
        <v>722573.88656765362</v>
      </c>
      <c r="AR353" s="451">
        <f t="shared" si="500"/>
        <v>769859.6112422212</v>
      </c>
      <c r="AS353" s="451">
        <f t="shared" si="500"/>
        <v>821612.75948615721</v>
      </c>
      <c r="AT353" s="451">
        <f t="shared" si="500"/>
        <v>878572.78859895922</v>
      </c>
      <c r="AU353" s="451">
        <f t="shared" si="500"/>
        <v>942200.11829928146</v>
      </c>
      <c r="AV353" s="451">
        <f t="shared" si="500"/>
        <v>1002601.5101942099</v>
      </c>
      <c r="AW353" s="451">
        <f t="shared" si="500"/>
        <v>1064963.6205686876</v>
      </c>
      <c r="AX353" s="451">
        <f t="shared" si="500"/>
        <v>1130352.8510976667</v>
      </c>
      <c r="AY353" s="451">
        <f t="shared" si="500"/>
        <v>1190756.1625583849</v>
      </c>
      <c r="AZ353" s="451">
        <f t="shared" si="500"/>
        <v>1255286.2011143069</v>
      </c>
      <c r="BA353" s="451">
        <f t="shared" si="500"/>
        <v>1334462.0193486272</v>
      </c>
      <c r="BB353" s="451">
        <f t="shared" si="500"/>
        <v>1418434.318478409</v>
      </c>
      <c r="BC353" s="451">
        <f t="shared" si="500"/>
        <v>1507480.0539668091</v>
      </c>
      <c r="BD353" s="451">
        <f t="shared" si="500"/>
        <v>1601875.8692600634</v>
      </c>
      <c r="BE353" s="451">
        <f t="shared" si="500"/>
        <v>1712865.5638831579</v>
      </c>
      <c r="BF353" s="451">
        <f t="shared" si="500"/>
        <v>1843577.5516688193</v>
      </c>
      <c r="BG353" s="451">
        <f t="shared" si="500"/>
        <v>1983803.9375026457</v>
      </c>
      <c r="BH353" s="451">
        <f t="shared" si="500"/>
        <v>2134606.4666484469</v>
      </c>
      <c r="BI353" s="451">
        <f t="shared" si="500"/>
        <v>2296722.3509597415</v>
      </c>
      <c r="BJ353" s="451">
        <f t="shared" si="500"/>
        <v>1495375.720323212</v>
      </c>
      <c r="BK353" s="451">
        <f t="shared" si="500"/>
        <v>0</v>
      </c>
      <c r="BL353" s="451">
        <f t="shared" si="500"/>
        <v>0</v>
      </c>
      <c r="BM353" s="451">
        <f t="shared" si="500"/>
        <v>0</v>
      </c>
      <c r="BN353" s="451">
        <f t="shared" si="500"/>
        <v>0</v>
      </c>
      <c r="BO353" s="451">
        <f t="shared" si="500"/>
        <v>0</v>
      </c>
      <c r="BP353" s="451">
        <f t="shared" si="500"/>
        <v>0</v>
      </c>
      <c r="BQ353" s="451">
        <f t="shared" si="500"/>
        <v>0</v>
      </c>
      <c r="BR353" s="451">
        <f t="shared" si="500"/>
        <v>0</v>
      </c>
      <c r="BS353" s="451">
        <f t="shared" si="500"/>
        <v>0</v>
      </c>
      <c r="BT353" s="451">
        <f t="shared" si="500"/>
        <v>0</v>
      </c>
      <c r="BU353" s="451">
        <f t="shared" si="500"/>
        <v>0</v>
      </c>
    </row>
    <row r="354" spans="1:73" x14ac:dyDescent="0.2">
      <c r="A354" s="186"/>
      <c r="B354" s="186"/>
      <c r="C354" s="389"/>
      <c r="D354" s="465"/>
      <c r="E354" s="465"/>
      <c r="F354" s="186"/>
      <c r="G354" s="186"/>
      <c r="H354" s="186"/>
      <c r="I354" s="186"/>
      <c r="J354" s="186"/>
      <c r="K354" s="608"/>
      <c r="L354" s="477"/>
      <c r="M354" s="409"/>
      <c r="N354" s="451"/>
      <c r="O354" s="186"/>
      <c r="P354" s="186"/>
      <c r="Q354" s="451"/>
      <c r="R354" s="451"/>
      <c r="S354" s="451"/>
      <c r="T354" s="451"/>
      <c r="U354" s="451"/>
      <c r="V354" s="451"/>
      <c r="W354" s="451"/>
      <c r="X354" s="451"/>
      <c r="Y354" s="451"/>
      <c r="Z354" s="451"/>
      <c r="AA354" s="451"/>
      <c r="AB354" s="451"/>
      <c r="AC354" s="451"/>
      <c r="AD354" s="451"/>
      <c r="AE354" s="451"/>
      <c r="AF354" s="451"/>
      <c r="AG354" s="451"/>
      <c r="AH354" s="451"/>
      <c r="AI354" s="451"/>
      <c r="AJ354" s="451"/>
      <c r="AK354" s="451"/>
      <c r="AL354" s="451"/>
      <c r="AM354" s="451"/>
      <c r="AN354" s="451"/>
      <c r="AO354" s="451"/>
      <c r="AP354" s="451"/>
      <c r="AQ354" s="451"/>
      <c r="AR354" s="451"/>
      <c r="AS354" s="451"/>
      <c r="AT354" s="451"/>
      <c r="AU354" s="451"/>
      <c r="AV354" s="451"/>
      <c r="AW354" s="451"/>
      <c r="AX354" s="451"/>
      <c r="AY354" s="451"/>
      <c r="AZ354" s="451"/>
      <c r="BA354" s="451"/>
      <c r="BB354" s="451"/>
      <c r="BC354" s="451"/>
      <c r="BD354" s="451"/>
      <c r="BE354" s="451"/>
      <c r="BF354" s="451"/>
      <c r="BG354" s="451"/>
      <c r="BH354" s="451"/>
      <c r="BI354" s="451"/>
      <c r="BJ354" s="451"/>
      <c r="BK354" s="451"/>
      <c r="BL354" s="451"/>
      <c r="BM354" s="451"/>
      <c r="BN354" s="451"/>
      <c r="BO354" s="451"/>
      <c r="BP354" s="451"/>
      <c r="BQ354" s="451"/>
      <c r="BR354" s="451"/>
      <c r="BS354" s="451"/>
      <c r="BT354" s="451"/>
      <c r="BU354" s="451"/>
    </row>
    <row r="355" spans="1:73" x14ac:dyDescent="0.2">
      <c r="A355" s="186"/>
      <c r="B355" s="186"/>
      <c r="C355" s="387" t="s">
        <v>213</v>
      </c>
      <c r="D355" s="186"/>
      <c r="E355" s="186"/>
      <c r="F355" s="186"/>
      <c r="G355" s="186"/>
      <c r="H355" s="186"/>
      <c r="I355" s="186"/>
      <c r="J355" s="186"/>
      <c r="K355" s="367" t="s">
        <v>63</v>
      </c>
      <c r="L355" s="186"/>
      <c r="M355" s="186"/>
      <c r="N355" s="374">
        <f>SUM(Q355:BU355)</f>
        <v>-81598.836452366464</v>
      </c>
      <c r="O355" s="186"/>
      <c r="P355" s="186"/>
      <c r="Q355" s="374"/>
      <c r="R355" s="374"/>
      <c r="S355" s="374">
        <f>-(S60+S61+S63)* S$12*IF(S7=YEAR(Inputs!$L$30),((S9-Inputs!$L$30-1)/S15),1)</f>
        <v>0</v>
      </c>
      <c r="T355" s="374">
        <f>-(T60+T61+T63)* T$12*IF(T7=YEAR(Inputs!$L$30),((T9-Inputs!$L$30-1)/T15),1)</f>
        <v>-59.973054530377503</v>
      </c>
      <c r="U355" s="374">
        <f>-(U60+U61+U63)* U$12*IF(U7=YEAR(Inputs!$L$30),((U9-Inputs!$L$30-1)/U15),1)</f>
        <v>-8106.2353795184872</v>
      </c>
      <c r="V355" s="374">
        <f>-(V60+V61+V63)* V$12*IF(V7=YEAR(Inputs!$L$30),((V9-Inputs!$L$30-1)/V15),1)</f>
        <v>-290.25865517432413</v>
      </c>
      <c r="W355" s="374">
        <f>-(W60+W61+W63)* W$12*IF(W7=YEAR(Inputs!$L$30),((W9-Inputs!$L$30-1)/W15),1)</f>
        <v>-287.33850265741376</v>
      </c>
      <c r="X355" s="374">
        <f>-(X60+X61+X63)* X$12*IF(X7=YEAR(Inputs!$L$30),((X9-Inputs!$L$30-1)/X15),1)</f>
        <v>-282.28033509399728</v>
      </c>
      <c r="Y355" s="374">
        <f>-(Y60+Y61+Y63)* Y$12*IF(Y7=YEAR(Inputs!$L$30),((Y9-Inputs!$L$30-1)/Y15),1)</f>
        <v>-274.36491474230621</v>
      </c>
      <c r="Z355" s="374">
        <f>-(Z60+Z61+Z63)* Z$12*IF(Z7=YEAR(Inputs!$L$30),((Z9-Inputs!$L$30-1)/Z15),1)</f>
        <v>-458.28362983065836</v>
      </c>
      <c r="AA355" s="374">
        <f>-(AA60+AA61+AA63)* AA$12*IF(AA7=YEAR(Inputs!$L$30),((AA9-Inputs!$L$30-1)/AA15),1)</f>
        <v>-451.48415553923377</v>
      </c>
      <c r="AB355" s="374">
        <f>-(AB60+AB61+AB63)* AB$12*IF(AB7=YEAR(Inputs!$L$30),((AB9-Inputs!$L$30-1)/AB15),1)</f>
        <v>-455.90117259426461</v>
      </c>
      <c r="AC355" s="374">
        <f>-(AC60+AC61+AC63)* AC$12*IF(AC7=YEAR(Inputs!$L$30),((AC9-Inputs!$L$30-1)/AC15),1)</f>
        <v>-467.11302790133777</v>
      </c>
      <c r="AD355" s="374">
        <f>-(AD60+AD61+AD63)* AD$12*IF(AD7=YEAR(Inputs!$L$30),((AD9-Inputs!$L$30-1)/AD15),1)</f>
        <v>-485.2696485673444</v>
      </c>
      <c r="AE355" s="374">
        <f>-(AE60+AE61+AE63)* AE$12*IF(AE7=YEAR(Inputs!$L$30),((AE9-Inputs!$L$30-1)/AE15),1)</f>
        <v>-11649.37583740972</v>
      </c>
      <c r="AF355" s="374">
        <f>-(AF60+AF61+AF63)* AF$12*IF(AF7=YEAR(Inputs!$L$30),((AF9-Inputs!$L$30-1)/AF15),1)</f>
        <v>-1033.4276374670399</v>
      </c>
      <c r="AG355" s="374">
        <f>-(AG60+AG61+AG63)* AG$12*IF(AG7=YEAR(Inputs!$L$30),((AG9-Inputs!$L$30-1)/AG15),1)</f>
        <v>-1037.5120385612349</v>
      </c>
      <c r="AH355" s="374">
        <f>-(AH60+AH61+AH63)* AH$12*IF(AH7=YEAR(Inputs!$L$30),((AH9-Inputs!$L$30-1)/AH15),1)</f>
        <v>-1034.7963975999935</v>
      </c>
      <c r="AI355" s="374">
        <f>-(AI60+AI61+AI63)* AI$12*IF(AI7=YEAR(Inputs!$L$30),((AI9-Inputs!$L$30-1)/AI15),1)</f>
        <v>-1022.4894782496011</v>
      </c>
      <c r="AJ355" s="374">
        <f>-(AJ60+AJ61+AJ63)* AJ$12*IF(AJ7=YEAR(Inputs!$L$30),((AJ9-Inputs!$L$30-1)/AJ15),1)</f>
        <v>-1116.7950018714087</v>
      </c>
      <c r="AK355" s="374">
        <f>-(AK60+AK61+AK63)* AK$12*IF(AK7=YEAR(Inputs!$L$30),((AK9-Inputs!$L$30-1)/AK15),1)</f>
        <v>-1192.554204850989</v>
      </c>
      <c r="AL355" s="374">
        <f>-(AL60+AL61+AL63)* AL$12*IF(AL7=YEAR(Inputs!$L$30),((AL9-Inputs!$L$30-1)/AL15),1)</f>
        <v>-1127.2407639070914</v>
      </c>
      <c r="AM355" s="374">
        <f>-(AM60+AM61+AM63)* AM$12*IF(AM7=YEAR(Inputs!$L$30),((AM9-Inputs!$L$30-1)/AM15),1)</f>
        <v>-1096.7689242648917</v>
      </c>
      <c r="AN355" s="374">
        <f>-(AN60+AN61+AN63)* AN$12*IF(AN7=YEAR(Inputs!$L$30),((AN9-Inputs!$L$30-1)/AN15),1)</f>
        <v>-1570.5719081652471</v>
      </c>
      <c r="AO355" s="374">
        <f>-(AO60+AO61+AO63)* AO$12*IF(AO7=YEAR(Inputs!$L$30),((AO9-Inputs!$L$30-1)/AO15),1)</f>
        <v>-21423.658303089967</v>
      </c>
      <c r="AP355" s="374">
        <f>-(AP60+AP61+AP63)* AP$12*IF(AP7=YEAR(Inputs!$L$30),((AP9-Inputs!$L$30-1)/AP15),1)</f>
        <v>-2073.0275728766073</v>
      </c>
      <c r="AQ355" s="374">
        <f>-(AQ60+AQ61+AQ63)* AQ$12*IF(AQ7=YEAR(Inputs!$L$30),((AQ9-Inputs!$L$30-1)/AQ15),1)</f>
        <v>-1808.8185094485511</v>
      </c>
      <c r="AR355" s="374">
        <f>-(AR60+AR61+AR63)* AR$12*IF(AR7=YEAR(Inputs!$L$30),((AR9-Inputs!$L$30-1)/AR15),1)</f>
        <v>-1430.9616326424739</v>
      </c>
      <c r="AS355" s="374">
        <f>-(AS60+AS61+AS63)* AS$12*IF(AS7=YEAR(Inputs!$L$30),((AS9-Inputs!$L$30-1)/AS15),1)</f>
        <v>-571.53909421827882</v>
      </c>
      <c r="AT355" s="374">
        <f>-(AT60+AT61+AT63)* AT$12*IF(AT7=YEAR(Inputs!$L$30),((AT9-Inputs!$L$30-1)/AT15),1)</f>
        <v>-535.129494132118</v>
      </c>
      <c r="AU355" s="374">
        <f>-(AU60+AU61+AU63)* AU$12*IF(AU7=YEAR(Inputs!$L$30),((AU9-Inputs!$L$30-1)/AU15),1)</f>
        <v>-483.6572627455169</v>
      </c>
      <c r="AV355" s="374">
        <f>-(AV60+AV61+AV63)* AV$12*IF(AV7=YEAR(Inputs!$L$30),((AV9-Inputs!$L$30-1)/AV15),1)</f>
        <v>-411.23912903678615</v>
      </c>
      <c r="AW355" s="374">
        <f>-(AW60+AW61+AW63)* AW$12*IF(AW7=YEAR(Inputs!$L$30),((AW9-Inputs!$L$30-1)/AW15),1)</f>
        <v>-340.15854156231063</v>
      </c>
      <c r="AX355" s="374">
        <f>-(AX60+AX61+AX63)* AX$12*IF(AX7=YEAR(Inputs!$L$30),((AX9-Inputs!$L$30-1)/AX15),1)</f>
        <v>-270.39502631410579</v>
      </c>
      <c r="AY355" s="374">
        <f>-(AY60+AY61+AY63)* AY$12*IF(AY7=YEAR(Inputs!$L$30),((AY9-Inputs!$L$30-1)/AY15),1)</f>
        <v>-17961.866278762696</v>
      </c>
      <c r="AZ355" s="374">
        <f>-(AZ60+AZ61+AZ63)* AZ$12*IF(AZ7=YEAR(Inputs!$L$30),((AZ9-Inputs!$L$30-1)/AZ15),1)</f>
        <v>-124.03715987773975</v>
      </c>
      <c r="BA355" s="374">
        <f>-(BA60+BA61+BA63)* BA$12*IF(BA7=YEAR(Inputs!$L$30),((BA9-Inputs!$L$30-1)/BA15),1)</f>
        <v>-126.89001455492776</v>
      </c>
      <c r="BB355" s="374">
        <f>-(BB60+BB61+BB63)* BB$12*IF(BB7=YEAR(Inputs!$L$30),((BB9-Inputs!$L$30-1)/BB15),1)</f>
        <v>-129.8084848896911</v>
      </c>
      <c r="BC355" s="374">
        <f>-(BC60+BC61+BC63)* BC$12*IF(BC7=YEAR(Inputs!$L$30),((BC9-Inputs!$L$30-1)/BC15),1)</f>
        <v>-132.79408004215398</v>
      </c>
      <c r="BD355" s="374">
        <f>-(BD60+BD61+BD63)* BD$12*IF(BD7=YEAR(Inputs!$L$30),((BD9-Inputs!$L$30-1)/BD15),1)</f>
        <v>-135.84834388312353</v>
      </c>
      <c r="BE355" s="374">
        <f>-(BE60+BE61+BE63)* BE$12*IF(BE7=YEAR(Inputs!$L$30),((BE9-Inputs!$L$30-1)/BE15),1)</f>
        <v>-138.97285579243535</v>
      </c>
      <c r="BF355" s="374">
        <f>-(BF60+BF61+BF63)* BF$12*IF(BF7=YEAR(Inputs!$L$30),((BF9-Inputs!$L$30-1)/BF15),1)</f>
        <v>0</v>
      </c>
      <c r="BG355" s="374">
        <f>-(BG60+BG61+BG63)* BG$12*IF(BG7=YEAR(Inputs!$L$30),((BG9-Inputs!$L$30-1)/BG15),1)</f>
        <v>0</v>
      </c>
      <c r="BH355" s="374">
        <f>-(BH60+BH61+BH63)* BH$12*IF(BH7=YEAR(Inputs!$L$30),((BH9-Inputs!$L$30-1)/BH15),1)</f>
        <v>0</v>
      </c>
      <c r="BI355" s="374">
        <f>-(BI60+BI61+BI63)* BI$12*IF(BI7=YEAR(Inputs!$L$30),((BI9-Inputs!$L$30-1)/BI15),1)</f>
        <v>0</v>
      </c>
      <c r="BJ355" s="374">
        <f>-(BJ60+BJ61+BJ63)* BJ$12*IF(BJ7=YEAR(Inputs!$L$30),((BJ9-Inputs!$L$30-1)/BJ15),1)</f>
        <v>0</v>
      </c>
      <c r="BK355" s="374">
        <f>-(BK60+BK61+BK63)* BK$12*IF(BK7=YEAR(Inputs!$L$30),((BK9-Inputs!$L$30-1)/BK15),1)</f>
        <v>0</v>
      </c>
      <c r="BL355" s="374">
        <f>-(BL60+BL61+BL63)* BL$12*IF(BL7=YEAR(Inputs!$L$30),((BL9-Inputs!$L$30-1)/BL15),1)</f>
        <v>0</v>
      </c>
      <c r="BM355" s="374">
        <f>-(BM60+BM61+BM63)* BM$12*IF(BM7=YEAR(Inputs!$L$30),((BM9-Inputs!$L$30-1)/BM15),1)</f>
        <v>0</v>
      </c>
      <c r="BN355" s="374">
        <f>-(BN60+BN61+BN63)* BN$12*IF(BN7=YEAR(Inputs!$L$30),((BN9-Inputs!$L$30-1)/BN15),1)</f>
        <v>0</v>
      </c>
      <c r="BO355" s="374">
        <f>-(BO60+BO61+BO63)* BO$12*IF(BO7=YEAR(Inputs!$L$30),((BO9-Inputs!$L$30-1)/BO15),1)</f>
        <v>0</v>
      </c>
      <c r="BP355" s="374">
        <f>-(BP60+BP61+BP63)* BP$12*IF(BP7=YEAR(Inputs!$L$30),((BP9-Inputs!$L$30-1)/BP15),1)</f>
        <v>0</v>
      </c>
      <c r="BQ355" s="374">
        <f>-(BQ60+BQ61+BQ63)* BQ$12*IF(BQ7=YEAR(Inputs!$L$30),((BQ9-Inputs!$L$30-1)/BQ15),1)</f>
        <v>0</v>
      </c>
      <c r="BR355" s="374">
        <f>-(BR60+BR61+BR63)* BR$12*IF(BR7=YEAR(Inputs!$L$30),((BR9-Inputs!$L$30-1)/BR15),1)</f>
        <v>0</v>
      </c>
      <c r="BS355" s="374">
        <f>-(BS60+BS61+BS63)* BS$12*IF(BS7=YEAR(Inputs!$L$30),((BS9-Inputs!$L$30-1)/BS15),1)</f>
        <v>0</v>
      </c>
      <c r="BT355" s="374">
        <f>-(BT60+BT61+BT63)* BT$12*IF(BT7=YEAR(Inputs!$L$30),((BT9-Inputs!$L$30-1)/BT15),1)</f>
        <v>0</v>
      </c>
      <c r="BU355" s="374">
        <f>-(BU60+BU61+BU63)* BU$12*IF(BU7=YEAR(Inputs!$L$30),((BU9-Inputs!$L$30-1)/BU15),1)</f>
        <v>0</v>
      </c>
    </row>
    <row r="356" spans="1:73" x14ac:dyDescent="0.2">
      <c r="A356" s="186"/>
      <c r="B356" s="186"/>
      <c r="C356" s="387" t="s">
        <v>214</v>
      </c>
      <c r="D356" s="186"/>
      <c r="E356" s="186"/>
      <c r="F356" s="186"/>
      <c r="G356" s="186"/>
      <c r="H356" s="186"/>
      <c r="I356" s="186"/>
      <c r="J356" s="186"/>
      <c r="K356" s="367" t="s">
        <v>63</v>
      </c>
      <c r="L356" s="186"/>
      <c r="M356" s="374"/>
      <c r="N356" s="374">
        <f>SUM(Q356:BU356)</f>
        <v>-2271858.6537143635</v>
      </c>
      <c r="O356" s="186"/>
      <c r="P356" s="186"/>
      <c r="Q356" s="374"/>
      <c r="R356" s="374"/>
      <c r="S356" s="374">
        <f>+(S23+S55+S31)*S$12 * Oper!S12</f>
        <v>-43757.752098483172</v>
      </c>
      <c r="T356" s="374">
        <f>+(T23+T55+T31)*T$12 * Oper!T12</f>
        <v>-43757.752098483172</v>
      </c>
      <c r="U356" s="374">
        <f>+(U23+U55+U31)*U$12 * Oper!U12</f>
        <v>-38291.698713442835</v>
      </c>
      <c r="V356" s="374">
        <f>+(V23+V55+V31)*V$12 * Oper!V12</f>
        <v>-32875.585469647172</v>
      </c>
      <c r="W356" s="374">
        <f>+(W23+W55+W31)*W$12 * Oper!W12</f>
        <v>-33080.328508790204</v>
      </c>
      <c r="X356" s="374">
        <f>+(X23+X55+X31)*X$12 * Oper!X12</f>
        <v>-33350.039222449974</v>
      </c>
      <c r="Y356" s="374">
        <f>+(Y23+Y55+Y31)*Y$12 * Oper!Y12</f>
        <v>-33788.79805311314</v>
      </c>
      <c r="Z356" s="374">
        <f>+(Z23+Z55+Z31)*Z$12 * Oper!Z12</f>
        <v>-34358.968023495698</v>
      </c>
      <c r="AA356" s="374">
        <f>+(AA23+AA55+AA31)*AA$12 * Oper!AA12</f>
        <v>-35797.722324604809</v>
      </c>
      <c r="AB356" s="374">
        <f>+(AB23+AB55+AB31)*AB$12 * Oper!AB12</f>
        <v>-37402.229461011018</v>
      </c>
      <c r="AC356" s="374">
        <f>+(AC23+AC55+AC31)*AC$12 * Oper!AC12</f>
        <v>-39240.224923033493</v>
      </c>
      <c r="AD356" s="374">
        <f>+(AD23+AD55+AD31)*AD$12 * Oper!AD12</f>
        <v>-41028.921353743455</v>
      </c>
      <c r="AE356" s="374">
        <f>+(AE23+AE55+AE31)*AE$12 * Oper!AE12</f>
        <v>-43134.035847119245</v>
      </c>
      <c r="AF356" s="374">
        <f>+(AF23+AF55+AF31)*AF$12 * Oper!AF12</f>
        <v>-45462.688639372362</v>
      </c>
      <c r="AG356" s="374">
        <f>+(AG23+AG55+AG31)*AG$12 * Oper!AG12</f>
        <v>-48018.891618229791</v>
      </c>
      <c r="AH356" s="374">
        <f>+(AH23+AH55+AH31)*AH$12 * Oper!AH12</f>
        <v>-50538.906660665154</v>
      </c>
      <c r="AI356" s="374">
        <f>+(AI23+AI55+AI31)*AI$12 * Oper!AI12</f>
        <v>-53456.923758976074</v>
      </c>
      <c r="AJ356" s="374">
        <f>+(AJ23+AJ55+AJ31)*AJ$12 * Oper!AJ12</f>
        <v>-56835.876481261148</v>
      </c>
      <c r="AK356" s="374">
        <f>+(AK23+AK55+AK31)*AK$12 * Oper!AK12</f>
        <v>-61312.224910671925</v>
      </c>
      <c r="AL356" s="374">
        <f>+(AL23+AL55+AL31)*AL$12 * Oper!AL12</f>
        <v>-66161.771702383805</v>
      </c>
      <c r="AM356" s="374">
        <f>+(AM23+AM55+AM31)*AM$12 * Oper!AM12</f>
        <v>-70927.546004699965</v>
      </c>
      <c r="AN356" s="374">
        <f>+(AN23+AN55+AN31)*AN$12 * Oper!AN12</f>
        <v>-76120.438788663567</v>
      </c>
      <c r="AO356" s="374">
        <f>+(AO23+AO55+AO31)*AO$12 * Oper!AO12</f>
        <v>-83030.925474087795</v>
      </c>
      <c r="AP356" s="374">
        <f>+(AP23+AP55+AP31)*AP$12 * Oper!AP12</f>
        <v>-89220.229764769392</v>
      </c>
      <c r="AQ356" s="374">
        <f>+(AQ23+AQ55+AQ31)*AQ$12 * Oper!AQ12</f>
        <v>-95563.062340068427</v>
      </c>
      <c r="AR356" s="374">
        <f>+(AR23+AR55+AR31)*AR$12 * Oper!AR12</f>
        <v>-100749.48605238738</v>
      </c>
      <c r="AS356" s="374">
        <f>+(AS23+AS55+AS31)*AS$12 * Oper!AS12</f>
        <v>-104207.95531981395</v>
      </c>
      <c r="AT356" s="374">
        <f>+(AT23+AT55+AT31)*AT$12 * Oper!AT12</f>
        <v>-104485.62767496044</v>
      </c>
      <c r="AU356" s="374">
        <f>+(AU23+AU55+AU31)*AU$12 * Oper!AU12</f>
        <v>-104239.62442952156</v>
      </c>
      <c r="AV356" s="374">
        <f>+(AV23+AV55+AV31)*AV$12 * Oper!AV12</f>
        <v>-100079.40226845442</v>
      </c>
      <c r="AW356" s="374">
        <f>+(AW23+AW55+AW31)*AW$12 * Oper!AW12</f>
        <v>-92893.772380016409</v>
      </c>
      <c r="AX356" s="374">
        <f>+(AX23+AX55+AX31)*AX$12 * Oper!AX12</f>
        <v>-84767.466695155206</v>
      </c>
      <c r="AY356" s="374">
        <f>+(AY23+AY55+AY31)*AY$12 * Oper!AY12</f>
        <v>-76224.228288785962</v>
      </c>
      <c r="AZ356" s="374">
        <f>+(AZ23+AZ55+AZ31)*AZ$12 * Oper!AZ12</f>
        <v>-66255.988443943555</v>
      </c>
      <c r="BA356" s="374">
        <f>+(BA23+BA55+BA31)*BA$12 * Oper!BA12</f>
        <v>-55107.485090240669</v>
      </c>
      <c r="BB356" s="374">
        <f>+(BB23+BB55+BB31)*BB$12 * Oper!BB12</f>
        <v>-43064.646749955486</v>
      </c>
      <c r="BC356" s="374">
        <f>+(BC23+BC55+BC31)*BC$12 * Oper!BC12</f>
        <v>-30548.03105816455</v>
      </c>
      <c r="BD356" s="374">
        <f>+(BD23+BD55+BD31)*BD$12 * Oper!BD12</f>
        <v>-17374.293042554604</v>
      </c>
      <c r="BE356" s="374">
        <f>+(BE23+BE55+BE31)*BE$12 * Oper!BE12</f>
        <v>-5347.1039791417761</v>
      </c>
      <c r="BF356" s="374">
        <f>+(BF23+BF55+BF31)*BF$12 * Oper!BF12</f>
        <v>0</v>
      </c>
      <c r="BG356" s="374">
        <f>+(BG23+BG55+BG31)*BG$12 * Oper!BG12</f>
        <v>0</v>
      </c>
      <c r="BH356" s="374">
        <f>+(BH23+BH55+BH31)*BH$12 * Oper!BH12</f>
        <v>0</v>
      </c>
      <c r="BI356" s="374">
        <f>+(BI23+BI55+BI31)*BI$12 * Oper!BI12</f>
        <v>0</v>
      </c>
      <c r="BJ356" s="374">
        <f>+(BJ23+BJ55+BJ31)*BJ$12 * Oper!BJ12</f>
        <v>0</v>
      </c>
      <c r="BK356" s="374">
        <f>+(BK23+BK55+BK31)*BK$12 * Oper!BK12</f>
        <v>0</v>
      </c>
      <c r="BL356" s="374">
        <f>+(BL23+BL55+BL31)*BL$12 * Oper!BL12</f>
        <v>0</v>
      </c>
      <c r="BM356" s="374">
        <f>+(BM23+BM55+BM31)*BM$12 * Oper!BM12</f>
        <v>0</v>
      </c>
      <c r="BN356" s="374">
        <f>+(BN23+BN55+BN31)*BN$12 * Oper!BN12</f>
        <v>0</v>
      </c>
      <c r="BO356" s="374">
        <f>+(BO23+BO55+BO31)*BO$12 * Oper!BO12</f>
        <v>0</v>
      </c>
      <c r="BP356" s="374">
        <f>+(BP23+BP55+BP31)*BP$12 * Oper!BP12</f>
        <v>0</v>
      </c>
      <c r="BQ356" s="374">
        <f>+(BQ23+BQ55+BQ31)*BQ$12 * Oper!BQ12</f>
        <v>0</v>
      </c>
      <c r="BR356" s="374">
        <f>+(BR23+BR55+BR31)*BR$12 * Oper!BR12</f>
        <v>0</v>
      </c>
      <c r="BS356" s="374">
        <f>+(BS23+BS55+BS31)*BS$12 * Oper!BS12</f>
        <v>0</v>
      </c>
      <c r="BT356" s="374">
        <f>+(BT23+BT55+BT31)*BT$12 * Oper!BT12</f>
        <v>0</v>
      </c>
      <c r="BU356" s="374">
        <f>+(BU23+BU55+BU31)*BU$12 * Oper!BU12</f>
        <v>0</v>
      </c>
    </row>
    <row r="357" spans="1:73" x14ac:dyDescent="0.2">
      <c r="A357" s="186"/>
      <c r="B357" s="186"/>
      <c r="C357" s="388" t="s">
        <v>215</v>
      </c>
      <c r="D357" s="383"/>
      <c r="E357" s="383"/>
      <c r="F357" s="383"/>
      <c r="G357" s="383"/>
      <c r="H357" s="383"/>
      <c r="I357" s="383"/>
      <c r="J357" s="383"/>
      <c r="K357" s="617" t="s">
        <v>63</v>
      </c>
      <c r="L357" s="383"/>
      <c r="M357" s="383"/>
      <c r="N357" s="384">
        <f>SUM(Q357:BU357)</f>
        <v>-1751229.4683499921</v>
      </c>
      <c r="O357" s="383"/>
      <c r="P357" s="383"/>
      <c r="Q357" s="384"/>
      <c r="R357" s="384"/>
      <c r="S357" s="384">
        <f t="shared" ref="S357:AX357" si="501">+S24+S56+S51+S50</f>
        <v>0</v>
      </c>
      <c r="T357" s="384">
        <f t="shared" si="501"/>
        <v>0</v>
      </c>
      <c r="U357" s="384">
        <f t="shared" si="501"/>
        <v>0</v>
      </c>
      <c r="V357" s="384">
        <f t="shared" si="501"/>
        <v>0</v>
      </c>
      <c r="W357" s="384">
        <f t="shared" si="501"/>
        <v>0</v>
      </c>
      <c r="X357" s="384">
        <f t="shared" si="501"/>
        <v>0</v>
      </c>
      <c r="Y357" s="384">
        <f t="shared" si="501"/>
        <v>0</v>
      </c>
      <c r="Z357" s="384">
        <f t="shared" si="501"/>
        <v>0</v>
      </c>
      <c r="AA357" s="384">
        <f t="shared" si="501"/>
        <v>0</v>
      </c>
      <c r="AB357" s="384">
        <f t="shared" si="501"/>
        <v>0</v>
      </c>
      <c r="AC357" s="384">
        <f t="shared" si="501"/>
        <v>0</v>
      </c>
      <c r="AD357" s="384">
        <f t="shared" si="501"/>
        <v>0</v>
      </c>
      <c r="AE357" s="384">
        <f t="shared" si="501"/>
        <v>56681.275391730502</v>
      </c>
      <c r="AF357" s="384">
        <f t="shared" si="501"/>
        <v>0</v>
      </c>
      <c r="AG357" s="384">
        <f t="shared" si="501"/>
        <v>0</v>
      </c>
      <c r="AH357" s="384">
        <f t="shared" si="501"/>
        <v>0</v>
      </c>
      <c r="AI357" s="384">
        <f t="shared" si="501"/>
        <v>0</v>
      </c>
      <c r="AJ357" s="384">
        <f t="shared" si="501"/>
        <v>0</v>
      </c>
      <c r="AK357" s="384">
        <f t="shared" si="501"/>
        <v>0</v>
      </c>
      <c r="AL357" s="384">
        <f t="shared" si="501"/>
        <v>0</v>
      </c>
      <c r="AM357" s="384">
        <f t="shared" si="501"/>
        <v>0</v>
      </c>
      <c r="AN357" s="384">
        <f t="shared" si="501"/>
        <v>0</v>
      </c>
      <c r="AO357" s="384">
        <f t="shared" si="501"/>
        <v>124056.64889786874</v>
      </c>
      <c r="AP357" s="384">
        <f t="shared" si="501"/>
        <v>0</v>
      </c>
      <c r="AQ357" s="384">
        <f t="shared" si="501"/>
        <v>0</v>
      </c>
      <c r="AR357" s="384">
        <f t="shared" si="501"/>
        <v>0</v>
      </c>
      <c r="AS357" s="384">
        <f t="shared" si="501"/>
        <v>0</v>
      </c>
      <c r="AT357" s="384">
        <f t="shared" si="501"/>
        <v>0</v>
      </c>
      <c r="AU357" s="384">
        <f t="shared" si="501"/>
        <v>-76887.250136877992</v>
      </c>
      <c r="AV357" s="384">
        <f t="shared" si="501"/>
        <v>-155587.62314248437</v>
      </c>
      <c r="AW357" s="384">
        <f t="shared" si="501"/>
        <v>-163755.97335746483</v>
      </c>
      <c r="AX357" s="384">
        <f t="shared" si="501"/>
        <v>-172353.16195873168</v>
      </c>
      <c r="AY357" s="384">
        <f t="shared" ref="AY357:BU357" si="502">+AY24+AY56+AY51+AY50</f>
        <v>-66271.940019552596</v>
      </c>
      <c r="AZ357" s="384">
        <f t="shared" si="502"/>
        <v>-209522.18265871578</v>
      </c>
      <c r="BA357" s="384">
        <f t="shared" si="502"/>
        <v>-220522.09724829838</v>
      </c>
      <c r="BB357" s="384">
        <f t="shared" si="502"/>
        <v>-232099.50735383405</v>
      </c>
      <c r="BC357" s="384">
        <f t="shared" si="502"/>
        <v>-244284.73148991028</v>
      </c>
      <c r="BD357" s="384">
        <f t="shared" si="502"/>
        <v>-257109.67989313052</v>
      </c>
      <c r="BE357" s="384">
        <f t="shared" si="502"/>
        <v>-133573.24538059082</v>
      </c>
      <c r="BF357" s="384">
        <f t="shared" si="502"/>
        <v>0</v>
      </c>
      <c r="BG357" s="384">
        <f t="shared" si="502"/>
        <v>0</v>
      </c>
      <c r="BH357" s="384">
        <f t="shared" si="502"/>
        <v>0</v>
      </c>
      <c r="BI357" s="384">
        <f t="shared" si="502"/>
        <v>0</v>
      </c>
      <c r="BJ357" s="384">
        <f t="shared" si="502"/>
        <v>0</v>
      </c>
      <c r="BK357" s="384">
        <f t="shared" si="502"/>
        <v>0</v>
      </c>
      <c r="BL357" s="384">
        <f t="shared" si="502"/>
        <v>0</v>
      </c>
      <c r="BM357" s="384">
        <f t="shared" si="502"/>
        <v>0</v>
      </c>
      <c r="BN357" s="384">
        <f t="shared" si="502"/>
        <v>0</v>
      </c>
      <c r="BO357" s="384">
        <f t="shared" si="502"/>
        <v>0</v>
      </c>
      <c r="BP357" s="384">
        <f t="shared" si="502"/>
        <v>0</v>
      </c>
      <c r="BQ357" s="384">
        <f t="shared" si="502"/>
        <v>0</v>
      </c>
      <c r="BR357" s="384">
        <f t="shared" si="502"/>
        <v>0</v>
      </c>
      <c r="BS357" s="384">
        <f t="shared" si="502"/>
        <v>0</v>
      </c>
      <c r="BT357" s="384">
        <f t="shared" si="502"/>
        <v>0</v>
      </c>
      <c r="BU357" s="384">
        <f t="shared" si="502"/>
        <v>0</v>
      </c>
    </row>
    <row r="358" spans="1:73" x14ac:dyDescent="0.2">
      <c r="A358" s="409"/>
      <c r="B358" s="409"/>
      <c r="C358" s="389" t="s">
        <v>216</v>
      </c>
      <c r="D358" s="409"/>
      <c r="E358" s="409"/>
      <c r="F358" s="409"/>
      <c r="G358" s="409"/>
      <c r="H358" s="409"/>
      <c r="I358" s="409"/>
      <c r="J358" s="409"/>
      <c r="K358" s="608" t="s">
        <v>63</v>
      </c>
      <c r="L358" s="409"/>
      <c r="M358" s="409"/>
      <c r="N358" s="451">
        <f>SUM(Q358:BU358)</f>
        <v>-4104686.9585167198</v>
      </c>
      <c r="O358" s="409"/>
      <c r="P358" s="409"/>
      <c r="Q358" s="451"/>
      <c r="R358" s="451"/>
      <c r="S358" s="451">
        <f t="shared" ref="S358:AO358" si="503">SUM(S355:S357)</f>
        <v>-43757.752098483172</v>
      </c>
      <c r="T358" s="451">
        <f t="shared" si="503"/>
        <v>-43817.725153013547</v>
      </c>
      <c r="U358" s="451">
        <f t="shared" si="503"/>
        <v>-46397.934092961324</v>
      </c>
      <c r="V358" s="451">
        <f t="shared" si="503"/>
        <v>-33165.844124821495</v>
      </c>
      <c r="W358" s="451">
        <f t="shared" si="503"/>
        <v>-33367.667011447615</v>
      </c>
      <c r="X358" s="451">
        <f t="shared" si="503"/>
        <v>-33632.319557543968</v>
      </c>
      <c r="Y358" s="451">
        <f t="shared" si="503"/>
        <v>-34063.162967855445</v>
      </c>
      <c r="Z358" s="451">
        <f t="shared" si="503"/>
        <v>-34817.251653326355</v>
      </c>
      <c r="AA358" s="451">
        <f t="shared" si="503"/>
        <v>-36249.206480144043</v>
      </c>
      <c r="AB358" s="451">
        <f t="shared" si="503"/>
        <v>-37858.13063360528</v>
      </c>
      <c r="AC358" s="451">
        <f t="shared" si="503"/>
        <v>-39707.337950934831</v>
      </c>
      <c r="AD358" s="451">
        <f t="shared" si="503"/>
        <v>-41514.191002310799</v>
      </c>
      <c r="AE358" s="451">
        <f t="shared" si="503"/>
        <v>1897.8637072015335</v>
      </c>
      <c r="AF358" s="451">
        <f t="shared" si="503"/>
        <v>-46496.116276839399</v>
      </c>
      <c r="AG358" s="451">
        <f t="shared" si="503"/>
        <v>-49056.403656791023</v>
      </c>
      <c r="AH358" s="451">
        <f t="shared" si="503"/>
        <v>-51573.70305826515</v>
      </c>
      <c r="AI358" s="451">
        <f t="shared" si="503"/>
        <v>-54479.413237225672</v>
      </c>
      <c r="AJ358" s="451">
        <f t="shared" si="503"/>
        <v>-57952.671483132559</v>
      </c>
      <c r="AK358" s="451">
        <f t="shared" si="503"/>
        <v>-62504.779115522913</v>
      </c>
      <c r="AL358" s="451">
        <f t="shared" si="503"/>
        <v>-67289.012466290893</v>
      </c>
      <c r="AM358" s="451">
        <f t="shared" si="503"/>
        <v>-72024.314928964857</v>
      </c>
      <c r="AN358" s="451">
        <f t="shared" si="503"/>
        <v>-77691.010696828816</v>
      </c>
      <c r="AO358" s="451">
        <f t="shared" si="503"/>
        <v>19602.065120690982</v>
      </c>
      <c r="AP358" s="451">
        <f t="shared" ref="AP358:BU358" si="504">SUM(AP355:AP357)</f>
        <v>-91293.257337646006</v>
      </c>
      <c r="AQ358" s="451">
        <f t="shared" si="504"/>
        <v>-97371.88084951698</v>
      </c>
      <c r="AR358" s="451">
        <f t="shared" si="504"/>
        <v>-102180.44768502985</v>
      </c>
      <c r="AS358" s="451">
        <f t="shared" si="504"/>
        <v>-104779.49441403223</v>
      </c>
      <c r="AT358" s="451">
        <f t="shared" si="504"/>
        <v>-105020.75716909257</v>
      </c>
      <c r="AU358" s="451">
        <f t="shared" si="504"/>
        <v>-181610.53182914507</v>
      </c>
      <c r="AV358" s="451">
        <f t="shared" si="504"/>
        <v>-256078.26453997556</v>
      </c>
      <c r="AW358" s="451">
        <f t="shared" si="504"/>
        <v>-256989.90427904355</v>
      </c>
      <c r="AX358" s="451">
        <f t="shared" si="504"/>
        <v>-257391.02368020097</v>
      </c>
      <c r="AY358" s="451">
        <f t="shared" si="504"/>
        <v>-160458.03458710125</v>
      </c>
      <c r="AZ358" s="451">
        <f t="shared" si="504"/>
        <v>-275902.20826253708</v>
      </c>
      <c r="BA358" s="451">
        <f t="shared" si="504"/>
        <v>-275756.47235309397</v>
      </c>
      <c r="BB358" s="451">
        <f t="shared" si="504"/>
        <v>-275293.96258867922</v>
      </c>
      <c r="BC358" s="451">
        <f t="shared" si="504"/>
        <v>-274965.55662811699</v>
      </c>
      <c r="BD358" s="451">
        <f t="shared" si="504"/>
        <v>-274619.82127956825</v>
      </c>
      <c r="BE358" s="451">
        <f t="shared" si="504"/>
        <v>-139059.32221552503</v>
      </c>
      <c r="BF358" s="451">
        <f t="shared" si="504"/>
        <v>0</v>
      </c>
      <c r="BG358" s="451">
        <f t="shared" si="504"/>
        <v>0</v>
      </c>
      <c r="BH358" s="451">
        <f t="shared" si="504"/>
        <v>0</v>
      </c>
      <c r="BI358" s="451">
        <f t="shared" si="504"/>
        <v>0</v>
      </c>
      <c r="BJ358" s="451">
        <f t="shared" si="504"/>
        <v>0</v>
      </c>
      <c r="BK358" s="451">
        <f t="shared" si="504"/>
        <v>0</v>
      </c>
      <c r="BL358" s="451">
        <f t="shared" si="504"/>
        <v>0</v>
      </c>
      <c r="BM358" s="451">
        <f t="shared" si="504"/>
        <v>0</v>
      </c>
      <c r="BN358" s="451">
        <f t="shared" si="504"/>
        <v>0</v>
      </c>
      <c r="BO358" s="451">
        <f t="shared" si="504"/>
        <v>0</v>
      </c>
      <c r="BP358" s="451">
        <f t="shared" si="504"/>
        <v>0</v>
      </c>
      <c r="BQ358" s="451">
        <f t="shared" si="504"/>
        <v>0</v>
      </c>
      <c r="BR358" s="451">
        <f t="shared" si="504"/>
        <v>0</v>
      </c>
      <c r="BS358" s="451">
        <f t="shared" si="504"/>
        <v>0</v>
      </c>
      <c r="BT358" s="451">
        <f t="shared" si="504"/>
        <v>0</v>
      </c>
      <c r="BU358" s="451">
        <f t="shared" si="504"/>
        <v>0</v>
      </c>
    </row>
    <row r="359" spans="1:73" x14ac:dyDescent="0.2">
      <c r="A359" s="186"/>
      <c r="B359" s="186"/>
      <c r="C359" s="387"/>
      <c r="D359" s="186"/>
      <c r="E359" s="186"/>
      <c r="F359" s="186"/>
      <c r="G359" s="186"/>
      <c r="H359" s="186"/>
      <c r="I359" s="186"/>
      <c r="J359" s="186"/>
      <c r="K359" s="367"/>
      <c r="L359" s="186"/>
      <c r="M359" s="186"/>
      <c r="N359" s="186"/>
      <c r="O359" s="186"/>
      <c r="P359" s="186"/>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374"/>
      <c r="AX359" s="374"/>
      <c r="AY359" s="374"/>
      <c r="AZ359" s="374"/>
      <c r="BA359" s="374"/>
      <c r="BB359" s="374"/>
      <c r="BC359" s="374"/>
      <c r="BD359" s="374"/>
      <c r="BE359" s="374"/>
      <c r="BF359" s="374"/>
      <c r="BG359" s="374"/>
      <c r="BH359" s="374"/>
      <c r="BI359" s="374"/>
      <c r="BJ359" s="374"/>
      <c r="BK359" s="374"/>
      <c r="BL359" s="374"/>
      <c r="BM359" s="374"/>
      <c r="BN359" s="374"/>
      <c r="BO359" s="374"/>
      <c r="BP359" s="374"/>
      <c r="BQ359" s="374"/>
      <c r="BR359" s="374"/>
      <c r="BS359" s="374"/>
      <c r="BT359" s="374"/>
      <c r="BU359" s="374"/>
    </row>
    <row r="360" spans="1:73" x14ac:dyDescent="0.2">
      <c r="A360" s="186"/>
      <c r="B360" s="186"/>
      <c r="C360" s="387" t="s">
        <v>217</v>
      </c>
      <c r="D360" s="186"/>
      <c r="E360" s="186"/>
      <c r="F360" s="186"/>
      <c r="G360" s="186"/>
      <c r="H360" s="186"/>
      <c r="I360" s="186"/>
      <c r="J360" s="186"/>
      <c r="K360" s="367" t="s">
        <v>63</v>
      </c>
      <c r="L360" s="186"/>
      <c r="M360" s="186"/>
      <c r="N360" s="374">
        <f>SUM(Q360:BU360)</f>
        <v>-4177.0064636804736</v>
      </c>
      <c r="O360" s="186"/>
      <c r="P360" s="186"/>
      <c r="Q360" s="374"/>
      <c r="R360" s="374"/>
      <c r="S360" s="374">
        <f t="shared" ref="S360:AX360" si="505">-(S122) * S$12</f>
        <v>0</v>
      </c>
      <c r="T360" s="374">
        <f t="shared" si="505"/>
        <v>-125.60294148591835</v>
      </c>
      <c r="U360" s="374">
        <f t="shared" si="505"/>
        <v>-128.42900766935151</v>
      </c>
      <c r="V360" s="374">
        <f t="shared" si="505"/>
        <v>-131.31866034191191</v>
      </c>
      <c r="W360" s="374">
        <f t="shared" si="505"/>
        <v>-134.33898952977586</v>
      </c>
      <c r="X360" s="374">
        <f t="shared" si="505"/>
        <v>-137.42878628896068</v>
      </c>
      <c r="Y360" s="374">
        <f t="shared" si="505"/>
        <v>-140.58964837360676</v>
      </c>
      <c r="Z360" s="374">
        <f t="shared" si="505"/>
        <v>-143.8232102861997</v>
      </c>
      <c r="AA360" s="374">
        <f t="shared" si="505"/>
        <v>-147.13114412278227</v>
      </c>
      <c r="AB360" s="374">
        <f t="shared" si="505"/>
        <v>-150.51516043760626</v>
      </c>
      <c r="AC360" s="374">
        <f t="shared" si="505"/>
        <v>-153.97700912767121</v>
      </c>
      <c r="AD360" s="374">
        <f t="shared" si="505"/>
        <v>-157.51848033760763</v>
      </c>
      <c r="AE360" s="374">
        <f t="shared" si="505"/>
        <v>-161.14140538537259</v>
      </c>
      <c r="AF360" s="374">
        <f t="shared" si="505"/>
        <v>-164.84765770923616</v>
      </c>
      <c r="AG360" s="374">
        <f t="shared" si="505"/>
        <v>-168.63915383654856</v>
      </c>
      <c r="AH360" s="374">
        <f t="shared" si="505"/>
        <v>-172.51785437478915</v>
      </c>
      <c r="AI360" s="374">
        <f t="shared" si="505"/>
        <v>-176.48576502540931</v>
      </c>
      <c r="AJ360" s="374">
        <f t="shared" si="505"/>
        <v>-180.54493762099372</v>
      </c>
      <c r="AK360" s="374">
        <f t="shared" si="505"/>
        <v>-184.69747118627654</v>
      </c>
      <c r="AL360" s="374">
        <f t="shared" si="505"/>
        <v>-188.94551302356089</v>
      </c>
      <c r="AM360" s="374">
        <f t="shared" si="505"/>
        <v>-193.29125982310276</v>
      </c>
      <c r="AN360" s="374">
        <f t="shared" si="505"/>
        <v>-197.73695879903411</v>
      </c>
      <c r="AO360" s="374">
        <f t="shared" si="505"/>
        <v>-202.28490885141187</v>
      </c>
      <c r="AP360" s="374">
        <f t="shared" si="505"/>
        <v>-206.93746175499433</v>
      </c>
      <c r="AQ360" s="374">
        <f t="shared" si="505"/>
        <v>-211.69702337535921</v>
      </c>
      <c r="AR360" s="374">
        <f t="shared" si="505"/>
        <v>-216.56605491299243</v>
      </c>
      <c r="AS360" s="374">
        <f t="shared" si="505"/>
        <v>0</v>
      </c>
      <c r="AT360" s="374">
        <f t="shared" si="505"/>
        <v>0</v>
      </c>
      <c r="AU360" s="374">
        <f t="shared" si="505"/>
        <v>0</v>
      </c>
      <c r="AV360" s="374">
        <f t="shared" si="505"/>
        <v>0</v>
      </c>
      <c r="AW360" s="374">
        <f t="shared" si="505"/>
        <v>0</v>
      </c>
      <c r="AX360" s="374">
        <f t="shared" si="505"/>
        <v>0</v>
      </c>
      <c r="AY360" s="374">
        <f t="shared" ref="AY360:BU360" si="506">-(AY122) * AY$12</f>
        <v>0</v>
      </c>
      <c r="AZ360" s="374">
        <f t="shared" si="506"/>
        <v>0</v>
      </c>
      <c r="BA360" s="374">
        <f t="shared" si="506"/>
        <v>0</v>
      </c>
      <c r="BB360" s="374">
        <f t="shared" si="506"/>
        <v>0</v>
      </c>
      <c r="BC360" s="374">
        <f t="shared" si="506"/>
        <v>0</v>
      </c>
      <c r="BD360" s="374">
        <f t="shared" si="506"/>
        <v>0</v>
      </c>
      <c r="BE360" s="374">
        <f t="shared" si="506"/>
        <v>0</v>
      </c>
      <c r="BF360" s="374">
        <f t="shared" si="506"/>
        <v>0</v>
      </c>
      <c r="BG360" s="374">
        <f t="shared" si="506"/>
        <v>0</v>
      </c>
      <c r="BH360" s="374">
        <f t="shared" si="506"/>
        <v>0</v>
      </c>
      <c r="BI360" s="374">
        <f t="shared" si="506"/>
        <v>0</v>
      </c>
      <c r="BJ360" s="374">
        <f t="shared" si="506"/>
        <v>0</v>
      </c>
      <c r="BK360" s="374">
        <f t="shared" si="506"/>
        <v>0</v>
      </c>
      <c r="BL360" s="374">
        <f t="shared" si="506"/>
        <v>0</v>
      </c>
      <c r="BM360" s="374">
        <f t="shared" si="506"/>
        <v>0</v>
      </c>
      <c r="BN360" s="374">
        <f t="shared" si="506"/>
        <v>0</v>
      </c>
      <c r="BO360" s="374">
        <f t="shared" si="506"/>
        <v>0</v>
      </c>
      <c r="BP360" s="374">
        <f t="shared" si="506"/>
        <v>0</v>
      </c>
      <c r="BQ360" s="374">
        <f t="shared" si="506"/>
        <v>0</v>
      </c>
      <c r="BR360" s="374">
        <f t="shared" si="506"/>
        <v>0</v>
      </c>
      <c r="BS360" s="374">
        <f t="shared" si="506"/>
        <v>0</v>
      </c>
      <c r="BT360" s="374">
        <f t="shared" si="506"/>
        <v>0</v>
      </c>
      <c r="BU360" s="374">
        <f t="shared" si="506"/>
        <v>0</v>
      </c>
    </row>
    <row r="361" spans="1:73" x14ac:dyDescent="0.2">
      <c r="A361" s="186"/>
      <c r="B361" s="186"/>
      <c r="C361" s="387" t="s">
        <v>218</v>
      </c>
      <c r="D361" s="186"/>
      <c r="E361" s="186"/>
      <c r="F361" s="186"/>
      <c r="G361" s="186"/>
      <c r="H361" s="186"/>
      <c r="I361" s="186"/>
      <c r="J361" s="186"/>
      <c r="K361" s="367" t="s">
        <v>63</v>
      </c>
      <c r="L361" s="186"/>
      <c r="M361" s="186"/>
      <c r="N361" s="374">
        <f>SUM(Q361:BU361)</f>
        <v>-826138.11291221529</v>
      </c>
      <c r="O361" s="186"/>
      <c r="P361" s="186"/>
      <c r="Q361" s="374"/>
      <c r="R361" s="374"/>
      <c r="S361" s="374">
        <f t="shared" ref="S361:AX361" si="507">+S130+S131</f>
        <v>0</v>
      </c>
      <c r="T361" s="374">
        <f t="shared" si="507"/>
        <v>0</v>
      </c>
      <c r="U361" s="374">
        <f t="shared" si="507"/>
        <v>-35825.18937530087</v>
      </c>
      <c r="V361" s="374">
        <f t="shared" si="507"/>
        <v>-47943.17364064946</v>
      </c>
      <c r="W361" s="374">
        <f t="shared" si="507"/>
        <v>-47895.124546619118</v>
      </c>
      <c r="X361" s="374">
        <f t="shared" si="507"/>
        <v>-47826.819624934134</v>
      </c>
      <c r="Y361" s="374">
        <f t="shared" si="507"/>
        <v>-47736.079580349106</v>
      </c>
      <c r="Z361" s="374">
        <f t="shared" si="507"/>
        <v>-47534.549749809725</v>
      </c>
      <c r="AA361" s="374">
        <f t="shared" si="507"/>
        <v>-46699.373750128972</v>
      </c>
      <c r="AB361" s="374">
        <f t="shared" si="507"/>
        <v>-45791.495713235752</v>
      </c>
      <c r="AC361" s="374">
        <f t="shared" si="507"/>
        <v>-44751.976373325175</v>
      </c>
      <c r="AD361" s="374">
        <f t="shared" si="507"/>
        <v>-43566.73003277299</v>
      </c>
      <c r="AE361" s="374">
        <f t="shared" si="507"/>
        <v>-42212.819742673069</v>
      </c>
      <c r="AF361" s="374">
        <f t="shared" si="507"/>
        <v>-40641.356706786843</v>
      </c>
      <c r="AG361" s="374">
        <f t="shared" si="507"/>
        <v>-38980.58399094647</v>
      </c>
      <c r="AH361" s="374">
        <f t="shared" si="507"/>
        <v>-37233.077298894154</v>
      </c>
      <c r="AI361" s="374">
        <f t="shared" si="507"/>
        <v>-35395.031701524174</v>
      </c>
      <c r="AJ361" s="374">
        <f t="shared" si="507"/>
        <v>-33409.799583049651</v>
      </c>
      <c r="AK361" s="374">
        <f t="shared" si="507"/>
        <v>-30904.147434377133</v>
      </c>
      <c r="AL361" s="374">
        <f t="shared" si="507"/>
        <v>-27924.795030521207</v>
      </c>
      <c r="AM361" s="374">
        <f t="shared" si="507"/>
        <v>-24822.794875707921</v>
      </c>
      <c r="AN361" s="374">
        <f t="shared" si="507"/>
        <v>-21380.651580051126</v>
      </c>
      <c r="AO361" s="374">
        <f t="shared" si="507"/>
        <v>-16378.327388164664</v>
      </c>
      <c r="AP361" s="374">
        <f t="shared" si="507"/>
        <v>-11865.984284098999</v>
      </c>
      <c r="AQ361" s="374">
        <f t="shared" si="507"/>
        <v>-6798.0230819313456</v>
      </c>
      <c r="AR361" s="374">
        <f t="shared" si="507"/>
        <v>-2620.2078263631342</v>
      </c>
      <c r="AS361" s="374">
        <f t="shared" si="507"/>
        <v>0</v>
      </c>
      <c r="AT361" s="374">
        <f t="shared" si="507"/>
        <v>0</v>
      </c>
      <c r="AU361" s="374">
        <f t="shared" si="507"/>
        <v>0</v>
      </c>
      <c r="AV361" s="374">
        <f t="shared" si="507"/>
        <v>0</v>
      </c>
      <c r="AW361" s="374">
        <f t="shared" si="507"/>
        <v>0</v>
      </c>
      <c r="AX361" s="374">
        <f t="shared" si="507"/>
        <v>0</v>
      </c>
      <c r="AY361" s="374">
        <f t="shared" ref="AY361:BU361" si="508">+AY130+AY131</f>
        <v>0</v>
      </c>
      <c r="AZ361" s="374">
        <f t="shared" si="508"/>
        <v>0</v>
      </c>
      <c r="BA361" s="374">
        <f t="shared" si="508"/>
        <v>0</v>
      </c>
      <c r="BB361" s="374">
        <f t="shared" si="508"/>
        <v>0</v>
      </c>
      <c r="BC361" s="374">
        <f t="shared" si="508"/>
        <v>0</v>
      </c>
      <c r="BD361" s="374">
        <f t="shared" si="508"/>
        <v>0</v>
      </c>
      <c r="BE361" s="374">
        <f t="shared" si="508"/>
        <v>0</v>
      </c>
      <c r="BF361" s="374">
        <f t="shared" si="508"/>
        <v>0</v>
      </c>
      <c r="BG361" s="374">
        <f t="shared" si="508"/>
        <v>0</v>
      </c>
      <c r="BH361" s="374">
        <f t="shared" si="508"/>
        <v>0</v>
      </c>
      <c r="BI361" s="374">
        <f t="shared" si="508"/>
        <v>0</v>
      </c>
      <c r="BJ361" s="374">
        <f t="shared" si="508"/>
        <v>0</v>
      </c>
      <c r="BK361" s="374">
        <f t="shared" si="508"/>
        <v>0</v>
      </c>
      <c r="BL361" s="374">
        <f t="shared" si="508"/>
        <v>0</v>
      </c>
      <c r="BM361" s="374">
        <f t="shared" si="508"/>
        <v>0</v>
      </c>
      <c r="BN361" s="374">
        <f t="shared" si="508"/>
        <v>0</v>
      </c>
      <c r="BO361" s="374">
        <f t="shared" si="508"/>
        <v>0</v>
      </c>
      <c r="BP361" s="374">
        <f t="shared" si="508"/>
        <v>0</v>
      </c>
      <c r="BQ361" s="374">
        <f t="shared" si="508"/>
        <v>0</v>
      </c>
      <c r="BR361" s="374">
        <f t="shared" si="508"/>
        <v>0</v>
      </c>
      <c r="BS361" s="374">
        <f t="shared" si="508"/>
        <v>0</v>
      </c>
      <c r="BT361" s="374">
        <f t="shared" si="508"/>
        <v>0</v>
      </c>
      <c r="BU361" s="374">
        <f t="shared" si="508"/>
        <v>0</v>
      </c>
    </row>
    <row r="362" spans="1:73" x14ac:dyDescent="0.2">
      <c r="A362" s="186"/>
      <c r="B362" s="186"/>
      <c r="C362" s="388" t="s">
        <v>219</v>
      </c>
      <c r="D362" s="383"/>
      <c r="E362" s="383"/>
      <c r="F362" s="383"/>
      <c r="G362" s="383"/>
      <c r="H362" s="383"/>
      <c r="I362" s="383"/>
      <c r="J362" s="383"/>
      <c r="K362" s="617" t="s">
        <v>63</v>
      </c>
      <c r="L362" s="383"/>
      <c r="M362" s="383"/>
      <c r="N362" s="384">
        <f>SUM(Q362:BU362)</f>
        <v>-1136229.0874899921</v>
      </c>
      <c r="O362" s="383"/>
      <c r="P362" s="383"/>
      <c r="Q362" s="384"/>
      <c r="R362" s="384"/>
      <c r="S362" s="384">
        <f t="shared" ref="S362:AX362" si="509">+S133+S134+S136+S138+S139</f>
        <v>0</v>
      </c>
      <c r="T362" s="384">
        <f t="shared" si="509"/>
        <v>0</v>
      </c>
      <c r="U362" s="384">
        <f t="shared" si="509"/>
        <v>0</v>
      </c>
      <c r="V362" s="384">
        <f t="shared" si="509"/>
        <v>-1079.4031143557513</v>
      </c>
      <c r="W362" s="384">
        <f t="shared" si="509"/>
        <v>-1553.0111910439446</v>
      </c>
      <c r="X362" s="384">
        <f t="shared" si="509"/>
        <v>-2077.7219821195758</v>
      </c>
      <c r="Y362" s="384">
        <f t="shared" si="509"/>
        <v>-2657.8503118983353</v>
      </c>
      <c r="Z362" s="384">
        <f t="shared" si="509"/>
        <v>-19599.755027967913</v>
      </c>
      <c r="AA362" s="384">
        <f t="shared" si="509"/>
        <v>-21128.918535171018</v>
      </c>
      <c r="AB362" s="384">
        <f t="shared" si="509"/>
        <v>-24207.150707494118</v>
      </c>
      <c r="AC362" s="384">
        <f t="shared" si="509"/>
        <v>-27615.222755707393</v>
      </c>
      <c r="AD362" s="384">
        <f t="shared" si="509"/>
        <v>-31384.690103827568</v>
      </c>
      <c r="AE362" s="384">
        <f t="shared" si="509"/>
        <v>-36972.627112054965</v>
      </c>
      <c r="AF362" s="384">
        <f t="shared" si="509"/>
        <v>-39099.294743808801</v>
      </c>
      <c r="AG362" s="384">
        <f t="shared" si="509"/>
        <v>-41143.36633653898</v>
      </c>
      <c r="AH362" s="384">
        <f t="shared" si="509"/>
        <v>-43277.325132816914</v>
      </c>
      <c r="AI362" s="384">
        <f t="shared" si="509"/>
        <v>-45503.387078808155</v>
      </c>
      <c r="AJ362" s="384">
        <f t="shared" si="509"/>
        <v>-57823.611486166134</v>
      </c>
      <c r="AK362" s="384">
        <f t="shared" si="509"/>
        <v>-70239.866264614684</v>
      </c>
      <c r="AL362" s="384">
        <f t="shared" si="509"/>
        <v>-73127.079058772419</v>
      </c>
      <c r="AM362" s="384">
        <f t="shared" si="509"/>
        <v>-76167.347974997945</v>
      </c>
      <c r="AN362" s="384">
        <f t="shared" si="509"/>
        <v>-119367.5775696669</v>
      </c>
      <c r="AO362" s="384">
        <f t="shared" si="509"/>
        <v>-112734.8606874909</v>
      </c>
      <c r="AP362" s="384">
        <f t="shared" si="509"/>
        <v>-120490.89850059837</v>
      </c>
      <c r="AQ362" s="384">
        <f t="shared" si="509"/>
        <v>-99491.37381875579</v>
      </c>
      <c r="AR362" s="384">
        <f t="shared" si="509"/>
        <v>-69486.747995315527</v>
      </c>
      <c r="AS362" s="384">
        <f t="shared" si="509"/>
        <v>0</v>
      </c>
      <c r="AT362" s="384">
        <f t="shared" si="509"/>
        <v>0</v>
      </c>
      <c r="AU362" s="384">
        <f t="shared" si="509"/>
        <v>0</v>
      </c>
      <c r="AV362" s="384">
        <f t="shared" si="509"/>
        <v>0</v>
      </c>
      <c r="AW362" s="384">
        <f t="shared" si="509"/>
        <v>0</v>
      </c>
      <c r="AX362" s="384">
        <f t="shared" si="509"/>
        <v>0</v>
      </c>
      <c r="AY362" s="384">
        <f t="shared" ref="AY362:BU362" si="510">+AY133+AY134+AY136+AY138+AY139</f>
        <v>0</v>
      </c>
      <c r="AZ362" s="384">
        <f t="shared" si="510"/>
        <v>0</v>
      </c>
      <c r="BA362" s="384">
        <f t="shared" si="510"/>
        <v>0</v>
      </c>
      <c r="BB362" s="384">
        <f t="shared" si="510"/>
        <v>0</v>
      </c>
      <c r="BC362" s="384">
        <f t="shared" si="510"/>
        <v>0</v>
      </c>
      <c r="BD362" s="384">
        <f t="shared" si="510"/>
        <v>0</v>
      </c>
      <c r="BE362" s="384">
        <f t="shared" si="510"/>
        <v>0</v>
      </c>
      <c r="BF362" s="384">
        <f t="shared" si="510"/>
        <v>0</v>
      </c>
      <c r="BG362" s="384">
        <f t="shared" si="510"/>
        <v>0</v>
      </c>
      <c r="BH362" s="384">
        <f t="shared" si="510"/>
        <v>0</v>
      </c>
      <c r="BI362" s="384">
        <f t="shared" si="510"/>
        <v>0</v>
      </c>
      <c r="BJ362" s="384">
        <f t="shared" si="510"/>
        <v>0</v>
      </c>
      <c r="BK362" s="384">
        <f t="shared" si="510"/>
        <v>0</v>
      </c>
      <c r="BL362" s="384">
        <f t="shared" si="510"/>
        <v>0</v>
      </c>
      <c r="BM362" s="384">
        <f t="shared" si="510"/>
        <v>0</v>
      </c>
      <c r="BN362" s="384">
        <f t="shared" si="510"/>
        <v>0</v>
      </c>
      <c r="BO362" s="384">
        <f t="shared" si="510"/>
        <v>0</v>
      </c>
      <c r="BP362" s="384">
        <f t="shared" si="510"/>
        <v>0</v>
      </c>
      <c r="BQ362" s="384">
        <f t="shared" si="510"/>
        <v>0</v>
      </c>
      <c r="BR362" s="384">
        <f t="shared" si="510"/>
        <v>0</v>
      </c>
      <c r="BS362" s="384">
        <f t="shared" si="510"/>
        <v>0</v>
      </c>
      <c r="BT362" s="384">
        <f t="shared" si="510"/>
        <v>0</v>
      </c>
      <c r="BU362" s="384">
        <f t="shared" si="510"/>
        <v>0</v>
      </c>
    </row>
    <row r="363" spans="1:73" x14ac:dyDescent="0.2">
      <c r="A363" s="409"/>
      <c r="B363" s="409"/>
      <c r="C363" s="389" t="s">
        <v>220</v>
      </c>
      <c r="D363" s="409"/>
      <c r="E363" s="409"/>
      <c r="F363" s="409"/>
      <c r="G363" s="409"/>
      <c r="H363" s="409"/>
      <c r="I363" s="409"/>
      <c r="J363" s="409"/>
      <c r="K363" s="608" t="s">
        <v>63</v>
      </c>
      <c r="L363" s="409"/>
      <c r="M363" s="409"/>
      <c r="N363" s="451">
        <f>SUM(Q363:BU363)</f>
        <v>-1966544.2068658879</v>
      </c>
      <c r="O363" s="409"/>
      <c r="P363" s="409"/>
      <c r="Q363" s="451"/>
      <c r="R363" s="451"/>
      <c r="S363" s="451">
        <f t="shared" ref="S363:AO363" si="511">SUM(S360:S362)</f>
        <v>0</v>
      </c>
      <c r="T363" s="451">
        <f t="shared" si="511"/>
        <v>-125.60294148591835</v>
      </c>
      <c r="U363" s="451">
        <f t="shared" si="511"/>
        <v>-35953.61838297022</v>
      </c>
      <c r="V363" s="451">
        <f t="shared" si="511"/>
        <v>-49153.89541534712</v>
      </c>
      <c r="W363" s="451">
        <f t="shared" si="511"/>
        <v>-49582.474727192835</v>
      </c>
      <c r="X363" s="451">
        <f t="shared" si="511"/>
        <v>-50041.970393342672</v>
      </c>
      <c r="Y363" s="451">
        <f t="shared" si="511"/>
        <v>-50534.519540621048</v>
      </c>
      <c r="Z363" s="451">
        <f t="shared" si="511"/>
        <v>-67278.127988063847</v>
      </c>
      <c r="AA363" s="451">
        <f t="shared" si="511"/>
        <v>-67975.423429422779</v>
      </c>
      <c r="AB363" s="451">
        <f t="shared" si="511"/>
        <v>-70149.161581167486</v>
      </c>
      <c r="AC363" s="451">
        <f t="shared" si="511"/>
        <v>-72521.176138160241</v>
      </c>
      <c r="AD363" s="451">
        <f t="shared" si="511"/>
        <v>-75108.938616938161</v>
      </c>
      <c r="AE363" s="451">
        <f t="shared" si="511"/>
        <v>-79346.588260113407</v>
      </c>
      <c r="AF363" s="451">
        <f t="shared" si="511"/>
        <v>-79905.499108304881</v>
      </c>
      <c r="AG363" s="451">
        <f t="shared" si="511"/>
        <v>-80292.589481322007</v>
      </c>
      <c r="AH363" s="451">
        <f t="shared" si="511"/>
        <v>-80682.920286085864</v>
      </c>
      <c r="AI363" s="451">
        <f t="shared" si="511"/>
        <v>-81074.904545357742</v>
      </c>
      <c r="AJ363" s="451">
        <f t="shared" si="511"/>
        <v>-91413.956006836786</v>
      </c>
      <c r="AK363" s="451">
        <f t="shared" si="511"/>
        <v>-101328.7111701781</v>
      </c>
      <c r="AL363" s="451">
        <f t="shared" si="511"/>
        <v>-101240.81960231719</v>
      </c>
      <c r="AM363" s="451">
        <f t="shared" si="511"/>
        <v>-101183.43411052896</v>
      </c>
      <c r="AN363" s="451">
        <f t="shared" si="511"/>
        <v>-140945.96610851705</v>
      </c>
      <c r="AO363" s="451">
        <f t="shared" si="511"/>
        <v>-129315.47298450698</v>
      </c>
      <c r="AP363" s="451">
        <f t="shared" ref="AP363:BU363" si="512">SUM(AP360:AP362)</f>
        <v>-132563.82024645235</v>
      </c>
      <c r="AQ363" s="451">
        <f t="shared" si="512"/>
        <v>-106501.0939240625</v>
      </c>
      <c r="AR363" s="451">
        <f t="shared" si="512"/>
        <v>-72323.521876591651</v>
      </c>
      <c r="AS363" s="451">
        <f t="shared" si="512"/>
        <v>0</v>
      </c>
      <c r="AT363" s="451">
        <f t="shared" si="512"/>
        <v>0</v>
      </c>
      <c r="AU363" s="451">
        <f t="shared" si="512"/>
        <v>0</v>
      </c>
      <c r="AV363" s="451">
        <f t="shared" si="512"/>
        <v>0</v>
      </c>
      <c r="AW363" s="451">
        <f t="shared" si="512"/>
        <v>0</v>
      </c>
      <c r="AX363" s="451">
        <f t="shared" si="512"/>
        <v>0</v>
      </c>
      <c r="AY363" s="451">
        <f t="shared" si="512"/>
        <v>0</v>
      </c>
      <c r="AZ363" s="451">
        <f t="shared" si="512"/>
        <v>0</v>
      </c>
      <c r="BA363" s="451">
        <f t="shared" si="512"/>
        <v>0</v>
      </c>
      <c r="BB363" s="451">
        <f t="shared" si="512"/>
        <v>0</v>
      </c>
      <c r="BC363" s="451">
        <f t="shared" si="512"/>
        <v>0</v>
      </c>
      <c r="BD363" s="451">
        <f t="shared" si="512"/>
        <v>0</v>
      </c>
      <c r="BE363" s="451">
        <f t="shared" si="512"/>
        <v>0</v>
      </c>
      <c r="BF363" s="451">
        <f t="shared" si="512"/>
        <v>0</v>
      </c>
      <c r="BG363" s="451">
        <f t="shared" si="512"/>
        <v>0</v>
      </c>
      <c r="BH363" s="451">
        <f t="shared" si="512"/>
        <v>0</v>
      </c>
      <c r="BI363" s="451">
        <f t="shared" si="512"/>
        <v>0</v>
      </c>
      <c r="BJ363" s="451">
        <f t="shared" si="512"/>
        <v>0</v>
      </c>
      <c r="BK363" s="451">
        <f t="shared" si="512"/>
        <v>0</v>
      </c>
      <c r="BL363" s="451">
        <f t="shared" si="512"/>
        <v>0</v>
      </c>
      <c r="BM363" s="451">
        <f t="shared" si="512"/>
        <v>0</v>
      </c>
      <c r="BN363" s="451">
        <f t="shared" si="512"/>
        <v>0</v>
      </c>
      <c r="BO363" s="451">
        <f t="shared" si="512"/>
        <v>0</v>
      </c>
      <c r="BP363" s="451">
        <f t="shared" si="512"/>
        <v>0</v>
      </c>
      <c r="BQ363" s="451">
        <f t="shared" si="512"/>
        <v>0</v>
      </c>
      <c r="BR363" s="451">
        <f t="shared" si="512"/>
        <v>0</v>
      </c>
      <c r="BS363" s="451">
        <f t="shared" si="512"/>
        <v>0</v>
      </c>
      <c r="BT363" s="451">
        <f t="shared" si="512"/>
        <v>0</v>
      </c>
      <c r="BU363" s="451">
        <f t="shared" si="512"/>
        <v>0</v>
      </c>
    </row>
    <row r="364" spans="1:73" x14ac:dyDescent="0.2">
      <c r="A364" s="186"/>
      <c r="B364" s="186"/>
      <c r="C364" s="478"/>
      <c r="D364" s="186"/>
      <c r="E364" s="186"/>
      <c r="F364" s="186"/>
      <c r="G364" s="186"/>
      <c r="H364" s="186"/>
      <c r="I364" s="186"/>
      <c r="J364" s="186"/>
      <c r="K364" s="608"/>
      <c r="L364" s="186"/>
      <c r="M364" s="186"/>
      <c r="N364" s="451"/>
      <c r="O364" s="186"/>
      <c r="P364" s="186"/>
      <c r="Q364" s="451"/>
      <c r="R364" s="451"/>
      <c r="S364" s="451"/>
      <c r="T364" s="451"/>
      <c r="U364" s="451"/>
      <c r="V364" s="451"/>
      <c r="W364" s="451"/>
      <c r="X364" s="451"/>
      <c r="Y364" s="451"/>
      <c r="Z364" s="451"/>
      <c r="AA364" s="451"/>
      <c r="AB364" s="451"/>
      <c r="AC364" s="451"/>
      <c r="AD364" s="451"/>
      <c r="AE364" s="451"/>
      <c r="AF364" s="451"/>
      <c r="AG364" s="451"/>
      <c r="AH364" s="451"/>
      <c r="AI364" s="451"/>
      <c r="AJ364" s="451"/>
      <c r="AK364" s="451"/>
      <c r="AL364" s="451"/>
      <c r="AM364" s="451"/>
      <c r="AN364" s="451"/>
      <c r="AO364" s="451"/>
      <c r="AP364" s="451"/>
      <c r="AQ364" s="451"/>
      <c r="AR364" s="451"/>
      <c r="AS364" s="451"/>
      <c r="AT364" s="451"/>
      <c r="AU364" s="451"/>
      <c r="AV364" s="451"/>
      <c r="AW364" s="451"/>
      <c r="AX364" s="451"/>
      <c r="AY364" s="451"/>
      <c r="AZ364" s="451"/>
      <c r="BA364" s="451"/>
      <c r="BB364" s="451"/>
      <c r="BC364" s="451"/>
      <c r="BD364" s="451"/>
      <c r="BE364" s="451"/>
      <c r="BF364" s="451"/>
      <c r="BG364" s="451"/>
      <c r="BH364" s="451"/>
      <c r="BI364" s="451"/>
      <c r="BJ364" s="451"/>
      <c r="BK364" s="451"/>
      <c r="BL364" s="451"/>
      <c r="BM364" s="451"/>
      <c r="BN364" s="451"/>
      <c r="BO364" s="451"/>
      <c r="BP364" s="451"/>
      <c r="BQ364" s="451"/>
      <c r="BR364" s="451"/>
      <c r="BS364" s="451"/>
      <c r="BT364" s="451"/>
      <c r="BU364" s="451"/>
    </row>
    <row r="365" spans="1:73" x14ac:dyDescent="0.2">
      <c r="A365" s="479"/>
      <c r="B365" s="479"/>
      <c r="C365" s="480" t="s">
        <v>507</v>
      </c>
      <c r="D365" s="480"/>
      <c r="E365" s="480"/>
      <c r="F365" s="480"/>
      <c r="G365" s="480"/>
      <c r="H365" s="480"/>
      <c r="I365" s="480"/>
      <c r="J365" s="480"/>
      <c r="K365" s="634" t="s">
        <v>178</v>
      </c>
      <c r="L365" s="480"/>
      <c r="M365" s="480"/>
      <c r="N365" s="480"/>
      <c r="O365" s="480"/>
      <c r="P365" s="480"/>
      <c r="Q365" s="481"/>
      <c r="R365" s="481"/>
      <c r="S365" s="729">
        <f t="shared" ref="S365:AO365" si="513">+IF(ROUND(S358+S363,2)= 0, "n/a", S353/(-S358-S363))</f>
        <v>2.0608910007763432</v>
      </c>
      <c r="T365" s="729">
        <f t="shared" si="513"/>
        <v>2.5141323552940156</v>
      </c>
      <c r="U365" s="729">
        <f t="shared" si="513"/>
        <v>1.6142808051368047</v>
      </c>
      <c r="V365" s="729">
        <f t="shared" si="513"/>
        <v>1.8239895756059148</v>
      </c>
      <c r="W365" s="729">
        <f t="shared" si="513"/>
        <v>1.9575075750741218</v>
      </c>
      <c r="X365" s="729">
        <f t="shared" si="513"/>
        <v>2.1044178882720441</v>
      </c>
      <c r="Y365" s="729">
        <f t="shared" si="513"/>
        <v>2.2629943344418919</v>
      </c>
      <c r="Z365" s="729">
        <f t="shared" si="513"/>
        <v>2.0422570932271857</v>
      </c>
      <c r="AA365" s="729">
        <f t="shared" si="513"/>
        <v>2.1683805478129043</v>
      </c>
      <c r="AB365" s="729">
        <f t="shared" si="513"/>
        <v>2.2721508495170903</v>
      </c>
      <c r="AC365" s="729">
        <f t="shared" si="513"/>
        <v>2.37429769544124</v>
      </c>
      <c r="AD365" s="729">
        <f t="shared" si="513"/>
        <v>2.4649984463559433</v>
      </c>
      <c r="AE365" s="729">
        <f t="shared" si="513"/>
        <v>3.9942091744893191</v>
      </c>
      <c r="AF365" s="729">
        <f t="shared" si="513"/>
        <v>2.6271839391123692</v>
      </c>
      <c r="AG365" s="729">
        <f t="shared" si="513"/>
        <v>2.7545476269034497</v>
      </c>
      <c r="AH365" s="729">
        <f t="shared" si="513"/>
        <v>2.9073302426062817</v>
      </c>
      <c r="AI365" s="729">
        <f t="shared" si="513"/>
        <v>3.0740894554670151</v>
      </c>
      <c r="AJ365" s="729">
        <f t="shared" si="513"/>
        <v>3.0019772334674673</v>
      </c>
      <c r="AK365" s="729">
        <f t="shared" si="513"/>
        <v>2.920862807898704</v>
      </c>
      <c r="AL365" s="729">
        <f t="shared" si="513"/>
        <v>3.0487862919788395</v>
      </c>
      <c r="AM365" s="729">
        <f t="shared" si="513"/>
        <v>3.186759175427111</v>
      </c>
      <c r="AN365" s="729">
        <f t="shared" si="513"/>
        <v>2.714027649939641</v>
      </c>
      <c r="AO365" s="729">
        <f t="shared" si="513"/>
        <v>5.7917634070731152</v>
      </c>
      <c r="AP365" s="729">
        <f t="shared" ref="AP365:BU365" si="514">+IF(ROUND(AP358+AP363,2)= 0, "n/a", AP353/(-AP358-AP363))</f>
        <v>3.0341602672176116</v>
      </c>
      <c r="AQ365" s="729">
        <f t="shared" si="514"/>
        <v>3.5442357544943919</v>
      </c>
      <c r="AR365" s="729">
        <f t="shared" si="514"/>
        <v>4.4117025714441729</v>
      </c>
      <c r="AS365" s="729">
        <f t="shared" si="514"/>
        <v>7.8413506772573776</v>
      </c>
      <c r="AT365" s="729">
        <f t="shared" si="514"/>
        <v>8.3657060973611195</v>
      </c>
      <c r="AU365" s="729">
        <f t="shared" si="514"/>
        <v>5.1880257648586223</v>
      </c>
      <c r="AV365" s="729">
        <f t="shared" si="514"/>
        <v>3.9152151862451294</v>
      </c>
      <c r="AW365" s="729">
        <f t="shared" si="514"/>
        <v>4.1439901055892605</v>
      </c>
      <c r="AX365" s="729">
        <f t="shared" si="514"/>
        <v>4.3915783656157688</v>
      </c>
      <c r="AY365" s="729">
        <f t="shared" si="514"/>
        <v>7.4209818512516312</v>
      </c>
      <c r="AZ365" s="729">
        <f t="shared" si="514"/>
        <v>4.5497504678173097</v>
      </c>
      <c r="BA365" s="729">
        <f t="shared" si="514"/>
        <v>4.839277236038571</v>
      </c>
      <c r="BB365" s="729">
        <f t="shared" si="514"/>
        <v>5.1524352555370516</v>
      </c>
      <c r="BC365" s="729">
        <f t="shared" si="514"/>
        <v>5.482432317898029</v>
      </c>
      <c r="BD365" s="729">
        <f t="shared" si="514"/>
        <v>5.8330671901112447</v>
      </c>
      <c r="BE365" s="729">
        <f t="shared" si="514"/>
        <v>12.317516989105014</v>
      </c>
      <c r="BF365" s="729" t="str">
        <f t="shared" si="514"/>
        <v>n/a</v>
      </c>
      <c r="BG365" s="729" t="str">
        <f t="shared" si="514"/>
        <v>n/a</v>
      </c>
      <c r="BH365" s="729" t="str">
        <f t="shared" si="514"/>
        <v>n/a</v>
      </c>
      <c r="BI365" s="729" t="str">
        <f t="shared" si="514"/>
        <v>n/a</v>
      </c>
      <c r="BJ365" s="729" t="str">
        <f t="shared" si="514"/>
        <v>n/a</v>
      </c>
      <c r="BK365" s="729" t="str">
        <f t="shared" si="514"/>
        <v>n/a</v>
      </c>
      <c r="BL365" s="729" t="str">
        <f t="shared" si="514"/>
        <v>n/a</v>
      </c>
      <c r="BM365" s="729" t="str">
        <f t="shared" si="514"/>
        <v>n/a</v>
      </c>
      <c r="BN365" s="729" t="str">
        <f t="shared" si="514"/>
        <v>n/a</v>
      </c>
      <c r="BO365" s="729" t="str">
        <f t="shared" si="514"/>
        <v>n/a</v>
      </c>
      <c r="BP365" s="729" t="str">
        <f t="shared" si="514"/>
        <v>n/a</v>
      </c>
      <c r="BQ365" s="729" t="str">
        <f t="shared" si="514"/>
        <v>n/a</v>
      </c>
      <c r="BR365" s="729" t="str">
        <f t="shared" si="514"/>
        <v>n/a</v>
      </c>
      <c r="BS365" s="729" t="str">
        <f t="shared" si="514"/>
        <v>n/a</v>
      </c>
      <c r="BT365" s="729" t="str">
        <f t="shared" si="514"/>
        <v>n/a</v>
      </c>
      <c r="BU365" s="729" t="str">
        <f t="shared" si="514"/>
        <v>n/a</v>
      </c>
    </row>
    <row r="366" spans="1:73" x14ac:dyDescent="0.2">
      <c r="A366" s="186"/>
      <c r="B366" s="186"/>
      <c r="C366" s="372"/>
      <c r="D366" s="372" t="s">
        <v>221</v>
      </c>
      <c r="E366" s="186"/>
      <c r="F366" s="186"/>
      <c r="G366" s="186"/>
      <c r="H366" s="186"/>
      <c r="I366" s="186"/>
      <c r="J366" s="186"/>
      <c r="K366" s="367" t="s">
        <v>178</v>
      </c>
      <c r="L366" s="482">
        <f>MIN($R$365:$BU$365)</f>
        <v>1.6142808051368047</v>
      </c>
      <c r="M366" s="483"/>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c r="BL366" s="186"/>
      <c r="BM366" s="186"/>
      <c r="BN366" s="186"/>
      <c r="BO366" s="186"/>
      <c r="BP366" s="186"/>
      <c r="BQ366" s="186"/>
      <c r="BR366" s="186"/>
      <c r="BS366" s="186"/>
      <c r="BT366" s="186"/>
      <c r="BU366" s="186"/>
    </row>
    <row r="367" spans="1:73" x14ac:dyDescent="0.2">
      <c r="A367" s="186"/>
      <c r="B367" s="186"/>
      <c r="C367" s="372"/>
      <c r="D367" s="372" t="s">
        <v>169</v>
      </c>
      <c r="E367" s="186"/>
      <c r="F367" s="186"/>
      <c r="G367" s="186"/>
      <c r="H367" s="186"/>
      <c r="I367" s="186"/>
      <c r="J367" s="186"/>
      <c r="K367" s="367" t="s">
        <v>178</v>
      </c>
      <c r="L367" s="482">
        <f>MAX($R$365:$BU$365)</f>
        <v>12.317516989105014</v>
      </c>
      <c r="M367" s="483"/>
      <c r="N367" s="186"/>
      <c r="O367" s="186"/>
      <c r="P367" s="186"/>
      <c r="Q367" s="484"/>
      <c r="R367" s="484"/>
      <c r="S367" s="484"/>
      <c r="T367" s="484"/>
      <c r="U367" s="484"/>
      <c r="V367" s="484"/>
      <c r="W367" s="484"/>
      <c r="X367" s="484"/>
      <c r="Y367" s="484"/>
      <c r="Z367" s="484"/>
      <c r="AA367" s="484"/>
      <c r="AB367" s="484"/>
      <c r="AC367" s="484"/>
      <c r="AD367" s="484"/>
      <c r="AE367" s="484"/>
      <c r="AF367" s="484"/>
      <c r="AG367" s="484"/>
      <c r="AH367" s="484"/>
      <c r="AI367" s="484"/>
      <c r="AJ367" s="484"/>
      <c r="AK367" s="484"/>
      <c r="AL367" s="484"/>
      <c r="AM367" s="484"/>
      <c r="AN367" s="484"/>
      <c r="AO367" s="484"/>
      <c r="AP367" s="484"/>
      <c r="AQ367" s="484"/>
      <c r="AR367" s="484"/>
      <c r="AS367" s="484"/>
      <c r="AT367" s="484"/>
      <c r="AU367" s="484"/>
      <c r="AV367" s="484"/>
      <c r="AW367" s="484"/>
      <c r="AX367" s="484"/>
      <c r="AY367" s="484"/>
      <c r="AZ367" s="484"/>
      <c r="BA367" s="484"/>
      <c r="BB367" s="484"/>
      <c r="BC367" s="484"/>
      <c r="BD367" s="484"/>
      <c r="BE367" s="484"/>
      <c r="BF367" s="484"/>
      <c r="BG367" s="186"/>
      <c r="BH367" s="186"/>
      <c r="BI367" s="186"/>
      <c r="BJ367" s="186"/>
      <c r="BK367" s="186"/>
      <c r="BL367" s="186"/>
      <c r="BM367" s="186"/>
      <c r="BN367" s="186"/>
      <c r="BO367" s="186"/>
      <c r="BP367" s="186"/>
      <c r="BQ367" s="186"/>
      <c r="BR367" s="186"/>
      <c r="BS367" s="186"/>
      <c r="BT367" s="186"/>
      <c r="BU367" s="186"/>
    </row>
    <row r="368" spans="1:73" x14ac:dyDescent="0.2">
      <c r="A368" s="186"/>
      <c r="B368" s="186"/>
      <c r="C368" s="372"/>
      <c r="D368" s="372" t="s">
        <v>222</v>
      </c>
      <c r="E368" s="186"/>
      <c r="F368" s="186"/>
      <c r="G368" s="186"/>
      <c r="H368" s="186"/>
      <c r="I368" s="186"/>
      <c r="J368" s="186"/>
      <c r="K368" s="367" t="s">
        <v>178</v>
      </c>
      <c r="L368" s="482">
        <f>IF(L367, AVERAGE(R365:BU365), "n/a")</f>
        <v>3.9003400325425921</v>
      </c>
      <c r="M368" s="370"/>
      <c r="N368" s="186"/>
      <c r="O368" s="186"/>
      <c r="P368" s="186"/>
      <c r="Q368" s="186"/>
      <c r="R368" s="186"/>
      <c r="S368" s="382"/>
      <c r="T368" s="382"/>
      <c r="U368" s="382"/>
      <c r="V368" s="382"/>
      <c r="W368" s="382"/>
      <c r="X368" s="382"/>
      <c r="Y368" s="382"/>
      <c r="Z368" s="382"/>
      <c r="AA368" s="382"/>
      <c r="AB368" s="382"/>
      <c r="AC368" s="382"/>
      <c r="AD368" s="382"/>
      <c r="AE368" s="382"/>
      <c r="AF368" s="382"/>
      <c r="AG368" s="382"/>
      <c r="AH368" s="382"/>
      <c r="AI368" s="382"/>
      <c r="AJ368" s="382"/>
      <c r="AK368" s="382"/>
      <c r="AL368" s="382"/>
      <c r="AM368" s="382"/>
      <c r="AN368" s="382"/>
      <c r="AO368" s="382"/>
      <c r="AP368" s="382"/>
      <c r="AQ368" s="382"/>
      <c r="AR368" s="382"/>
      <c r="AS368" s="382"/>
      <c r="AT368" s="382"/>
      <c r="AU368" s="382"/>
      <c r="AV368" s="382"/>
      <c r="AW368" s="382"/>
      <c r="AX368" s="382"/>
      <c r="AY368" s="382"/>
      <c r="AZ368" s="382"/>
      <c r="BA368" s="382"/>
      <c r="BB368" s="382"/>
      <c r="BC368" s="382"/>
      <c r="BD368" s="382"/>
      <c r="BE368" s="382"/>
      <c r="BF368" s="382"/>
      <c r="BG368" s="382"/>
      <c r="BH368" s="382"/>
      <c r="BI368" s="382"/>
      <c r="BJ368" s="382"/>
      <c r="BK368" s="382"/>
      <c r="BL368" s="186"/>
      <c r="BM368" s="186"/>
      <c r="BN368" s="186"/>
      <c r="BO368" s="186"/>
      <c r="BP368" s="186"/>
      <c r="BQ368" s="186"/>
      <c r="BR368" s="186"/>
      <c r="BS368" s="186"/>
      <c r="BT368" s="186"/>
      <c r="BU368" s="186"/>
    </row>
    <row r="369" spans="1:73" x14ac:dyDescent="0.2">
      <c r="A369" s="186"/>
      <c r="B369" s="186"/>
      <c r="C369" s="372"/>
      <c r="D369" s="372"/>
      <c r="E369" s="186"/>
      <c r="F369" s="186"/>
      <c r="G369" s="186"/>
      <c r="H369" s="186"/>
      <c r="I369" s="186"/>
      <c r="J369" s="186"/>
      <c r="K369" s="367"/>
      <c r="L369" s="482"/>
      <c r="M369" s="370"/>
      <c r="N369" s="186"/>
      <c r="O369" s="186"/>
      <c r="P369" s="186"/>
      <c r="Q369" s="186"/>
      <c r="R369" s="186"/>
      <c r="S369" s="374"/>
      <c r="T369" s="374"/>
      <c r="U369" s="374"/>
      <c r="V369" s="374"/>
      <c r="W369" s="374"/>
      <c r="X369" s="374"/>
      <c r="Y369" s="374"/>
      <c r="Z369" s="374"/>
      <c r="AA369" s="374"/>
      <c r="AB369" s="374"/>
      <c r="AC369" s="374"/>
      <c r="AD369" s="374"/>
      <c r="AE369" s="374"/>
      <c r="AF369" s="374"/>
      <c r="AG369" s="374"/>
      <c r="AH369" s="374"/>
      <c r="AI369" s="374"/>
      <c r="AJ369" s="374"/>
      <c r="AK369" s="374"/>
      <c r="AL369" s="374"/>
      <c r="AM369" s="374"/>
      <c r="AN369" s="374"/>
      <c r="AO369" s="374"/>
      <c r="AP369" s="374"/>
      <c r="AQ369" s="374"/>
      <c r="AR369" s="374"/>
      <c r="AS369" s="374"/>
      <c r="AT369" s="374"/>
      <c r="AU369" s="374"/>
      <c r="AV369" s="374"/>
      <c r="AW369" s="374"/>
      <c r="AX369" s="374"/>
      <c r="AY369" s="374"/>
      <c r="AZ369" s="374"/>
      <c r="BA369" s="374"/>
      <c r="BB369" s="374"/>
      <c r="BC369" s="374"/>
      <c r="BD369" s="374"/>
      <c r="BE369" s="374"/>
      <c r="BF369" s="374"/>
      <c r="BG369" s="374"/>
      <c r="BH369" s="374"/>
      <c r="BI369" s="374"/>
      <c r="BJ369" s="374"/>
      <c r="BK369" s="374"/>
      <c r="BL369" s="186"/>
      <c r="BM369" s="186"/>
      <c r="BN369" s="186"/>
      <c r="BO369" s="186"/>
      <c r="BP369" s="186"/>
      <c r="BQ369" s="186"/>
      <c r="BR369" s="186"/>
      <c r="BS369" s="186"/>
      <c r="BT369" s="186"/>
      <c r="BU369" s="186"/>
    </row>
    <row r="370" spans="1:73" hidden="1" x14ac:dyDescent="0.2">
      <c r="A370" s="186"/>
      <c r="B370" s="186"/>
      <c r="C370" s="372"/>
      <c r="D370" s="372"/>
      <c r="E370" s="186"/>
      <c r="F370" s="186"/>
      <c r="G370" s="186"/>
      <c r="H370" s="186"/>
      <c r="I370" s="186"/>
      <c r="J370" s="186"/>
      <c r="K370" s="367"/>
      <c r="L370" s="482"/>
      <c r="M370" s="370"/>
      <c r="N370" s="186"/>
      <c r="O370" s="186"/>
      <c r="P370" s="186"/>
      <c r="Q370" s="186"/>
      <c r="R370" s="186"/>
      <c r="S370" s="374"/>
      <c r="T370" s="374"/>
      <c r="U370" s="374"/>
      <c r="V370" s="374"/>
      <c r="W370" s="374"/>
      <c r="X370" s="374"/>
      <c r="Y370" s="374"/>
      <c r="Z370" s="374"/>
      <c r="AA370" s="374"/>
      <c r="AB370" s="374"/>
      <c r="AC370" s="374"/>
      <c r="AD370" s="374"/>
      <c r="AE370" s="374"/>
      <c r="AF370" s="374"/>
      <c r="AG370" s="374"/>
      <c r="AH370" s="374"/>
      <c r="AI370" s="374"/>
      <c r="AJ370" s="374"/>
      <c r="AK370" s="374"/>
      <c r="AL370" s="374"/>
      <c r="AM370" s="374"/>
      <c r="AN370" s="374"/>
      <c r="AO370" s="374"/>
      <c r="AP370" s="374"/>
      <c r="AQ370" s="374"/>
      <c r="AR370" s="374"/>
      <c r="AS370" s="374"/>
      <c r="AT370" s="374"/>
      <c r="AU370" s="374"/>
      <c r="AV370" s="374"/>
      <c r="AW370" s="374"/>
      <c r="AX370" s="374"/>
      <c r="AY370" s="374"/>
      <c r="AZ370" s="374"/>
      <c r="BA370" s="374"/>
      <c r="BB370" s="374"/>
      <c r="BC370" s="374"/>
      <c r="BD370" s="374"/>
      <c r="BE370" s="374"/>
      <c r="BF370" s="374"/>
      <c r="BG370" s="374"/>
      <c r="BH370" s="374"/>
      <c r="BI370" s="374"/>
      <c r="BJ370" s="374"/>
      <c r="BK370" s="374"/>
      <c r="BL370" s="186"/>
      <c r="BM370" s="186"/>
      <c r="BN370" s="186"/>
      <c r="BO370" s="186"/>
      <c r="BP370" s="186"/>
      <c r="BQ370" s="186"/>
      <c r="BR370" s="186"/>
      <c r="BS370" s="186"/>
      <c r="BT370" s="186"/>
      <c r="BU370" s="186"/>
    </row>
    <row r="371" spans="1:73" hidden="1" x14ac:dyDescent="0.2"/>
    <row r="372" spans="1:73" hidden="1" x14ac:dyDescent="0.2"/>
    <row r="373" spans="1:73" x14ac:dyDescent="0.2"/>
    <row r="374" spans="1:73" x14ac:dyDescent="0.2"/>
    <row r="375" spans="1:73" x14ac:dyDescent="0.2"/>
    <row r="376" spans="1:73" x14ac:dyDescent="0.2"/>
    <row r="377" spans="1:73" x14ac:dyDescent="0.2"/>
    <row r="378" spans="1:73" x14ac:dyDescent="0.2"/>
    <row r="379" spans="1:73" x14ac:dyDescent="0.2"/>
    <row r="380" spans="1:73" x14ac:dyDescent="0.2"/>
    <row r="381" spans="1:73" x14ac:dyDescent="0.2"/>
    <row r="382" spans="1:73" x14ac:dyDescent="0.2"/>
    <row r="383" spans="1:73" x14ac:dyDescent="0.2"/>
    <row r="384" spans="1:73"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sheetData>
  <sheetProtection algorithmName="SHA-512" hashValue="NmdBv2ePgdgTSfVHEyfzostORKNllkETawBD/E2BInI3hj6o/WyzPMYjPRp3FqyasCfCSMYIlivDqsEQxNvRfA==" saltValue="+ZqIhriB2HlOJMgSkoqQvA==" spinCount="100000" sheet="1" objects="1" scenarios="1"/>
  <dataConsolidate/>
  <customSheetViews>
    <customSheetView guid="{A171ABFC-BD20-4BE9-8F97-F532286F0C2D}" scale="70" showGridLines="0" hiddenColumns="1">
      <pane xSplit="15" ySplit="16" topLeftCell="P146" activePane="bottomRight" state="frozen"/>
      <selection pane="bottomRight" activeCell="X412" sqref="X412"/>
      <pageMargins left="0.7" right="0.7" top="0.75" bottom="0.75" header="0.3" footer="0.3"/>
      <pageSetup orientation="portrait" r:id="rId1"/>
    </customSheetView>
    <customSheetView guid="{5F88CBE0-3291-4A41-996B-A8A1DC273A84}" scale="70" showGridLines="0" hiddenColumns="1">
      <pane xSplit="15" ySplit="14" topLeftCell="P102" activePane="bottomRight" state="frozen"/>
      <selection pane="bottomRight" activeCell="Y129" sqref="Y129"/>
      <pageMargins left="0.7" right="0.7" top="0.75" bottom="0.75" header="0.3" footer="0.3"/>
      <pageSetup orientation="portrait" r:id="rId2"/>
    </customSheetView>
  </customSheetViews>
  <conditionalFormatting sqref="Q262:BU262 Q258:BU258 Q234:BU234 Q15:BU15 Q142:BU143 Q231:BU232 Q297:BU299 Q255:BU256 Q312:BU314 Q281:BU282 Q12:BU13 Q102:BU106 Q80:BU80 Q166:BU166 Q168:BU169">
    <cfRule type="cellIs" dxfId="41" priority="69" stopIfTrue="1" operator="equal">
      <formula>1</formula>
    </cfRule>
  </conditionalFormatting>
  <conditionalFormatting sqref="N189 N140 N26 N58 N47">
    <cfRule type="cellIs" dxfId="40" priority="70" stopIfTrue="1" operator="equal">
      <formula>0</formula>
    </cfRule>
    <cfRule type="cellIs" dxfId="39" priority="71" stopIfTrue="1" operator="equal">
      <formula>1</formula>
    </cfRule>
  </conditionalFormatting>
  <conditionalFormatting sqref="F4">
    <cfRule type="cellIs" dxfId="38" priority="74" stopIfTrue="1" operator="equal">
      <formula>0</formula>
    </cfRule>
    <cfRule type="cellIs" dxfId="37" priority="75" stopIfTrue="1" operator="equal">
      <formula>1</formula>
    </cfRule>
  </conditionalFormatting>
  <conditionalFormatting sqref="V82:BU82">
    <cfRule type="cellIs" dxfId="36" priority="32" stopIfTrue="1" operator="equal">
      <formula>1</formula>
    </cfRule>
  </conditionalFormatting>
  <conditionalFormatting sqref="U173:BU173">
    <cfRule type="cellIs" dxfId="35" priority="29" stopIfTrue="1" operator="equal">
      <formula>1</formula>
    </cfRule>
  </conditionalFormatting>
  <conditionalFormatting sqref="N34">
    <cfRule type="cellIs" dxfId="34" priority="25" stopIfTrue="1" operator="equal">
      <formula>0</formula>
    </cfRule>
    <cfRule type="cellIs" dxfId="33" priority="26" stopIfTrue="1" operator="equal">
      <formula>1</formula>
    </cfRule>
  </conditionalFormatting>
  <conditionalFormatting sqref="N251">
    <cfRule type="cellIs" dxfId="32" priority="12" stopIfTrue="1" operator="equal">
      <formula>0</formula>
    </cfRule>
    <cfRule type="cellIs" dxfId="31" priority="13" stopIfTrue="1" operator="equal">
      <formula>1</formula>
    </cfRule>
  </conditionalFormatting>
  <conditionalFormatting sqref="N277">
    <cfRule type="cellIs" dxfId="30" priority="10" stopIfTrue="1" operator="equal">
      <formula>0</formula>
    </cfRule>
    <cfRule type="cellIs" dxfId="29" priority="11" stopIfTrue="1" operator="equal">
      <formula>1</formula>
    </cfRule>
  </conditionalFormatting>
  <conditionalFormatting sqref="N292">
    <cfRule type="cellIs" dxfId="28" priority="8" stopIfTrue="1" operator="equal">
      <formula>0</formula>
    </cfRule>
    <cfRule type="cellIs" dxfId="27" priority="9" stopIfTrue="1" operator="equal">
      <formula>1</formula>
    </cfRule>
  </conditionalFormatting>
  <conditionalFormatting sqref="N308">
    <cfRule type="cellIs" dxfId="26" priority="6" stopIfTrue="1" operator="equal">
      <formula>0</formula>
    </cfRule>
    <cfRule type="cellIs" dxfId="25" priority="7" stopIfTrue="1" operator="equal">
      <formula>1</formula>
    </cfRule>
  </conditionalFormatting>
  <conditionalFormatting sqref="N318">
    <cfRule type="cellIs" dxfId="24" priority="4" stopIfTrue="1" operator="equal">
      <formula>0</formula>
    </cfRule>
    <cfRule type="cellIs" dxfId="23" priority="5" stopIfTrue="1" operator="equal">
      <formula>1</formula>
    </cfRule>
  </conditionalFormatting>
  <conditionalFormatting sqref="N96">
    <cfRule type="cellIs" dxfId="22" priority="2" stopIfTrue="1" operator="equal">
      <formula>0</formula>
    </cfRule>
    <cfRule type="cellIs" dxfId="21" priority="3" stopIfTrue="1" operator="equal">
      <formula>1</formula>
    </cfRule>
  </conditionalFormatting>
  <pageMargins left="0.70866141732283472" right="0.70866141732283472" top="0.74803149606299213" bottom="0.74803149606299213" header="0.31496062992125984" footer="0.31496062992125984"/>
  <pageSetup paperSize="9" scale="31" orientation="landscape" r:id="rId3"/>
  <rowBreaks count="3" manualBreakCount="3">
    <brk id="97" max="61" man="1"/>
    <brk id="195" max="61" man="1"/>
    <brk id="278" max="61" man="1"/>
  </rowBreaks>
  <colBreaks count="1" manualBreakCount="1">
    <brk id="37" max="371" man="1"/>
  </colBreaks>
  <ignoredErrors>
    <ignoredError sqref="BK23:BU23 T41:BU41 R41:S41 R23:BJ23" formula="1"/>
    <ignoredError sqref="N144" formulaRange="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dimension ref="A1:DX65"/>
  <sheetViews>
    <sheetView showGridLines="0" view="pageBreakPreview" zoomScale="70" zoomScaleNormal="70" zoomScaleSheetLayoutView="70" workbookViewId="0">
      <pane xSplit="15" ySplit="10" topLeftCell="R11" activePane="bottomRight" state="frozen"/>
      <selection pane="topRight" activeCell="P1" sqref="P1"/>
      <selection pane="bottomLeft" activeCell="A11" sqref="A11"/>
      <selection pane="bottomRight" activeCell="C32" sqref="C32"/>
    </sheetView>
  </sheetViews>
  <sheetFormatPr baseColWidth="10" defaultColWidth="0" defaultRowHeight="12.75" x14ac:dyDescent="0.2"/>
  <cols>
    <col min="1" max="2" width="2.42578125" customWidth="1"/>
    <col min="3" max="3" width="13" customWidth="1"/>
    <col min="4" max="5" width="9.140625" customWidth="1"/>
    <col min="6" max="6" width="7.7109375" customWidth="1"/>
    <col min="7" max="7" width="9" customWidth="1"/>
    <col min="8" max="8" width="22" bestFit="1" customWidth="1"/>
    <col min="9" max="9" width="7.42578125" customWidth="1"/>
    <col min="10" max="10" width="2.28515625" customWidth="1"/>
    <col min="11" max="11" width="9.140625" style="144" customWidth="1"/>
    <col min="12" max="12" width="15" customWidth="1"/>
    <col min="13" max="13" width="1.7109375" customWidth="1"/>
    <col min="14" max="14" width="16.28515625" customWidth="1"/>
    <col min="15" max="16" width="2.7109375" customWidth="1"/>
    <col min="17" max="62" width="15.28515625" customWidth="1"/>
    <col min="63" max="120" width="15.28515625" hidden="1" customWidth="1"/>
    <col min="121" max="125" width="9.140625" hidden="1" customWidth="1"/>
    <col min="126" max="128" width="0" hidden="1" customWidth="1"/>
    <col min="129" max="16384" width="9.140625" hidden="1"/>
  </cols>
  <sheetData>
    <row r="1" spans="1:121" x14ac:dyDescent="0.2">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42"/>
    </row>
    <row r="2" spans="1:121" x14ac:dyDescent="0.2">
      <c r="C2" t="s">
        <v>2</v>
      </c>
      <c r="F2" s="61" t="str">
        <f>+Inputs!$G$2</f>
        <v xml:space="preserve">LBJ Infrastructure Group LLC IH-635 Mananged Lanes Project </v>
      </c>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42"/>
    </row>
    <row r="3" spans="1:121" ht="13.5" thickBot="1" x14ac:dyDescent="0.25">
      <c r="C3" t="s">
        <v>3</v>
      </c>
      <c r="F3" t="s">
        <v>442</v>
      </c>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42"/>
    </row>
    <row r="4" spans="1:121" ht="13.5" thickBot="1" x14ac:dyDescent="0.25">
      <c r="C4" t="s">
        <v>4</v>
      </c>
      <c r="F4" s="728">
        <f ca="1">+Inputs!G4</f>
        <v>0</v>
      </c>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42"/>
    </row>
    <row r="5" spans="1:121" x14ac:dyDescent="0.2">
      <c r="BJ5" s="117"/>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42"/>
    </row>
    <row r="6" spans="1:121" x14ac:dyDescent="0.2">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42"/>
    </row>
    <row r="7" spans="1:121" x14ac:dyDescent="0.2">
      <c r="C7" t="s">
        <v>19</v>
      </c>
      <c r="Q7" s="667">
        <f t="shared" ref="Q7:AP7" si="0">+YEAR(Q9)</f>
        <v>2016</v>
      </c>
      <c r="R7" s="667">
        <f t="shared" si="0"/>
        <v>2017</v>
      </c>
      <c r="S7" s="667">
        <f t="shared" si="0"/>
        <v>2018</v>
      </c>
      <c r="T7" s="667">
        <f t="shared" si="0"/>
        <v>2019</v>
      </c>
      <c r="U7" s="667">
        <f t="shared" si="0"/>
        <v>2020</v>
      </c>
      <c r="V7" s="667">
        <f t="shared" si="0"/>
        <v>2021</v>
      </c>
      <c r="W7" s="667">
        <f t="shared" si="0"/>
        <v>2022</v>
      </c>
      <c r="X7" s="667">
        <f t="shared" si="0"/>
        <v>2023</v>
      </c>
      <c r="Y7" s="667">
        <f t="shared" si="0"/>
        <v>2024</v>
      </c>
      <c r="Z7" s="667">
        <f t="shared" si="0"/>
        <v>2025</v>
      </c>
      <c r="AA7" s="667">
        <f t="shared" si="0"/>
        <v>2026</v>
      </c>
      <c r="AB7" s="667">
        <f t="shared" si="0"/>
        <v>2027</v>
      </c>
      <c r="AC7" s="667">
        <f t="shared" si="0"/>
        <v>2028</v>
      </c>
      <c r="AD7" s="667">
        <f t="shared" si="0"/>
        <v>2029</v>
      </c>
      <c r="AE7" s="667">
        <f t="shared" si="0"/>
        <v>2030</v>
      </c>
      <c r="AF7" s="667">
        <f t="shared" si="0"/>
        <v>2031</v>
      </c>
      <c r="AG7" s="667">
        <f t="shared" si="0"/>
        <v>2032</v>
      </c>
      <c r="AH7" s="667">
        <f t="shared" si="0"/>
        <v>2033</v>
      </c>
      <c r="AI7" s="667">
        <f t="shared" si="0"/>
        <v>2034</v>
      </c>
      <c r="AJ7" s="667">
        <f t="shared" si="0"/>
        <v>2035</v>
      </c>
      <c r="AK7" s="667">
        <f t="shared" si="0"/>
        <v>2036</v>
      </c>
      <c r="AL7" s="667">
        <f t="shared" si="0"/>
        <v>2037</v>
      </c>
      <c r="AM7" s="667">
        <f t="shared" si="0"/>
        <v>2038</v>
      </c>
      <c r="AN7" s="667">
        <f t="shared" si="0"/>
        <v>2039</v>
      </c>
      <c r="AO7" s="667">
        <f t="shared" si="0"/>
        <v>2040</v>
      </c>
      <c r="AP7" s="667">
        <f t="shared" si="0"/>
        <v>2041</v>
      </c>
      <c r="AQ7" s="667">
        <f t="shared" ref="AQ7:BV7" si="1">+YEAR(AQ9)</f>
        <v>2042</v>
      </c>
      <c r="AR7" s="667">
        <f t="shared" si="1"/>
        <v>2043</v>
      </c>
      <c r="AS7" s="667">
        <f t="shared" si="1"/>
        <v>2044</v>
      </c>
      <c r="AT7" s="667">
        <f t="shared" si="1"/>
        <v>2045</v>
      </c>
      <c r="AU7" s="667">
        <f t="shared" si="1"/>
        <v>2046</v>
      </c>
      <c r="AV7" s="667">
        <f t="shared" si="1"/>
        <v>2047</v>
      </c>
      <c r="AW7" s="667">
        <f t="shared" si="1"/>
        <v>2048</v>
      </c>
      <c r="AX7" s="667">
        <f t="shared" si="1"/>
        <v>2049</v>
      </c>
      <c r="AY7" s="667">
        <f t="shared" si="1"/>
        <v>2050</v>
      </c>
      <c r="AZ7" s="667">
        <f t="shared" si="1"/>
        <v>2051</v>
      </c>
      <c r="BA7" s="667">
        <f t="shared" si="1"/>
        <v>2052</v>
      </c>
      <c r="BB7" s="667">
        <f t="shared" si="1"/>
        <v>2053</v>
      </c>
      <c r="BC7" s="667">
        <f t="shared" si="1"/>
        <v>2054</v>
      </c>
      <c r="BD7" s="667">
        <f t="shared" si="1"/>
        <v>2055</v>
      </c>
      <c r="BE7" s="667">
        <f t="shared" si="1"/>
        <v>2056</v>
      </c>
      <c r="BF7" s="667">
        <f t="shared" si="1"/>
        <v>2057</v>
      </c>
      <c r="BG7" s="667">
        <f t="shared" si="1"/>
        <v>2058</v>
      </c>
      <c r="BH7" s="667">
        <f t="shared" si="1"/>
        <v>2059</v>
      </c>
      <c r="BI7" s="667">
        <f t="shared" si="1"/>
        <v>2060</v>
      </c>
      <c r="BJ7" s="667">
        <f t="shared" si="1"/>
        <v>2061</v>
      </c>
      <c r="BK7" s="667">
        <f t="shared" si="1"/>
        <v>2062</v>
      </c>
      <c r="BL7" s="667">
        <f t="shared" si="1"/>
        <v>2063</v>
      </c>
      <c r="BM7" s="667">
        <f t="shared" si="1"/>
        <v>2064</v>
      </c>
      <c r="BN7" s="667">
        <f t="shared" si="1"/>
        <v>2065</v>
      </c>
      <c r="BO7" s="667">
        <f t="shared" si="1"/>
        <v>2066</v>
      </c>
      <c r="BP7" s="667">
        <f t="shared" si="1"/>
        <v>2067</v>
      </c>
      <c r="BQ7" s="667">
        <f t="shared" si="1"/>
        <v>2068</v>
      </c>
      <c r="BR7" s="667">
        <f t="shared" si="1"/>
        <v>2069</v>
      </c>
      <c r="BS7" s="667">
        <f t="shared" si="1"/>
        <v>2070</v>
      </c>
      <c r="BT7" s="667">
        <f t="shared" si="1"/>
        <v>2071</v>
      </c>
      <c r="BU7" s="667">
        <f t="shared" si="1"/>
        <v>2072</v>
      </c>
      <c r="BV7" s="667">
        <f t="shared" si="1"/>
        <v>2073</v>
      </c>
      <c r="BW7" s="667">
        <f t="shared" ref="BW7:DB7" si="2">+YEAR(BW9)</f>
        <v>2074</v>
      </c>
      <c r="BX7" s="667">
        <f t="shared" si="2"/>
        <v>2075</v>
      </c>
      <c r="BY7" s="667">
        <f t="shared" si="2"/>
        <v>2076</v>
      </c>
      <c r="BZ7" s="667">
        <f t="shared" si="2"/>
        <v>2077</v>
      </c>
      <c r="CA7" s="667">
        <f t="shared" si="2"/>
        <v>2078</v>
      </c>
      <c r="CB7" s="667">
        <f t="shared" si="2"/>
        <v>2079</v>
      </c>
      <c r="CC7" s="667">
        <f t="shared" si="2"/>
        <v>2080</v>
      </c>
      <c r="CD7" s="667">
        <f t="shared" si="2"/>
        <v>2081</v>
      </c>
      <c r="CE7" s="667">
        <f t="shared" si="2"/>
        <v>2082</v>
      </c>
      <c r="CF7" s="667">
        <f t="shared" si="2"/>
        <v>2083</v>
      </c>
      <c r="CG7" s="667">
        <f t="shared" si="2"/>
        <v>2084</v>
      </c>
      <c r="CH7" s="667">
        <f t="shared" si="2"/>
        <v>2085</v>
      </c>
      <c r="CI7" s="667">
        <f t="shared" si="2"/>
        <v>2086</v>
      </c>
      <c r="CJ7" s="667">
        <f t="shared" si="2"/>
        <v>2087</v>
      </c>
      <c r="CK7" s="667">
        <f t="shared" si="2"/>
        <v>2088</v>
      </c>
      <c r="CL7" s="667">
        <f t="shared" si="2"/>
        <v>2089</v>
      </c>
      <c r="CM7" s="667">
        <f t="shared" si="2"/>
        <v>2090</v>
      </c>
      <c r="CN7" s="667">
        <f t="shared" si="2"/>
        <v>2091</v>
      </c>
      <c r="CO7" s="667">
        <f t="shared" si="2"/>
        <v>2092</v>
      </c>
      <c r="CP7" s="667">
        <f t="shared" si="2"/>
        <v>2093</v>
      </c>
      <c r="CQ7" s="667">
        <f t="shared" si="2"/>
        <v>2094</v>
      </c>
      <c r="CR7" s="667">
        <f t="shared" si="2"/>
        <v>2095</v>
      </c>
      <c r="CS7" s="667">
        <f t="shared" si="2"/>
        <v>2096</v>
      </c>
      <c r="CT7" s="667">
        <f t="shared" si="2"/>
        <v>2097</v>
      </c>
      <c r="CU7" s="667">
        <f t="shared" si="2"/>
        <v>2098</v>
      </c>
      <c r="CV7" s="667">
        <f t="shared" si="2"/>
        <v>2099</v>
      </c>
      <c r="CW7" s="667">
        <f t="shared" si="2"/>
        <v>2100</v>
      </c>
      <c r="CX7" s="667">
        <f t="shared" si="2"/>
        <v>2101</v>
      </c>
      <c r="CY7" s="667">
        <f t="shared" si="2"/>
        <v>2102</v>
      </c>
      <c r="CZ7" s="667">
        <f t="shared" si="2"/>
        <v>2103</v>
      </c>
      <c r="DA7" s="667">
        <f t="shared" si="2"/>
        <v>2104</v>
      </c>
      <c r="DB7" s="667">
        <f t="shared" si="2"/>
        <v>2105</v>
      </c>
      <c r="DC7" s="667">
        <f t="shared" ref="DC7:DP7" si="3">+YEAR(DC9)</f>
        <v>2106</v>
      </c>
      <c r="DD7" s="667">
        <f t="shared" si="3"/>
        <v>2107</v>
      </c>
      <c r="DE7" s="667">
        <f t="shared" si="3"/>
        <v>2108</v>
      </c>
      <c r="DF7" s="667">
        <f t="shared" si="3"/>
        <v>2109</v>
      </c>
      <c r="DG7" s="667">
        <f t="shared" si="3"/>
        <v>2110</v>
      </c>
      <c r="DH7" s="667">
        <f t="shared" si="3"/>
        <v>2111</v>
      </c>
      <c r="DI7" s="667">
        <f t="shared" si="3"/>
        <v>2112</v>
      </c>
      <c r="DJ7" s="667">
        <f t="shared" si="3"/>
        <v>2113</v>
      </c>
      <c r="DK7" s="667">
        <f t="shared" si="3"/>
        <v>2114</v>
      </c>
      <c r="DL7" s="667">
        <f t="shared" si="3"/>
        <v>2115</v>
      </c>
      <c r="DM7" s="667">
        <f t="shared" si="3"/>
        <v>2116</v>
      </c>
      <c r="DN7" s="667">
        <f t="shared" si="3"/>
        <v>2117</v>
      </c>
      <c r="DO7" s="667">
        <f t="shared" si="3"/>
        <v>2118</v>
      </c>
      <c r="DP7" s="667">
        <f t="shared" si="3"/>
        <v>2119</v>
      </c>
      <c r="DQ7" s="5"/>
    </row>
    <row r="8" spans="1:121" x14ac:dyDescent="0.2">
      <c r="C8" t="s">
        <v>46</v>
      </c>
      <c r="Q8" s="148">
        <v>42370</v>
      </c>
      <c r="R8" s="70">
        <f t="shared" ref="R8:AP8" si="4">+Q9+1</f>
        <v>42736</v>
      </c>
      <c r="S8" s="70">
        <f t="shared" si="4"/>
        <v>43101</v>
      </c>
      <c r="T8" s="70">
        <f t="shared" si="4"/>
        <v>43466</v>
      </c>
      <c r="U8" s="70">
        <f t="shared" si="4"/>
        <v>43831</v>
      </c>
      <c r="V8" s="70">
        <f t="shared" si="4"/>
        <v>44197</v>
      </c>
      <c r="W8" s="70">
        <f t="shared" si="4"/>
        <v>44562</v>
      </c>
      <c r="X8" s="70">
        <f t="shared" si="4"/>
        <v>44927</v>
      </c>
      <c r="Y8" s="70">
        <f t="shared" si="4"/>
        <v>45292</v>
      </c>
      <c r="Z8" s="70">
        <f t="shared" si="4"/>
        <v>45658</v>
      </c>
      <c r="AA8" s="70">
        <f t="shared" si="4"/>
        <v>46023</v>
      </c>
      <c r="AB8" s="70">
        <f t="shared" si="4"/>
        <v>46388</v>
      </c>
      <c r="AC8" s="70">
        <f t="shared" si="4"/>
        <v>46753</v>
      </c>
      <c r="AD8" s="70">
        <f t="shared" si="4"/>
        <v>47119</v>
      </c>
      <c r="AE8" s="70">
        <f t="shared" si="4"/>
        <v>47484</v>
      </c>
      <c r="AF8" s="70">
        <f t="shared" si="4"/>
        <v>47849</v>
      </c>
      <c r="AG8" s="70">
        <f t="shared" si="4"/>
        <v>48214</v>
      </c>
      <c r="AH8" s="70">
        <f t="shared" si="4"/>
        <v>48580</v>
      </c>
      <c r="AI8" s="70">
        <f t="shared" si="4"/>
        <v>48945</v>
      </c>
      <c r="AJ8" s="70">
        <f t="shared" si="4"/>
        <v>49310</v>
      </c>
      <c r="AK8" s="70">
        <f t="shared" si="4"/>
        <v>49675</v>
      </c>
      <c r="AL8" s="70">
        <f t="shared" si="4"/>
        <v>50041</v>
      </c>
      <c r="AM8" s="70">
        <f t="shared" si="4"/>
        <v>50406</v>
      </c>
      <c r="AN8" s="70">
        <f t="shared" si="4"/>
        <v>50771</v>
      </c>
      <c r="AO8" s="70">
        <f t="shared" si="4"/>
        <v>51136</v>
      </c>
      <c r="AP8" s="70">
        <f t="shared" si="4"/>
        <v>51502</v>
      </c>
      <c r="AQ8" s="70">
        <f t="shared" ref="AQ8:BV8" si="5">+AP9+1</f>
        <v>51867</v>
      </c>
      <c r="AR8" s="70">
        <f t="shared" si="5"/>
        <v>52232</v>
      </c>
      <c r="AS8" s="70">
        <f t="shared" si="5"/>
        <v>52597</v>
      </c>
      <c r="AT8" s="70">
        <f t="shared" si="5"/>
        <v>52963</v>
      </c>
      <c r="AU8" s="70">
        <f t="shared" si="5"/>
        <v>53328</v>
      </c>
      <c r="AV8" s="70">
        <f t="shared" si="5"/>
        <v>53693</v>
      </c>
      <c r="AW8" s="70">
        <f t="shared" si="5"/>
        <v>54058</v>
      </c>
      <c r="AX8" s="70">
        <f t="shared" si="5"/>
        <v>54424</v>
      </c>
      <c r="AY8" s="70">
        <f t="shared" si="5"/>
        <v>54789</v>
      </c>
      <c r="AZ8" s="70">
        <f t="shared" si="5"/>
        <v>55154</v>
      </c>
      <c r="BA8" s="70">
        <f t="shared" si="5"/>
        <v>55519</v>
      </c>
      <c r="BB8" s="70">
        <f t="shared" si="5"/>
        <v>55885</v>
      </c>
      <c r="BC8" s="70">
        <f t="shared" si="5"/>
        <v>56250</v>
      </c>
      <c r="BD8" s="70">
        <f t="shared" si="5"/>
        <v>56615</v>
      </c>
      <c r="BE8" s="70">
        <f t="shared" si="5"/>
        <v>56980</v>
      </c>
      <c r="BF8" s="70">
        <f t="shared" si="5"/>
        <v>57346</v>
      </c>
      <c r="BG8" s="70">
        <f t="shared" si="5"/>
        <v>57711</v>
      </c>
      <c r="BH8" s="70">
        <f t="shared" si="5"/>
        <v>58076</v>
      </c>
      <c r="BI8" s="70">
        <f t="shared" si="5"/>
        <v>58441</v>
      </c>
      <c r="BJ8" s="70">
        <f t="shared" si="5"/>
        <v>58807</v>
      </c>
      <c r="BK8" s="70">
        <f t="shared" si="5"/>
        <v>59172</v>
      </c>
      <c r="BL8" s="70">
        <f t="shared" si="5"/>
        <v>59537</v>
      </c>
      <c r="BM8" s="70">
        <f t="shared" si="5"/>
        <v>59902</v>
      </c>
      <c r="BN8" s="70">
        <f t="shared" si="5"/>
        <v>60268</v>
      </c>
      <c r="BO8" s="70">
        <f t="shared" si="5"/>
        <v>60633</v>
      </c>
      <c r="BP8" s="70">
        <f t="shared" si="5"/>
        <v>60998</v>
      </c>
      <c r="BQ8" s="70">
        <f t="shared" si="5"/>
        <v>61363</v>
      </c>
      <c r="BR8" s="70">
        <f t="shared" si="5"/>
        <v>61729</v>
      </c>
      <c r="BS8" s="70">
        <f t="shared" si="5"/>
        <v>62094</v>
      </c>
      <c r="BT8" s="70">
        <f t="shared" si="5"/>
        <v>62459</v>
      </c>
      <c r="BU8" s="70">
        <f t="shared" si="5"/>
        <v>62824</v>
      </c>
      <c r="BV8" s="70">
        <f t="shared" si="5"/>
        <v>63190</v>
      </c>
      <c r="BW8" s="70">
        <f t="shared" ref="BW8:DB8" si="6">+BV9+1</f>
        <v>63555</v>
      </c>
      <c r="BX8" s="70">
        <f t="shared" si="6"/>
        <v>63920</v>
      </c>
      <c r="BY8" s="70">
        <f t="shared" si="6"/>
        <v>64285</v>
      </c>
      <c r="BZ8" s="70">
        <f t="shared" si="6"/>
        <v>64651</v>
      </c>
      <c r="CA8" s="70">
        <f t="shared" si="6"/>
        <v>65016</v>
      </c>
      <c r="CB8" s="70">
        <f t="shared" si="6"/>
        <v>65381</v>
      </c>
      <c r="CC8" s="70">
        <f t="shared" si="6"/>
        <v>65746</v>
      </c>
      <c r="CD8" s="70">
        <f t="shared" si="6"/>
        <v>66112</v>
      </c>
      <c r="CE8" s="70">
        <f t="shared" si="6"/>
        <v>66477</v>
      </c>
      <c r="CF8" s="70">
        <f t="shared" si="6"/>
        <v>66842</v>
      </c>
      <c r="CG8" s="70">
        <f t="shared" si="6"/>
        <v>67207</v>
      </c>
      <c r="CH8" s="70">
        <f t="shared" si="6"/>
        <v>67573</v>
      </c>
      <c r="CI8" s="70">
        <f t="shared" si="6"/>
        <v>67938</v>
      </c>
      <c r="CJ8" s="70">
        <f t="shared" si="6"/>
        <v>68303</v>
      </c>
      <c r="CK8" s="70">
        <f t="shared" si="6"/>
        <v>68668</v>
      </c>
      <c r="CL8" s="70">
        <f t="shared" si="6"/>
        <v>69034</v>
      </c>
      <c r="CM8" s="70">
        <f t="shared" si="6"/>
        <v>69399</v>
      </c>
      <c r="CN8" s="70">
        <f t="shared" si="6"/>
        <v>69764</v>
      </c>
      <c r="CO8" s="70">
        <f t="shared" si="6"/>
        <v>70129</v>
      </c>
      <c r="CP8" s="70">
        <f t="shared" si="6"/>
        <v>70495</v>
      </c>
      <c r="CQ8" s="70">
        <f t="shared" si="6"/>
        <v>70860</v>
      </c>
      <c r="CR8" s="70">
        <f t="shared" si="6"/>
        <v>71225</v>
      </c>
      <c r="CS8" s="70">
        <f t="shared" si="6"/>
        <v>71590</v>
      </c>
      <c r="CT8" s="70">
        <f t="shared" si="6"/>
        <v>71956</v>
      </c>
      <c r="CU8" s="70">
        <f t="shared" si="6"/>
        <v>72321</v>
      </c>
      <c r="CV8" s="70">
        <f t="shared" si="6"/>
        <v>72686</v>
      </c>
      <c r="CW8" s="70">
        <f t="shared" si="6"/>
        <v>73051</v>
      </c>
      <c r="CX8" s="70">
        <f t="shared" si="6"/>
        <v>73416</v>
      </c>
      <c r="CY8" s="70">
        <f t="shared" si="6"/>
        <v>73781</v>
      </c>
      <c r="CZ8" s="70">
        <f t="shared" si="6"/>
        <v>74146</v>
      </c>
      <c r="DA8" s="70">
        <f t="shared" si="6"/>
        <v>74511</v>
      </c>
      <c r="DB8" s="70">
        <f t="shared" si="6"/>
        <v>74877</v>
      </c>
      <c r="DC8" s="70">
        <f t="shared" ref="DC8:DP8" si="7">+DB9+1</f>
        <v>75242</v>
      </c>
      <c r="DD8" s="70">
        <f t="shared" si="7"/>
        <v>75607</v>
      </c>
      <c r="DE8" s="70">
        <f t="shared" si="7"/>
        <v>75972</v>
      </c>
      <c r="DF8" s="70">
        <f t="shared" si="7"/>
        <v>76338</v>
      </c>
      <c r="DG8" s="70">
        <f t="shared" si="7"/>
        <v>76703</v>
      </c>
      <c r="DH8" s="70">
        <f t="shared" si="7"/>
        <v>77068</v>
      </c>
      <c r="DI8" s="70">
        <f t="shared" si="7"/>
        <v>77433</v>
      </c>
      <c r="DJ8" s="70">
        <f t="shared" si="7"/>
        <v>77799</v>
      </c>
      <c r="DK8" s="70">
        <f t="shared" si="7"/>
        <v>78164</v>
      </c>
      <c r="DL8" s="70">
        <f t="shared" si="7"/>
        <v>78529</v>
      </c>
      <c r="DM8" s="70">
        <f t="shared" si="7"/>
        <v>78894</v>
      </c>
      <c r="DN8" s="70">
        <f t="shared" si="7"/>
        <v>79260</v>
      </c>
      <c r="DO8" s="70">
        <f t="shared" si="7"/>
        <v>79625</v>
      </c>
      <c r="DP8" s="70">
        <f t="shared" si="7"/>
        <v>79990</v>
      </c>
      <c r="DQ8" s="30"/>
    </row>
    <row r="9" spans="1:121" x14ac:dyDescent="0.2">
      <c r="C9" t="s">
        <v>47</v>
      </c>
      <c r="Q9" s="70">
        <f t="shared" ref="Q9:AO9" si="8">+EOMONTH(Q8,11)</f>
        <v>42735</v>
      </c>
      <c r="R9" s="70">
        <f t="shared" si="8"/>
        <v>43100</v>
      </c>
      <c r="S9" s="70">
        <f t="shared" si="8"/>
        <v>43465</v>
      </c>
      <c r="T9" s="70">
        <f t="shared" si="8"/>
        <v>43830</v>
      </c>
      <c r="U9" s="70">
        <f t="shared" si="8"/>
        <v>44196</v>
      </c>
      <c r="V9" s="70">
        <f t="shared" si="8"/>
        <v>44561</v>
      </c>
      <c r="W9" s="70">
        <f t="shared" si="8"/>
        <v>44926</v>
      </c>
      <c r="X9" s="70">
        <f t="shared" si="8"/>
        <v>45291</v>
      </c>
      <c r="Y9" s="70">
        <f t="shared" si="8"/>
        <v>45657</v>
      </c>
      <c r="Z9" s="70">
        <f t="shared" si="8"/>
        <v>46022</v>
      </c>
      <c r="AA9" s="70">
        <f t="shared" si="8"/>
        <v>46387</v>
      </c>
      <c r="AB9" s="70">
        <f t="shared" si="8"/>
        <v>46752</v>
      </c>
      <c r="AC9" s="70">
        <f t="shared" si="8"/>
        <v>47118</v>
      </c>
      <c r="AD9" s="70">
        <f t="shared" si="8"/>
        <v>47483</v>
      </c>
      <c r="AE9" s="70">
        <f t="shared" si="8"/>
        <v>47848</v>
      </c>
      <c r="AF9" s="70">
        <f t="shared" si="8"/>
        <v>48213</v>
      </c>
      <c r="AG9" s="70">
        <f t="shared" si="8"/>
        <v>48579</v>
      </c>
      <c r="AH9" s="70">
        <f t="shared" si="8"/>
        <v>48944</v>
      </c>
      <c r="AI9" s="70">
        <f t="shared" si="8"/>
        <v>49309</v>
      </c>
      <c r="AJ9" s="70">
        <f t="shared" si="8"/>
        <v>49674</v>
      </c>
      <c r="AK9" s="70">
        <f t="shared" si="8"/>
        <v>50040</v>
      </c>
      <c r="AL9" s="70">
        <f t="shared" si="8"/>
        <v>50405</v>
      </c>
      <c r="AM9" s="70">
        <f t="shared" si="8"/>
        <v>50770</v>
      </c>
      <c r="AN9" s="70">
        <f t="shared" si="8"/>
        <v>51135</v>
      </c>
      <c r="AO9" s="70">
        <f t="shared" si="8"/>
        <v>51501</v>
      </c>
      <c r="AP9" s="70">
        <f t="shared" ref="AP9:BU9" si="9">+EOMONTH(AP8,11)</f>
        <v>51866</v>
      </c>
      <c r="AQ9" s="70">
        <f t="shared" si="9"/>
        <v>52231</v>
      </c>
      <c r="AR9" s="70">
        <f t="shared" si="9"/>
        <v>52596</v>
      </c>
      <c r="AS9" s="70">
        <f t="shared" si="9"/>
        <v>52962</v>
      </c>
      <c r="AT9" s="70">
        <f t="shared" si="9"/>
        <v>53327</v>
      </c>
      <c r="AU9" s="70">
        <f t="shared" si="9"/>
        <v>53692</v>
      </c>
      <c r="AV9" s="70">
        <f t="shared" si="9"/>
        <v>54057</v>
      </c>
      <c r="AW9" s="70">
        <f t="shared" si="9"/>
        <v>54423</v>
      </c>
      <c r="AX9" s="70">
        <f t="shared" si="9"/>
        <v>54788</v>
      </c>
      <c r="AY9" s="70">
        <f t="shared" si="9"/>
        <v>55153</v>
      </c>
      <c r="AZ9" s="70">
        <f t="shared" si="9"/>
        <v>55518</v>
      </c>
      <c r="BA9" s="70">
        <f t="shared" si="9"/>
        <v>55884</v>
      </c>
      <c r="BB9" s="70">
        <f t="shared" si="9"/>
        <v>56249</v>
      </c>
      <c r="BC9" s="70">
        <f t="shared" si="9"/>
        <v>56614</v>
      </c>
      <c r="BD9" s="70">
        <f t="shared" si="9"/>
        <v>56979</v>
      </c>
      <c r="BE9" s="70">
        <f t="shared" si="9"/>
        <v>57345</v>
      </c>
      <c r="BF9" s="70">
        <f t="shared" si="9"/>
        <v>57710</v>
      </c>
      <c r="BG9" s="70">
        <f t="shared" si="9"/>
        <v>58075</v>
      </c>
      <c r="BH9" s="70">
        <f t="shared" si="9"/>
        <v>58440</v>
      </c>
      <c r="BI9" s="70">
        <f t="shared" si="9"/>
        <v>58806</v>
      </c>
      <c r="BJ9" s="70">
        <f t="shared" si="9"/>
        <v>59171</v>
      </c>
      <c r="BK9" s="70">
        <f t="shared" si="9"/>
        <v>59536</v>
      </c>
      <c r="BL9" s="70">
        <f t="shared" si="9"/>
        <v>59901</v>
      </c>
      <c r="BM9" s="70">
        <f t="shared" si="9"/>
        <v>60267</v>
      </c>
      <c r="BN9" s="70">
        <f t="shared" si="9"/>
        <v>60632</v>
      </c>
      <c r="BO9" s="70">
        <f t="shared" si="9"/>
        <v>60997</v>
      </c>
      <c r="BP9" s="70">
        <f t="shared" si="9"/>
        <v>61362</v>
      </c>
      <c r="BQ9" s="70">
        <f t="shared" si="9"/>
        <v>61728</v>
      </c>
      <c r="BR9" s="70">
        <f t="shared" si="9"/>
        <v>62093</v>
      </c>
      <c r="BS9" s="70">
        <f t="shared" si="9"/>
        <v>62458</v>
      </c>
      <c r="BT9" s="70">
        <f t="shared" si="9"/>
        <v>62823</v>
      </c>
      <c r="BU9" s="70">
        <f t="shared" si="9"/>
        <v>63189</v>
      </c>
      <c r="BV9" s="70">
        <f t="shared" ref="BV9:DA9" si="10">+EOMONTH(BV8,11)</f>
        <v>63554</v>
      </c>
      <c r="BW9" s="70">
        <f t="shared" si="10"/>
        <v>63919</v>
      </c>
      <c r="BX9" s="70">
        <f t="shared" si="10"/>
        <v>64284</v>
      </c>
      <c r="BY9" s="70">
        <f t="shared" si="10"/>
        <v>64650</v>
      </c>
      <c r="BZ9" s="70">
        <f t="shared" si="10"/>
        <v>65015</v>
      </c>
      <c r="CA9" s="70">
        <f t="shared" si="10"/>
        <v>65380</v>
      </c>
      <c r="CB9" s="70">
        <f t="shared" si="10"/>
        <v>65745</v>
      </c>
      <c r="CC9" s="70">
        <f t="shared" si="10"/>
        <v>66111</v>
      </c>
      <c r="CD9" s="70">
        <f t="shared" si="10"/>
        <v>66476</v>
      </c>
      <c r="CE9" s="70">
        <f t="shared" si="10"/>
        <v>66841</v>
      </c>
      <c r="CF9" s="70">
        <f t="shared" si="10"/>
        <v>67206</v>
      </c>
      <c r="CG9" s="70">
        <f t="shared" si="10"/>
        <v>67572</v>
      </c>
      <c r="CH9" s="70">
        <f t="shared" si="10"/>
        <v>67937</v>
      </c>
      <c r="CI9" s="70">
        <f t="shared" si="10"/>
        <v>68302</v>
      </c>
      <c r="CJ9" s="70">
        <f t="shared" si="10"/>
        <v>68667</v>
      </c>
      <c r="CK9" s="70">
        <f t="shared" si="10"/>
        <v>69033</v>
      </c>
      <c r="CL9" s="70">
        <f t="shared" si="10"/>
        <v>69398</v>
      </c>
      <c r="CM9" s="70">
        <f t="shared" si="10"/>
        <v>69763</v>
      </c>
      <c r="CN9" s="70">
        <f t="shared" si="10"/>
        <v>70128</v>
      </c>
      <c r="CO9" s="70">
        <f t="shared" si="10"/>
        <v>70494</v>
      </c>
      <c r="CP9" s="70">
        <f t="shared" si="10"/>
        <v>70859</v>
      </c>
      <c r="CQ9" s="70">
        <f t="shared" si="10"/>
        <v>71224</v>
      </c>
      <c r="CR9" s="70">
        <f t="shared" si="10"/>
        <v>71589</v>
      </c>
      <c r="CS9" s="70">
        <f t="shared" si="10"/>
        <v>71955</v>
      </c>
      <c r="CT9" s="70">
        <f t="shared" si="10"/>
        <v>72320</v>
      </c>
      <c r="CU9" s="70">
        <f t="shared" si="10"/>
        <v>72685</v>
      </c>
      <c r="CV9" s="70">
        <f t="shared" si="10"/>
        <v>73050</v>
      </c>
      <c r="CW9" s="70">
        <f t="shared" si="10"/>
        <v>73415</v>
      </c>
      <c r="CX9" s="70">
        <f t="shared" si="10"/>
        <v>73780</v>
      </c>
      <c r="CY9" s="70">
        <f t="shared" si="10"/>
        <v>74145</v>
      </c>
      <c r="CZ9" s="70">
        <f t="shared" si="10"/>
        <v>74510</v>
      </c>
      <c r="DA9" s="70">
        <f t="shared" si="10"/>
        <v>74876</v>
      </c>
      <c r="DB9" s="70">
        <f t="shared" ref="DB9:DP9" si="11">+EOMONTH(DB8,11)</f>
        <v>75241</v>
      </c>
      <c r="DC9" s="70">
        <f t="shared" si="11"/>
        <v>75606</v>
      </c>
      <c r="DD9" s="70">
        <f t="shared" si="11"/>
        <v>75971</v>
      </c>
      <c r="DE9" s="70">
        <f t="shared" si="11"/>
        <v>76337</v>
      </c>
      <c r="DF9" s="70">
        <f t="shared" si="11"/>
        <v>76702</v>
      </c>
      <c r="DG9" s="70">
        <f t="shared" si="11"/>
        <v>77067</v>
      </c>
      <c r="DH9" s="70">
        <f t="shared" si="11"/>
        <v>77432</v>
      </c>
      <c r="DI9" s="70">
        <f t="shared" si="11"/>
        <v>77798</v>
      </c>
      <c r="DJ9" s="70">
        <f t="shared" si="11"/>
        <v>78163</v>
      </c>
      <c r="DK9" s="70">
        <f t="shared" si="11"/>
        <v>78528</v>
      </c>
      <c r="DL9" s="70">
        <f t="shared" si="11"/>
        <v>78893</v>
      </c>
      <c r="DM9" s="70">
        <f t="shared" si="11"/>
        <v>79259</v>
      </c>
      <c r="DN9" s="70">
        <f t="shared" si="11"/>
        <v>79624</v>
      </c>
      <c r="DO9" s="70">
        <f t="shared" si="11"/>
        <v>79989</v>
      </c>
      <c r="DP9" s="70">
        <f t="shared" si="11"/>
        <v>80354</v>
      </c>
      <c r="DQ9" s="30"/>
    </row>
    <row r="10" spans="1:121" x14ac:dyDescent="0.2">
      <c r="K10" s="144" t="s">
        <v>48</v>
      </c>
      <c r="L10" s="6" t="s">
        <v>49</v>
      </c>
      <c r="M10" s="6"/>
      <c r="N10" s="6" t="s">
        <v>50</v>
      </c>
      <c r="DQ10" s="42"/>
    </row>
    <row r="11" spans="1:121" x14ac:dyDescent="0.2">
      <c r="A11" s="61"/>
      <c r="B11" s="61"/>
      <c r="DQ11" s="42"/>
    </row>
    <row r="12" spans="1:121" x14ac:dyDescent="0.2">
      <c r="A12" s="61"/>
      <c r="B12" s="61"/>
      <c r="C12" t="s">
        <v>52</v>
      </c>
      <c r="K12" s="144" t="s">
        <v>51</v>
      </c>
      <c r="Q12" s="750">
        <f>(MIN(Q$9,Inputs!$L$31) - MAX(Q$8,Inputs!$L$27) &gt;= 0) * 1</f>
        <v>1</v>
      </c>
      <c r="R12" s="750">
        <f>(MIN(R$9,Inputs!$L$31) - MAX(R$8,Inputs!$L$27) &gt;= 0) * 1</f>
        <v>1</v>
      </c>
      <c r="S12" s="750">
        <f>(MIN(S$9,Inputs!$L$31) - MAX(S$8,Inputs!$L$27) &gt;= 0) * 1</f>
        <v>1</v>
      </c>
      <c r="T12" s="750">
        <f>(MIN(T$9,Inputs!$L$31) - MAX(T$8,Inputs!$L$27) &gt;= 0) * 1</f>
        <v>1</v>
      </c>
      <c r="U12" s="750">
        <f>(MIN(U$9,Inputs!$L$31) - MAX(U$8,Inputs!$L$27) &gt;= 0) * 1</f>
        <v>1</v>
      </c>
      <c r="V12" s="750">
        <f>(MIN(V$9,Inputs!$L$31) - MAX(V$8,Inputs!$L$27) &gt;= 0) * 1</f>
        <v>1</v>
      </c>
      <c r="W12" s="750">
        <f>(MIN(W$9,Inputs!$L$31) - MAX(W$8,Inputs!$L$27) &gt;= 0) * 1</f>
        <v>1</v>
      </c>
      <c r="X12" s="750">
        <f>(MIN(X$9,Inputs!$L$31) - MAX(X$8,Inputs!$L$27) &gt;= 0) * 1</f>
        <v>1</v>
      </c>
      <c r="Y12" s="750">
        <f>(MIN(Y$9,Inputs!$L$31) - MAX(Y$8,Inputs!$L$27) &gt;= 0) * 1</f>
        <v>1</v>
      </c>
      <c r="Z12" s="750">
        <f>(MIN(Z$9,Inputs!$L$31) - MAX(Z$8,Inputs!$L$27) &gt;= 0) * 1</f>
        <v>1</v>
      </c>
      <c r="AA12" s="750">
        <f>(MIN(AA$9,Inputs!$L$31) - MAX(AA$8,Inputs!$L$27) &gt;= 0) * 1</f>
        <v>1</v>
      </c>
      <c r="AB12" s="750">
        <f>(MIN(AB$9,Inputs!$L$31) - MAX(AB$8,Inputs!$L$27) &gt;= 0) * 1</f>
        <v>1</v>
      </c>
      <c r="AC12" s="750">
        <f>(MIN(AC$9,Inputs!$L$31) - MAX(AC$8,Inputs!$L$27) &gt;= 0) * 1</f>
        <v>1</v>
      </c>
      <c r="AD12" s="750">
        <f>(MIN(AD$9,Inputs!$L$31) - MAX(AD$8,Inputs!$L$27) &gt;= 0) * 1</f>
        <v>1</v>
      </c>
      <c r="AE12" s="750">
        <f>(MIN(AE$9,Inputs!$L$31) - MAX(AE$8,Inputs!$L$27) &gt;= 0) * 1</f>
        <v>1</v>
      </c>
      <c r="AF12" s="750">
        <f>(MIN(AF$9,Inputs!$L$31) - MAX(AF$8,Inputs!$L$27) &gt;= 0) * 1</f>
        <v>1</v>
      </c>
      <c r="AG12" s="750">
        <f>(MIN(AG$9,Inputs!$L$31) - MAX(AG$8,Inputs!$L$27) &gt;= 0) * 1</f>
        <v>1</v>
      </c>
      <c r="AH12" s="750">
        <f>(MIN(AH$9,Inputs!$L$31) - MAX(AH$8,Inputs!$L$27) &gt;= 0) * 1</f>
        <v>1</v>
      </c>
      <c r="AI12" s="750">
        <f>(MIN(AI$9,Inputs!$L$31) - MAX(AI$8,Inputs!$L$27) &gt;= 0) * 1</f>
        <v>1</v>
      </c>
      <c r="AJ12" s="750">
        <f>(MIN(AJ$9,Inputs!$L$31) - MAX(AJ$8,Inputs!$L$27) &gt;= 0) * 1</f>
        <v>1</v>
      </c>
      <c r="AK12" s="750">
        <f>(MIN(AK$9,Inputs!$L$31) - MAX(AK$8,Inputs!$L$27) &gt;= 0) * 1</f>
        <v>1</v>
      </c>
      <c r="AL12" s="750">
        <f>(MIN(AL$9,Inputs!$L$31) - MAX(AL$8,Inputs!$L$27) &gt;= 0) * 1</f>
        <v>1</v>
      </c>
      <c r="AM12" s="750">
        <f>(MIN(AM$9,Inputs!$L$31) - MAX(AM$8,Inputs!$L$27) &gt;= 0) * 1</f>
        <v>1</v>
      </c>
      <c r="AN12" s="750">
        <f>(MIN(AN$9,Inputs!$L$31) - MAX(AN$8,Inputs!$L$27) &gt;= 0) * 1</f>
        <v>1</v>
      </c>
      <c r="AO12" s="750">
        <f>(MIN(AO$9,Inputs!$L$31) - MAX(AO$8,Inputs!$L$27) &gt;= 0) * 1</f>
        <v>1</v>
      </c>
      <c r="AP12" s="750">
        <f>(MIN(AP$9,Inputs!$L$31) - MAX(AP$8,Inputs!$L$27) &gt;= 0) * 1</f>
        <v>1</v>
      </c>
      <c r="AQ12" s="750">
        <f>(MIN(AQ$9,Inputs!$L$31) - MAX(AQ$8,Inputs!$L$27) &gt;= 0) * 1</f>
        <v>1</v>
      </c>
      <c r="AR12" s="750">
        <f>(MIN(AR$9,Inputs!$L$31) - MAX(AR$8,Inputs!$L$27) &gt;= 0) * 1</f>
        <v>1</v>
      </c>
      <c r="AS12" s="750">
        <f>(MIN(AS$9,Inputs!$L$31) - MAX(AS$8,Inputs!$L$27) &gt;= 0) * 1</f>
        <v>1</v>
      </c>
      <c r="AT12" s="750">
        <f>(MIN(AT$9,Inputs!$L$31) - MAX(AT$8,Inputs!$L$27) &gt;= 0) * 1</f>
        <v>1</v>
      </c>
      <c r="AU12" s="750">
        <f>(MIN(AU$9,Inputs!$L$31) - MAX(AU$8,Inputs!$L$27) &gt;= 0) * 1</f>
        <v>1</v>
      </c>
      <c r="AV12" s="750">
        <f>(MIN(AV$9,Inputs!$L$31) - MAX(AV$8,Inputs!$L$27) &gt;= 0) * 1</f>
        <v>1</v>
      </c>
      <c r="AW12" s="750">
        <f>(MIN(AW$9,Inputs!$L$31) - MAX(AW$8,Inputs!$L$27) &gt;= 0) * 1</f>
        <v>1</v>
      </c>
      <c r="AX12" s="750">
        <f>(MIN(AX$9,Inputs!$L$31) - MAX(AX$8,Inputs!$L$27) &gt;= 0) * 1</f>
        <v>1</v>
      </c>
      <c r="AY12" s="750">
        <f>(MIN(AY$9,Inputs!$L$31) - MAX(AY$8,Inputs!$L$27) &gt;= 0) * 1</f>
        <v>1</v>
      </c>
      <c r="AZ12" s="750">
        <f>(MIN(AZ$9,Inputs!$L$31) - MAX(AZ$8,Inputs!$L$27) &gt;= 0) * 1</f>
        <v>1</v>
      </c>
      <c r="BA12" s="750">
        <f>(MIN(BA$9,Inputs!$L$31) - MAX(BA$8,Inputs!$L$27) &gt;= 0) * 1</f>
        <v>1</v>
      </c>
      <c r="BB12" s="750">
        <f>(MIN(BB$9,Inputs!$L$31) - MAX(BB$8,Inputs!$L$27) &gt;= 0) * 1</f>
        <v>1</v>
      </c>
      <c r="BC12" s="750">
        <f>(MIN(BC$9,Inputs!$L$31) - MAX(BC$8,Inputs!$L$27) &gt;= 0) * 1</f>
        <v>1</v>
      </c>
      <c r="BD12" s="750">
        <f>(MIN(BD$9,Inputs!$L$31) - MAX(BD$8,Inputs!$L$27) &gt;= 0) * 1</f>
        <v>1</v>
      </c>
      <c r="BE12" s="750">
        <f>(MIN(BE$9,Inputs!$L$31) - MAX(BE$8,Inputs!$L$27) &gt;= 0) * 1</f>
        <v>1</v>
      </c>
      <c r="BF12" s="750">
        <f>(MIN(BF$9,Inputs!$L$31) - MAX(BF$8,Inputs!$L$27) &gt;= 0) * 1</f>
        <v>1</v>
      </c>
      <c r="BG12" s="750">
        <f>(MIN(BG$9,Inputs!$L$31) - MAX(BG$8,Inputs!$L$27) &gt;= 0) * 1</f>
        <v>1</v>
      </c>
      <c r="BH12" s="750">
        <f>(MIN(BH$9,Inputs!$L$31) - MAX(BH$8,Inputs!$L$27) &gt;= 0) * 1</f>
        <v>1</v>
      </c>
      <c r="BI12" s="750">
        <f>(MIN(BI$9,Inputs!$L$31) - MAX(BI$8,Inputs!$L$27) &gt;= 0) * 1</f>
        <v>1</v>
      </c>
      <c r="BJ12" s="750">
        <f>(MIN(BJ$9,Inputs!$L$31) - MAX(BJ$8,Inputs!$L$27) &gt;= 0) * 1</f>
        <v>1</v>
      </c>
      <c r="BK12" s="750">
        <f>(MIN(BK$9,Inputs!$L$31) - MAX(BK$8,Inputs!$L$27) &gt;= 0) * 1</f>
        <v>0</v>
      </c>
      <c r="BL12" s="750">
        <f>(MIN(BL$9,Inputs!$L$31) - MAX(BL$8,Inputs!$L$27) &gt;= 0) * 1</f>
        <v>0</v>
      </c>
      <c r="BM12" s="750">
        <f>(MIN(BM$9,Inputs!$L$31) - MAX(BM$8,Inputs!$L$27) &gt;= 0) * 1</f>
        <v>0</v>
      </c>
      <c r="BN12" s="750">
        <f>(MIN(BN$9,Inputs!$L$31) - MAX(BN$8,Inputs!$L$27) &gt;= 0) * 1</f>
        <v>0</v>
      </c>
      <c r="BO12" s="750">
        <f>(MIN(BO$9,Inputs!$L$31) - MAX(BO$8,Inputs!$L$27) &gt;= 0) * 1</f>
        <v>0</v>
      </c>
      <c r="BP12" s="750">
        <f>(MIN(BP$9,Inputs!$L$31) - MAX(BP$8,Inputs!$L$27) &gt;= 0) * 1</f>
        <v>0</v>
      </c>
      <c r="BQ12" s="750">
        <f>(MIN(BQ$9,Inputs!$L$31) - MAX(BQ$8,Inputs!$L$27) &gt;= 0) * 1</f>
        <v>0</v>
      </c>
      <c r="BR12" s="750">
        <f>(MIN(BR$9,Inputs!$L$31) - MAX(BR$8,Inputs!$L$27) &gt;= 0) * 1</f>
        <v>0</v>
      </c>
      <c r="BS12" s="750">
        <f>(MIN(BS$9,Inputs!$L$31) - MAX(BS$8,Inputs!$L$27) &gt;= 0) * 1</f>
        <v>0</v>
      </c>
      <c r="BT12" s="750">
        <f>(MIN(BT$9,Inputs!$L$31) - MAX(BT$8,Inputs!$L$27) &gt;= 0) * 1</f>
        <v>0</v>
      </c>
      <c r="BU12" s="750">
        <f>(MIN(BU$9,Inputs!$L$31) - MAX(BU$8,Inputs!$L$27) &gt;= 0) * 1</f>
        <v>0</v>
      </c>
      <c r="BV12" s="750">
        <f>(MIN(BV$9,Inputs!$L$31) - MAX(BV$8,Inputs!$L$27) &gt;= 0) * 1</f>
        <v>0</v>
      </c>
      <c r="BW12" s="750">
        <f>(MIN(BW$9,Inputs!$L$31) - MAX(BW$8,Inputs!$L$27) &gt;= 0) * 1</f>
        <v>0</v>
      </c>
      <c r="BX12" s="750">
        <f>(MIN(BX$9,Inputs!$L$31) - MAX(BX$8,Inputs!$L$27) &gt;= 0) * 1</f>
        <v>0</v>
      </c>
      <c r="BY12" s="750">
        <f>(MIN(BY$9,Inputs!$L$31) - MAX(BY$8,Inputs!$L$27) &gt;= 0) * 1</f>
        <v>0</v>
      </c>
      <c r="BZ12" s="750">
        <f>(MIN(BZ$9,Inputs!$L$31) - MAX(BZ$8,Inputs!$L$27) &gt;= 0) * 1</f>
        <v>0</v>
      </c>
      <c r="CA12" s="750">
        <f>(MIN(CA$9,Inputs!$L$31) - MAX(CA$8,Inputs!$L$27) &gt;= 0) * 1</f>
        <v>0</v>
      </c>
      <c r="CB12" s="750">
        <f>(MIN(CB$9,Inputs!$L$31) - MAX(CB$8,Inputs!$L$27) &gt;= 0) * 1</f>
        <v>0</v>
      </c>
      <c r="CC12" s="750">
        <f>(MIN(CC$9,Inputs!$L$31) - MAX(CC$8,Inputs!$L$27) &gt;= 0) * 1</f>
        <v>0</v>
      </c>
      <c r="CD12" s="750">
        <f>(MIN(CD$9,Inputs!$L$31) - MAX(CD$8,Inputs!$L$27) &gt;= 0) * 1</f>
        <v>0</v>
      </c>
      <c r="CE12" s="750">
        <f>(MIN(CE$9,Inputs!$L$31) - MAX(CE$8,Inputs!$L$27) &gt;= 0) * 1</f>
        <v>0</v>
      </c>
      <c r="CF12" s="750">
        <f>(MIN(CF$9,Inputs!$L$31) - MAX(CF$8,Inputs!$L$27) &gt;= 0) * 1</f>
        <v>0</v>
      </c>
      <c r="CG12" s="750">
        <f>(MIN(CG$9,Inputs!$L$31) - MAX(CG$8,Inputs!$L$27) &gt;= 0) * 1</f>
        <v>0</v>
      </c>
      <c r="CH12" s="750">
        <f>(MIN(CH$9,Inputs!$L$31) - MAX(CH$8,Inputs!$L$27) &gt;= 0) * 1</f>
        <v>0</v>
      </c>
      <c r="CI12" s="750">
        <f>(MIN(CI$9,Inputs!$L$31) - MAX(CI$8,Inputs!$L$27) &gt;= 0) * 1</f>
        <v>0</v>
      </c>
      <c r="CJ12" s="750">
        <f>(MIN(CJ$9,Inputs!$L$31) - MAX(CJ$8,Inputs!$L$27) &gt;= 0) * 1</f>
        <v>0</v>
      </c>
      <c r="CK12" s="750">
        <f>(MIN(CK$9,Inputs!$L$31) - MAX(CK$8,Inputs!$L$27) &gt;= 0) * 1</f>
        <v>0</v>
      </c>
      <c r="CL12" s="750">
        <f>(MIN(CL$9,Inputs!$L$31) - MAX(CL$8,Inputs!$L$27) &gt;= 0) * 1</f>
        <v>0</v>
      </c>
      <c r="CM12" s="750">
        <f>(MIN(CM$9,Inputs!$L$31) - MAX(CM$8,Inputs!$L$27) &gt;= 0) * 1</f>
        <v>0</v>
      </c>
      <c r="CN12" s="750">
        <f>(MIN(CN$9,Inputs!$L$31) - MAX(CN$8,Inputs!$L$27) &gt;= 0) * 1</f>
        <v>0</v>
      </c>
      <c r="CO12" s="750">
        <f>(MIN(CO$9,Inputs!$L$31) - MAX(CO$8,Inputs!$L$27) &gt;= 0) * 1</f>
        <v>0</v>
      </c>
      <c r="CP12" s="750">
        <f>(MIN(CP$9,Inputs!$L$31) - MAX(CP$8,Inputs!$L$27) &gt;= 0) * 1</f>
        <v>0</v>
      </c>
      <c r="CQ12" s="750">
        <f>(MIN(CQ$9,Inputs!$L$31) - MAX(CQ$8,Inputs!$L$27) &gt;= 0) * 1</f>
        <v>0</v>
      </c>
      <c r="CR12" s="750">
        <f>(MIN(CR$9,Inputs!$L$31) - MAX(CR$8,Inputs!$L$27) &gt;= 0) * 1</f>
        <v>0</v>
      </c>
      <c r="CS12" s="750">
        <f>(MIN(CS$9,Inputs!$L$31) - MAX(CS$8,Inputs!$L$27) &gt;= 0) * 1</f>
        <v>0</v>
      </c>
      <c r="CT12" s="750">
        <f>(MIN(CT$9,Inputs!$L$31) - MAX(CT$8,Inputs!$L$27) &gt;= 0) * 1</f>
        <v>0</v>
      </c>
      <c r="CU12" s="750">
        <f>(MIN(CU$9,Inputs!$L$31) - MAX(CU$8,Inputs!$L$27) &gt;= 0) * 1</f>
        <v>0</v>
      </c>
      <c r="CV12" s="750">
        <f>(MIN(CV$9,Inputs!$L$31) - MAX(CV$8,Inputs!$L$27) &gt;= 0) * 1</f>
        <v>0</v>
      </c>
      <c r="CW12" s="750">
        <f>(MIN(CW$9,Inputs!$L$31) - MAX(CW$8,Inputs!$L$27) &gt;= 0) * 1</f>
        <v>0</v>
      </c>
      <c r="CX12" s="750">
        <f>(MIN(CX$9,Inputs!$L$31) - MAX(CX$8,Inputs!$L$27) &gt;= 0) * 1</f>
        <v>0</v>
      </c>
      <c r="CY12" s="750">
        <f>(MIN(CY$9,Inputs!$L$31) - MAX(CY$8,Inputs!$L$27) &gt;= 0) * 1</f>
        <v>0</v>
      </c>
      <c r="CZ12" s="750">
        <f>(MIN(CZ$9,Inputs!$L$31) - MAX(CZ$8,Inputs!$L$27) &gt;= 0) * 1</f>
        <v>0</v>
      </c>
      <c r="DA12" s="750">
        <f>(MIN(DA$9,Inputs!$L$31) - MAX(DA$8,Inputs!$L$27) &gt;= 0) * 1</f>
        <v>0</v>
      </c>
      <c r="DB12" s="750">
        <f>(MIN(DB$9,Inputs!$L$31) - MAX(DB$8,Inputs!$L$27) &gt;= 0) * 1</f>
        <v>0</v>
      </c>
      <c r="DC12" s="750">
        <f>(MIN(DC$9,Inputs!$L$31) - MAX(DC$8,Inputs!$L$27) &gt;= 0) * 1</f>
        <v>0</v>
      </c>
      <c r="DD12" s="750">
        <f>(MIN(DD$9,Inputs!$L$31) - MAX(DD$8,Inputs!$L$27) &gt;= 0) * 1</f>
        <v>0</v>
      </c>
      <c r="DE12" s="750">
        <f>(MIN(DE$9,Inputs!$L$31) - MAX(DE$8,Inputs!$L$27) &gt;= 0) * 1</f>
        <v>0</v>
      </c>
      <c r="DF12" s="750">
        <f>(MIN(DF$9,Inputs!$L$31) - MAX(DF$8,Inputs!$L$27) &gt;= 0) * 1</f>
        <v>0</v>
      </c>
      <c r="DG12" s="750">
        <f>(MIN(DG$9,Inputs!$L$31) - MAX(DG$8,Inputs!$L$27) &gt;= 0) * 1</f>
        <v>0</v>
      </c>
      <c r="DH12" s="750">
        <f>(MIN(DH$9,Inputs!$L$31) - MAX(DH$8,Inputs!$L$27) &gt;= 0) * 1</f>
        <v>0</v>
      </c>
      <c r="DI12" s="750">
        <f>(MIN(DI$9,Inputs!$L$31) - MAX(DI$8,Inputs!$L$27) &gt;= 0) * 1</f>
        <v>0</v>
      </c>
      <c r="DJ12" s="750">
        <f>(MIN(DJ$9,Inputs!$L$31) - MAX(DJ$8,Inputs!$L$27) &gt;= 0) * 1</f>
        <v>0</v>
      </c>
      <c r="DK12" s="750">
        <f>(MIN(DK$9,Inputs!$L$31) - MAX(DK$8,Inputs!$L$27) &gt;= 0) * 1</f>
        <v>0</v>
      </c>
      <c r="DL12" s="750">
        <f>(MIN(DL$9,Inputs!$L$31) - MAX(DL$8,Inputs!$L$27) &gt;= 0) * 1</f>
        <v>0</v>
      </c>
      <c r="DM12" s="750">
        <f>(MIN(DM$9,Inputs!$L$31) - MAX(DM$8,Inputs!$L$27) &gt;= 0) * 1</f>
        <v>0</v>
      </c>
      <c r="DN12" s="750">
        <f>(MIN(DN$9,Inputs!$L$31) - MAX(DN$8,Inputs!$L$27) &gt;= 0) * 1</f>
        <v>0</v>
      </c>
      <c r="DO12" s="750">
        <f>(MIN(DO$9,Inputs!$L$31) - MAX(DO$8,Inputs!$L$27) &gt;= 0) * 1</f>
        <v>0</v>
      </c>
      <c r="DP12" s="750">
        <f>(MIN(DP$9,Inputs!$L$31) - MAX(DP$8,Inputs!$L$27) &gt;= 0) * 1</f>
        <v>0</v>
      </c>
      <c r="DQ12" s="10"/>
    </row>
    <row r="13" spans="1:121" x14ac:dyDescent="0.2">
      <c r="A13" s="61"/>
      <c r="B13" s="61"/>
      <c r="C13" t="s">
        <v>54</v>
      </c>
      <c r="K13" s="144" t="s">
        <v>51</v>
      </c>
      <c r="Q13" s="750">
        <f>(MIN(Q$9,Inputs!$L$31) - MAX(Q$8,Inputs!$L$30) &gt;= 0) * 1</f>
        <v>1</v>
      </c>
      <c r="R13" s="750">
        <f>(MIN(R$9,Inputs!$L$31) - MAX(R$8,Inputs!$L$30) &gt;= 0) * 1</f>
        <v>1</v>
      </c>
      <c r="S13" s="750">
        <f>(MIN(S$9,Inputs!$L$31) - MAX(S$8,Inputs!$L$30) &gt;= 0) * 1</f>
        <v>1</v>
      </c>
      <c r="T13" s="750">
        <f>(MIN(T$9,Inputs!$L$31) - MAX(T$8,Inputs!$L$30) &gt;= 0) * 1</f>
        <v>1</v>
      </c>
      <c r="U13" s="750">
        <f>(MIN(U$9,Inputs!$L$31) - MAX(U$8,Inputs!$L$30) &gt;= 0) * 1</f>
        <v>1</v>
      </c>
      <c r="V13" s="750">
        <f>(MIN(V$9,Inputs!$L$31) - MAX(V$8,Inputs!$L$30) &gt;= 0) * 1</f>
        <v>1</v>
      </c>
      <c r="W13" s="750">
        <f>(MIN(W$9,Inputs!$L$31) - MAX(W$8,Inputs!$L$30) &gt;= 0) * 1</f>
        <v>1</v>
      </c>
      <c r="X13" s="750">
        <f>(MIN(X$9,Inputs!$L$31) - MAX(X$8,Inputs!$L$30) &gt;= 0) * 1</f>
        <v>1</v>
      </c>
      <c r="Y13" s="750">
        <f>(MIN(Y$9,Inputs!$L$31) - MAX(Y$8,Inputs!$L$30) &gt;= 0) * 1</f>
        <v>1</v>
      </c>
      <c r="Z13" s="750">
        <f>(MIN(Z$9,Inputs!$L$31) - MAX(Z$8,Inputs!$L$30) &gt;= 0) * 1</f>
        <v>1</v>
      </c>
      <c r="AA13" s="750">
        <f>(MIN(AA$9,Inputs!$L$31) - MAX(AA$8,Inputs!$L$30) &gt;= 0) * 1</f>
        <v>1</v>
      </c>
      <c r="AB13" s="750">
        <f>(MIN(AB$9,Inputs!$L$31) - MAX(AB$8,Inputs!$L$30) &gt;= 0) * 1</f>
        <v>1</v>
      </c>
      <c r="AC13" s="750">
        <f>(MIN(AC$9,Inputs!$L$31) - MAX(AC$8,Inputs!$L$30) &gt;= 0) * 1</f>
        <v>1</v>
      </c>
      <c r="AD13" s="750">
        <f>(MIN(AD$9,Inputs!$L$31) - MAX(AD$8,Inputs!$L$30) &gt;= 0) * 1</f>
        <v>1</v>
      </c>
      <c r="AE13" s="750">
        <f>(MIN(AE$9,Inputs!$L$31) - MAX(AE$8,Inputs!$L$30) &gt;= 0) * 1</f>
        <v>1</v>
      </c>
      <c r="AF13" s="750">
        <f>(MIN(AF$9,Inputs!$L$31) - MAX(AF$8,Inputs!$L$30) &gt;= 0) * 1</f>
        <v>1</v>
      </c>
      <c r="AG13" s="750">
        <f>(MIN(AG$9,Inputs!$L$31) - MAX(AG$8,Inputs!$L$30) &gt;= 0) * 1</f>
        <v>1</v>
      </c>
      <c r="AH13" s="750">
        <f>(MIN(AH$9,Inputs!$L$31) - MAX(AH$8,Inputs!$L$30) &gt;= 0) * 1</f>
        <v>1</v>
      </c>
      <c r="AI13" s="750">
        <f>(MIN(AI$9,Inputs!$L$31) - MAX(AI$8,Inputs!$L$30) &gt;= 0) * 1</f>
        <v>1</v>
      </c>
      <c r="AJ13" s="750">
        <f>(MIN(AJ$9,Inputs!$L$31) - MAX(AJ$8,Inputs!$L$30) &gt;= 0) * 1</f>
        <v>1</v>
      </c>
      <c r="AK13" s="750">
        <f>(MIN(AK$9,Inputs!$L$31) - MAX(AK$8,Inputs!$L$30) &gt;= 0) * 1</f>
        <v>1</v>
      </c>
      <c r="AL13" s="750">
        <f>(MIN(AL$9,Inputs!$L$31) - MAX(AL$8,Inputs!$L$30) &gt;= 0) * 1</f>
        <v>1</v>
      </c>
      <c r="AM13" s="750">
        <f>(MIN(AM$9,Inputs!$L$31) - MAX(AM$8,Inputs!$L$30) &gt;= 0) * 1</f>
        <v>1</v>
      </c>
      <c r="AN13" s="750">
        <f>(MIN(AN$9,Inputs!$L$31) - MAX(AN$8,Inputs!$L$30) &gt;= 0) * 1</f>
        <v>1</v>
      </c>
      <c r="AO13" s="750">
        <f>(MIN(AO$9,Inputs!$L$31) - MAX(AO$8,Inputs!$L$30) &gt;= 0) * 1</f>
        <v>1</v>
      </c>
      <c r="AP13" s="750">
        <f>(MIN(AP$9,Inputs!$L$31) - MAX(AP$8,Inputs!$L$30) &gt;= 0) * 1</f>
        <v>1</v>
      </c>
      <c r="AQ13" s="750">
        <f>(MIN(AQ$9,Inputs!$L$31) - MAX(AQ$8,Inputs!$L$30) &gt;= 0) * 1</f>
        <v>1</v>
      </c>
      <c r="AR13" s="750">
        <f>(MIN(AR$9,Inputs!$L$31) - MAX(AR$8,Inputs!$L$30) &gt;= 0) * 1</f>
        <v>1</v>
      </c>
      <c r="AS13" s="750">
        <f>(MIN(AS$9,Inputs!$L$31) - MAX(AS$8,Inputs!$L$30) &gt;= 0) * 1</f>
        <v>1</v>
      </c>
      <c r="AT13" s="750">
        <f>(MIN(AT$9,Inputs!$L$31) - MAX(AT$8,Inputs!$L$30) &gt;= 0) * 1</f>
        <v>1</v>
      </c>
      <c r="AU13" s="750">
        <f>(MIN(AU$9,Inputs!$L$31) - MAX(AU$8,Inputs!$L$30) &gt;= 0) * 1</f>
        <v>1</v>
      </c>
      <c r="AV13" s="750">
        <f>(MIN(AV$9,Inputs!$L$31) - MAX(AV$8,Inputs!$L$30) &gt;= 0) * 1</f>
        <v>1</v>
      </c>
      <c r="AW13" s="750">
        <f>(MIN(AW$9,Inputs!$L$31) - MAX(AW$8,Inputs!$L$30) &gt;= 0) * 1</f>
        <v>1</v>
      </c>
      <c r="AX13" s="750">
        <f>(MIN(AX$9,Inputs!$L$31) - MAX(AX$8,Inputs!$L$30) &gt;= 0) * 1</f>
        <v>1</v>
      </c>
      <c r="AY13" s="750">
        <f>(MIN(AY$9,Inputs!$L$31) - MAX(AY$8,Inputs!$L$30) &gt;= 0) * 1</f>
        <v>1</v>
      </c>
      <c r="AZ13" s="750">
        <f>(MIN(AZ$9,Inputs!$L$31) - MAX(AZ$8,Inputs!$L$30) &gt;= 0) * 1</f>
        <v>1</v>
      </c>
      <c r="BA13" s="750">
        <f>(MIN(BA$9,Inputs!$L$31) - MAX(BA$8,Inputs!$L$30) &gt;= 0) * 1</f>
        <v>1</v>
      </c>
      <c r="BB13" s="750">
        <f>(MIN(BB$9,Inputs!$L$31) - MAX(BB$8,Inputs!$L$30) &gt;= 0) * 1</f>
        <v>1</v>
      </c>
      <c r="BC13" s="750">
        <f>(MIN(BC$9,Inputs!$L$31) - MAX(BC$8,Inputs!$L$30) &gt;= 0) * 1</f>
        <v>1</v>
      </c>
      <c r="BD13" s="750">
        <f>(MIN(BD$9,Inputs!$L$31) - MAX(BD$8,Inputs!$L$30) &gt;= 0) * 1</f>
        <v>1</v>
      </c>
      <c r="BE13" s="750">
        <f>(MIN(BE$9,Inputs!$L$31) - MAX(BE$8,Inputs!$L$30) &gt;= 0) * 1</f>
        <v>1</v>
      </c>
      <c r="BF13" s="750">
        <f>(MIN(BF$9,Inputs!$L$31) - MAX(BF$8,Inputs!$L$30) &gt;= 0) * 1</f>
        <v>1</v>
      </c>
      <c r="BG13" s="750">
        <f>(MIN(BG$9,Inputs!$L$31) - MAX(BG$8,Inputs!$L$30) &gt;= 0) * 1</f>
        <v>1</v>
      </c>
      <c r="BH13" s="750">
        <f>(MIN(BH$9,Inputs!$L$31) - MAX(BH$8,Inputs!$L$30) &gt;= 0) * 1</f>
        <v>1</v>
      </c>
      <c r="BI13" s="750">
        <f>(MIN(BI$9,Inputs!$L$31) - MAX(BI$8,Inputs!$L$30) &gt;= 0) * 1</f>
        <v>1</v>
      </c>
      <c r="BJ13" s="750">
        <f>(MIN(BJ$9,Inputs!$L$31) - MAX(BJ$8,Inputs!$L$30) &gt;= 0) * 1</f>
        <v>1</v>
      </c>
      <c r="BK13" s="750">
        <f>(MIN(BK$9,Inputs!$L$31) - MAX(BK$8,Inputs!$L$30) &gt;= 0) * 1</f>
        <v>0</v>
      </c>
      <c r="BL13" s="750">
        <f>(MIN(BL$9,Inputs!$L$31) - MAX(BL$8,Inputs!$L$30) &gt;= 0) * 1</f>
        <v>0</v>
      </c>
      <c r="BM13" s="750">
        <f>(MIN(BM$9,Inputs!$L$31) - MAX(BM$8,Inputs!$L$30) &gt;= 0) * 1</f>
        <v>0</v>
      </c>
      <c r="BN13" s="750">
        <f>(MIN(BN$9,Inputs!$L$31) - MAX(BN$8,Inputs!$L$30) &gt;= 0) * 1</f>
        <v>0</v>
      </c>
      <c r="BO13" s="750">
        <f>(MIN(BO$9,Inputs!$L$31) - MAX(BO$8,Inputs!$L$30) &gt;= 0) * 1</f>
        <v>0</v>
      </c>
      <c r="BP13" s="750">
        <f>(MIN(BP$9,Inputs!$L$31) - MAX(BP$8,Inputs!$L$30) &gt;= 0) * 1</f>
        <v>0</v>
      </c>
      <c r="BQ13" s="750">
        <f>(MIN(BQ$9,Inputs!$L$31) - MAX(BQ$8,Inputs!$L$30) &gt;= 0) * 1</f>
        <v>0</v>
      </c>
      <c r="BR13" s="750">
        <f>(MIN(BR$9,Inputs!$L$31) - MAX(BR$8,Inputs!$L$30) &gt;= 0) * 1</f>
        <v>0</v>
      </c>
      <c r="BS13" s="750">
        <f>(MIN(BS$9,Inputs!$L$31) - MAX(BS$8,Inputs!$L$30) &gt;= 0) * 1</f>
        <v>0</v>
      </c>
      <c r="BT13" s="750">
        <f>(MIN(BT$9,Inputs!$L$31) - MAX(BT$8,Inputs!$L$30) &gt;= 0) * 1</f>
        <v>0</v>
      </c>
      <c r="BU13" s="750">
        <f>(MIN(BU$9,Inputs!$L$31) - MAX(BU$8,Inputs!$L$30) &gt;= 0) * 1</f>
        <v>0</v>
      </c>
      <c r="BV13" s="750">
        <f>(MIN(BV$9,Inputs!$L$31) - MAX(BV$8,Inputs!$L$30) &gt;= 0) * 1</f>
        <v>0</v>
      </c>
      <c r="BW13" s="750">
        <f>(MIN(BW$9,Inputs!$L$31) - MAX(BW$8,Inputs!$L$30) &gt;= 0) * 1</f>
        <v>0</v>
      </c>
      <c r="BX13" s="750">
        <f>(MIN(BX$9,Inputs!$L$31) - MAX(BX$8,Inputs!$L$30) &gt;= 0) * 1</f>
        <v>0</v>
      </c>
      <c r="BY13" s="750">
        <f>(MIN(BY$9,Inputs!$L$31) - MAX(BY$8,Inputs!$L$30) &gt;= 0) * 1</f>
        <v>0</v>
      </c>
      <c r="BZ13" s="750">
        <f>(MIN(BZ$9,Inputs!$L$31) - MAX(BZ$8,Inputs!$L$30) &gt;= 0) * 1</f>
        <v>0</v>
      </c>
      <c r="CA13" s="750">
        <f>(MIN(CA$9,Inputs!$L$31) - MAX(CA$8,Inputs!$L$30) &gt;= 0) * 1</f>
        <v>0</v>
      </c>
      <c r="CB13" s="750">
        <f>(MIN(CB$9,Inputs!$L$31) - MAX(CB$8,Inputs!$L$30) &gt;= 0) * 1</f>
        <v>0</v>
      </c>
      <c r="CC13" s="750">
        <f>(MIN(CC$9,Inputs!$L$31) - MAX(CC$8,Inputs!$L$30) &gt;= 0) * 1</f>
        <v>0</v>
      </c>
      <c r="CD13" s="750">
        <f>(MIN(CD$9,Inputs!$L$31) - MAX(CD$8,Inputs!$L$30) &gt;= 0) * 1</f>
        <v>0</v>
      </c>
      <c r="CE13" s="750">
        <f>(MIN(CE$9,Inputs!$L$31) - MAX(CE$8,Inputs!$L$30) &gt;= 0) * 1</f>
        <v>0</v>
      </c>
      <c r="CF13" s="750">
        <f>(MIN(CF$9,Inputs!$L$31) - MAX(CF$8,Inputs!$L$30) &gt;= 0) * 1</f>
        <v>0</v>
      </c>
      <c r="CG13" s="750">
        <f>(MIN(CG$9,Inputs!$L$31) - MAX(CG$8,Inputs!$L$30) &gt;= 0) * 1</f>
        <v>0</v>
      </c>
      <c r="CH13" s="750">
        <f>(MIN(CH$9,Inputs!$L$31) - MAX(CH$8,Inputs!$L$30) &gt;= 0) * 1</f>
        <v>0</v>
      </c>
      <c r="CI13" s="750">
        <f>(MIN(CI$9,Inputs!$L$31) - MAX(CI$8,Inputs!$L$30) &gt;= 0) * 1</f>
        <v>0</v>
      </c>
      <c r="CJ13" s="750">
        <f>(MIN(CJ$9,Inputs!$L$31) - MAX(CJ$8,Inputs!$L$30) &gt;= 0) * 1</f>
        <v>0</v>
      </c>
      <c r="CK13" s="750">
        <f>(MIN(CK$9,Inputs!$L$31) - MAX(CK$8,Inputs!$L$30) &gt;= 0) * 1</f>
        <v>0</v>
      </c>
      <c r="CL13" s="750">
        <f>(MIN(CL$9,Inputs!$L$31) - MAX(CL$8,Inputs!$L$30) &gt;= 0) * 1</f>
        <v>0</v>
      </c>
      <c r="CM13" s="750">
        <f>(MIN(CM$9,Inputs!$L$31) - MAX(CM$8,Inputs!$L$30) &gt;= 0) * 1</f>
        <v>0</v>
      </c>
      <c r="CN13" s="750">
        <f>(MIN(CN$9,Inputs!$L$31) - MAX(CN$8,Inputs!$L$30) &gt;= 0) * 1</f>
        <v>0</v>
      </c>
      <c r="CO13" s="750">
        <f>(MIN(CO$9,Inputs!$L$31) - MAX(CO$8,Inputs!$L$30) &gt;= 0) * 1</f>
        <v>0</v>
      </c>
      <c r="CP13" s="750">
        <f>(MIN(CP$9,Inputs!$L$31) - MAX(CP$8,Inputs!$L$30) &gt;= 0) * 1</f>
        <v>0</v>
      </c>
      <c r="CQ13" s="750">
        <f>(MIN(CQ$9,Inputs!$L$31) - MAX(CQ$8,Inputs!$L$30) &gt;= 0) * 1</f>
        <v>0</v>
      </c>
      <c r="CR13" s="750">
        <f>(MIN(CR$9,Inputs!$L$31) - MAX(CR$8,Inputs!$L$30) &gt;= 0) * 1</f>
        <v>0</v>
      </c>
      <c r="CS13" s="750">
        <f>(MIN(CS$9,Inputs!$L$31) - MAX(CS$8,Inputs!$L$30) &gt;= 0) * 1</f>
        <v>0</v>
      </c>
      <c r="CT13" s="750">
        <f>(MIN(CT$9,Inputs!$L$31) - MAX(CT$8,Inputs!$L$30) &gt;= 0) * 1</f>
        <v>0</v>
      </c>
      <c r="CU13" s="750">
        <f>(MIN(CU$9,Inputs!$L$31) - MAX(CU$8,Inputs!$L$30) &gt;= 0) * 1</f>
        <v>0</v>
      </c>
      <c r="CV13" s="750">
        <f>(MIN(CV$9,Inputs!$L$31) - MAX(CV$8,Inputs!$L$30) &gt;= 0) * 1</f>
        <v>0</v>
      </c>
      <c r="CW13" s="750">
        <f>(MIN(CW$9,Inputs!$L$31) - MAX(CW$8,Inputs!$L$30) &gt;= 0) * 1</f>
        <v>0</v>
      </c>
      <c r="CX13" s="750">
        <f>(MIN(CX$9,Inputs!$L$31) - MAX(CX$8,Inputs!$L$30) &gt;= 0) * 1</f>
        <v>0</v>
      </c>
      <c r="CY13" s="750">
        <f>(MIN(CY$9,Inputs!$L$31) - MAX(CY$8,Inputs!$L$30) &gt;= 0) * 1</f>
        <v>0</v>
      </c>
      <c r="CZ13" s="750">
        <f>(MIN(CZ$9,Inputs!$L$31) - MAX(CZ$8,Inputs!$L$30) &gt;= 0) * 1</f>
        <v>0</v>
      </c>
      <c r="DA13" s="750">
        <f>(MIN(DA$9,Inputs!$L$31) - MAX(DA$8,Inputs!$L$30) &gt;= 0) * 1</f>
        <v>0</v>
      </c>
      <c r="DB13" s="750">
        <f>(MIN(DB$9,Inputs!$L$31) - MAX(DB$8,Inputs!$L$30) &gt;= 0) * 1</f>
        <v>0</v>
      </c>
      <c r="DC13" s="750">
        <f>(MIN(DC$9,Inputs!$L$31) - MAX(DC$8,Inputs!$L$30) &gt;= 0) * 1</f>
        <v>0</v>
      </c>
      <c r="DD13" s="750">
        <f>(MIN(DD$9,Inputs!$L$31) - MAX(DD$8,Inputs!$L$30) &gt;= 0) * 1</f>
        <v>0</v>
      </c>
      <c r="DE13" s="750">
        <f>(MIN(DE$9,Inputs!$L$31) - MAX(DE$8,Inputs!$L$30) &gt;= 0) * 1</f>
        <v>0</v>
      </c>
      <c r="DF13" s="750">
        <f>(MIN(DF$9,Inputs!$L$31) - MAX(DF$8,Inputs!$L$30) &gt;= 0) * 1</f>
        <v>0</v>
      </c>
      <c r="DG13" s="750">
        <f>(MIN(DG$9,Inputs!$L$31) - MAX(DG$8,Inputs!$L$30) &gt;= 0) * 1</f>
        <v>0</v>
      </c>
      <c r="DH13" s="750">
        <f>(MIN(DH$9,Inputs!$L$31) - MAX(DH$8,Inputs!$L$30) &gt;= 0) * 1</f>
        <v>0</v>
      </c>
      <c r="DI13" s="750">
        <f>(MIN(DI$9,Inputs!$L$31) - MAX(DI$8,Inputs!$L$30) &gt;= 0) * 1</f>
        <v>0</v>
      </c>
      <c r="DJ13" s="750">
        <f>(MIN(DJ$9,Inputs!$L$31) - MAX(DJ$8,Inputs!$L$30) &gt;= 0) * 1</f>
        <v>0</v>
      </c>
      <c r="DK13" s="750">
        <f>(MIN(DK$9,Inputs!$L$31) - MAX(DK$8,Inputs!$L$30) &gt;= 0) * 1</f>
        <v>0</v>
      </c>
      <c r="DL13" s="750">
        <f>(MIN(DL$9,Inputs!$L$31) - MAX(DL$8,Inputs!$L$30) &gt;= 0) * 1</f>
        <v>0</v>
      </c>
      <c r="DM13" s="750">
        <f>(MIN(DM$9,Inputs!$L$31) - MAX(DM$8,Inputs!$L$30) &gt;= 0) * 1</f>
        <v>0</v>
      </c>
      <c r="DN13" s="750">
        <f>(MIN(DN$9,Inputs!$L$31) - MAX(DN$8,Inputs!$L$30) &gt;= 0) * 1</f>
        <v>0</v>
      </c>
      <c r="DO13" s="750">
        <f>(MIN(DO$9,Inputs!$L$31) - MAX(DO$8,Inputs!$L$30) &gt;= 0) * 1</f>
        <v>0</v>
      </c>
      <c r="DP13" s="750">
        <f>(MIN(DP$9,Inputs!$L$31) - MAX(DP$8,Inputs!$L$30) &gt;= 0) * 1</f>
        <v>0</v>
      </c>
      <c r="DQ13" s="10"/>
    </row>
    <row r="14" spans="1:121" x14ac:dyDescent="0.2">
      <c r="A14" s="61"/>
      <c r="B14" s="61"/>
      <c r="C14" t="s">
        <v>55</v>
      </c>
      <c r="K14" s="144" t="s">
        <v>51</v>
      </c>
      <c r="Q14" s="750">
        <f>IF(AND(Inputs!$L$31&gt;Q8,Inputs!$L$31&lt;=Q9),1,0)</f>
        <v>0</v>
      </c>
      <c r="R14" s="750">
        <f>IF(AND(Inputs!$L$31&gt;R8,Inputs!$L$31&lt;=R9),1,0)</f>
        <v>0</v>
      </c>
      <c r="S14" s="750">
        <f>IF(AND(Inputs!$L$31&gt;S8,Inputs!$L$31&lt;=S9),1,0)</f>
        <v>0</v>
      </c>
      <c r="T14" s="750">
        <f>IF(AND(Inputs!$L$31&gt;T8,Inputs!$L$31&lt;=T9),1,0)</f>
        <v>0</v>
      </c>
      <c r="U14" s="750">
        <f>IF(AND(Inputs!$L$31&gt;U8,Inputs!$L$31&lt;=U9),1,0)</f>
        <v>0</v>
      </c>
      <c r="V14" s="750">
        <f>IF(AND(Inputs!$L$31&gt;V8,Inputs!$L$31&lt;=V9),1,0)</f>
        <v>0</v>
      </c>
      <c r="W14" s="750">
        <f>IF(AND(Inputs!$L$31&gt;W8,Inputs!$L$31&lt;=W9),1,0)</f>
        <v>0</v>
      </c>
      <c r="X14" s="750">
        <f>IF(AND(Inputs!$L$31&gt;X8,Inputs!$L$31&lt;=X9),1,0)</f>
        <v>0</v>
      </c>
      <c r="Y14" s="750">
        <f>IF(AND(Inputs!$L$31&gt;Y8,Inputs!$L$31&lt;=Y9),1,0)</f>
        <v>0</v>
      </c>
      <c r="Z14" s="750">
        <f>IF(AND(Inputs!$L$31&gt;Z8,Inputs!$L$31&lt;=Z9),1,0)</f>
        <v>0</v>
      </c>
      <c r="AA14" s="750">
        <f>IF(AND(Inputs!$L$31&gt;AA8,Inputs!$L$31&lt;=AA9),1,0)</f>
        <v>0</v>
      </c>
      <c r="AB14" s="750">
        <f>IF(AND(Inputs!$L$31&gt;AB8,Inputs!$L$31&lt;=AB9),1,0)</f>
        <v>0</v>
      </c>
      <c r="AC14" s="750">
        <f>IF(AND(Inputs!$L$31&gt;AC8,Inputs!$L$31&lt;=AC9),1,0)</f>
        <v>0</v>
      </c>
      <c r="AD14" s="750">
        <f>IF(AND(Inputs!$L$31&gt;AD8,Inputs!$L$31&lt;=AD9),1,0)</f>
        <v>0</v>
      </c>
      <c r="AE14" s="750">
        <f>IF(AND(Inputs!$L$31&gt;AE8,Inputs!$L$31&lt;=AE9),1,0)</f>
        <v>0</v>
      </c>
      <c r="AF14" s="750">
        <f>IF(AND(Inputs!$L$31&gt;AF8,Inputs!$L$31&lt;=AF9),1,0)</f>
        <v>0</v>
      </c>
      <c r="AG14" s="750">
        <f>IF(AND(Inputs!$L$31&gt;AG8,Inputs!$L$31&lt;=AG9),1,0)</f>
        <v>0</v>
      </c>
      <c r="AH14" s="750">
        <f>IF(AND(Inputs!$L$31&gt;AH8,Inputs!$L$31&lt;=AH9),1,0)</f>
        <v>0</v>
      </c>
      <c r="AI14" s="750">
        <f>IF(AND(Inputs!$L$31&gt;AI8,Inputs!$L$31&lt;=AI9),1,0)</f>
        <v>0</v>
      </c>
      <c r="AJ14" s="750">
        <f>IF(AND(Inputs!$L$31&gt;AJ8,Inputs!$L$31&lt;=AJ9),1,0)</f>
        <v>0</v>
      </c>
      <c r="AK14" s="750">
        <f>IF(AND(Inputs!$L$31&gt;AK8,Inputs!$L$31&lt;=AK9),1,0)</f>
        <v>0</v>
      </c>
      <c r="AL14" s="750">
        <f>IF(AND(Inputs!$L$31&gt;AL8,Inputs!$L$31&lt;=AL9),1,0)</f>
        <v>0</v>
      </c>
      <c r="AM14" s="750">
        <f>IF(AND(Inputs!$L$31&gt;AM8,Inputs!$L$31&lt;=AM9),1,0)</f>
        <v>0</v>
      </c>
      <c r="AN14" s="750">
        <f>IF(AND(Inputs!$L$31&gt;AN8,Inputs!$L$31&lt;=AN9),1,0)</f>
        <v>0</v>
      </c>
      <c r="AO14" s="750">
        <f>IF(AND(Inputs!$L$31&gt;AO8,Inputs!$L$31&lt;=AO9),1,0)</f>
        <v>0</v>
      </c>
      <c r="AP14" s="750">
        <f>IF(AND(Inputs!$L$31&gt;AP8,Inputs!$L$31&lt;=AP9),1,0)</f>
        <v>0</v>
      </c>
      <c r="AQ14" s="750">
        <f>IF(AND(Inputs!$L$31&gt;AQ8,Inputs!$L$31&lt;=AQ9),1,0)</f>
        <v>0</v>
      </c>
      <c r="AR14" s="750">
        <f>IF(AND(Inputs!$L$31&gt;AR8,Inputs!$L$31&lt;=AR9),1,0)</f>
        <v>0</v>
      </c>
      <c r="AS14" s="750">
        <f>IF(AND(Inputs!$L$31&gt;AS8,Inputs!$L$31&lt;=AS9),1,0)</f>
        <v>0</v>
      </c>
      <c r="AT14" s="750">
        <f>IF(AND(Inputs!$L$31&gt;AT8,Inputs!$L$31&lt;=AT9),1,0)</f>
        <v>0</v>
      </c>
      <c r="AU14" s="750">
        <f>IF(AND(Inputs!$L$31&gt;AU8,Inputs!$L$31&lt;=AU9),1,0)</f>
        <v>0</v>
      </c>
      <c r="AV14" s="750">
        <f>IF(AND(Inputs!$L$31&gt;AV8,Inputs!$L$31&lt;=AV9),1,0)</f>
        <v>0</v>
      </c>
      <c r="AW14" s="750">
        <f>IF(AND(Inputs!$L$31&gt;AW8,Inputs!$L$31&lt;=AW9),1,0)</f>
        <v>0</v>
      </c>
      <c r="AX14" s="750">
        <f>IF(AND(Inputs!$L$31&gt;AX8,Inputs!$L$31&lt;=AX9),1,0)</f>
        <v>0</v>
      </c>
      <c r="AY14" s="750">
        <f>IF(AND(Inputs!$L$31&gt;AY8,Inputs!$L$31&lt;=AY9),1,0)</f>
        <v>0</v>
      </c>
      <c r="AZ14" s="750">
        <f>IF(AND(Inputs!$L$31&gt;AZ8,Inputs!$L$31&lt;=AZ9),1,0)</f>
        <v>0</v>
      </c>
      <c r="BA14" s="750">
        <f>IF(AND(Inputs!$L$31&gt;BA8,Inputs!$L$31&lt;=BA9),1,0)</f>
        <v>0</v>
      </c>
      <c r="BB14" s="750">
        <f>IF(AND(Inputs!$L$31&gt;BB8,Inputs!$L$31&lt;=BB9),1,0)</f>
        <v>0</v>
      </c>
      <c r="BC14" s="750">
        <f>IF(AND(Inputs!$L$31&gt;BC8,Inputs!$L$31&lt;=BC9),1,0)</f>
        <v>0</v>
      </c>
      <c r="BD14" s="750">
        <f>IF(AND(Inputs!$L$31&gt;BD8,Inputs!$L$31&lt;=BD9),1,0)</f>
        <v>0</v>
      </c>
      <c r="BE14" s="750">
        <f>IF(AND(Inputs!$L$31&gt;BE8,Inputs!$L$31&lt;=BE9),1,0)</f>
        <v>0</v>
      </c>
      <c r="BF14" s="750">
        <f>IF(AND(Inputs!$L$31&gt;BF8,Inputs!$L$31&lt;=BF9),1,0)</f>
        <v>0</v>
      </c>
      <c r="BG14" s="750">
        <f>IF(AND(Inputs!$L$31&gt;BG8,Inputs!$L$31&lt;=BG9),1,0)</f>
        <v>0</v>
      </c>
      <c r="BH14" s="750">
        <f>IF(AND(Inputs!$L$31&gt;BH8,Inputs!$L$31&lt;=BH9),1,0)</f>
        <v>0</v>
      </c>
      <c r="BI14" s="750">
        <f>IF(AND(Inputs!$L$31&gt;BI8,Inputs!$L$31&lt;=BI9),1,0)</f>
        <v>0</v>
      </c>
      <c r="BJ14" s="750">
        <f>IF(AND(Inputs!$L$31&gt;BJ8,Inputs!$L$31&lt;=BJ9),1,0)</f>
        <v>1</v>
      </c>
      <c r="BK14" s="750">
        <f>IF(AND(Inputs!$L$31&gt;BK8,Inputs!$L$31&lt;=BK9),1,0)</f>
        <v>0</v>
      </c>
      <c r="BL14" s="750">
        <f>IF(AND(Inputs!$L$31&gt;BL8,Inputs!$L$31&lt;=BL9),1,0)</f>
        <v>0</v>
      </c>
      <c r="BM14" s="750">
        <f>IF(AND(Inputs!$L$31&gt;BM8,Inputs!$L$31&lt;=BM9),1,0)</f>
        <v>0</v>
      </c>
      <c r="BN14" s="750">
        <f>IF(AND(Inputs!$L$31&gt;BN8,Inputs!$L$31&lt;=BN9),1,0)</f>
        <v>0</v>
      </c>
      <c r="BO14" s="750">
        <f>IF(AND(Inputs!$L$31&gt;BO8,Inputs!$L$31&lt;=BO9),1,0)</f>
        <v>0</v>
      </c>
      <c r="BP14" s="750">
        <f>IF(AND(Inputs!$L$31&gt;BP8,Inputs!$L$31&lt;=BP9),1,0)</f>
        <v>0</v>
      </c>
      <c r="BQ14" s="750">
        <f>IF(AND(Inputs!$L$31&gt;BQ8,Inputs!$L$31&lt;=BQ9),1,0)</f>
        <v>0</v>
      </c>
      <c r="BR14" s="750">
        <f>IF(AND(Inputs!$L$31&gt;BR8,Inputs!$L$31&lt;=BR9),1,0)</f>
        <v>0</v>
      </c>
      <c r="BS14" s="750">
        <f>IF(AND(Inputs!$L$31&gt;BS8,Inputs!$L$31&lt;=BS9),1,0)</f>
        <v>0</v>
      </c>
      <c r="BT14" s="750">
        <f>IF(AND(Inputs!$L$31&gt;BT8,Inputs!$L$31&lt;=BT9),1,0)</f>
        <v>0</v>
      </c>
      <c r="BU14" s="750">
        <f>IF(AND(Inputs!$L$31&gt;BU8,Inputs!$L$31&lt;=BU9),1,0)</f>
        <v>0</v>
      </c>
      <c r="BV14" s="750">
        <f>IF(AND(Inputs!$L$31&gt;BV8,Inputs!$L$31&lt;=BV9),1,0)</f>
        <v>0</v>
      </c>
      <c r="BW14" s="750">
        <f>IF(AND(Inputs!$L$31&gt;BW8,Inputs!$L$31&lt;=BW9),1,0)</f>
        <v>0</v>
      </c>
      <c r="BX14" s="750">
        <f>IF(AND(Inputs!$L$31&gt;BX8,Inputs!$L$31&lt;=BX9),1,0)</f>
        <v>0</v>
      </c>
      <c r="BY14" s="750">
        <f>IF(AND(Inputs!$L$31&gt;BY8,Inputs!$L$31&lt;=BY9),1,0)</f>
        <v>0</v>
      </c>
      <c r="BZ14" s="750">
        <f>IF(AND(Inputs!$L$31&gt;BZ8,Inputs!$L$31&lt;=BZ9),1,0)</f>
        <v>0</v>
      </c>
      <c r="CA14" s="750">
        <f>IF(AND(Inputs!$L$31&gt;CA8,Inputs!$L$31&lt;=CA9),1,0)</f>
        <v>0</v>
      </c>
      <c r="CB14" s="750">
        <f>IF(AND(Inputs!$L$31&gt;CB8,Inputs!$L$31&lt;=CB9),1,0)</f>
        <v>0</v>
      </c>
      <c r="CC14" s="750">
        <f>IF(AND(Inputs!$L$31&gt;CC8,Inputs!$L$31&lt;=CC9),1,0)</f>
        <v>0</v>
      </c>
      <c r="CD14" s="750">
        <f>IF(AND(Inputs!$L$31&gt;CD8,Inputs!$L$31&lt;=CD9),1,0)</f>
        <v>0</v>
      </c>
      <c r="CE14" s="750">
        <f>IF(AND(Inputs!$L$31&gt;CE8,Inputs!$L$31&lt;=CE9),1,0)</f>
        <v>0</v>
      </c>
      <c r="CF14" s="750">
        <f>IF(AND(Inputs!$L$31&gt;CF8,Inputs!$L$31&lt;=CF9),1,0)</f>
        <v>0</v>
      </c>
      <c r="CG14" s="750">
        <f>IF(AND(Inputs!$L$31&gt;CG8,Inputs!$L$31&lt;=CG9),1,0)</f>
        <v>0</v>
      </c>
      <c r="CH14" s="750">
        <f>IF(AND(Inputs!$L$31&gt;CH8,Inputs!$L$31&lt;=CH9),1,0)</f>
        <v>0</v>
      </c>
      <c r="CI14" s="750">
        <f>IF(AND(Inputs!$L$31&gt;CI8,Inputs!$L$31&lt;=CI9),1,0)</f>
        <v>0</v>
      </c>
      <c r="CJ14" s="750">
        <f>IF(AND(Inputs!$L$31&gt;CJ8,Inputs!$L$31&lt;=CJ9),1,0)</f>
        <v>0</v>
      </c>
      <c r="CK14" s="750">
        <f>IF(AND(Inputs!$L$31&gt;CK8,Inputs!$L$31&lt;=CK9),1,0)</f>
        <v>0</v>
      </c>
      <c r="CL14" s="750">
        <f>IF(AND(Inputs!$L$31&gt;CL8,Inputs!$L$31&lt;=CL9),1,0)</f>
        <v>0</v>
      </c>
      <c r="CM14" s="750">
        <f>IF(AND(Inputs!$L$31&gt;CM8,Inputs!$L$31&lt;=CM9),1,0)</f>
        <v>0</v>
      </c>
      <c r="CN14" s="750">
        <f>IF(AND(Inputs!$L$31&gt;CN8,Inputs!$L$31&lt;=CN9),1,0)</f>
        <v>0</v>
      </c>
      <c r="CO14" s="750">
        <f>IF(AND(Inputs!$L$31&gt;CO8,Inputs!$L$31&lt;=CO9),1,0)</f>
        <v>0</v>
      </c>
      <c r="CP14" s="750">
        <f>IF(AND(Inputs!$L$31&gt;CP8,Inputs!$L$31&lt;=CP9),1,0)</f>
        <v>0</v>
      </c>
      <c r="CQ14" s="750">
        <f>IF(AND(Inputs!$L$31&gt;CQ8,Inputs!$L$31&lt;=CQ9),1,0)</f>
        <v>0</v>
      </c>
      <c r="CR14" s="750">
        <f>IF(AND(Inputs!$L$31&gt;CR8,Inputs!$L$31&lt;=CR9),1,0)</f>
        <v>0</v>
      </c>
      <c r="CS14" s="750">
        <f>IF(AND(Inputs!$L$31&gt;CS8,Inputs!$L$31&lt;=CS9),1,0)</f>
        <v>0</v>
      </c>
      <c r="CT14" s="750">
        <f>IF(AND(Inputs!$L$31&gt;CT8,Inputs!$L$31&lt;=CT9),1,0)</f>
        <v>0</v>
      </c>
      <c r="CU14" s="750">
        <f>IF(AND(Inputs!$L$31&gt;CU8,Inputs!$L$31&lt;=CU9),1,0)</f>
        <v>0</v>
      </c>
      <c r="CV14" s="750">
        <f>IF(AND(Inputs!$L$31&gt;CV8,Inputs!$L$31&lt;=CV9),1,0)</f>
        <v>0</v>
      </c>
      <c r="CW14" s="750">
        <f>IF(AND(Inputs!$L$31&gt;CW8,Inputs!$L$31&lt;=CW9),1,0)</f>
        <v>0</v>
      </c>
      <c r="CX14" s="750">
        <f>IF(AND(Inputs!$L$31&gt;CX8,Inputs!$L$31&lt;=CX9),1,0)</f>
        <v>0</v>
      </c>
      <c r="CY14" s="750">
        <f>IF(AND(Inputs!$L$31&gt;CY8,Inputs!$L$31&lt;=CY9),1,0)</f>
        <v>0</v>
      </c>
      <c r="CZ14" s="750">
        <f>IF(AND(Inputs!$L$31&gt;CZ8,Inputs!$L$31&lt;=CZ9),1,0)</f>
        <v>0</v>
      </c>
      <c r="DA14" s="750">
        <f>IF(AND(Inputs!$L$31&gt;DA8,Inputs!$L$31&lt;=DA9),1,0)</f>
        <v>0</v>
      </c>
      <c r="DB14" s="750">
        <f>IF(AND(Inputs!$L$31&gt;DB8,Inputs!$L$31&lt;=DB9),1,0)</f>
        <v>0</v>
      </c>
      <c r="DC14" s="750">
        <f>IF(AND(Inputs!$L$31&gt;DC8,Inputs!$L$31&lt;=DC9),1,0)</f>
        <v>0</v>
      </c>
      <c r="DD14" s="750">
        <f>IF(AND(Inputs!$L$31&gt;DD8,Inputs!$L$31&lt;=DD9),1,0)</f>
        <v>0</v>
      </c>
      <c r="DE14" s="750">
        <f>IF(AND(Inputs!$L$31&gt;DE8,Inputs!$L$31&lt;=DE9),1,0)</f>
        <v>0</v>
      </c>
      <c r="DF14" s="750">
        <f>IF(AND(Inputs!$L$31&gt;DF8,Inputs!$L$31&lt;=DF9),1,0)</f>
        <v>0</v>
      </c>
      <c r="DG14" s="750">
        <f>IF(AND(Inputs!$L$31&gt;DG8,Inputs!$L$31&lt;=DG9),1,0)</f>
        <v>0</v>
      </c>
      <c r="DH14" s="750">
        <f>IF(AND(Inputs!$L$31&gt;DH8,Inputs!$L$31&lt;=DH9),1,0)</f>
        <v>0</v>
      </c>
      <c r="DI14" s="750">
        <f>IF(AND(Inputs!$L$31&gt;DI8,Inputs!$L$31&lt;=DI9),1,0)</f>
        <v>0</v>
      </c>
      <c r="DJ14" s="750">
        <f>IF(AND(Inputs!$L$31&gt;DJ8,Inputs!$L$31&lt;=DJ9),1,0)</f>
        <v>0</v>
      </c>
      <c r="DK14" s="750">
        <f>IF(AND(Inputs!$L$31&gt;DK8,Inputs!$L$31&lt;=DK9),1,0)</f>
        <v>0</v>
      </c>
      <c r="DL14" s="750">
        <f>IF(AND(Inputs!$L$31&gt;DL8,Inputs!$L$31&lt;=DL9),1,0)</f>
        <v>0</v>
      </c>
      <c r="DM14" s="750">
        <f>IF(AND(Inputs!$L$31&gt;DM8,Inputs!$L$31&lt;=DM9),1,0)</f>
        <v>0</v>
      </c>
      <c r="DN14" s="750">
        <f>IF(AND(Inputs!$L$31&gt;DN8,Inputs!$L$31&lt;=DN9),1,0)</f>
        <v>0</v>
      </c>
      <c r="DO14" s="750">
        <f>IF(AND(Inputs!$L$31&gt;DO8,Inputs!$L$31&lt;=DO9),1,0)</f>
        <v>0</v>
      </c>
      <c r="DP14" s="750">
        <f>IF(AND(Inputs!$L$31&gt;DP8,Inputs!$L$31&lt;=DP9),1,0)</f>
        <v>0</v>
      </c>
      <c r="DQ14" s="10"/>
    </row>
    <row r="15" spans="1:121" x14ac:dyDescent="0.2">
      <c r="A15" s="61"/>
      <c r="B15" s="61"/>
      <c r="C15" t="s">
        <v>56</v>
      </c>
      <c r="K15" s="144" t="s">
        <v>57</v>
      </c>
      <c r="Q15" s="61">
        <f t="shared" ref="Q15:AO15" si="12">(Q9 - Q8 + 1)</f>
        <v>366</v>
      </c>
      <c r="R15" s="61">
        <f t="shared" si="12"/>
        <v>365</v>
      </c>
      <c r="S15" s="61">
        <f t="shared" si="12"/>
        <v>365</v>
      </c>
      <c r="T15" s="61">
        <f t="shared" si="12"/>
        <v>365</v>
      </c>
      <c r="U15" s="61">
        <f t="shared" si="12"/>
        <v>366</v>
      </c>
      <c r="V15" s="61">
        <f t="shared" si="12"/>
        <v>365</v>
      </c>
      <c r="W15" s="61">
        <f t="shared" si="12"/>
        <v>365</v>
      </c>
      <c r="X15" s="61">
        <f t="shared" si="12"/>
        <v>365</v>
      </c>
      <c r="Y15" s="61">
        <f t="shared" si="12"/>
        <v>366</v>
      </c>
      <c r="Z15" s="61">
        <f t="shared" si="12"/>
        <v>365</v>
      </c>
      <c r="AA15" s="61">
        <f t="shared" si="12"/>
        <v>365</v>
      </c>
      <c r="AB15" s="61">
        <f t="shared" si="12"/>
        <v>365</v>
      </c>
      <c r="AC15" s="61">
        <f t="shared" si="12"/>
        <v>366</v>
      </c>
      <c r="AD15" s="61">
        <f t="shared" si="12"/>
        <v>365</v>
      </c>
      <c r="AE15" s="61">
        <f t="shared" si="12"/>
        <v>365</v>
      </c>
      <c r="AF15" s="61">
        <f t="shared" si="12"/>
        <v>365</v>
      </c>
      <c r="AG15" s="61">
        <f t="shared" si="12"/>
        <v>366</v>
      </c>
      <c r="AH15" s="61">
        <f t="shared" si="12"/>
        <v>365</v>
      </c>
      <c r="AI15" s="61">
        <f t="shared" si="12"/>
        <v>365</v>
      </c>
      <c r="AJ15" s="61">
        <f t="shared" si="12"/>
        <v>365</v>
      </c>
      <c r="AK15" s="61">
        <f t="shared" si="12"/>
        <v>366</v>
      </c>
      <c r="AL15" s="61">
        <f t="shared" si="12"/>
        <v>365</v>
      </c>
      <c r="AM15" s="61">
        <f t="shared" si="12"/>
        <v>365</v>
      </c>
      <c r="AN15" s="61">
        <f t="shared" si="12"/>
        <v>365</v>
      </c>
      <c r="AO15" s="61">
        <f t="shared" si="12"/>
        <v>366</v>
      </c>
      <c r="AP15" s="61">
        <f t="shared" ref="AP15:BU15" si="13">(AP9 - AP8 + 1)</f>
        <v>365</v>
      </c>
      <c r="AQ15" s="61">
        <f t="shared" si="13"/>
        <v>365</v>
      </c>
      <c r="AR15" s="61">
        <f t="shared" si="13"/>
        <v>365</v>
      </c>
      <c r="AS15" s="61">
        <f t="shared" si="13"/>
        <v>366</v>
      </c>
      <c r="AT15" s="61">
        <f t="shared" si="13"/>
        <v>365</v>
      </c>
      <c r="AU15" s="61">
        <f t="shared" si="13"/>
        <v>365</v>
      </c>
      <c r="AV15" s="61">
        <f t="shared" si="13"/>
        <v>365</v>
      </c>
      <c r="AW15" s="61">
        <f t="shared" si="13"/>
        <v>366</v>
      </c>
      <c r="AX15" s="61">
        <f t="shared" si="13"/>
        <v>365</v>
      </c>
      <c r="AY15" s="61">
        <f t="shared" si="13"/>
        <v>365</v>
      </c>
      <c r="AZ15" s="61">
        <f t="shared" si="13"/>
        <v>365</v>
      </c>
      <c r="BA15" s="61">
        <f t="shared" si="13"/>
        <v>366</v>
      </c>
      <c r="BB15" s="61">
        <f t="shared" si="13"/>
        <v>365</v>
      </c>
      <c r="BC15" s="61">
        <f t="shared" si="13"/>
        <v>365</v>
      </c>
      <c r="BD15" s="61">
        <f t="shared" si="13"/>
        <v>365</v>
      </c>
      <c r="BE15" s="61">
        <f t="shared" si="13"/>
        <v>366</v>
      </c>
      <c r="BF15" s="61">
        <f t="shared" si="13"/>
        <v>365</v>
      </c>
      <c r="BG15" s="61">
        <f t="shared" si="13"/>
        <v>365</v>
      </c>
      <c r="BH15" s="61">
        <f t="shared" si="13"/>
        <v>365</v>
      </c>
      <c r="BI15" s="61">
        <f t="shared" si="13"/>
        <v>366</v>
      </c>
      <c r="BJ15" s="61">
        <f t="shared" si="13"/>
        <v>365</v>
      </c>
      <c r="BK15" s="61">
        <f t="shared" si="13"/>
        <v>365</v>
      </c>
      <c r="BL15" s="61">
        <f t="shared" si="13"/>
        <v>365</v>
      </c>
      <c r="BM15" s="61">
        <f t="shared" si="13"/>
        <v>366</v>
      </c>
      <c r="BN15" s="61">
        <f t="shared" si="13"/>
        <v>365</v>
      </c>
      <c r="BO15" s="61">
        <f t="shared" si="13"/>
        <v>365</v>
      </c>
      <c r="BP15" s="61">
        <f t="shared" si="13"/>
        <v>365</v>
      </c>
      <c r="BQ15" s="61">
        <f t="shared" si="13"/>
        <v>366</v>
      </c>
      <c r="BR15" s="61">
        <f t="shared" si="13"/>
        <v>365</v>
      </c>
      <c r="BS15" s="61">
        <f t="shared" si="13"/>
        <v>365</v>
      </c>
      <c r="BT15" s="61">
        <f t="shared" si="13"/>
        <v>365</v>
      </c>
      <c r="BU15" s="61">
        <f t="shared" si="13"/>
        <v>366</v>
      </c>
      <c r="BV15" s="61">
        <f t="shared" ref="BV15:DA15" si="14">(BV9 - BV8 + 1)</f>
        <v>365</v>
      </c>
      <c r="BW15" s="61">
        <f t="shared" si="14"/>
        <v>365</v>
      </c>
      <c r="BX15" s="61">
        <f t="shared" si="14"/>
        <v>365</v>
      </c>
      <c r="BY15" s="61">
        <f t="shared" si="14"/>
        <v>366</v>
      </c>
      <c r="BZ15" s="61">
        <f t="shared" si="14"/>
        <v>365</v>
      </c>
      <c r="CA15" s="61">
        <f t="shared" si="14"/>
        <v>365</v>
      </c>
      <c r="CB15" s="61">
        <f t="shared" si="14"/>
        <v>365</v>
      </c>
      <c r="CC15" s="61">
        <f t="shared" si="14"/>
        <v>366</v>
      </c>
      <c r="CD15" s="61">
        <f t="shared" si="14"/>
        <v>365</v>
      </c>
      <c r="CE15" s="61">
        <f t="shared" si="14"/>
        <v>365</v>
      </c>
      <c r="CF15" s="61">
        <f t="shared" si="14"/>
        <v>365</v>
      </c>
      <c r="CG15" s="61">
        <f t="shared" si="14"/>
        <v>366</v>
      </c>
      <c r="CH15" s="61">
        <f t="shared" si="14"/>
        <v>365</v>
      </c>
      <c r="CI15" s="61">
        <f t="shared" si="14"/>
        <v>365</v>
      </c>
      <c r="CJ15" s="61">
        <f t="shared" si="14"/>
        <v>365</v>
      </c>
      <c r="CK15" s="61">
        <f t="shared" si="14"/>
        <v>366</v>
      </c>
      <c r="CL15" s="61">
        <f t="shared" si="14"/>
        <v>365</v>
      </c>
      <c r="CM15" s="61">
        <f t="shared" si="14"/>
        <v>365</v>
      </c>
      <c r="CN15" s="61">
        <f t="shared" si="14"/>
        <v>365</v>
      </c>
      <c r="CO15" s="61">
        <f t="shared" si="14"/>
        <v>366</v>
      </c>
      <c r="CP15" s="61">
        <f t="shared" si="14"/>
        <v>365</v>
      </c>
      <c r="CQ15" s="61">
        <f t="shared" si="14"/>
        <v>365</v>
      </c>
      <c r="CR15" s="61">
        <f t="shared" si="14"/>
        <v>365</v>
      </c>
      <c r="CS15" s="61">
        <f t="shared" si="14"/>
        <v>366</v>
      </c>
      <c r="CT15" s="61">
        <f t="shared" si="14"/>
        <v>365</v>
      </c>
      <c r="CU15" s="61">
        <f t="shared" si="14"/>
        <v>365</v>
      </c>
      <c r="CV15" s="61">
        <f t="shared" si="14"/>
        <v>365</v>
      </c>
      <c r="CW15" s="61">
        <f t="shared" si="14"/>
        <v>365</v>
      </c>
      <c r="CX15" s="61">
        <f t="shared" si="14"/>
        <v>365</v>
      </c>
      <c r="CY15" s="61">
        <f t="shared" si="14"/>
        <v>365</v>
      </c>
      <c r="CZ15" s="61">
        <f t="shared" si="14"/>
        <v>365</v>
      </c>
      <c r="DA15" s="61">
        <f t="shared" si="14"/>
        <v>366</v>
      </c>
      <c r="DB15" s="61">
        <f t="shared" ref="DB15:DP15" si="15">(DB9 - DB8 + 1)</f>
        <v>365</v>
      </c>
      <c r="DC15" s="61">
        <f t="shared" si="15"/>
        <v>365</v>
      </c>
      <c r="DD15" s="61">
        <f t="shared" si="15"/>
        <v>365</v>
      </c>
      <c r="DE15" s="61">
        <f t="shared" si="15"/>
        <v>366</v>
      </c>
      <c r="DF15" s="61">
        <f t="shared" si="15"/>
        <v>365</v>
      </c>
      <c r="DG15" s="61">
        <f t="shared" si="15"/>
        <v>365</v>
      </c>
      <c r="DH15" s="61">
        <f t="shared" si="15"/>
        <v>365</v>
      </c>
      <c r="DI15" s="61">
        <f t="shared" si="15"/>
        <v>366</v>
      </c>
      <c r="DJ15" s="61">
        <f t="shared" si="15"/>
        <v>365</v>
      </c>
      <c r="DK15" s="61">
        <f t="shared" si="15"/>
        <v>365</v>
      </c>
      <c r="DL15" s="61">
        <f t="shared" si="15"/>
        <v>365</v>
      </c>
      <c r="DM15" s="61">
        <f t="shared" si="15"/>
        <v>366</v>
      </c>
      <c r="DN15" s="61">
        <f t="shared" si="15"/>
        <v>365</v>
      </c>
      <c r="DO15" s="61">
        <f t="shared" si="15"/>
        <v>365</v>
      </c>
      <c r="DP15" s="61">
        <f t="shared" si="15"/>
        <v>365</v>
      </c>
      <c r="DQ15" s="42"/>
    </row>
    <row r="16" spans="1:121" x14ac:dyDescent="0.2">
      <c r="A16" s="61"/>
      <c r="B16" s="61"/>
      <c r="C16" t="s">
        <v>58</v>
      </c>
      <c r="K16" s="144" t="s">
        <v>51</v>
      </c>
      <c r="L16" s="749">
        <v>43465</v>
      </c>
      <c r="Q16" s="750">
        <f>(MIN(Q$9,Inputs!$L$31) - MAX(Q$8,$L16) &gt;= 0) * 1</f>
        <v>0</v>
      </c>
      <c r="R16" s="750">
        <f>(MIN(R$9,Inputs!$L$31) - MAX(R$8,$L16) &gt;= 0) * 1</f>
        <v>0</v>
      </c>
      <c r="S16" s="750">
        <f>(MIN(S$9,Inputs!$L$31) - MAX(S$8,$L16) &gt;= 0) * 1</f>
        <v>1</v>
      </c>
      <c r="T16" s="750">
        <f>(MIN(T$9,Inputs!$L$31) - MAX(T$8,$L16) &gt;= 0) * 1</f>
        <v>1</v>
      </c>
      <c r="U16" s="750">
        <f>(MIN(U$9,Inputs!$L$31) - MAX(U$8,$L16) &gt;= 0) * 1</f>
        <v>1</v>
      </c>
      <c r="V16" s="750">
        <f>(MIN(V$9,Inputs!$L$31) - MAX(V$8,$L16) &gt;= 0) * 1</f>
        <v>1</v>
      </c>
      <c r="W16" s="750">
        <f>(MIN(W$9,Inputs!$L$31) - MAX(W$8,$L16) &gt;= 0) * 1</f>
        <v>1</v>
      </c>
      <c r="X16" s="750">
        <f>(MIN(X$9,Inputs!$L$31) - MAX(X$8,$L16) &gt;= 0) * 1</f>
        <v>1</v>
      </c>
      <c r="Y16" s="750">
        <f>(MIN(Y$9,Inputs!$L$31) - MAX(Y$8,$L16) &gt;= 0) * 1</f>
        <v>1</v>
      </c>
      <c r="Z16" s="750">
        <f>(MIN(Z$9,Inputs!$L$31) - MAX(Z$8,$L16) &gt;= 0) * 1</f>
        <v>1</v>
      </c>
      <c r="AA16" s="750">
        <f>(MIN(AA$9,Inputs!$L$31) - MAX(AA$8,$L16) &gt;= 0) * 1</f>
        <v>1</v>
      </c>
      <c r="AB16" s="750">
        <f>(MIN(AB$9,Inputs!$L$31) - MAX(AB$8,$L16) &gt;= 0) * 1</f>
        <v>1</v>
      </c>
      <c r="AC16" s="750">
        <f>(MIN(AC$9,Inputs!$L$31) - MAX(AC$8,$L16) &gt;= 0) * 1</f>
        <v>1</v>
      </c>
      <c r="AD16" s="750">
        <f>(MIN(AD$9,Inputs!$L$31) - MAX(AD$8,$L16) &gt;= 0) * 1</f>
        <v>1</v>
      </c>
      <c r="AE16" s="750">
        <f>(MIN(AE$9,Inputs!$L$31) - MAX(AE$8,$L16) &gt;= 0) * 1</f>
        <v>1</v>
      </c>
      <c r="AF16" s="750">
        <f>(MIN(AF$9,Inputs!$L$31) - MAX(AF$8,$L16) &gt;= 0) * 1</f>
        <v>1</v>
      </c>
      <c r="AG16" s="750">
        <f>(MIN(AG$9,Inputs!$L$31) - MAX(AG$8,$L16) &gt;= 0) * 1</f>
        <v>1</v>
      </c>
      <c r="AH16" s="750">
        <f>(MIN(AH$9,Inputs!$L$31) - MAX(AH$8,$L16) &gt;= 0) * 1</f>
        <v>1</v>
      </c>
      <c r="AI16" s="750">
        <f>(MIN(AI$9,Inputs!$L$31) - MAX(AI$8,$L16) &gt;= 0) * 1</f>
        <v>1</v>
      </c>
      <c r="AJ16" s="750">
        <f>(MIN(AJ$9,Inputs!$L$31) - MAX(AJ$8,$L16) &gt;= 0) * 1</f>
        <v>1</v>
      </c>
      <c r="AK16" s="750">
        <f>(MIN(AK$9,Inputs!$L$31) - MAX(AK$8,$L16) &gt;= 0) * 1</f>
        <v>1</v>
      </c>
      <c r="AL16" s="750">
        <f>(MIN(AL$9,Inputs!$L$31) - MAX(AL$8,$L16) &gt;= 0) * 1</f>
        <v>1</v>
      </c>
      <c r="AM16" s="750">
        <f>(MIN(AM$9,Inputs!$L$31) - MAX(AM$8,$L16) &gt;= 0) * 1</f>
        <v>1</v>
      </c>
      <c r="AN16" s="750">
        <f>(MIN(AN$9,Inputs!$L$31) - MAX(AN$8,$L16) &gt;= 0) * 1</f>
        <v>1</v>
      </c>
      <c r="AO16" s="750">
        <f>(MIN(AO$9,Inputs!$L$31) - MAX(AO$8,$L16) &gt;= 0) * 1</f>
        <v>1</v>
      </c>
      <c r="AP16" s="750">
        <f>(MIN(AP$9,Inputs!$L$31) - MAX(AP$8,$L16) &gt;= 0) * 1</f>
        <v>1</v>
      </c>
      <c r="AQ16" s="750">
        <f>(MIN(AQ$9,Inputs!$L$31) - MAX(AQ$8,$L16) &gt;= 0) * 1</f>
        <v>1</v>
      </c>
      <c r="AR16" s="750">
        <f>(MIN(AR$9,Inputs!$L$31) - MAX(AR$8,$L16) &gt;= 0) * 1</f>
        <v>1</v>
      </c>
      <c r="AS16" s="750">
        <f>(MIN(AS$9,Inputs!$L$31) - MAX(AS$8,$L16) &gt;= 0) * 1</f>
        <v>1</v>
      </c>
      <c r="AT16" s="750">
        <f>(MIN(AT$9,Inputs!$L$31) - MAX(AT$8,$L16) &gt;= 0) * 1</f>
        <v>1</v>
      </c>
      <c r="AU16" s="750">
        <f>(MIN(AU$9,Inputs!$L$31) - MAX(AU$8,$L16) &gt;= 0) * 1</f>
        <v>1</v>
      </c>
      <c r="AV16" s="750">
        <f>(MIN(AV$9,Inputs!$L$31) - MAX(AV$8,$L16) &gt;= 0) * 1</f>
        <v>1</v>
      </c>
      <c r="AW16" s="750">
        <f>(MIN(AW$9,Inputs!$L$31) - MAX(AW$8,$L16) &gt;= 0) * 1</f>
        <v>1</v>
      </c>
      <c r="AX16" s="750">
        <f>(MIN(AX$9,Inputs!$L$31) - MAX(AX$8,$L16) &gt;= 0) * 1</f>
        <v>1</v>
      </c>
      <c r="AY16" s="750">
        <f>(MIN(AY$9,Inputs!$L$31) - MAX(AY$8,$L16) &gt;= 0) * 1</f>
        <v>1</v>
      </c>
      <c r="AZ16" s="750">
        <f>(MIN(AZ$9,Inputs!$L$31) - MAX(AZ$8,$L16) &gt;= 0) * 1</f>
        <v>1</v>
      </c>
      <c r="BA16" s="750">
        <f>(MIN(BA$9,Inputs!$L$31) - MAX(BA$8,$L16) &gt;= 0) * 1</f>
        <v>1</v>
      </c>
      <c r="BB16" s="750">
        <f>(MIN(BB$9,Inputs!$L$31) - MAX(BB$8,$L16) &gt;= 0) * 1</f>
        <v>1</v>
      </c>
      <c r="BC16" s="750">
        <f>(MIN(BC$9,Inputs!$L$31) - MAX(BC$8,$L16) &gt;= 0) * 1</f>
        <v>1</v>
      </c>
      <c r="BD16" s="750">
        <f>(MIN(BD$9,Inputs!$L$31) - MAX(BD$8,$L16) &gt;= 0) * 1</f>
        <v>1</v>
      </c>
      <c r="BE16" s="750">
        <f>(MIN(BE$9,Inputs!$L$31) - MAX(BE$8,$L16) &gt;= 0) * 1</f>
        <v>1</v>
      </c>
      <c r="BF16" s="750">
        <f>(MIN(BF$9,Inputs!$L$31) - MAX(BF$8,$L16) &gt;= 0) * 1</f>
        <v>1</v>
      </c>
      <c r="BG16" s="750">
        <f>(MIN(BG$9,Inputs!$L$31) - MAX(BG$8,$L16) &gt;= 0) * 1</f>
        <v>1</v>
      </c>
      <c r="BH16" s="750">
        <f>(MIN(BH$9,Inputs!$L$31) - MAX(BH$8,$L16) &gt;= 0) * 1</f>
        <v>1</v>
      </c>
      <c r="BI16" s="750">
        <f>(MIN(BI$9,Inputs!$L$31) - MAX(BI$8,$L16) &gt;= 0) * 1</f>
        <v>1</v>
      </c>
      <c r="BJ16" s="750">
        <f>(MIN(BJ$9,Inputs!$L$31) - MAX(BJ$8,$L16) &gt;= 0) * 1</f>
        <v>1</v>
      </c>
      <c r="BK16" s="750">
        <f>(MIN(BK$9,Inputs!$L$31) - MAX(BK$8,$L16) &gt;= 0) * 1</f>
        <v>0</v>
      </c>
      <c r="BL16" s="750">
        <f>(MIN(BL$9,Inputs!$L$31) - MAX(BL$8,$L16) &gt;= 0) * 1</f>
        <v>0</v>
      </c>
      <c r="BM16" s="750">
        <f>(MIN(BM$9,Inputs!$L$31) - MAX(BM$8,$L16) &gt;= 0) * 1</f>
        <v>0</v>
      </c>
      <c r="BN16" s="750">
        <f>(MIN(BN$9,Inputs!$L$31) - MAX(BN$8,$L16) &gt;= 0) * 1</f>
        <v>0</v>
      </c>
      <c r="BO16" s="750">
        <f>(MIN(BO$9,Inputs!$L$31) - MAX(BO$8,$L16) &gt;= 0) * 1</f>
        <v>0</v>
      </c>
      <c r="BP16" s="750">
        <f>(MIN(BP$9,Inputs!$L$31) - MAX(BP$8,$L16) &gt;= 0) * 1</f>
        <v>0</v>
      </c>
      <c r="BQ16" s="750">
        <f>(MIN(BQ$9,Inputs!$L$31) - MAX(BQ$8,$L16) &gt;= 0) * 1</f>
        <v>0</v>
      </c>
      <c r="BR16" s="750">
        <f>(MIN(BR$9,Inputs!$L$31) - MAX(BR$8,$L16) &gt;= 0) * 1</f>
        <v>0</v>
      </c>
      <c r="BS16" s="750">
        <f>(MIN(BS$9,Inputs!$L$31) - MAX(BS$8,$L16) &gt;= 0) * 1</f>
        <v>0</v>
      </c>
      <c r="BT16" s="750">
        <f>(MIN(BT$9,Inputs!$L$31) - MAX(BT$8,$L16) &gt;= 0) * 1</f>
        <v>0</v>
      </c>
      <c r="BU16" s="750">
        <f>(MIN(BU$9,Inputs!$L$31) - MAX(BU$8,$L16) &gt;= 0) * 1</f>
        <v>0</v>
      </c>
      <c r="BV16" s="750">
        <f>(MIN(BV$9,Inputs!$L$31) - MAX(BV$8,$L16) &gt;= 0) * 1</f>
        <v>0</v>
      </c>
      <c r="BW16" s="750">
        <f>(MIN(BW$9,Inputs!$L$31) - MAX(BW$8,$L16) &gt;= 0) * 1</f>
        <v>0</v>
      </c>
      <c r="BX16" s="750">
        <f>(MIN(BX$9,Inputs!$L$31) - MAX(BX$8,$L16) &gt;= 0) * 1</f>
        <v>0</v>
      </c>
      <c r="BY16" s="750">
        <f>(MIN(BY$9,Inputs!$L$31) - MAX(BY$8,$L16) &gt;= 0) * 1</f>
        <v>0</v>
      </c>
      <c r="BZ16" s="750">
        <f>(MIN(BZ$9,Inputs!$L$31) - MAX(BZ$8,$L16) &gt;= 0) * 1</f>
        <v>0</v>
      </c>
      <c r="CA16" s="750">
        <f>(MIN(CA$9,Inputs!$L$31) - MAX(CA$8,$L16) &gt;= 0) * 1</f>
        <v>0</v>
      </c>
      <c r="CB16" s="750">
        <f>(MIN(CB$9,Inputs!$L$31) - MAX(CB$8,$L16) &gt;= 0) * 1</f>
        <v>0</v>
      </c>
      <c r="CC16" s="750">
        <f>(MIN(CC$9,Inputs!$L$31) - MAX(CC$8,$L16) &gt;= 0) * 1</f>
        <v>0</v>
      </c>
      <c r="CD16" s="750">
        <f>(MIN(CD$9,Inputs!$L$31) - MAX(CD$8,$L16) &gt;= 0) * 1</f>
        <v>0</v>
      </c>
      <c r="CE16" s="750">
        <f>(MIN(CE$9,Inputs!$L$31) - MAX(CE$8,$L16) &gt;= 0) * 1</f>
        <v>0</v>
      </c>
      <c r="CF16" s="750">
        <f>(MIN(CF$9,Inputs!$L$31) - MAX(CF$8,$L16) &gt;= 0) * 1</f>
        <v>0</v>
      </c>
      <c r="CG16" s="750">
        <f>(MIN(CG$9,Inputs!$L$31) - MAX(CG$8,$L16) &gt;= 0) * 1</f>
        <v>0</v>
      </c>
      <c r="CH16" s="750">
        <f>(MIN(CH$9,Inputs!$L$31) - MAX(CH$8,$L16) &gt;= 0) * 1</f>
        <v>0</v>
      </c>
      <c r="CI16" s="750">
        <f>(MIN(CI$9,Inputs!$L$31) - MAX(CI$8,$L16) &gt;= 0) * 1</f>
        <v>0</v>
      </c>
      <c r="CJ16" s="750">
        <f>(MIN(CJ$9,Inputs!$L$31) - MAX(CJ$8,$L16) &gt;= 0) * 1</f>
        <v>0</v>
      </c>
      <c r="CK16" s="750">
        <f>(MIN(CK$9,Inputs!$L$31) - MAX(CK$8,$L16) &gt;= 0) * 1</f>
        <v>0</v>
      </c>
      <c r="CL16" s="750">
        <f>(MIN(CL$9,Inputs!$L$31) - MAX(CL$8,$L16) &gt;= 0) * 1</f>
        <v>0</v>
      </c>
      <c r="CM16" s="750">
        <f>(MIN(CM$9,Inputs!$L$31) - MAX(CM$8,$L16) &gt;= 0) * 1</f>
        <v>0</v>
      </c>
      <c r="CN16" s="750">
        <f>(MIN(CN$9,Inputs!$L$31) - MAX(CN$8,$L16) &gt;= 0) * 1</f>
        <v>0</v>
      </c>
      <c r="CO16" s="750">
        <f>(MIN(CO$9,Inputs!$L$31) - MAX(CO$8,$L16) &gt;= 0) * 1</f>
        <v>0</v>
      </c>
      <c r="CP16" s="750">
        <f>(MIN(CP$9,Inputs!$L$31) - MAX(CP$8,$L16) &gt;= 0) * 1</f>
        <v>0</v>
      </c>
      <c r="CQ16" s="750">
        <f>(MIN(CQ$9,Inputs!$L$31) - MAX(CQ$8,$L16) &gt;= 0) * 1</f>
        <v>0</v>
      </c>
      <c r="CR16" s="750">
        <f>(MIN(CR$9,Inputs!$L$31) - MAX(CR$8,$L16) &gt;= 0) * 1</f>
        <v>0</v>
      </c>
      <c r="CS16" s="750">
        <f>(MIN(CS$9,Inputs!$L$31) - MAX(CS$8,$L16) &gt;= 0) * 1</f>
        <v>0</v>
      </c>
      <c r="CT16" s="750">
        <f>(MIN(CT$9,Inputs!$L$31) - MAX(CT$8,$L16) &gt;= 0) * 1</f>
        <v>0</v>
      </c>
      <c r="CU16" s="750">
        <f>(MIN(CU$9,Inputs!$L$31) - MAX(CU$8,$L16) &gt;= 0) * 1</f>
        <v>0</v>
      </c>
      <c r="CV16" s="750">
        <f>(MIN(CV$9,Inputs!$L$31) - MAX(CV$8,$L16) &gt;= 0) * 1</f>
        <v>0</v>
      </c>
      <c r="CW16" s="750">
        <f>(MIN(CW$9,Inputs!$L$31) - MAX(CW$8,$L16) &gt;= 0) * 1</f>
        <v>0</v>
      </c>
      <c r="CX16" s="750">
        <f>(MIN(CX$9,Inputs!$L$31) - MAX(CX$8,$L16) &gt;= 0) * 1</f>
        <v>0</v>
      </c>
      <c r="CY16" s="750">
        <f>(MIN(CY$9,Inputs!$L$31) - MAX(CY$8,$L16) &gt;= 0) * 1</f>
        <v>0</v>
      </c>
      <c r="CZ16" s="750">
        <f>(MIN(CZ$9,Inputs!$L$31) - MAX(CZ$8,$L16) &gt;= 0) * 1</f>
        <v>0</v>
      </c>
      <c r="DA16" s="750">
        <f>(MIN(DA$9,Inputs!$L$31) - MAX(DA$8,$L16) &gt;= 0) * 1</f>
        <v>0</v>
      </c>
      <c r="DB16" s="750">
        <f>(MIN(DB$9,Inputs!$L$31) - MAX(DB$8,$L16) &gt;= 0) * 1</f>
        <v>0</v>
      </c>
      <c r="DC16" s="750">
        <f>(MIN(DC$9,Inputs!$L$31) - MAX(DC$8,$L16) &gt;= 0) * 1</f>
        <v>0</v>
      </c>
      <c r="DD16" s="750">
        <f>(MIN(DD$9,Inputs!$L$31) - MAX(DD$8,$L16) &gt;= 0) * 1</f>
        <v>0</v>
      </c>
      <c r="DE16" s="750">
        <f>(MIN(DE$9,Inputs!$L$31) - MAX(DE$8,$L16) &gt;= 0) * 1</f>
        <v>0</v>
      </c>
      <c r="DF16" s="750">
        <f>(MIN(DF$9,Inputs!$L$31) - MAX(DF$8,$L16) &gt;= 0) * 1</f>
        <v>0</v>
      </c>
      <c r="DG16" s="750">
        <f>(MIN(DG$9,Inputs!$L$31) - MAX(DG$8,$L16) &gt;= 0) * 1</f>
        <v>0</v>
      </c>
      <c r="DH16" s="750">
        <f>(MIN(DH$9,Inputs!$L$31) - MAX(DH$8,$L16) &gt;= 0) * 1</f>
        <v>0</v>
      </c>
      <c r="DI16" s="750">
        <f>(MIN(DI$9,Inputs!$L$31) - MAX(DI$8,$L16) &gt;= 0) * 1</f>
        <v>0</v>
      </c>
      <c r="DJ16" s="750">
        <f>(MIN(DJ$9,Inputs!$L$31) - MAX(DJ$8,$L16) &gt;= 0) * 1</f>
        <v>0</v>
      </c>
      <c r="DK16" s="750">
        <f>(MIN(DK$9,Inputs!$L$31) - MAX(DK$8,$L16) &gt;= 0) * 1</f>
        <v>0</v>
      </c>
      <c r="DL16" s="750">
        <f>(MIN(DL$9,Inputs!$L$31) - MAX(DL$8,$L16) &gt;= 0) * 1</f>
        <v>0</v>
      </c>
      <c r="DM16" s="750">
        <f>(MIN(DM$9,Inputs!$L$31) - MAX(DM$8,$L16) &gt;= 0) * 1</f>
        <v>0</v>
      </c>
      <c r="DN16" s="750">
        <f>(MIN(DN$9,Inputs!$L$31) - MAX(DN$8,$L16) &gt;= 0) * 1</f>
        <v>0</v>
      </c>
      <c r="DO16" s="750">
        <f>(MIN(DO$9,Inputs!$L$31) - MAX(DO$8,$L16) &gt;= 0) * 1</f>
        <v>0</v>
      </c>
      <c r="DP16" s="750">
        <f>(MIN(DP$9,Inputs!$L$31) - MAX(DP$8,$L16) &gt;= 0) * 1</f>
        <v>0</v>
      </c>
      <c r="DQ16" s="10"/>
    </row>
    <row r="17" spans="1:125" x14ac:dyDescent="0.2">
      <c r="A17" s="61"/>
      <c r="B17" s="61"/>
      <c r="DQ17" s="42"/>
    </row>
    <row r="18" spans="1:125" s="124" customFormat="1" ht="15.75" x14ac:dyDescent="0.25">
      <c r="A18" s="120"/>
      <c r="B18" s="120" t="s">
        <v>59</v>
      </c>
      <c r="C18" s="120"/>
      <c r="D18" s="120"/>
      <c r="E18" s="120"/>
      <c r="F18" s="120"/>
      <c r="G18" s="120"/>
      <c r="H18" s="120"/>
      <c r="I18" s="120"/>
      <c r="J18" s="120"/>
      <c r="K18" s="562"/>
      <c r="L18" s="120"/>
      <c r="M18" s="120"/>
      <c r="N18" s="120"/>
      <c r="O18" s="121"/>
      <c r="P18" s="122"/>
      <c r="Q18" s="122"/>
      <c r="R18" s="122"/>
      <c r="S18" s="798"/>
      <c r="T18" s="79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3"/>
      <c r="DQ18" s="122"/>
      <c r="DR18" s="122"/>
      <c r="DS18" s="122"/>
      <c r="DT18" s="122"/>
      <c r="DU18" s="122"/>
    </row>
    <row r="19" spans="1:125" x14ac:dyDescent="0.2">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DQ19" s="42"/>
    </row>
    <row r="20" spans="1:125" x14ac:dyDescent="0.2">
      <c r="C20" t="s">
        <v>60</v>
      </c>
      <c r="F20" s="39"/>
      <c r="G20" s="39"/>
      <c r="K20" s="144" t="s">
        <v>57</v>
      </c>
      <c r="N20" s="172"/>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8"/>
      <c r="AV20" s="548"/>
      <c r="AW20" s="548"/>
      <c r="AX20" s="548"/>
      <c r="AY20" s="548"/>
      <c r="AZ20" s="548"/>
      <c r="BA20" s="548"/>
      <c r="BB20" s="548"/>
      <c r="BC20" s="548"/>
      <c r="BD20" s="548"/>
      <c r="BE20" s="548"/>
      <c r="BF20" s="548"/>
      <c r="BG20" s="548"/>
      <c r="BH20" s="548"/>
      <c r="BI20" s="548"/>
      <c r="BJ20" s="548"/>
      <c r="DQ20" s="42"/>
    </row>
    <row r="21" spans="1:125" x14ac:dyDescent="0.2">
      <c r="C21" t="s">
        <v>61</v>
      </c>
      <c r="F21" s="39"/>
      <c r="G21" s="39"/>
      <c r="K21" s="144" t="s">
        <v>57</v>
      </c>
      <c r="N21" s="98"/>
      <c r="Q21" s="86"/>
      <c r="R21" s="9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42"/>
    </row>
    <row r="22" spans="1:125" x14ac:dyDescent="0.2">
      <c r="F22" s="39"/>
      <c r="G22" s="39"/>
      <c r="DQ22" s="42"/>
    </row>
    <row r="23" spans="1:125" x14ac:dyDescent="0.2">
      <c r="C23" s="40" t="s">
        <v>62</v>
      </c>
      <c r="D23" s="41"/>
      <c r="E23" s="41"/>
      <c r="F23" s="41"/>
      <c r="G23" s="41"/>
      <c r="H23" s="41"/>
      <c r="I23" s="41"/>
      <c r="J23" s="41"/>
      <c r="K23" s="635" t="s">
        <v>63</v>
      </c>
      <c r="L23" s="79"/>
      <c r="M23" s="79"/>
      <c r="N23" s="79">
        <f>SUM(Q23:DQ23)</f>
        <v>0</v>
      </c>
      <c r="O23" s="41"/>
      <c r="P23" s="41"/>
      <c r="Q23" s="79"/>
      <c r="R23" s="79"/>
      <c r="S23" s="79">
        <f t="shared" ref="S23" si="16">+R55</f>
        <v>0</v>
      </c>
      <c r="T23" s="79">
        <f t="shared" ref="T23" si="17">+S55</f>
        <v>0</v>
      </c>
      <c r="U23" s="79">
        <f t="shared" ref="U23" si="18">+T55</f>
        <v>0</v>
      </c>
      <c r="V23" s="79">
        <f t="shared" ref="V23" si="19">+U55</f>
        <v>0</v>
      </c>
      <c r="W23" s="79">
        <f t="shared" ref="W23" si="20">+V55</f>
        <v>0</v>
      </c>
      <c r="X23" s="79">
        <f t="shared" ref="X23" si="21">+W55</f>
        <v>0</v>
      </c>
      <c r="Y23" s="79">
        <f t="shared" ref="Y23" si="22">+X55</f>
        <v>0</v>
      </c>
      <c r="Z23" s="79">
        <f t="shared" ref="Z23" si="23">+Y55</f>
        <v>0</v>
      </c>
      <c r="AA23" s="79">
        <f t="shared" ref="AA23" si="24">+Z55</f>
        <v>0</v>
      </c>
      <c r="AB23" s="79">
        <f t="shared" ref="AB23" si="25">+AA55</f>
        <v>0</v>
      </c>
      <c r="AC23" s="79">
        <f t="shared" ref="AC23" si="26">+AB55</f>
        <v>0</v>
      </c>
      <c r="AD23" s="79">
        <f t="shared" ref="AD23" si="27">+AC55</f>
        <v>0</v>
      </c>
      <c r="AE23" s="79">
        <f t="shared" ref="AE23" si="28">+AD55</f>
        <v>0</v>
      </c>
      <c r="AF23" s="79">
        <f t="shared" ref="AF23" si="29">+AE55</f>
        <v>0</v>
      </c>
      <c r="AG23" s="79">
        <f t="shared" ref="AG23" si="30">+AF55</f>
        <v>0</v>
      </c>
      <c r="AH23" s="79">
        <f t="shared" ref="AH23" si="31">+AG55</f>
        <v>0</v>
      </c>
      <c r="AI23" s="79">
        <f t="shared" ref="AI23" si="32">+AH55</f>
        <v>0</v>
      </c>
      <c r="AJ23" s="79">
        <f t="shared" ref="AJ23" si="33">+AI55</f>
        <v>0</v>
      </c>
      <c r="AK23" s="79">
        <f t="shared" ref="AK23" si="34">+AJ55</f>
        <v>0</v>
      </c>
      <c r="AL23" s="79">
        <f t="shared" ref="AL23" si="35">+AK55</f>
        <v>0</v>
      </c>
      <c r="AM23" s="79">
        <f t="shared" ref="AM23" si="36">+AL55</f>
        <v>0</v>
      </c>
      <c r="AN23" s="79">
        <f t="shared" ref="AN23" si="37">+AM55</f>
        <v>0</v>
      </c>
      <c r="AO23" s="79">
        <f t="shared" ref="AO23" si="38">+AN55</f>
        <v>0</v>
      </c>
      <c r="AP23" s="79">
        <f t="shared" ref="AP23" si="39">+AO55</f>
        <v>0</v>
      </c>
      <c r="AQ23" s="79">
        <f t="shared" ref="AQ23" si="40">+AP55</f>
        <v>0</v>
      </c>
      <c r="AR23" s="79">
        <f t="shared" ref="AR23" si="41">+AQ55</f>
        <v>0</v>
      </c>
      <c r="AS23" s="79">
        <f t="shared" ref="AS23" si="42">+AR55</f>
        <v>0</v>
      </c>
      <c r="AT23" s="79">
        <f t="shared" ref="AT23" si="43">+AS55</f>
        <v>0</v>
      </c>
      <c r="AU23" s="79">
        <f t="shared" ref="AU23" si="44">+AT55</f>
        <v>0</v>
      </c>
      <c r="AV23" s="79">
        <f t="shared" ref="AV23" si="45">+AU55</f>
        <v>0</v>
      </c>
      <c r="AW23" s="79">
        <f t="shared" ref="AW23" si="46">+AV55</f>
        <v>0</v>
      </c>
      <c r="AX23" s="79">
        <f t="shared" ref="AX23" si="47">+AW55</f>
        <v>0</v>
      </c>
      <c r="AY23" s="79">
        <f t="shared" ref="AY23" si="48">+AX55</f>
        <v>0</v>
      </c>
      <c r="AZ23" s="79">
        <f t="shared" ref="AZ23" si="49">+AY55</f>
        <v>0</v>
      </c>
      <c r="BA23" s="79">
        <f t="shared" ref="BA23" si="50">+AZ55</f>
        <v>0</v>
      </c>
      <c r="BB23" s="79">
        <f t="shared" ref="BB23" si="51">+BA55</f>
        <v>0</v>
      </c>
      <c r="BC23" s="79">
        <f t="shared" ref="BC23" si="52">+BB55</f>
        <v>0</v>
      </c>
      <c r="BD23" s="79">
        <f t="shared" ref="BD23" si="53">+BC55</f>
        <v>0</v>
      </c>
      <c r="BE23" s="79">
        <f t="shared" ref="BE23" si="54">+BD55</f>
        <v>0</v>
      </c>
      <c r="BF23" s="79">
        <f t="shared" ref="BF23" si="55">+BE55</f>
        <v>0</v>
      </c>
      <c r="BG23" s="79">
        <f t="shared" ref="BG23" si="56">+BF55</f>
        <v>0</v>
      </c>
      <c r="BH23" s="79">
        <f t="shared" ref="BH23" si="57">+BG55</f>
        <v>0</v>
      </c>
      <c r="BI23" s="79">
        <f t="shared" ref="BI23" si="58">+BH55</f>
        <v>0</v>
      </c>
      <c r="BJ23" s="79">
        <f t="shared" ref="BJ23" si="59">+BI55</f>
        <v>0</v>
      </c>
      <c r="BK23" s="79">
        <f t="shared" ref="BK23:BU23" si="60">+BJ55</f>
        <v>0</v>
      </c>
      <c r="BL23" s="79">
        <f t="shared" si="60"/>
        <v>0</v>
      </c>
      <c r="BM23" s="79">
        <f t="shared" si="60"/>
        <v>0</v>
      </c>
      <c r="BN23" s="79">
        <f t="shared" si="60"/>
        <v>0</v>
      </c>
      <c r="BO23" s="79">
        <f t="shared" si="60"/>
        <v>0</v>
      </c>
      <c r="BP23" s="79">
        <f t="shared" si="60"/>
        <v>0</v>
      </c>
      <c r="BQ23" s="79">
        <f t="shared" si="60"/>
        <v>0</v>
      </c>
      <c r="BR23" s="79">
        <f t="shared" si="60"/>
        <v>0</v>
      </c>
      <c r="BS23" s="79">
        <f t="shared" si="60"/>
        <v>0</v>
      </c>
      <c r="BT23" s="79">
        <f t="shared" si="60"/>
        <v>0</v>
      </c>
      <c r="BU23" s="79">
        <f t="shared" si="60"/>
        <v>0</v>
      </c>
      <c r="BV23" s="79">
        <f t="shared" ref="BV23:DA23" si="61">+BU55</f>
        <v>0</v>
      </c>
      <c r="BW23" s="79">
        <f t="shared" si="61"/>
        <v>0</v>
      </c>
      <c r="BX23" s="79">
        <f t="shared" si="61"/>
        <v>0</v>
      </c>
      <c r="BY23" s="79">
        <f t="shared" si="61"/>
        <v>0</v>
      </c>
      <c r="BZ23" s="79">
        <f t="shared" si="61"/>
        <v>0</v>
      </c>
      <c r="CA23" s="79">
        <f t="shared" si="61"/>
        <v>0</v>
      </c>
      <c r="CB23" s="79">
        <f t="shared" si="61"/>
        <v>0</v>
      </c>
      <c r="CC23" s="79">
        <f t="shared" si="61"/>
        <v>0</v>
      </c>
      <c r="CD23" s="79">
        <f t="shared" si="61"/>
        <v>0</v>
      </c>
      <c r="CE23" s="79">
        <f t="shared" si="61"/>
        <v>0</v>
      </c>
      <c r="CF23" s="79">
        <f t="shared" si="61"/>
        <v>0</v>
      </c>
      <c r="CG23" s="79">
        <f t="shared" si="61"/>
        <v>0</v>
      </c>
      <c r="CH23" s="79">
        <f t="shared" si="61"/>
        <v>0</v>
      </c>
      <c r="CI23" s="79">
        <f t="shared" si="61"/>
        <v>0</v>
      </c>
      <c r="CJ23" s="79">
        <f t="shared" si="61"/>
        <v>0</v>
      </c>
      <c r="CK23" s="79">
        <f t="shared" si="61"/>
        <v>0</v>
      </c>
      <c r="CL23" s="79">
        <f t="shared" si="61"/>
        <v>0</v>
      </c>
      <c r="CM23" s="79">
        <f t="shared" si="61"/>
        <v>0</v>
      </c>
      <c r="CN23" s="79">
        <f t="shared" si="61"/>
        <v>0</v>
      </c>
      <c r="CO23" s="79">
        <f t="shared" si="61"/>
        <v>0</v>
      </c>
      <c r="CP23" s="79">
        <f t="shared" si="61"/>
        <v>0</v>
      </c>
      <c r="CQ23" s="79">
        <f t="shared" si="61"/>
        <v>0</v>
      </c>
      <c r="CR23" s="79">
        <f t="shared" si="61"/>
        <v>0</v>
      </c>
      <c r="CS23" s="79">
        <f t="shared" si="61"/>
        <v>0</v>
      </c>
      <c r="CT23" s="79">
        <f t="shared" si="61"/>
        <v>0</v>
      </c>
      <c r="CU23" s="79">
        <f t="shared" si="61"/>
        <v>0</v>
      </c>
      <c r="CV23" s="79">
        <f t="shared" si="61"/>
        <v>0</v>
      </c>
      <c r="CW23" s="79">
        <f t="shared" si="61"/>
        <v>0</v>
      </c>
      <c r="CX23" s="79">
        <f t="shared" si="61"/>
        <v>0</v>
      </c>
      <c r="CY23" s="79">
        <f t="shared" si="61"/>
        <v>0</v>
      </c>
      <c r="CZ23" s="79">
        <f t="shared" si="61"/>
        <v>0</v>
      </c>
      <c r="DA23" s="79">
        <f t="shared" si="61"/>
        <v>0</v>
      </c>
      <c r="DB23" s="79">
        <f t="shared" ref="DB23:DP23" si="62">+DA55</f>
        <v>0</v>
      </c>
      <c r="DC23" s="79">
        <f t="shared" si="62"/>
        <v>0</v>
      </c>
      <c r="DD23" s="79">
        <f t="shared" si="62"/>
        <v>0</v>
      </c>
      <c r="DE23" s="79">
        <f t="shared" si="62"/>
        <v>0</v>
      </c>
      <c r="DF23" s="79">
        <f t="shared" si="62"/>
        <v>0</v>
      </c>
      <c r="DG23" s="79">
        <f t="shared" si="62"/>
        <v>0</v>
      </c>
      <c r="DH23" s="79">
        <f t="shared" si="62"/>
        <v>0</v>
      </c>
      <c r="DI23" s="79">
        <f t="shared" si="62"/>
        <v>0</v>
      </c>
      <c r="DJ23" s="79">
        <f t="shared" si="62"/>
        <v>0</v>
      </c>
      <c r="DK23" s="79">
        <f t="shared" si="62"/>
        <v>0</v>
      </c>
      <c r="DL23" s="79">
        <f t="shared" si="62"/>
        <v>0</v>
      </c>
      <c r="DM23" s="79">
        <f t="shared" si="62"/>
        <v>0</v>
      </c>
      <c r="DN23" s="79">
        <f t="shared" si="62"/>
        <v>0</v>
      </c>
      <c r="DO23" s="79">
        <f t="shared" si="62"/>
        <v>0</v>
      </c>
      <c r="DP23" s="79">
        <f t="shared" si="62"/>
        <v>0</v>
      </c>
      <c r="DQ23" s="16"/>
    </row>
    <row r="24" spans="1:125" x14ac:dyDescent="0.2">
      <c r="L24" s="63"/>
      <c r="M24" s="63"/>
      <c r="N24" s="63"/>
      <c r="O24" s="39"/>
      <c r="P24" s="61"/>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16"/>
    </row>
    <row r="25" spans="1:125" x14ac:dyDescent="0.2">
      <c r="C25" s="61" t="s">
        <v>64</v>
      </c>
      <c r="K25" s="144" t="s">
        <v>63</v>
      </c>
      <c r="L25" s="63"/>
      <c r="M25" s="63"/>
      <c r="N25" s="63">
        <f t="shared" ref="N25:N33" si="63">SUM(Q25:DQ25)</f>
        <v>39545578.786975168</v>
      </c>
      <c r="O25" s="39"/>
      <c r="P25" s="61"/>
      <c r="Q25" s="63"/>
      <c r="R25" s="63"/>
      <c r="S25" s="63">
        <f>+Oper!S16</f>
        <v>120885.88824258334</v>
      </c>
      <c r="T25" s="63">
        <f>+Oper!T16</f>
        <v>137801.19959581227</v>
      </c>
      <c r="U25" s="63">
        <f>+Oper!U16</f>
        <v>157083.43534639102</v>
      </c>
      <c r="V25" s="63">
        <f>+Oper!V16</f>
        <v>179063.79431092911</v>
      </c>
      <c r="W25" s="63">
        <f>+Oper!W16</f>
        <v>192605.02760027614</v>
      </c>
      <c r="X25" s="63">
        <f>+Oper!X16</f>
        <v>207170.28140534012</v>
      </c>
      <c r="Y25" s="63">
        <f>+Oper!Y16</f>
        <v>222836.99461179745</v>
      </c>
      <c r="Z25" s="63">
        <f>+Oper!Z16</f>
        <v>239688.46221945746</v>
      </c>
      <c r="AA25" s="63">
        <f>+Oper!AA16</f>
        <v>257814.27819564901</v>
      </c>
      <c r="AB25" s="63">
        <f>+Oper!AB16</f>
        <v>278762.48071423272</v>
      </c>
      <c r="AC25" s="63">
        <f>+Oper!AC16</f>
        <v>301412.78907362081</v>
      </c>
      <c r="AD25" s="63">
        <f>+Oper!AD16</f>
        <v>325903.50460495288</v>
      </c>
      <c r="AE25" s="63">
        <f>+Oper!AE16</f>
        <v>352384.16604760505</v>
      </c>
      <c r="AF25" s="63">
        <f>+Oper!AF16</f>
        <v>381016.46262314834</v>
      </c>
      <c r="AG25" s="63">
        <f>+Oper!AG16</f>
        <v>408456.17658274976</v>
      </c>
      <c r="AH25" s="63">
        <f>+Oper!AH16</f>
        <v>437872.02012216265</v>
      </c>
      <c r="AI25" s="63">
        <f>+Oper!AI16</f>
        <v>469406.30843176972</v>
      </c>
      <c r="AJ25" s="63">
        <f>+Oper!AJ16</f>
        <v>503211.60583420709</v>
      </c>
      <c r="AK25" s="63">
        <f>+Oper!AK16</f>
        <v>539451.46389750403</v>
      </c>
      <c r="AL25" s="63">
        <f>+Oper!AL16</f>
        <v>578674.50285759126</v>
      </c>
      <c r="AM25" s="63">
        <f>+Oper!AM16</f>
        <v>620749.41429967957</v>
      </c>
      <c r="AN25" s="63">
        <f>+Oper!AN16</f>
        <v>665883.55535032612</v>
      </c>
      <c r="AO25" s="63">
        <f>+Oper!AO16</f>
        <v>714299.35988941567</v>
      </c>
      <c r="AP25" s="63">
        <f>+Oper!AP16</f>
        <v>766235.43476756511</v>
      </c>
      <c r="AQ25" s="63">
        <f>+Oper!AQ16</f>
        <v>815048.11516243534</v>
      </c>
      <c r="AR25" s="63">
        <f>+Oper!AR16</f>
        <v>866970.38519414421</v>
      </c>
      <c r="AS25" s="63">
        <f>+Oper!AS16</f>
        <v>922200.33985832217</v>
      </c>
      <c r="AT25" s="63">
        <f>+Oper!AT16</f>
        <v>980948.69370233372</v>
      </c>
      <c r="AU25" s="63">
        <f>+Oper!AU16</f>
        <v>1043439.5847480897</v>
      </c>
      <c r="AV25" s="63">
        <f>+Oper!AV16</f>
        <v>1107893.3127959436</v>
      </c>
      <c r="AW25" s="63">
        <f>+Oper!AW16</f>
        <v>1176328.376342268</v>
      </c>
      <c r="AX25" s="63">
        <f>+Oper!AX16</f>
        <v>1248990.7042546622</v>
      </c>
      <c r="AY25" s="63">
        <f>+Oper!AY16</f>
        <v>1326141.4165364497</v>
      </c>
      <c r="AZ25" s="63">
        <f>+Oper!AZ16</f>
        <v>1408057.7626899001</v>
      </c>
      <c r="BA25" s="63">
        <f>+Oper!BA16</f>
        <v>1496985.9829482075</v>
      </c>
      <c r="BB25" s="63">
        <f>+Oper!BB16</f>
        <v>1591530.6122543954</v>
      </c>
      <c r="BC25" s="63">
        <f>+Oper!BC16</f>
        <v>1692046.3642246984</v>
      </c>
      <c r="BD25" s="63">
        <f>+Oper!BD16</f>
        <v>1798910.355001319</v>
      </c>
      <c r="BE25" s="63">
        <f>+Oper!BE16</f>
        <v>1912523.5181210623</v>
      </c>
      <c r="BF25" s="63">
        <f>+Oper!BF16</f>
        <v>2058733.5943873224</v>
      </c>
      <c r="BG25" s="63">
        <f>+Oper!BG16</f>
        <v>2216121.2515822537</v>
      </c>
      <c r="BH25" s="63">
        <f>+Oper!BH16</f>
        <v>2385541.0020527993</v>
      </c>
      <c r="BI25" s="63">
        <f>+Oper!BI16</f>
        <v>2567912.6845663274</v>
      </c>
      <c r="BJ25" s="63">
        <f>+Oper!BJ16</f>
        <v>1870586.1239274591</v>
      </c>
      <c r="BK25" s="63">
        <f>+Oper!BK16</f>
        <v>0</v>
      </c>
      <c r="BL25" s="63">
        <f>+Oper!BL16</f>
        <v>0</v>
      </c>
      <c r="BM25" s="63">
        <f>+Oper!BM16</f>
        <v>0</v>
      </c>
      <c r="BN25" s="63">
        <f>+Oper!BN16</f>
        <v>0</v>
      </c>
      <c r="BO25" s="63">
        <f>+Oper!BO16</f>
        <v>0</v>
      </c>
      <c r="BP25" s="63">
        <f>+Oper!BP16</f>
        <v>0</v>
      </c>
      <c r="BQ25" s="63">
        <f>+Oper!BQ16</f>
        <v>0</v>
      </c>
      <c r="BR25" s="63">
        <f>+Oper!BR16</f>
        <v>0</v>
      </c>
      <c r="BS25" s="63">
        <f>+Oper!BS16</f>
        <v>0</v>
      </c>
      <c r="BT25" s="63">
        <f>+Oper!BT16</f>
        <v>0</v>
      </c>
      <c r="BU25" s="63">
        <f>+Oper!BU16</f>
        <v>0</v>
      </c>
      <c r="BV25" s="63">
        <f>+Oper!BV16</f>
        <v>0</v>
      </c>
      <c r="BW25" s="63">
        <f>+Oper!BW16</f>
        <v>0</v>
      </c>
      <c r="BX25" s="63">
        <f>+Oper!BX16</f>
        <v>0</v>
      </c>
      <c r="BY25" s="63">
        <f>+Oper!BY16</f>
        <v>0</v>
      </c>
      <c r="BZ25" s="63">
        <f>+Oper!BZ16</f>
        <v>0</v>
      </c>
      <c r="CA25" s="63">
        <f>+Oper!CA16</f>
        <v>0</v>
      </c>
      <c r="CB25" s="63">
        <f>+Oper!CB16</f>
        <v>0</v>
      </c>
      <c r="CC25" s="63">
        <f>+Oper!CC16</f>
        <v>0</v>
      </c>
      <c r="CD25" s="63">
        <f>+Oper!CD16</f>
        <v>0</v>
      </c>
      <c r="CE25" s="63">
        <f>+Oper!CE16</f>
        <v>0</v>
      </c>
      <c r="CF25" s="63">
        <f>+Oper!CF16</f>
        <v>0</v>
      </c>
      <c r="CG25" s="63">
        <f>+Oper!CG16</f>
        <v>0</v>
      </c>
      <c r="CH25" s="63">
        <f>+Oper!CH16</f>
        <v>0</v>
      </c>
      <c r="CI25" s="63">
        <f>+Oper!CI16</f>
        <v>0</v>
      </c>
      <c r="CJ25" s="63">
        <f>+Oper!CJ16</f>
        <v>0</v>
      </c>
      <c r="CK25" s="63">
        <f>+Oper!CK16</f>
        <v>0</v>
      </c>
      <c r="CL25" s="63">
        <f>+Oper!CL16</f>
        <v>0</v>
      </c>
      <c r="CM25" s="63">
        <f>+Oper!CM16</f>
        <v>0</v>
      </c>
      <c r="CN25" s="63">
        <f>+Oper!CN16</f>
        <v>0</v>
      </c>
      <c r="CO25" s="63">
        <f>+Oper!CO16</f>
        <v>0</v>
      </c>
      <c r="CP25" s="63">
        <f>+Oper!CP16</f>
        <v>0</v>
      </c>
      <c r="CQ25" s="63">
        <f>+Oper!CQ16</f>
        <v>0</v>
      </c>
      <c r="CR25" s="63">
        <f>+Oper!CR16</f>
        <v>0</v>
      </c>
      <c r="CS25" s="63">
        <f>+Oper!CS16</f>
        <v>0</v>
      </c>
      <c r="CT25" s="63">
        <f>+Oper!CT16</f>
        <v>0</v>
      </c>
      <c r="CU25" s="63">
        <f>+Oper!CU16</f>
        <v>0</v>
      </c>
      <c r="CV25" s="63">
        <f>+Oper!CV16</f>
        <v>0</v>
      </c>
      <c r="CW25" s="63">
        <f>+Oper!CW16</f>
        <v>0</v>
      </c>
      <c r="CX25" s="63">
        <f>+Oper!CX16</f>
        <v>0</v>
      </c>
      <c r="CY25" s="63">
        <f>+Oper!CY16</f>
        <v>0</v>
      </c>
      <c r="CZ25" s="63">
        <f>+Oper!CZ16</f>
        <v>0</v>
      </c>
      <c r="DA25" s="63">
        <f>+Oper!DA16</f>
        <v>0</v>
      </c>
      <c r="DB25" s="63">
        <f>+Oper!DB16</f>
        <v>0</v>
      </c>
      <c r="DC25" s="63">
        <f>+Oper!DC16</f>
        <v>0</v>
      </c>
      <c r="DD25" s="63">
        <f>+Oper!DD16</f>
        <v>0</v>
      </c>
      <c r="DE25" s="63">
        <f>+Oper!DE16</f>
        <v>0</v>
      </c>
      <c r="DF25" s="63">
        <f>+Oper!DF16</f>
        <v>0</v>
      </c>
      <c r="DG25" s="63">
        <f>+Oper!DG16</f>
        <v>0</v>
      </c>
      <c r="DH25" s="63">
        <f>+Oper!DH16</f>
        <v>0</v>
      </c>
      <c r="DI25" s="63">
        <f>+Oper!DI16</f>
        <v>0</v>
      </c>
      <c r="DJ25" s="63">
        <f>+Oper!DJ16</f>
        <v>0</v>
      </c>
      <c r="DK25" s="63">
        <f>+Oper!DK16</f>
        <v>0</v>
      </c>
      <c r="DL25" s="63">
        <f>+Oper!DL16</f>
        <v>0</v>
      </c>
      <c r="DM25" s="63">
        <f>+Oper!DM16</f>
        <v>0</v>
      </c>
      <c r="DN25" s="63">
        <f>+Oper!DN16</f>
        <v>0</v>
      </c>
      <c r="DO25" s="63">
        <f>+Oper!DO16</f>
        <v>0</v>
      </c>
      <c r="DP25" s="63">
        <f>+Oper!DP16</f>
        <v>0</v>
      </c>
      <c r="DQ25" s="16"/>
    </row>
    <row r="26" spans="1:125" x14ac:dyDescent="0.2">
      <c r="A26" s="61"/>
      <c r="B26" s="61"/>
      <c r="C26" s="61" t="s">
        <v>18</v>
      </c>
      <c r="D26" s="61"/>
      <c r="E26" s="61"/>
      <c r="F26" s="61"/>
      <c r="G26" s="61"/>
      <c r="H26" s="61"/>
      <c r="I26" s="61"/>
      <c r="J26" s="61"/>
      <c r="K26" s="636" t="s">
        <v>63</v>
      </c>
      <c r="L26" s="63"/>
      <c r="M26" s="63"/>
      <c r="N26" s="63">
        <f t="shared" si="63"/>
        <v>-1030323.1768835471</v>
      </c>
      <c r="O26" s="39"/>
      <c r="P26" s="61"/>
      <c r="Q26" s="126"/>
      <c r="R26" s="63"/>
      <c r="S26" s="63">
        <f>Oper!S17</f>
        <v>-2499.9999999999964</v>
      </c>
      <c r="T26" s="63">
        <f>Oper!T17</f>
        <v>-2277.8988766992275</v>
      </c>
      <c r="U26" s="63">
        <f>Oper!U17</f>
        <v>-2075.5293169870438</v>
      </c>
      <c r="V26" s="63">
        <f>Oper!V17</f>
        <v>-1891.1383598884436</v>
      </c>
      <c r="W26" s="63">
        <f>Oper!W17</f>
        <v>-1986.6937647688851</v>
      </c>
      <c r="X26" s="63">
        <f>Oper!X17</f>
        <v>-2087.0773914206857</v>
      </c>
      <c r="Y26" s="63">
        <f>Oper!Y17</f>
        <v>-2192.5332001462748</v>
      </c>
      <c r="Z26" s="63">
        <f>Oper!Z17</f>
        <v>-2303.3174780698355</v>
      </c>
      <c r="AA26" s="63">
        <f>Oper!AA17</f>
        <v>-2419.6994619867296</v>
      </c>
      <c r="AB26" s="63">
        <f>Oper!AB17</f>
        <v>-2534.0541314604457</v>
      </c>
      <c r="AC26" s="63">
        <f>Oper!AC17</f>
        <v>-2653.8131871547976</v>
      </c>
      <c r="AD26" s="63">
        <f>Oper!AD17</f>
        <v>-2779.2320396319978</v>
      </c>
      <c r="AE26" s="63">
        <f>Oper!AE17</f>
        <v>-2910.5781701229016</v>
      </c>
      <c r="AF26" s="63">
        <f>Oper!AF17</f>
        <v>-3048.1317009851755</v>
      </c>
      <c r="AG26" s="63">
        <f>Oper!AG17</f>
        <v>-4181.4704234191167</v>
      </c>
      <c r="AH26" s="63">
        <f>Oper!AH17</f>
        <v>-5736.2006032343297</v>
      </c>
      <c r="AI26" s="63">
        <f>Oper!AI17</f>
        <v>-7869.0015780718713</v>
      </c>
      <c r="AJ26" s="63">
        <f>Oper!AJ17</f>
        <v>-10794.808291882895</v>
      </c>
      <c r="AK26" s="63">
        <f>Oper!AK17</f>
        <v>-14808.471557970681</v>
      </c>
      <c r="AL26" s="63">
        <f>Oper!AL17</f>
        <v>-15885.182431384857</v>
      </c>
      <c r="AM26" s="63">
        <f>Oper!AM17</f>
        <v>-17040.180000383381</v>
      </c>
      <c r="AN26" s="63">
        <f>Oper!AN17</f>
        <v>-18279.15642138154</v>
      </c>
      <c r="AO26" s="63">
        <f>Oper!AO17</f>
        <v>-19608.21772245461</v>
      </c>
      <c r="AP26" s="63">
        <f>Oper!AP17</f>
        <v>-21033.913895580296</v>
      </c>
      <c r="AQ26" s="63">
        <f>Oper!AQ17</f>
        <v>-22373.869827988488</v>
      </c>
      <c r="AR26" s="63">
        <f>Oper!AR17</f>
        <v>-23799.187044545186</v>
      </c>
      <c r="AS26" s="63">
        <f>Oper!AS17</f>
        <v>-25315.303447091228</v>
      </c>
      <c r="AT26" s="63">
        <f>Oper!AT17</f>
        <v>-26928.00335653466</v>
      </c>
      <c r="AU26" s="63">
        <f>Oper!AU17</f>
        <v>-28643.439581320119</v>
      </c>
      <c r="AV26" s="63">
        <f>Oper!AV17</f>
        <v>-30412.757606163163</v>
      </c>
      <c r="AW26" s="63">
        <f>Oper!AW17</f>
        <v>-32291.36719370932</v>
      </c>
      <c r="AX26" s="63">
        <f>Oper!AX17</f>
        <v>-34286.019332480915</v>
      </c>
      <c r="AY26" s="63">
        <f>Oper!AY17</f>
        <v>-36403.882022569196</v>
      </c>
      <c r="AZ26" s="63">
        <f>Oper!AZ17</f>
        <v>-38652.566034624673</v>
      </c>
      <c r="BA26" s="63">
        <f>Oper!BA17</f>
        <v>-41093.732865244885</v>
      </c>
      <c r="BB26" s="63">
        <f>Oper!BB17</f>
        <v>-43689.075630512794</v>
      </c>
      <c r="BC26" s="63">
        <f>Oper!BC17</f>
        <v>-46448.331566952489</v>
      </c>
      <c r="BD26" s="63">
        <f>Oper!BD17</f>
        <v>-49381.852882389132</v>
      </c>
      <c r="BE26" s="63">
        <f>Oper!BE17</f>
        <v>-52500.645595480142</v>
      </c>
      <c r="BF26" s="63">
        <f>Oper!BF17</f>
        <v>-56514.255532200972</v>
      </c>
      <c r="BG26" s="63">
        <f>Oper!BG17</f>
        <v>-60834.701023826499</v>
      </c>
      <c r="BH26" s="63">
        <f>Oper!BH17</f>
        <v>-65485.439272037511</v>
      </c>
      <c r="BI26" s="63">
        <f>Oper!BI17</f>
        <v>-70491.720752800975</v>
      </c>
      <c r="BJ26" s="63">
        <f>Oper!BJ17</f>
        <v>-75880.726309988822</v>
      </c>
      <c r="BK26" s="63">
        <f>Oper!BK17</f>
        <v>0</v>
      </c>
      <c r="BL26" s="63">
        <f>Oper!BL17</f>
        <v>0</v>
      </c>
      <c r="BM26" s="63">
        <f>Oper!BM17</f>
        <v>0</v>
      </c>
      <c r="BN26" s="63">
        <f>Oper!BN17</f>
        <v>0</v>
      </c>
      <c r="BO26" s="63">
        <f>Oper!BO17</f>
        <v>0</v>
      </c>
      <c r="BP26" s="63">
        <f>Oper!BP17</f>
        <v>0</v>
      </c>
      <c r="BQ26" s="63">
        <f>Oper!BQ17</f>
        <v>0</v>
      </c>
      <c r="BR26" s="63">
        <f>Oper!BR17</f>
        <v>0</v>
      </c>
      <c r="BS26" s="63">
        <f>Oper!BS17</f>
        <v>0</v>
      </c>
      <c r="BT26" s="63">
        <f>Oper!BT17</f>
        <v>0</v>
      </c>
      <c r="BU26" s="63">
        <f>Oper!BU17</f>
        <v>0</v>
      </c>
      <c r="BV26" s="63">
        <f>Oper!BV17</f>
        <v>0</v>
      </c>
      <c r="BW26" s="63">
        <f>Oper!BW17</f>
        <v>0</v>
      </c>
      <c r="BX26" s="63">
        <f>Oper!BX17</f>
        <v>0</v>
      </c>
      <c r="BY26" s="63">
        <f>Oper!BY17</f>
        <v>0</v>
      </c>
      <c r="BZ26" s="63">
        <f>Oper!BZ17</f>
        <v>0</v>
      </c>
      <c r="CA26" s="63">
        <f>Oper!CA17</f>
        <v>0</v>
      </c>
      <c r="CB26" s="63">
        <f>Oper!CB17</f>
        <v>0</v>
      </c>
      <c r="CC26" s="63">
        <f>Oper!CC17</f>
        <v>0</v>
      </c>
      <c r="CD26" s="63">
        <f>Oper!CD17</f>
        <v>0</v>
      </c>
      <c r="CE26" s="63">
        <f>Oper!CE17</f>
        <v>0</v>
      </c>
      <c r="CF26" s="63">
        <f>Oper!CF17</f>
        <v>0</v>
      </c>
      <c r="CG26" s="63">
        <f>Oper!CG17</f>
        <v>0</v>
      </c>
      <c r="CH26" s="63">
        <f>Oper!CH17</f>
        <v>0</v>
      </c>
      <c r="CI26" s="63">
        <f>Oper!CI17</f>
        <v>0</v>
      </c>
      <c r="CJ26" s="63">
        <f>Oper!CJ17</f>
        <v>0</v>
      </c>
      <c r="CK26" s="63">
        <f>Oper!CK17</f>
        <v>0</v>
      </c>
      <c r="CL26" s="63">
        <f>Oper!CL17</f>
        <v>0</v>
      </c>
      <c r="CM26" s="63">
        <f>Oper!CM17</f>
        <v>0</v>
      </c>
      <c r="CN26" s="63">
        <f>Oper!CN17</f>
        <v>0</v>
      </c>
      <c r="CO26" s="63">
        <f>Oper!CO17</f>
        <v>0</v>
      </c>
      <c r="CP26" s="63">
        <f>Oper!CP17</f>
        <v>0</v>
      </c>
      <c r="CQ26" s="63">
        <f>Oper!CQ17</f>
        <v>0</v>
      </c>
      <c r="CR26" s="63">
        <f>Oper!CR17</f>
        <v>0</v>
      </c>
      <c r="CS26" s="63">
        <f>Oper!CS17</f>
        <v>0</v>
      </c>
      <c r="CT26" s="63">
        <f>Oper!CT17</f>
        <v>0</v>
      </c>
      <c r="CU26" s="63">
        <f>Oper!CU17</f>
        <v>0</v>
      </c>
      <c r="CV26" s="63">
        <f>Oper!CV17</f>
        <v>0</v>
      </c>
      <c r="CW26" s="63">
        <f>Oper!CW17</f>
        <v>0</v>
      </c>
      <c r="CX26" s="63">
        <f>Oper!CX17</f>
        <v>0</v>
      </c>
      <c r="CY26" s="63">
        <f>Oper!CY17</f>
        <v>0</v>
      </c>
      <c r="CZ26" s="63">
        <f>Oper!CZ17</f>
        <v>0</v>
      </c>
      <c r="DA26" s="63">
        <f>Oper!DA17</f>
        <v>0</v>
      </c>
      <c r="DB26" s="63">
        <f>Oper!DB17</f>
        <v>0</v>
      </c>
      <c r="DC26" s="63">
        <f>Oper!DC17</f>
        <v>0</v>
      </c>
      <c r="DD26" s="63">
        <f>Oper!DD17</f>
        <v>0</v>
      </c>
      <c r="DE26" s="63">
        <f>Oper!DE17</f>
        <v>0</v>
      </c>
      <c r="DF26" s="63">
        <f>Oper!DF17</f>
        <v>0</v>
      </c>
      <c r="DG26" s="63">
        <f>Oper!DG17</f>
        <v>0</v>
      </c>
      <c r="DH26" s="63">
        <f>Oper!DH17</f>
        <v>0</v>
      </c>
      <c r="DI26" s="63">
        <f>Oper!DI17</f>
        <v>0</v>
      </c>
      <c r="DJ26" s="63">
        <f>Oper!DJ17</f>
        <v>0</v>
      </c>
      <c r="DK26" s="63">
        <f>Oper!DK17</f>
        <v>0</v>
      </c>
      <c r="DL26" s="63">
        <f>Oper!DL17</f>
        <v>0</v>
      </c>
      <c r="DM26" s="63">
        <f>Oper!DM17</f>
        <v>0</v>
      </c>
      <c r="DN26" s="63">
        <f>Oper!DN17</f>
        <v>0</v>
      </c>
      <c r="DO26" s="63">
        <f>Oper!DO17</f>
        <v>0</v>
      </c>
      <c r="DP26" s="63">
        <f>Oper!DP17</f>
        <v>0</v>
      </c>
      <c r="DQ26" s="63"/>
    </row>
    <row r="27" spans="1:125" x14ac:dyDescent="0.2">
      <c r="C27" s="61" t="s">
        <v>65</v>
      </c>
      <c r="K27" s="144" t="s">
        <v>63</v>
      </c>
      <c r="L27" s="63"/>
      <c r="M27" s="63"/>
      <c r="N27" s="63">
        <f t="shared" si="63"/>
        <v>-2912934.1994395768</v>
      </c>
      <c r="O27" s="39"/>
      <c r="P27" s="61"/>
      <c r="Q27" s="63"/>
      <c r="R27" s="63"/>
      <c r="S27" s="63">
        <f>-Oper!S18</f>
        <v>-20866.926728617222</v>
      </c>
      <c r="T27" s="63">
        <f>-Oper!T18</f>
        <v>-22075.289012235549</v>
      </c>
      <c r="U27" s="63">
        <f>-Oper!U18</f>
        <v>-23353.625155802732</v>
      </c>
      <c r="V27" s="63">
        <f>-Oper!V18</f>
        <v>-24705.987206575235</v>
      </c>
      <c r="W27" s="63">
        <f>-Oper!W18</f>
        <v>-25771.393741783409</v>
      </c>
      <c r="X27" s="63">
        <f>-Oper!X18</f>
        <v>-26882.74424497689</v>
      </c>
      <c r="Y27" s="63">
        <f>-Oper!Y18</f>
        <v>-28042.019976946256</v>
      </c>
      <c r="Z27" s="63">
        <f>-Oper!Z18</f>
        <v>-29251.287637213056</v>
      </c>
      <c r="AA27" s="63">
        <f>-Oper!AA18</f>
        <v>-30512.70304843966</v>
      </c>
      <c r="AB27" s="63">
        <f>-Oper!AB18</f>
        <v>-32043.527968003862</v>
      </c>
      <c r="AC27" s="63">
        <f>-Oper!AC18</f>
        <v>-33651.154504607315</v>
      </c>
      <c r="AD27" s="63">
        <f>-Oper!AD18</f>
        <v>-35339.435801940366</v>
      </c>
      <c r="AE27" s="63">
        <f>-Oper!AE18</f>
        <v>-37112.418316241608</v>
      </c>
      <c r="AF27" s="63">
        <f>-Oper!AF18</f>
        <v>-38974.351514804897</v>
      </c>
      <c r="AG27" s="63">
        <f>-Oper!AG18</f>
        <v>-40740.934330237193</v>
      </c>
      <c r="AH27" s="63">
        <f>-Oper!AH18</f>
        <v>-42587.590699750173</v>
      </c>
      <c r="AI27" s="63">
        <f>-Oper!AI18</f>
        <v>-44517.950101683113</v>
      </c>
      <c r="AJ27" s="63">
        <f>-Oper!AJ18</f>
        <v>-46535.806527030727</v>
      </c>
      <c r="AK27" s="63">
        <f>-Oper!AK18</f>
        <v>-48645.125936276221</v>
      </c>
      <c r="AL27" s="63">
        <f>-Oper!AL18</f>
        <v>-51064.989406204753</v>
      </c>
      <c r="AM27" s="63">
        <f>-Oper!AM18</f>
        <v>-53605.229565480651</v>
      </c>
      <c r="AN27" s="63">
        <f>-Oper!AN18</f>
        <v>-56271.834581419265</v>
      </c>
      <c r="AO27" s="63">
        <f>-Oper!AO18</f>
        <v>-59071.090504156869</v>
      </c>
      <c r="AP27" s="63">
        <f>-Oper!AP18</f>
        <v>-62009.596084903082</v>
      </c>
      <c r="AQ27" s="63">
        <f>-Oper!AQ18</f>
        <v>-64710.374384743314</v>
      </c>
      <c r="AR27" s="63">
        <f>-Oper!AR18</f>
        <v>-67528.782920634447</v>
      </c>
      <c r="AS27" s="63">
        <f>-Oper!AS18</f>
        <v>-70469.944983308698</v>
      </c>
      <c r="AT27" s="63">
        <f>-Oper!AT18</f>
        <v>-73539.207004323398</v>
      </c>
      <c r="AU27" s="63">
        <f>-Oper!AU18</f>
        <v>-76742.148274780877</v>
      </c>
      <c r="AV27" s="63">
        <f>-Oper!AV18</f>
        <v>-80199.822342142434</v>
      </c>
      <c r="AW27" s="63">
        <f>-Oper!AW18</f>
        <v>-83813.284463720251</v>
      </c>
      <c r="AX27" s="63">
        <f>-Oper!AX18</f>
        <v>-87589.553785149139</v>
      </c>
      <c r="AY27" s="63">
        <f>-Oper!AY18</f>
        <v>-91535.96570484525</v>
      </c>
      <c r="AZ27" s="63">
        <f>-Oper!AZ18</f>
        <v>-95660.186123008156</v>
      </c>
      <c r="BA27" s="63">
        <f>-Oper!BA18</f>
        <v>-100061.91967675925</v>
      </c>
      <c r="BB27" s="63">
        <f>-Oper!BB18</f>
        <v>-104666.19578309647</v>
      </c>
      <c r="BC27" s="63">
        <f>-Oper!BC18</f>
        <v>-109482.33428955424</v>
      </c>
      <c r="BD27" s="63">
        <f>-Oper!BD18</f>
        <v>-114520.08388964013</v>
      </c>
      <c r="BE27" s="63">
        <f>-Oper!BE18</f>
        <v>-119789.64185586889</v>
      </c>
      <c r="BF27" s="63">
        <f>-Oper!BF18</f>
        <v>-126656.21517427311</v>
      </c>
      <c r="BG27" s="63">
        <f>-Oper!BG18</f>
        <v>-133916.39371936084</v>
      </c>
      <c r="BH27" s="63">
        <f>-Oper!BH18</f>
        <v>-141592.73970190145</v>
      </c>
      <c r="BI27" s="63">
        <f>-Oper!BI18</f>
        <v>-149709.10864210289</v>
      </c>
      <c r="BJ27" s="63">
        <f>-Oper!BJ18</f>
        <v>-107117.28412503307</v>
      </c>
      <c r="BK27" s="63">
        <f>-Oper!BK18</f>
        <v>0</v>
      </c>
      <c r="BL27" s="63">
        <f>-Oper!BL18</f>
        <v>0</v>
      </c>
      <c r="BM27" s="63">
        <f>-Oper!BM18</f>
        <v>0</v>
      </c>
      <c r="BN27" s="63">
        <f>-Oper!BN18</f>
        <v>0</v>
      </c>
      <c r="BO27" s="63">
        <f>-Oper!BO18</f>
        <v>0</v>
      </c>
      <c r="BP27" s="63">
        <f>-Oper!BP18</f>
        <v>0</v>
      </c>
      <c r="BQ27" s="63">
        <f>-Oper!BQ18</f>
        <v>0</v>
      </c>
      <c r="BR27" s="63">
        <f>-Oper!BR18</f>
        <v>0</v>
      </c>
      <c r="BS27" s="63">
        <f>-Oper!BS18</f>
        <v>0</v>
      </c>
      <c r="BT27" s="63">
        <f>-Oper!BT18</f>
        <v>0</v>
      </c>
      <c r="BU27" s="63">
        <f>-Oper!BU18</f>
        <v>0</v>
      </c>
      <c r="BV27" s="63">
        <f>-Oper!BV18</f>
        <v>0</v>
      </c>
      <c r="BW27" s="63">
        <f>-Oper!BW18</f>
        <v>0</v>
      </c>
      <c r="BX27" s="63">
        <f>-Oper!BX18</f>
        <v>0</v>
      </c>
      <c r="BY27" s="63">
        <f>-Oper!BY18</f>
        <v>0</v>
      </c>
      <c r="BZ27" s="63">
        <f>-Oper!BZ18</f>
        <v>0</v>
      </c>
      <c r="CA27" s="63">
        <f>-Oper!CA18</f>
        <v>0</v>
      </c>
      <c r="CB27" s="63">
        <f>-Oper!CB18</f>
        <v>0</v>
      </c>
      <c r="CC27" s="63">
        <f>-Oper!CC18</f>
        <v>0</v>
      </c>
      <c r="CD27" s="63">
        <f>-Oper!CD18</f>
        <v>0</v>
      </c>
      <c r="CE27" s="63">
        <f>-Oper!CE18</f>
        <v>0</v>
      </c>
      <c r="CF27" s="63">
        <f>-Oper!CF18</f>
        <v>0</v>
      </c>
      <c r="CG27" s="63">
        <f>-Oper!CG18</f>
        <v>0</v>
      </c>
      <c r="CH27" s="63">
        <f>-Oper!CH18</f>
        <v>0</v>
      </c>
      <c r="CI27" s="63">
        <f>-Oper!CI18</f>
        <v>0</v>
      </c>
      <c r="CJ27" s="63">
        <f>-Oper!CJ18</f>
        <v>0</v>
      </c>
      <c r="CK27" s="63">
        <f>-Oper!CK18</f>
        <v>0</v>
      </c>
      <c r="CL27" s="63">
        <f>-Oper!CL18</f>
        <v>0</v>
      </c>
      <c r="CM27" s="63">
        <f>-Oper!CM18</f>
        <v>0</v>
      </c>
      <c r="CN27" s="63">
        <f>-Oper!CN18</f>
        <v>0</v>
      </c>
      <c r="CO27" s="63">
        <f>-Oper!CO18</f>
        <v>0</v>
      </c>
      <c r="CP27" s="63">
        <f>-Oper!CP18</f>
        <v>0</v>
      </c>
      <c r="CQ27" s="63">
        <f>-Oper!CQ18</f>
        <v>0</v>
      </c>
      <c r="CR27" s="63">
        <f>-Oper!CR18</f>
        <v>0</v>
      </c>
      <c r="CS27" s="63">
        <f>-Oper!CS18</f>
        <v>0</v>
      </c>
      <c r="CT27" s="63">
        <f>-Oper!CT18</f>
        <v>0</v>
      </c>
      <c r="CU27" s="63">
        <f>-Oper!CU18</f>
        <v>0</v>
      </c>
      <c r="CV27" s="63">
        <f>-Oper!CV18</f>
        <v>0</v>
      </c>
      <c r="CW27" s="63">
        <f>-Oper!CW18</f>
        <v>0</v>
      </c>
      <c r="CX27" s="63">
        <f>-Oper!CX18</f>
        <v>0</v>
      </c>
      <c r="CY27" s="63">
        <f>-Oper!CY18</f>
        <v>0</v>
      </c>
      <c r="CZ27" s="63">
        <f>-Oper!CZ18</f>
        <v>0</v>
      </c>
      <c r="DA27" s="63">
        <f>-Oper!DA18</f>
        <v>0</v>
      </c>
      <c r="DB27" s="63">
        <f>-Oper!DB18</f>
        <v>0</v>
      </c>
      <c r="DC27" s="63">
        <f>-Oper!DC18</f>
        <v>0</v>
      </c>
      <c r="DD27" s="63">
        <f>-Oper!DD18</f>
        <v>0</v>
      </c>
      <c r="DE27" s="63">
        <f>-Oper!DE18</f>
        <v>0</v>
      </c>
      <c r="DF27" s="63">
        <f>-Oper!DF18</f>
        <v>0</v>
      </c>
      <c r="DG27" s="63">
        <f>-Oper!DG18</f>
        <v>0</v>
      </c>
      <c r="DH27" s="63">
        <f>-Oper!DH18</f>
        <v>0</v>
      </c>
      <c r="DI27" s="63">
        <f>-Oper!DI18</f>
        <v>0</v>
      </c>
      <c r="DJ27" s="63">
        <f>-Oper!DJ18</f>
        <v>0</v>
      </c>
      <c r="DK27" s="63">
        <f>-Oper!DK18</f>
        <v>0</v>
      </c>
      <c r="DL27" s="63">
        <f>-Oper!DL18</f>
        <v>0</v>
      </c>
      <c r="DM27" s="63">
        <f>-Oper!DM18</f>
        <v>0</v>
      </c>
      <c r="DN27" s="63">
        <f>-Oper!DN18</f>
        <v>0</v>
      </c>
      <c r="DO27" s="63">
        <f>-Oper!DO18</f>
        <v>0</v>
      </c>
      <c r="DP27" s="63">
        <f>-Oper!DP18</f>
        <v>0</v>
      </c>
      <c r="DQ27" s="16"/>
    </row>
    <row r="28" spans="1:125" x14ac:dyDescent="0.2">
      <c r="C28" s="61" t="s">
        <v>66</v>
      </c>
      <c r="K28" s="144" t="s">
        <v>63</v>
      </c>
      <c r="L28" s="63"/>
      <c r="M28" s="63"/>
      <c r="N28" s="63">
        <f t="shared" si="63"/>
        <v>-692329.72836553829</v>
      </c>
      <c r="O28" s="39"/>
      <c r="P28" s="61"/>
      <c r="Q28" s="126"/>
      <c r="R28" s="63"/>
      <c r="S28" s="63">
        <f>-Oper!S19-Oper!S20</f>
        <v>-7726.0040000000026</v>
      </c>
      <c r="T28" s="63">
        <f>-Oper!T19-Oper!T20</f>
        <v>-4923.1641749466244</v>
      </c>
      <c r="U28" s="63">
        <f>-Oper!U19-Oper!U20</f>
        <v>-3516.2529273851965</v>
      </c>
      <c r="V28" s="63">
        <f>-Oper!V19-Oper!V20</f>
        <v>-2511.4000285149973</v>
      </c>
      <c r="W28" s="63">
        <f>-Oper!W19-Oper!W20</f>
        <v>-3207.5042996959728</v>
      </c>
      <c r="X28" s="63">
        <f>-Oper!X19-Oper!X20</f>
        <v>-4096.5532036931381</v>
      </c>
      <c r="Y28" s="63">
        <f>-Oper!Y19-Oper!Y20</f>
        <v>-5232.0267044627799</v>
      </c>
      <c r="Z28" s="63">
        <f>-Oper!Z19-Oper!Z20</f>
        <v>-6682.2282233593996</v>
      </c>
      <c r="AA28" s="63">
        <f>-Oper!AA19-Oper!AA20</f>
        <v>-8534.3933720700988</v>
      </c>
      <c r="AB28" s="63">
        <f>-Oper!AB19-Oper!AB20</f>
        <v>-7834.4943124637866</v>
      </c>
      <c r="AC28" s="63">
        <f>-Oper!AC19-Oper!AC20</f>
        <v>-7191.9934383267437</v>
      </c>
      <c r="AD28" s="63">
        <f>-Oper!AD19-Oper!AD20</f>
        <v>-6602.1835684591333</v>
      </c>
      <c r="AE28" s="63">
        <f>-Oper!AE19-Oper!AE20</f>
        <v>-6060.7435539836861</v>
      </c>
      <c r="AF28" s="63">
        <f>-Oper!AF19-Oper!AF20</f>
        <v>-5563.7066201307889</v>
      </c>
      <c r="AG28" s="63">
        <f>-Oper!AG19-Oper!AG20</f>
        <v>-7543.7883632894109</v>
      </c>
      <c r="AH28" s="63">
        <f>-Oper!AH19-Oper!AH20</f>
        <v>-10228.566449602433</v>
      </c>
      <c r="AI28" s="63">
        <f>-Oper!AI19-Oper!AI20</f>
        <v>-13868.837058455365</v>
      </c>
      <c r="AJ28" s="63">
        <f>-Oper!AJ19-Oper!AJ20</f>
        <v>-18804.652861346072</v>
      </c>
      <c r="AK28" s="63">
        <f>-Oper!AK19-Oper!AK20</f>
        <v>-25497.088742573676</v>
      </c>
      <c r="AL28" s="63">
        <f>-Oper!AL19-Oper!AL20</f>
        <v>-17257.519856207484</v>
      </c>
      <c r="AM28" s="63">
        <f>-Oper!AM19-Oper!AM20</f>
        <v>-11680.62732942951</v>
      </c>
      <c r="AN28" s="63">
        <f>-Oper!AN19-Oper!AN20</f>
        <v>-7905.9480125667942</v>
      </c>
      <c r="AO28" s="63">
        <f>-Oper!AO19-Oper!AO20</f>
        <v>-5351.0836545507345</v>
      </c>
      <c r="AP28" s="63">
        <f>-Oper!AP19-Oper!AP20</f>
        <v>-3621.8422170858075</v>
      </c>
      <c r="AQ28" s="63">
        <f>-Oper!AQ19-Oper!AQ20</f>
        <v>-5031.5595961266754</v>
      </c>
      <c r="AR28" s="63">
        <f>-Oper!AR19-Oper!AR20</f>
        <v>-6989.9764959238264</v>
      </c>
      <c r="AS28" s="63">
        <f>-Oper!AS19-Oper!AS20</f>
        <v>-9710.6613725056704</v>
      </c>
      <c r="AT28" s="63">
        <f>-Oper!AT19-Oper!AT20</f>
        <v>-13490.309208687973</v>
      </c>
      <c r="AU28" s="63">
        <f>-Oper!AU19-Oper!AU20</f>
        <v>-18741.096570547237</v>
      </c>
      <c r="AV28" s="63">
        <f>-Oper!AV19-Oper!AV20</f>
        <v>-18421.350964280813</v>
      </c>
      <c r="AW28" s="63">
        <f>-Oper!AW19-Oper!AW20</f>
        <v>-18107.060601913374</v>
      </c>
      <c r="AX28" s="63">
        <f>-Oper!AX19-Oper!AX20</f>
        <v>-17798.132410434951</v>
      </c>
      <c r="AY28" s="63">
        <f>-Oper!AY19-Oper!AY20</f>
        <v>-17494.474904772869</v>
      </c>
      <c r="AZ28" s="63">
        <f>-Oper!AZ19-Oper!AZ20</f>
        <v>-17195.998160699615</v>
      </c>
      <c r="BA28" s="63">
        <f>-Oper!BA19-Oper!BA20</f>
        <v>-19251.269063199168</v>
      </c>
      <c r="BB28" s="63">
        <f>-Oper!BB19-Oper!BB20</f>
        <v>-21552.186565749842</v>
      </c>
      <c r="BC28" s="63">
        <f>-Oper!BC19-Oper!BC20</f>
        <v>-24128.110424305614</v>
      </c>
      <c r="BD28" s="63">
        <f>-Oper!BD19-Oper!BD20</f>
        <v>-27011.909481734325</v>
      </c>
      <c r="BE28" s="63">
        <f>-Oper!BE19-Oper!BE20</f>
        <v>-30240.38107494725</v>
      </c>
      <c r="BF28" s="63">
        <f>-Oper!BF19-Oper!BF20</f>
        <v>-34373.648331668155</v>
      </c>
      <c r="BG28" s="63">
        <f>-Oper!BG19-Oper!BG20</f>
        <v>-39071.852193292965</v>
      </c>
      <c r="BH28" s="63">
        <f>-Oper!BH19-Oper!BH20</f>
        <v>-44412.208418623974</v>
      </c>
      <c r="BI28" s="63">
        <f>-Oper!BI19-Oper!BI20</f>
        <v>-50482.486646944315</v>
      </c>
      <c r="BJ28" s="63">
        <f>-Oper!BJ19-Oper!BJ20</f>
        <v>-57382.452906580089</v>
      </c>
      <c r="BK28" s="63">
        <f>-Oper!BK19-Oper!BK20</f>
        <v>0</v>
      </c>
      <c r="BL28" s="63">
        <f>-Oper!BL19-Oper!BL20</f>
        <v>0</v>
      </c>
      <c r="BM28" s="63">
        <f>-Oper!BM19-Oper!BM20</f>
        <v>0</v>
      </c>
      <c r="BN28" s="63">
        <f>-Oper!BN19-Oper!BN20</f>
        <v>0</v>
      </c>
      <c r="BO28" s="63">
        <f>-Oper!BO19-Oper!BO20</f>
        <v>0</v>
      </c>
      <c r="BP28" s="63">
        <f>-Oper!BP19-Oper!BP20</f>
        <v>0</v>
      </c>
      <c r="BQ28" s="63">
        <f>-Oper!BQ19-Oper!BQ20</f>
        <v>0</v>
      </c>
      <c r="BR28" s="63">
        <f>-Oper!BR19-Oper!BR20</f>
        <v>0</v>
      </c>
      <c r="BS28" s="63">
        <f>-Oper!BS19-Oper!BS20</f>
        <v>0</v>
      </c>
      <c r="BT28" s="63">
        <f>-Oper!BT19-Oper!BT20</f>
        <v>0</v>
      </c>
      <c r="BU28" s="63">
        <f>-Oper!BU19-Oper!BU20</f>
        <v>0</v>
      </c>
      <c r="BV28" s="63">
        <f>-Oper!BV19-Oper!BV20</f>
        <v>0</v>
      </c>
      <c r="BW28" s="63">
        <f>-Oper!BW19-Oper!BW20</f>
        <v>0</v>
      </c>
      <c r="BX28" s="63">
        <f>-Oper!BX19-Oper!BX20</f>
        <v>0</v>
      </c>
      <c r="BY28" s="63">
        <f>-Oper!BY19-Oper!BY20</f>
        <v>0</v>
      </c>
      <c r="BZ28" s="63">
        <f>-Oper!BZ19-Oper!BZ20</f>
        <v>0</v>
      </c>
      <c r="CA28" s="63">
        <f>-Oper!CA19-Oper!CA20</f>
        <v>0</v>
      </c>
      <c r="CB28" s="63">
        <f>-Oper!CB19-Oper!CB20</f>
        <v>0</v>
      </c>
      <c r="CC28" s="63">
        <f>-Oper!CC19-Oper!CC20</f>
        <v>0</v>
      </c>
      <c r="CD28" s="63">
        <f>-Oper!CD19-Oper!CD20</f>
        <v>0</v>
      </c>
      <c r="CE28" s="63">
        <f>-Oper!CE19-Oper!CE20</f>
        <v>0</v>
      </c>
      <c r="CF28" s="63">
        <f>-Oper!CF19-Oper!CF20</f>
        <v>0</v>
      </c>
      <c r="CG28" s="63">
        <f>-Oper!CG19-Oper!CG20</f>
        <v>0</v>
      </c>
      <c r="CH28" s="63">
        <f>-Oper!CH19-Oper!CH20</f>
        <v>0</v>
      </c>
      <c r="CI28" s="63">
        <f>-Oper!CI19-Oper!CI20</f>
        <v>0</v>
      </c>
      <c r="CJ28" s="63">
        <f>-Oper!CJ19-Oper!CJ20</f>
        <v>0</v>
      </c>
      <c r="CK28" s="63">
        <f>-Oper!CK19-Oper!CK20</f>
        <v>0</v>
      </c>
      <c r="CL28" s="63">
        <f>-Oper!CL19-Oper!CL20</f>
        <v>0</v>
      </c>
      <c r="CM28" s="63">
        <f>-Oper!CM19-Oper!CM20</f>
        <v>0</v>
      </c>
      <c r="CN28" s="63">
        <f>-Oper!CN19-Oper!CN20</f>
        <v>0</v>
      </c>
      <c r="CO28" s="63">
        <f>-Oper!CO19-Oper!CO20</f>
        <v>0</v>
      </c>
      <c r="CP28" s="63">
        <f>-Oper!CP19-Oper!CP20</f>
        <v>0</v>
      </c>
      <c r="CQ28" s="63">
        <f>-Oper!CQ19-Oper!CQ20</f>
        <v>0</v>
      </c>
      <c r="CR28" s="63">
        <f>-Oper!CR19-Oper!CR20</f>
        <v>0</v>
      </c>
      <c r="CS28" s="63">
        <f>-Oper!CS19-Oper!CS20</f>
        <v>0</v>
      </c>
      <c r="CT28" s="63">
        <f>-Oper!CT19-Oper!CT20</f>
        <v>0</v>
      </c>
      <c r="CU28" s="63">
        <f>-Oper!CU19-Oper!CU20</f>
        <v>0</v>
      </c>
      <c r="CV28" s="63">
        <f>-Oper!CV19-Oper!CV20</f>
        <v>0</v>
      </c>
      <c r="CW28" s="63">
        <f>-Oper!CW19-Oper!CW20</f>
        <v>0</v>
      </c>
      <c r="CX28" s="63">
        <f>-Oper!CX19-Oper!CX20</f>
        <v>0</v>
      </c>
      <c r="CY28" s="63">
        <f>-Oper!CY19-Oper!CY20</f>
        <v>0</v>
      </c>
      <c r="CZ28" s="63">
        <f>-Oper!CZ19-Oper!CZ20</f>
        <v>0</v>
      </c>
      <c r="DA28" s="63">
        <f>-Oper!DA19-Oper!DA20</f>
        <v>0</v>
      </c>
      <c r="DB28" s="63">
        <f>-Oper!DB19-Oper!DB20</f>
        <v>0</v>
      </c>
      <c r="DC28" s="63">
        <f>-Oper!DC19-Oper!DC20</f>
        <v>0</v>
      </c>
      <c r="DD28" s="63">
        <f>-Oper!DD19-Oper!DD20</f>
        <v>0</v>
      </c>
      <c r="DE28" s="63">
        <f>-Oper!DE19-Oper!DE20</f>
        <v>0</v>
      </c>
      <c r="DF28" s="63">
        <f>-Oper!DF19-Oper!DF20</f>
        <v>0</v>
      </c>
      <c r="DG28" s="63">
        <f>-Oper!DG19-Oper!DG20</f>
        <v>0</v>
      </c>
      <c r="DH28" s="63">
        <f>-Oper!DH19-Oper!DH20</f>
        <v>0</v>
      </c>
      <c r="DI28" s="63">
        <f>-Oper!DI19-Oper!DI20</f>
        <v>0</v>
      </c>
      <c r="DJ28" s="63">
        <f>-Oper!DJ19-Oper!DJ20</f>
        <v>0</v>
      </c>
      <c r="DK28" s="63">
        <f>-Oper!DK19-Oper!DK20</f>
        <v>0</v>
      </c>
      <c r="DL28" s="63">
        <f>-Oper!DL19-Oper!DL20</f>
        <v>0</v>
      </c>
      <c r="DM28" s="63">
        <f>-Oper!DM19-Oper!DM20</f>
        <v>0</v>
      </c>
      <c r="DN28" s="63">
        <f>-Oper!DN19-Oper!DN20</f>
        <v>0</v>
      </c>
      <c r="DO28" s="63">
        <f>-Oper!DO19-Oper!DO20</f>
        <v>0</v>
      </c>
      <c r="DP28" s="63">
        <f>-Oper!DP19-Oper!DP20</f>
        <v>0</v>
      </c>
      <c r="DQ28" s="16"/>
    </row>
    <row r="29" spans="1:125" s="61" customFormat="1" x14ac:dyDescent="0.2">
      <c r="C29" s="61" t="s">
        <v>505</v>
      </c>
      <c r="K29" s="636" t="s">
        <v>63</v>
      </c>
      <c r="L29" s="63"/>
      <c r="M29" s="63"/>
      <c r="N29" s="63">
        <f t="shared" si="63"/>
        <v>500</v>
      </c>
      <c r="O29" s="39"/>
      <c r="Q29" s="126"/>
      <c r="R29" s="63"/>
      <c r="S29" s="63">
        <f>+IF(S7=2018,Inputs!$L$85,0)</f>
        <v>500</v>
      </c>
      <c r="T29" s="63">
        <f>+IF(T7=2018,Inputs!$L$85,0)</f>
        <v>0</v>
      </c>
      <c r="U29" s="63">
        <f>+IF(U7=2018,Inputs!$L$85,0)</f>
        <v>0</v>
      </c>
      <c r="V29" s="63">
        <f>+IF(V7=2018,Inputs!$L$85,0)</f>
        <v>0</v>
      </c>
      <c r="W29" s="63">
        <f>+IF(W7=2018,Inputs!$L$85,0)</f>
        <v>0</v>
      </c>
      <c r="X29" s="63">
        <f>+IF(X7=2018,Inputs!$L$85,0)</f>
        <v>0</v>
      </c>
      <c r="Y29" s="63">
        <f>+IF(Y7=2018,Inputs!$L$85,0)</f>
        <v>0</v>
      </c>
      <c r="Z29" s="63">
        <f>+IF(Z7=2018,Inputs!$L$85,0)</f>
        <v>0</v>
      </c>
      <c r="AA29" s="63">
        <f>+IF(AA7=2018,Inputs!$L$85,0)</f>
        <v>0</v>
      </c>
      <c r="AB29" s="63">
        <f>+IF(AB7=2018,Inputs!$L$85,0)</f>
        <v>0</v>
      </c>
      <c r="AC29" s="63">
        <f>+IF(AC7=2018,Inputs!$L$85,0)</f>
        <v>0</v>
      </c>
      <c r="AD29" s="63">
        <f>+IF(AD7=2018,Inputs!$L$85,0)</f>
        <v>0</v>
      </c>
      <c r="AE29" s="63">
        <f>+IF(AE7=2018,Inputs!$L$85,0)</f>
        <v>0</v>
      </c>
      <c r="AF29" s="63">
        <f>+IF(AF7=2018,Inputs!$L$85,0)</f>
        <v>0</v>
      </c>
      <c r="AG29" s="63">
        <f>+IF(AG7=2018,Inputs!$L$85,0)</f>
        <v>0</v>
      </c>
      <c r="AH29" s="63">
        <f>+IF(AH7=2018,Inputs!$L$85,0)</f>
        <v>0</v>
      </c>
      <c r="AI29" s="63">
        <f>+IF(AI7=2018,Inputs!$L$85,0)</f>
        <v>0</v>
      </c>
      <c r="AJ29" s="63">
        <f>+IF(AJ7=2018,Inputs!$L$85,0)</f>
        <v>0</v>
      </c>
      <c r="AK29" s="63">
        <f>+IF(AK7=2018,Inputs!$L$85,0)</f>
        <v>0</v>
      </c>
      <c r="AL29" s="63">
        <f>+IF(AL7=2018,Inputs!$L$85,0)</f>
        <v>0</v>
      </c>
      <c r="AM29" s="63">
        <f>+IF(AM7=2018,Inputs!$L$85,0)</f>
        <v>0</v>
      </c>
      <c r="AN29" s="63">
        <f>+IF(AN7=2018,Inputs!$L$85,0)</f>
        <v>0</v>
      </c>
      <c r="AO29" s="63">
        <f>+IF(AO7=2018,Inputs!$L$85,0)</f>
        <v>0</v>
      </c>
      <c r="AP29" s="63">
        <f>+IF(AP7=2018,Inputs!$L$85,0)</f>
        <v>0</v>
      </c>
      <c r="AQ29" s="63">
        <f>+IF(AQ7=2018,Inputs!$L$85,0)</f>
        <v>0</v>
      </c>
      <c r="AR29" s="63">
        <f>+IF(AR7=2018,Inputs!$L$85,0)</f>
        <v>0</v>
      </c>
      <c r="AS29" s="63">
        <f>+IF(AS7=2018,Inputs!$L$85,0)</f>
        <v>0</v>
      </c>
      <c r="AT29" s="63">
        <f>+IF(AT7=2018,Inputs!$L$85,0)</f>
        <v>0</v>
      </c>
      <c r="AU29" s="63">
        <f>+IF(AU7=2018,Inputs!$L$85,0)</f>
        <v>0</v>
      </c>
      <c r="AV29" s="63">
        <f>+IF(AV7=2018,Inputs!$L$85,0)</f>
        <v>0</v>
      </c>
      <c r="AW29" s="63">
        <f>+IF(AW7=2018,Inputs!$L$85,0)</f>
        <v>0</v>
      </c>
      <c r="AX29" s="63">
        <f>+IF(AX7=2018,Inputs!$L$85,0)</f>
        <v>0</v>
      </c>
      <c r="AY29" s="63">
        <f>+IF(AY7=2018,Inputs!$L$85,0)</f>
        <v>0</v>
      </c>
      <c r="AZ29" s="63">
        <f>+IF(AZ7=2018,Inputs!$L$85,0)</f>
        <v>0</v>
      </c>
      <c r="BA29" s="63">
        <f>+IF(BA7=2018,Inputs!$L$85,0)</f>
        <v>0</v>
      </c>
      <c r="BB29" s="63">
        <f>+IF(BB7=2018,Inputs!$L$85,0)</f>
        <v>0</v>
      </c>
      <c r="BC29" s="63">
        <f>+IF(BC7=2018,Inputs!$L$85,0)</f>
        <v>0</v>
      </c>
      <c r="BD29" s="63">
        <f>+IF(BD7=2018,Inputs!$L$85,0)</f>
        <v>0</v>
      </c>
      <c r="BE29" s="63">
        <f>+IF(BE7=2018,Inputs!$L$85,0)</f>
        <v>0</v>
      </c>
      <c r="BF29" s="63">
        <f>+IF(BF7=2018,Inputs!$L$85,0)</f>
        <v>0</v>
      </c>
      <c r="BG29" s="63">
        <f>+IF(BG7=2018,Inputs!$L$85,0)</f>
        <v>0</v>
      </c>
      <c r="BH29" s="63">
        <f>+IF(BH7=2018,Inputs!$L$85,0)</f>
        <v>0</v>
      </c>
      <c r="BI29" s="63">
        <f>+IF(BI7=2018,Inputs!$L$85,0)</f>
        <v>0</v>
      </c>
      <c r="BJ29" s="63">
        <f>+IF(BJ7=2018,Inputs!$L$85,0)</f>
        <v>0</v>
      </c>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row>
    <row r="30" spans="1:125" x14ac:dyDescent="0.2">
      <c r="C30" s="163" t="s">
        <v>318</v>
      </c>
      <c r="K30" s="144" t="s">
        <v>63</v>
      </c>
      <c r="L30" s="63"/>
      <c r="M30" s="63"/>
      <c r="N30" s="63">
        <f t="shared" si="63"/>
        <v>133568.75352641862</v>
      </c>
      <c r="O30" s="39"/>
      <c r="P30" s="61"/>
      <c r="Q30" s="126"/>
      <c r="R30" s="63"/>
      <c r="S30" s="63">
        <f>-Fin!S288-Fin!S289-Fin!S290</f>
        <v>0</v>
      </c>
      <c r="T30" s="63">
        <f>-Fin!T288-Fin!T289-Fin!T290</f>
        <v>0</v>
      </c>
      <c r="U30" s="63">
        <f>-Fin!U288-Fin!U289-Fin!U290</f>
        <v>0</v>
      </c>
      <c r="V30" s="63">
        <f>-Fin!V288-Fin!V289-Fin!V290</f>
        <v>0</v>
      </c>
      <c r="W30" s="63">
        <f>-Fin!W288-Fin!W289-Fin!W290</f>
        <v>0</v>
      </c>
      <c r="X30" s="63">
        <f>-Fin!X288-Fin!X289-Fin!X290</f>
        <v>0</v>
      </c>
      <c r="Y30" s="63">
        <f>-Fin!Y288-Fin!Y289-Fin!Y290</f>
        <v>0</v>
      </c>
      <c r="Z30" s="63">
        <f>-Fin!Z288-Fin!Z289-Fin!Z290</f>
        <v>0</v>
      </c>
      <c r="AA30" s="63">
        <f>-Fin!AA288-Fin!AA289-Fin!AA290</f>
        <v>0</v>
      </c>
      <c r="AB30" s="63">
        <f>-Fin!AB288-Fin!AB289-Fin!AB290</f>
        <v>0</v>
      </c>
      <c r="AC30" s="63">
        <f>-Fin!AC288-Fin!AC289-Fin!AC290</f>
        <v>0</v>
      </c>
      <c r="AD30" s="63">
        <f>-Fin!AD288-Fin!AD289-Fin!AD290</f>
        <v>0</v>
      </c>
      <c r="AE30" s="63">
        <f>-Fin!AE288-Fin!AE289-Fin!AE290</f>
        <v>0</v>
      </c>
      <c r="AF30" s="63">
        <f>-Fin!AF288-Fin!AF289-Fin!AF290</f>
        <v>0</v>
      </c>
      <c r="AG30" s="63">
        <f>-Fin!AG288-Fin!AG289-Fin!AG290</f>
        <v>0</v>
      </c>
      <c r="AH30" s="63">
        <f>-Fin!AH288-Fin!AH289-Fin!AH290</f>
        <v>0</v>
      </c>
      <c r="AI30" s="63">
        <f>-Fin!AI288-Fin!AI289-Fin!AI290</f>
        <v>0</v>
      </c>
      <c r="AJ30" s="63">
        <f>-Fin!AJ288-Fin!AJ289-Fin!AJ290</f>
        <v>0</v>
      </c>
      <c r="AK30" s="63">
        <f>-Fin!AK288-Fin!AK289-Fin!AK290</f>
        <v>0</v>
      </c>
      <c r="AL30" s="63">
        <f>-Fin!AL288-Fin!AL289-Fin!AL290</f>
        <v>0</v>
      </c>
      <c r="AM30" s="63">
        <f>-Fin!AM288-Fin!AM289-Fin!AM290</f>
        <v>0</v>
      </c>
      <c r="AN30" s="63">
        <f>-Fin!AN288-Fin!AN289-Fin!AN290</f>
        <v>0</v>
      </c>
      <c r="AO30" s="63">
        <f>-Fin!AO288-Fin!AO289-Fin!AO290</f>
        <v>0</v>
      </c>
      <c r="AP30" s="63">
        <f>-Fin!AP288-Fin!AP289-Fin!AP290</f>
        <v>0</v>
      </c>
      <c r="AQ30" s="63">
        <f>-Fin!AQ288-Fin!AQ289-Fin!AQ290</f>
        <v>0</v>
      </c>
      <c r="AR30" s="63">
        <f>-Fin!AR288-Fin!AR289-Fin!AR290</f>
        <v>0</v>
      </c>
      <c r="AS30" s="63">
        <f>-Fin!AS288-Fin!AS289-Fin!AS290</f>
        <v>0</v>
      </c>
      <c r="AT30" s="63">
        <f>-Fin!AT288-Fin!AT289-Fin!AT290</f>
        <v>0</v>
      </c>
      <c r="AU30" s="63">
        <f>-Fin!AU288-Fin!AU289-Fin!AU290</f>
        <v>0</v>
      </c>
      <c r="AV30" s="63">
        <f>-Fin!AV288-Fin!AV289-Fin!AV290</f>
        <v>0</v>
      </c>
      <c r="AW30" s="63">
        <f>-Fin!AW288-Fin!AW289-Fin!AW290</f>
        <v>0</v>
      </c>
      <c r="AX30" s="63">
        <f>-Fin!AX288-Fin!AX289-Fin!AX290</f>
        <v>0</v>
      </c>
      <c r="AY30" s="63">
        <f>-Fin!AY288-Fin!AY289-Fin!AY290</f>
        <v>0</v>
      </c>
      <c r="AZ30" s="63">
        <f>-Fin!AZ288-Fin!AZ289-Fin!AZ290</f>
        <v>0</v>
      </c>
      <c r="BA30" s="63">
        <f>-Fin!BA288-Fin!BA289-Fin!BA290</f>
        <v>0</v>
      </c>
      <c r="BB30" s="63">
        <f>-Fin!BB288-Fin!BB289-Fin!BB290</f>
        <v>0</v>
      </c>
      <c r="BC30" s="63">
        <f>-Fin!BC288-Fin!BC289-Fin!BC290</f>
        <v>0</v>
      </c>
      <c r="BD30" s="63">
        <f>-Fin!BD288-Fin!BD289-Fin!BD290</f>
        <v>0</v>
      </c>
      <c r="BE30" s="63">
        <f>-Fin!BE288-Fin!BE289-Fin!BE290</f>
        <v>-225722.64849710948</v>
      </c>
      <c r="BF30" s="63">
        <f>-Fin!BF288-Fin!BF289-Fin!BF290</f>
        <v>34373.648331668155</v>
      </c>
      <c r="BG30" s="63">
        <f>-Fin!BG288-Fin!BG289-Fin!BG290</f>
        <v>39071.852193292965</v>
      </c>
      <c r="BH30" s="63">
        <f>-Fin!BH288-Fin!BH289-Fin!BH290</f>
        <v>44412.208418623974</v>
      </c>
      <c r="BI30" s="63">
        <f>-Fin!BI288-Fin!BI289-Fin!BI290</f>
        <v>50482.486646944315</v>
      </c>
      <c r="BJ30" s="63">
        <f>-Fin!BJ288-Fin!BJ289-Fin!BJ290</f>
        <v>190951.20643299868</v>
      </c>
      <c r="BK30" s="63">
        <f>-Fin!BK288-Fin!BK289-Fin!BK290</f>
        <v>0</v>
      </c>
      <c r="BL30" s="63">
        <f>-Fin!BL288-Fin!BL289-Fin!BL290</f>
        <v>0</v>
      </c>
      <c r="BM30" s="63">
        <f>-Fin!BM288-Fin!BM289-Fin!BM290</f>
        <v>0</v>
      </c>
      <c r="BN30" s="63">
        <f>-Fin!BN288-Fin!BN289-Fin!BN290</f>
        <v>0</v>
      </c>
      <c r="BO30" s="63">
        <f>-Fin!BO288-Fin!BO289-Fin!BO290</f>
        <v>0</v>
      </c>
      <c r="BP30" s="63">
        <f>-Fin!BP288-Fin!BP289-Fin!BP290</f>
        <v>0</v>
      </c>
      <c r="BQ30" s="63">
        <f>-Fin!BQ288-Fin!BQ289-Fin!BQ290</f>
        <v>0</v>
      </c>
      <c r="BR30" s="63">
        <f>-Fin!BR288-Fin!BR289-Fin!BR290</f>
        <v>0</v>
      </c>
      <c r="BS30" s="63">
        <f>-Fin!BS288-Fin!BS289-Fin!BS290</f>
        <v>0</v>
      </c>
      <c r="BT30" s="63">
        <f>-Fin!BT288-Fin!BT289-Fin!BT290</f>
        <v>0</v>
      </c>
      <c r="BU30" s="63">
        <f>-Fin!BU288-Fin!BU289-Fin!BU290</f>
        <v>0</v>
      </c>
      <c r="BV30" s="63">
        <f>-Fin!BV288-Fin!BV289-Fin!BV290</f>
        <v>0</v>
      </c>
      <c r="BW30" s="63">
        <f>-Fin!BW288-Fin!BW289-Fin!BW290</f>
        <v>0</v>
      </c>
      <c r="BX30" s="63">
        <f>-Fin!BX288-Fin!BX289-Fin!BX290</f>
        <v>0</v>
      </c>
      <c r="BY30" s="63">
        <f>-Fin!BY288-Fin!BY289-Fin!BY290</f>
        <v>0</v>
      </c>
      <c r="BZ30" s="63">
        <f>-Fin!BZ288-Fin!BZ289-Fin!BZ290</f>
        <v>0</v>
      </c>
      <c r="CA30" s="63">
        <f>-Fin!CA288-Fin!CA289-Fin!CA290</f>
        <v>0</v>
      </c>
      <c r="CB30" s="63">
        <f>-Fin!CB288-Fin!CB289-Fin!CB290</f>
        <v>0</v>
      </c>
      <c r="CC30" s="63">
        <f>-Fin!CC288-Fin!CC289-Fin!CC290</f>
        <v>0</v>
      </c>
      <c r="CD30" s="63">
        <f>-Fin!CD288-Fin!CD289-Fin!CD290</f>
        <v>0</v>
      </c>
      <c r="CE30" s="63">
        <f>-Fin!CE288-Fin!CE289-Fin!CE290</f>
        <v>0</v>
      </c>
      <c r="CF30" s="63">
        <f>-Fin!CF288-Fin!CF289-Fin!CF290</f>
        <v>0</v>
      </c>
      <c r="CG30" s="63">
        <f>-Fin!CG288-Fin!CG289-Fin!CG290</f>
        <v>0</v>
      </c>
      <c r="CH30" s="63">
        <f>-Fin!CH288-Fin!CH289-Fin!CH290</f>
        <v>0</v>
      </c>
      <c r="CI30" s="63">
        <f>-Fin!CI288-Fin!CI289-Fin!CI290</f>
        <v>0</v>
      </c>
      <c r="CJ30" s="63">
        <f>-Fin!CJ288-Fin!CJ289-Fin!CJ290</f>
        <v>0</v>
      </c>
      <c r="CK30" s="63">
        <f>-Fin!CK288-Fin!CK289-Fin!CK290</f>
        <v>0</v>
      </c>
      <c r="CL30" s="63">
        <f>-Fin!CL288-Fin!CL289-Fin!CL290</f>
        <v>0</v>
      </c>
      <c r="CM30" s="63">
        <f>-Fin!CM288-Fin!CM289-Fin!CM290</f>
        <v>0</v>
      </c>
      <c r="CN30" s="63">
        <f>-Fin!CN288-Fin!CN289-Fin!CN290</f>
        <v>0</v>
      </c>
      <c r="CO30" s="63">
        <f>-Fin!CO288-Fin!CO289-Fin!CO290</f>
        <v>0</v>
      </c>
      <c r="CP30" s="63">
        <f>-Fin!CP288-Fin!CP289-Fin!CP290</f>
        <v>0</v>
      </c>
      <c r="CQ30" s="63">
        <f>-Fin!CQ288-Fin!CQ289-Fin!CQ290</f>
        <v>0</v>
      </c>
      <c r="CR30" s="63">
        <f>-Fin!CR288-Fin!CR289-Fin!CR290</f>
        <v>0</v>
      </c>
      <c r="CS30" s="63">
        <f>-Fin!CS288-Fin!CS289-Fin!CS290</f>
        <v>0</v>
      </c>
      <c r="CT30" s="63">
        <f>-Fin!CT288-Fin!CT289-Fin!CT290</f>
        <v>0</v>
      </c>
      <c r="CU30" s="63">
        <f>-Fin!CU288-Fin!CU289-Fin!CU290</f>
        <v>0</v>
      </c>
      <c r="CV30" s="63">
        <f>-Fin!CV288-Fin!CV289-Fin!CV290</f>
        <v>0</v>
      </c>
      <c r="CW30" s="63">
        <f>-Fin!CW288-Fin!CW289-Fin!CW290</f>
        <v>0</v>
      </c>
      <c r="CX30" s="63">
        <f>-Fin!CX288-Fin!CX289-Fin!CX290</f>
        <v>0</v>
      </c>
      <c r="CY30" s="63">
        <f>-Fin!CY288-Fin!CY289-Fin!CY290</f>
        <v>0</v>
      </c>
      <c r="CZ30" s="63">
        <f>-Fin!CZ288-Fin!CZ289-Fin!CZ290</f>
        <v>0</v>
      </c>
      <c r="DA30" s="63">
        <f>-Fin!DA288-Fin!DA289-Fin!DA290</f>
        <v>0</v>
      </c>
      <c r="DB30" s="63">
        <f>-Fin!DB288-Fin!DB289-Fin!DB290</f>
        <v>0</v>
      </c>
      <c r="DC30" s="63">
        <f>-Fin!DC288-Fin!DC289-Fin!DC290</f>
        <v>0</v>
      </c>
      <c r="DD30" s="63">
        <f>-Fin!DD288-Fin!DD289-Fin!DD290</f>
        <v>0</v>
      </c>
      <c r="DE30" s="63">
        <f>-Fin!DE288-Fin!DE289-Fin!DE290</f>
        <v>0</v>
      </c>
      <c r="DF30" s="63">
        <f>-Fin!DF288-Fin!DF289-Fin!DF290</f>
        <v>0</v>
      </c>
      <c r="DG30" s="63">
        <f>-Fin!DG288-Fin!DG289-Fin!DG290</f>
        <v>0</v>
      </c>
      <c r="DH30" s="63">
        <f>-Fin!DH288-Fin!DH289-Fin!DH290</f>
        <v>0</v>
      </c>
      <c r="DI30" s="63">
        <f>-Fin!DI288-Fin!DI289-Fin!DI290</f>
        <v>0</v>
      </c>
      <c r="DJ30" s="63">
        <f>-Fin!DJ288-Fin!DJ289-Fin!DJ290</f>
        <v>0</v>
      </c>
      <c r="DK30" s="63">
        <f>-Fin!DK288-Fin!DK289-Fin!DK290</f>
        <v>0</v>
      </c>
      <c r="DL30" s="63">
        <f>-Fin!DL288-Fin!DL289-Fin!DL290</f>
        <v>0</v>
      </c>
      <c r="DM30" s="63">
        <f>-Fin!DM288-Fin!DM289-Fin!DM290</f>
        <v>0</v>
      </c>
      <c r="DN30" s="63">
        <f>-Fin!DN288-Fin!DN289-Fin!DN290</f>
        <v>0</v>
      </c>
      <c r="DO30" s="63">
        <f>-Fin!DO288-Fin!DO289-Fin!DO290</f>
        <v>0</v>
      </c>
      <c r="DP30" s="63">
        <f>-Fin!DP288-Fin!DP289-Fin!DP290</f>
        <v>0</v>
      </c>
      <c r="DQ30" s="16"/>
    </row>
    <row r="31" spans="1:125" x14ac:dyDescent="0.2">
      <c r="C31" s="184" t="s">
        <v>449</v>
      </c>
      <c r="K31" s="144" t="s">
        <v>63</v>
      </c>
      <c r="L31" s="63"/>
      <c r="M31" s="63"/>
      <c r="N31" s="63">
        <f t="shared" si="63"/>
        <v>-133568.75352641862</v>
      </c>
      <c r="O31" s="39"/>
      <c r="P31" s="61"/>
      <c r="Q31" s="126"/>
      <c r="R31" s="63"/>
      <c r="S31" s="63">
        <f>+Fin!S290</f>
        <v>0</v>
      </c>
      <c r="T31" s="63">
        <f>+Fin!T290</f>
        <v>0</v>
      </c>
      <c r="U31" s="63">
        <f>+Fin!U290</f>
        <v>0</v>
      </c>
      <c r="V31" s="63">
        <f>+Fin!V290</f>
        <v>0</v>
      </c>
      <c r="W31" s="63">
        <f>+Fin!W290</f>
        <v>0</v>
      </c>
      <c r="X31" s="63">
        <f>+Fin!X290</f>
        <v>0</v>
      </c>
      <c r="Y31" s="63">
        <f>+Fin!Y290</f>
        <v>0</v>
      </c>
      <c r="Z31" s="63">
        <f>+Fin!Z290</f>
        <v>0</v>
      </c>
      <c r="AA31" s="63">
        <f>+Fin!AA290</f>
        <v>0</v>
      </c>
      <c r="AB31" s="63">
        <f>+Fin!AB290</f>
        <v>0</v>
      </c>
      <c r="AC31" s="63">
        <f>+Fin!AC290</f>
        <v>0</v>
      </c>
      <c r="AD31" s="63">
        <f>+Fin!AD290</f>
        <v>0</v>
      </c>
      <c r="AE31" s="63">
        <f>+Fin!AE290</f>
        <v>0</v>
      </c>
      <c r="AF31" s="63">
        <f>+Fin!AF290</f>
        <v>0</v>
      </c>
      <c r="AG31" s="63">
        <f>+Fin!AG290</f>
        <v>0</v>
      </c>
      <c r="AH31" s="63">
        <f>+Fin!AH290</f>
        <v>0</v>
      </c>
      <c r="AI31" s="63">
        <f>+Fin!AI290</f>
        <v>0</v>
      </c>
      <c r="AJ31" s="63">
        <f>+Fin!AJ290</f>
        <v>0</v>
      </c>
      <c r="AK31" s="63">
        <f>+Fin!AK290</f>
        <v>0</v>
      </c>
      <c r="AL31" s="63">
        <f>+Fin!AL290</f>
        <v>0</v>
      </c>
      <c r="AM31" s="63">
        <f>+Fin!AM290</f>
        <v>0</v>
      </c>
      <c r="AN31" s="63">
        <f>+Fin!AN290</f>
        <v>0</v>
      </c>
      <c r="AO31" s="63">
        <f>+Fin!AO290</f>
        <v>0</v>
      </c>
      <c r="AP31" s="63">
        <f>+Fin!AP290</f>
        <v>0</v>
      </c>
      <c r="AQ31" s="63">
        <f>+Fin!AQ290</f>
        <v>0</v>
      </c>
      <c r="AR31" s="63">
        <f>+Fin!AR290</f>
        <v>0</v>
      </c>
      <c r="AS31" s="63">
        <f>+Fin!AS290</f>
        <v>0</v>
      </c>
      <c r="AT31" s="63">
        <f>+Fin!AT290</f>
        <v>0</v>
      </c>
      <c r="AU31" s="63">
        <f>+Fin!AU290</f>
        <v>0</v>
      </c>
      <c r="AV31" s="63">
        <f>+Fin!AV290</f>
        <v>0</v>
      </c>
      <c r="AW31" s="63">
        <f>+Fin!AW290</f>
        <v>0</v>
      </c>
      <c r="AX31" s="63">
        <f>+Fin!AX290</f>
        <v>0</v>
      </c>
      <c r="AY31" s="63">
        <f>+Fin!AY290</f>
        <v>0</v>
      </c>
      <c r="AZ31" s="63">
        <f>+Fin!AZ290</f>
        <v>0</v>
      </c>
      <c r="BA31" s="63">
        <f>+Fin!BA290</f>
        <v>0</v>
      </c>
      <c r="BB31" s="63">
        <f>+Fin!BB290</f>
        <v>0</v>
      </c>
      <c r="BC31" s="63">
        <f>+Fin!BC290</f>
        <v>0</v>
      </c>
      <c r="BD31" s="63">
        <f>+Fin!BD290</f>
        <v>0</v>
      </c>
      <c r="BE31" s="63">
        <f>+Fin!BE290</f>
        <v>0</v>
      </c>
      <c r="BF31" s="63">
        <f>+Fin!BF290</f>
        <v>0</v>
      </c>
      <c r="BG31" s="63">
        <f>+Fin!BG290</f>
        <v>0</v>
      </c>
      <c r="BH31" s="63">
        <f>+Fin!BH290</f>
        <v>0</v>
      </c>
      <c r="BI31" s="63">
        <f>+Fin!BI290</f>
        <v>0</v>
      </c>
      <c r="BJ31" s="63">
        <f>+Fin!BJ290</f>
        <v>-133568.75352641862</v>
      </c>
      <c r="BK31" s="63">
        <f>+Fin!BK290</f>
        <v>0</v>
      </c>
      <c r="BL31" s="63">
        <f>+Fin!BL290</f>
        <v>0</v>
      </c>
      <c r="BM31" s="63">
        <f>+Fin!BM290</f>
        <v>0</v>
      </c>
      <c r="BN31" s="63">
        <f>+Fin!BN290</f>
        <v>0</v>
      </c>
      <c r="BO31" s="63">
        <f>+Fin!BO290</f>
        <v>0</v>
      </c>
      <c r="BP31" s="63">
        <f>+Fin!BP290</f>
        <v>0</v>
      </c>
      <c r="BQ31" s="63">
        <f>+Fin!BQ290</f>
        <v>0</v>
      </c>
      <c r="BR31" s="63">
        <f>+Fin!BR290</f>
        <v>0</v>
      </c>
      <c r="BS31" s="63">
        <f>+Fin!BS290</f>
        <v>0</v>
      </c>
      <c r="BT31" s="63">
        <f>+Fin!BT290</f>
        <v>0</v>
      </c>
      <c r="BU31" s="63">
        <f>+Fin!BU290</f>
        <v>0</v>
      </c>
      <c r="BV31" s="63">
        <f>+Fin!BV290</f>
        <v>0</v>
      </c>
      <c r="BW31" s="63">
        <f>+Fin!BW290</f>
        <v>0</v>
      </c>
      <c r="BX31" s="63">
        <f>+Fin!BX290</f>
        <v>0</v>
      </c>
      <c r="BY31" s="63">
        <f>+Fin!BY290</f>
        <v>0</v>
      </c>
      <c r="BZ31" s="63">
        <f>+Fin!BZ290</f>
        <v>0</v>
      </c>
      <c r="CA31" s="63">
        <f>+Fin!CA290</f>
        <v>0</v>
      </c>
      <c r="CB31" s="63">
        <f>+Fin!CB290</f>
        <v>0</v>
      </c>
      <c r="CC31" s="63">
        <f>+Fin!CC290</f>
        <v>0</v>
      </c>
      <c r="CD31" s="63">
        <f>+Fin!CD290</f>
        <v>0</v>
      </c>
      <c r="CE31" s="63">
        <f>+Fin!CE290</f>
        <v>0</v>
      </c>
      <c r="CF31" s="63">
        <f>+Fin!CF290</f>
        <v>0</v>
      </c>
      <c r="CG31" s="63">
        <f>+Fin!CG290</f>
        <v>0</v>
      </c>
      <c r="CH31" s="63">
        <f>+Fin!CH290</f>
        <v>0</v>
      </c>
      <c r="CI31" s="63">
        <f>+Fin!CI290</f>
        <v>0</v>
      </c>
      <c r="CJ31" s="63">
        <f>+Fin!CJ290</f>
        <v>0</v>
      </c>
      <c r="CK31" s="63">
        <f>+Fin!CK290</f>
        <v>0</v>
      </c>
      <c r="CL31" s="63">
        <f>+Fin!CL290</f>
        <v>0</v>
      </c>
      <c r="CM31" s="63">
        <f>+Fin!CM290</f>
        <v>0</v>
      </c>
      <c r="CN31" s="63">
        <f>+Fin!CN290</f>
        <v>0</v>
      </c>
      <c r="CO31" s="63">
        <f>+Fin!CO290</f>
        <v>0</v>
      </c>
      <c r="CP31" s="63">
        <f>+Fin!CP290</f>
        <v>0</v>
      </c>
      <c r="CQ31" s="63">
        <f>+Fin!CQ290</f>
        <v>0</v>
      </c>
      <c r="CR31" s="63">
        <f>+Fin!CR290</f>
        <v>0</v>
      </c>
      <c r="CS31" s="63">
        <f>+Fin!CS290</f>
        <v>0</v>
      </c>
      <c r="CT31" s="63">
        <f>+Fin!CT290</f>
        <v>0</v>
      </c>
      <c r="CU31" s="63">
        <f>+Fin!CU290</f>
        <v>0</v>
      </c>
      <c r="CV31" s="63">
        <f>+Fin!CV290</f>
        <v>0</v>
      </c>
      <c r="CW31" s="63">
        <f>+Fin!CW290</f>
        <v>0</v>
      </c>
      <c r="CX31" s="63">
        <f>+Fin!CX290</f>
        <v>0</v>
      </c>
      <c r="CY31" s="63">
        <f>+Fin!CY290</f>
        <v>0</v>
      </c>
      <c r="CZ31" s="63">
        <f>+Fin!CZ290</f>
        <v>0</v>
      </c>
      <c r="DA31" s="63">
        <f>+Fin!DA290</f>
        <v>0</v>
      </c>
      <c r="DB31" s="63">
        <f>+Fin!DB290</f>
        <v>0</v>
      </c>
      <c r="DC31" s="63">
        <f>+Fin!DC290</f>
        <v>0</v>
      </c>
      <c r="DD31" s="63">
        <f>+Fin!DD290</f>
        <v>0</v>
      </c>
      <c r="DE31" s="63">
        <f>+Fin!DE290</f>
        <v>0</v>
      </c>
      <c r="DF31" s="63">
        <f>+Fin!DF290</f>
        <v>0</v>
      </c>
      <c r="DG31" s="63">
        <f>+Fin!DG290</f>
        <v>0</v>
      </c>
      <c r="DH31" s="63">
        <f>+Fin!DH290</f>
        <v>0</v>
      </c>
      <c r="DI31" s="63">
        <f>+Fin!DI290</f>
        <v>0</v>
      </c>
      <c r="DJ31" s="63">
        <f>+Fin!DJ290</f>
        <v>0</v>
      </c>
      <c r="DK31" s="63">
        <f>+Fin!DK290</f>
        <v>0</v>
      </c>
      <c r="DL31" s="63">
        <f>+Fin!DL290</f>
        <v>0</v>
      </c>
      <c r="DM31" s="63">
        <f>+Fin!DM290</f>
        <v>0</v>
      </c>
      <c r="DN31" s="63">
        <f>+Fin!DN290</f>
        <v>0</v>
      </c>
      <c r="DO31" s="63">
        <f>+Fin!DO290</f>
        <v>0</v>
      </c>
      <c r="DP31" s="63">
        <f>+Fin!DP290</f>
        <v>0</v>
      </c>
      <c r="DQ31" s="16"/>
    </row>
    <row r="32" spans="1:125" x14ac:dyDescent="0.2">
      <c r="C32" s="61" t="s">
        <v>274</v>
      </c>
      <c r="K32" s="144" t="s">
        <v>63</v>
      </c>
      <c r="L32" s="63"/>
      <c r="M32" s="63"/>
      <c r="N32" s="63">
        <f t="shared" si="63"/>
        <v>-209073.66959467556</v>
      </c>
      <c r="O32" s="39"/>
      <c r="Q32" s="126"/>
      <c r="R32" s="126"/>
      <c r="S32" s="63">
        <f>IF(S7&gt;2018,-(S25+S44)*Inputs!$L$98*Inputs!$L$99*Inputs!$L$100,-Inputs!$L$83)</f>
        <v>-446</v>
      </c>
      <c r="T32" s="63">
        <f>IF(T7&gt;2018,-(T25+T44)*Inputs!$L$98*Inputs!$L$99*Inputs!$L$100,-Inputs!$L$83)</f>
        <v>-737.58974504569574</v>
      </c>
      <c r="U32" s="63">
        <f>IF(U7&gt;2018,-(U25+U44)*Inputs!$L$98*Inputs!$L$99*Inputs!$L$100,-Inputs!$L$83)</f>
        <v>-845.09727037031769</v>
      </c>
      <c r="V32" s="63">
        <f>IF(V7&gt;2018,-(V25+V44)*Inputs!$L$98*Inputs!$L$99*Inputs!$L$100,-Inputs!$L$83)</f>
        <v>-947.27186232849067</v>
      </c>
      <c r="W32" s="63">
        <f>IF(W7&gt;2018,-(W25+W44)*Inputs!$L$98*Inputs!$L$99*Inputs!$L$100,-Inputs!$L$83)</f>
        <v>-1019.4985617497009</v>
      </c>
      <c r="X32" s="63">
        <f>IF(X7&gt;2018,-(X25+X44)*Inputs!$L$98*Inputs!$L$99*Inputs!$L$100,-Inputs!$L$83)</f>
        <v>-1097.2312440403507</v>
      </c>
      <c r="Y32" s="63">
        <f>IF(Y7&gt;2018,-(Y25+Y44)*Inputs!$L$98*Inputs!$L$99*Inputs!$L$100,-Inputs!$L$83)</f>
        <v>-1180.8721342435792</v>
      </c>
      <c r="Z32" s="63">
        <f>IF(Z7&gt;2018,-(Z25+Z44)*Inputs!$L$98*Inputs!$L$99*Inputs!$L$100,-Inputs!$L$83)</f>
        <v>-1270.0974482756708</v>
      </c>
      <c r="AA32" s="63">
        <f>IF(AA7&gt;2018,-(AA25+AA44)*Inputs!$L$98*Inputs!$L$99*Inputs!$L$100,-Inputs!$L$83)</f>
        <v>-1366.5625319919407</v>
      </c>
      <c r="AB32" s="63">
        <f>IF(AB7&gt;2018,-(AB25+AB44)*Inputs!$L$98*Inputs!$L$99*Inputs!$L$100,-Inputs!$L$83)</f>
        <v>-1477.6866800817588</v>
      </c>
      <c r="AC32" s="63">
        <f>IF(AC7&gt;2018,-(AC25+AC44)*Inputs!$L$98*Inputs!$L$99*Inputs!$L$100,-Inputs!$L$83)</f>
        <v>-1597.9256776029658</v>
      </c>
      <c r="AD32" s="63">
        <f>IF(AD7&gt;2018,-(AD25+AD44)*Inputs!$L$98*Inputs!$L$99*Inputs!$L$100,-Inputs!$L$83)</f>
        <v>-1727.2994169124825</v>
      </c>
      <c r="AE32" s="63">
        <f>IF(AE7&gt;2018,-(AE25+AE44)*Inputs!$L$98*Inputs!$L$99*Inputs!$L$100,-Inputs!$L$83)</f>
        <v>-1867.6403246759485</v>
      </c>
      <c r="AF32" s="63">
        <f>IF(AF7&gt;2018,-(AF25+AF44)*Inputs!$L$98*Inputs!$L$99*Inputs!$L$100,-Inputs!$L$83)</f>
        <v>-2019.9423845308647</v>
      </c>
      <c r="AG32" s="63">
        <f>IF(AG7&gt;2018,-(AG25+AG44)*Inputs!$L$98*Inputs!$L$99*Inputs!$L$100,-Inputs!$L$83)</f>
        <v>-2165.5608753220044</v>
      </c>
      <c r="AH32" s="63">
        <f>IF(AH7&gt;2018,-(AH25+AH44)*Inputs!$L$98*Inputs!$L$99*Inputs!$L$100,-Inputs!$L$83)</f>
        <v>-2321.9700940118796</v>
      </c>
      <c r="AI32" s="63">
        <f>IF(AI7&gt;2018,-(AI25+AI44)*Inputs!$L$98*Inputs!$L$99*Inputs!$L$100,-Inputs!$L$83)</f>
        <v>-2489.7667838205948</v>
      </c>
      <c r="AJ32" s="63">
        <f>IF(AJ7&gt;2018,-(AJ25+AJ44)*Inputs!$L$98*Inputs!$L$99*Inputs!$L$100,-Inputs!$L$83)</f>
        <v>-2669.0732419341457</v>
      </c>
      <c r="AK32" s="63">
        <f>IF(AK7&gt;2018,-(AK25+AK44)*Inputs!$L$98*Inputs!$L$99*Inputs!$L$100,-Inputs!$L$83)</f>
        <v>-2860.4583224723983</v>
      </c>
      <c r="AL32" s="63">
        <f>IF(AL7&gt;2018,-(AL25+AL44)*Inputs!$L$98*Inputs!$L$99*Inputs!$L$100,-Inputs!$L$83)</f>
        <v>-3065.0901951231494</v>
      </c>
      <c r="AM32" s="63">
        <f>IF(AM7&gt;2018,-(AM25+AM44)*Inputs!$L$98*Inputs!$L$99*Inputs!$L$100,-Inputs!$L$83)</f>
        <v>-3285.9896090785355</v>
      </c>
      <c r="AN32" s="63">
        <f>IF(AN7&gt;2018,-(AN25+AN44)*Inputs!$L$98*Inputs!$L$99*Inputs!$L$100,-Inputs!$L$83)</f>
        <v>-3525.1806027610319</v>
      </c>
      <c r="AO32" s="63">
        <f>IF(AO7&gt;2018,-(AO25+AO44)*Inputs!$L$98*Inputs!$L$99*Inputs!$L$100,-Inputs!$L$83)</f>
        <v>-3779.4945750365664</v>
      </c>
      <c r="AP32" s="63">
        <f>IF(AP7&gt;2018,-(AP25+AP44)*Inputs!$L$98*Inputs!$L$99*Inputs!$L$100,-Inputs!$L$83)</f>
        <v>-4056.8510170263103</v>
      </c>
      <c r="AQ32" s="63">
        <f>IF(AQ7&gt;2018,-(AQ25+AQ44)*Inputs!$L$98*Inputs!$L$99*Inputs!$L$100,-Inputs!$L$83)</f>
        <v>-4314.1450040972704</v>
      </c>
      <c r="AR32" s="63">
        <f>IF(AR7&gt;2018,-(AR25+AR44)*Inputs!$L$98*Inputs!$L$99*Inputs!$L$100,-Inputs!$L$83)</f>
        <v>-4588.1007215996615</v>
      </c>
      <c r="AS32" s="63">
        <f>IF(AS7&gt;2018,-(AS25+AS44)*Inputs!$L$98*Inputs!$L$99*Inputs!$L$100,-Inputs!$L$83)</f>
        <v>-4879.7400909298531</v>
      </c>
      <c r="AT32" s="63">
        <f>IF(AT7&gt;2018,-(AT25+AT44)*Inputs!$L$98*Inputs!$L$99*Inputs!$L$100,-Inputs!$L$83)</f>
        <v>-5190.4247287486833</v>
      </c>
      <c r="AU32" s="63">
        <f>IF(AU7&gt;2018,-(AU25+AU44)*Inputs!$L$98*Inputs!$L$99*Inputs!$L$100,-Inputs!$L$83)</f>
        <v>-5528.8514273091296</v>
      </c>
      <c r="AV32" s="63">
        <f>IF(AV7&gt;2018,-(AV25+AV44)*Inputs!$L$98*Inputs!$L$99*Inputs!$L$100,-Inputs!$L$83)</f>
        <v>-5875.2188723279269</v>
      </c>
      <c r="AW32" s="63">
        <f>IF(AW7&gt;2018,-(AW25+AW44)*Inputs!$L$98*Inputs!$L$99*Inputs!$L$100,-Inputs!$L$83)</f>
        <v>-6235.334184088123</v>
      </c>
      <c r="AX32" s="63">
        <f>IF(AX7&gt;2018,-(AX25+AX44)*Inputs!$L$98*Inputs!$L$99*Inputs!$L$100,-Inputs!$L$83)</f>
        <v>-6618.4474026856469</v>
      </c>
      <c r="AY32" s="63">
        <f>IF(AY7&gt;2018,-(AY25+AY44)*Inputs!$L$98*Inputs!$L$99*Inputs!$L$100,-Inputs!$L$83)</f>
        <v>-7026.2168164658833</v>
      </c>
      <c r="AZ32" s="63">
        <f>IF(AZ7&gt;2018,-(AZ25+AZ44)*Inputs!$L$98*Inputs!$L$99*Inputs!$L$100,-Inputs!$L$83)</f>
        <v>-7459.425386884267</v>
      </c>
      <c r="BA32" s="63">
        <f>IF(BA7&gt;2018,-(BA25+BA44)*Inputs!$L$98*Inputs!$L$99*Inputs!$L$100,-Inputs!$L$83)</f>
        <v>-7928.821010847113</v>
      </c>
      <c r="BB32" s="63">
        <f>IF(BB7&gt;2018,-(BB25+BB44)*Inputs!$L$98*Inputs!$L$99*Inputs!$L$100,-Inputs!$L$83)</f>
        <v>-8427.8598957397426</v>
      </c>
      <c r="BC32" s="63">
        <f>IF(BC7&gt;2018,-(BC25+BC44)*Inputs!$L$98*Inputs!$L$99*Inputs!$L$100,-Inputs!$L$83)</f>
        <v>-8958.4792187224703</v>
      </c>
      <c r="BD32" s="63">
        <f>IF(BD7&gt;2018,-(BD25+BD44)*Inputs!$L$98*Inputs!$L$99*Inputs!$L$100,-Inputs!$L$83)</f>
        <v>-9522.6761102401288</v>
      </c>
      <c r="BE32" s="63">
        <f>IF(BE7&gt;2018,-(BE25+BE44)*Inputs!$L$98*Inputs!$L$99*Inputs!$L$100,-Inputs!$L$83)</f>
        <v>-10108.901955415566</v>
      </c>
      <c r="BF32" s="63">
        <f>IF(BF7&gt;2018,-(BF25+BF44)*Inputs!$L$98*Inputs!$L$99*Inputs!$L$100,-Inputs!$L$83)</f>
        <v>-10877.998262087507</v>
      </c>
      <c r="BG32" s="63">
        <f>IF(BG7&gt;2018,-(BG25+BG44)*Inputs!$L$98*Inputs!$L$99*Inputs!$L$100,-Inputs!$L$83)</f>
        <v>-11703.98707545153</v>
      </c>
      <c r="BH32" s="63">
        <f>IF(BH7&gt;2018,-(BH25+BH44)*Inputs!$L$98*Inputs!$L$99*Inputs!$L$100,-Inputs!$L$83)</f>
        <v>-12593.122376190302</v>
      </c>
      <c r="BI32" s="63">
        <f>IF(BI7&gt;2018,-(BI25+BI44)*Inputs!$L$98*Inputs!$L$99*Inputs!$L$100,-Inputs!$L$83)</f>
        <v>-13550.017342808085</v>
      </c>
      <c r="BJ32" s="63">
        <f>IF(BJ7&gt;2018,-(BJ25+BJ44)*Inputs!$L$98*Inputs!$L$99*Inputs!$L$100,-Inputs!$L$83)</f>
        <v>-9865.7511136003723</v>
      </c>
      <c r="BK32" s="63">
        <f>-(BK25+BK44)*Inputs!$L$98*Inputs!$L$99*Inputs!$L$100</f>
        <v>0</v>
      </c>
      <c r="BL32" s="63">
        <f>-(BL25+BL44)*Inputs!$L$98*Inputs!$L$99*Inputs!$L$100</f>
        <v>0</v>
      </c>
      <c r="BM32" s="63">
        <f>-(BM25+BM44)*Inputs!$L$98*Inputs!$L$99*Inputs!$L$100</f>
        <v>0</v>
      </c>
      <c r="BN32" s="63">
        <f>-(BN25+BN44)*Inputs!$L$98*Inputs!$L$99*Inputs!$L$100</f>
        <v>0</v>
      </c>
      <c r="BO32" s="63">
        <f>-(BO25+BO44)*Inputs!$L$98*Inputs!$L$99*Inputs!$L$100</f>
        <v>0</v>
      </c>
      <c r="BP32" s="63">
        <f>-(BP25+BP44)*Inputs!$L$98*Inputs!$L$99*Inputs!$L$100</f>
        <v>0</v>
      </c>
      <c r="BQ32" s="63">
        <f>-(BQ25+BQ44)*Inputs!$L$98*Inputs!$L$99*Inputs!$L$100</f>
        <v>0</v>
      </c>
      <c r="BR32" s="63">
        <f>-(BR25+BR44)*Inputs!$L$98*Inputs!$L$99*Inputs!$L$100</f>
        <v>0</v>
      </c>
      <c r="BS32" s="63">
        <f>-(BS25+BS44)*Inputs!$L$98*Inputs!$L$99*Inputs!$L$100</f>
        <v>0</v>
      </c>
      <c r="BT32" s="63">
        <f>-(BT25+BT44)*Inputs!$L$98*Inputs!$L$99*Inputs!$L$100</f>
        <v>0</v>
      </c>
      <c r="BU32" s="63">
        <f>-(BU25+BU44)*Inputs!$L$98*Inputs!$L$99*Inputs!$L$100</f>
        <v>0</v>
      </c>
      <c r="BV32" s="63">
        <f>-(BV25+BV44)*Inputs!$L$98*Inputs!$L$99*Inputs!$L$100</f>
        <v>0</v>
      </c>
      <c r="BW32" s="63">
        <f>-(BW25+BW44)*Inputs!$L$98*Inputs!$L$99*Inputs!$L$100</f>
        <v>0</v>
      </c>
      <c r="BX32" s="63">
        <f>-(BX25+BX44)*Inputs!$L$98*Inputs!$L$99*Inputs!$L$100</f>
        <v>0</v>
      </c>
      <c r="BY32" s="63">
        <f>-(BY25+BY44)*Inputs!$L$98*Inputs!$L$99*Inputs!$L$100</f>
        <v>0</v>
      </c>
      <c r="BZ32" s="63">
        <f>-(BZ25+BZ44)*Inputs!$L$98*Inputs!$L$99*Inputs!$L$100</f>
        <v>0</v>
      </c>
      <c r="CA32" s="63">
        <f>-(CA25+CA44)*Inputs!$L$98*Inputs!$L$99*Inputs!$L$100</f>
        <v>0</v>
      </c>
      <c r="CB32" s="63">
        <f>-(CB25+CB44)*Inputs!$L$98*Inputs!$L$99*Inputs!$L$100</f>
        <v>0</v>
      </c>
      <c r="CC32" s="63">
        <f>-(CC25+CC44)*Inputs!$L$98*Inputs!$L$99*Inputs!$L$100</f>
        <v>0</v>
      </c>
      <c r="CD32" s="63">
        <f>-(CD25+CD44)*Inputs!$L$98*Inputs!$L$99*Inputs!$L$100</f>
        <v>0</v>
      </c>
      <c r="CE32" s="63">
        <f>-(CE25+CE44)*Inputs!$L$98*Inputs!$L$99*Inputs!$L$100</f>
        <v>0</v>
      </c>
      <c r="CF32" s="63">
        <f>-(CF25+CF44)*Inputs!$L$98*Inputs!$L$99*Inputs!$L$100</f>
        <v>0</v>
      </c>
      <c r="CG32" s="63">
        <f>-(CG25+CG44)*Inputs!$L$98*Inputs!$L$99*Inputs!$L$100</f>
        <v>0</v>
      </c>
      <c r="CH32" s="63">
        <f>-(CH25+CH44)*Inputs!$L$98*Inputs!$L$99*Inputs!$L$100</f>
        <v>0</v>
      </c>
      <c r="CI32" s="63">
        <f>-(CI25+CI44)*Inputs!$L$98*Inputs!$L$99*Inputs!$L$100</f>
        <v>0</v>
      </c>
      <c r="CJ32" s="63">
        <f>-(CJ25+CJ44)*Inputs!$L$98*Inputs!$L$99*Inputs!$L$100</f>
        <v>0</v>
      </c>
      <c r="CK32" s="63">
        <f>-(CK25+CK44)*Inputs!$L$98*Inputs!$L$99*Inputs!$L$100</f>
        <v>0</v>
      </c>
      <c r="CL32" s="63">
        <f>-(CL25+CL44)*Inputs!$L$98*Inputs!$L$99*Inputs!$L$100</f>
        <v>0</v>
      </c>
      <c r="CM32" s="63">
        <f>-(CM25+CM44)*Inputs!$L$98*Inputs!$L$99*Inputs!$L$100</f>
        <v>0</v>
      </c>
      <c r="CN32" s="63">
        <f>-(CN25+CN44)*Inputs!$L$98*Inputs!$L$99*Inputs!$L$100</f>
        <v>0</v>
      </c>
      <c r="CO32" s="63">
        <f>-(CO25+CO44)*Inputs!$L$98*Inputs!$L$99*Inputs!$L$100</f>
        <v>0</v>
      </c>
      <c r="CP32" s="63">
        <f>-(CP25+CP44)*Inputs!$L$98*Inputs!$L$99*Inputs!$L$100</f>
        <v>0</v>
      </c>
      <c r="CQ32" s="63">
        <f>-(CQ25+CQ44)*Inputs!$L$98*Inputs!$L$99*Inputs!$L$100</f>
        <v>0</v>
      </c>
      <c r="CR32" s="63">
        <f>-(CR25+CR44)*Inputs!$L$98*Inputs!$L$99*Inputs!$L$100</f>
        <v>0</v>
      </c>
      <c r="CS32" s="63">
        <f>-(CS25+CS44)*Inputs!$L$98*Inputs!$L$99*Inputs!$L$100</f>
        <v>0</v>
      </c>
      <c r="CT32" s="63">
        <f>-(CT25+CT44)*Inputs!$L$98*Inputs!$L$99*Inputs!$L$100</f>
        <v>0</v>
      </c>
      <c r="CU32" s="63">
        <f>-(CU25+CU44)*Inputs!$L$98*Inputs!$L$99*Inputs!$L$100</f>
        <v>0</v>
      </c>
      <c r="CV32" s="63">
        <f>-(CV25+CV44)*Inputs!$L$98*Inputs!$L$99*Inputs!$L$100</f>
        <v>0</v>
      </c>
      <c r="CW32" s="63">
        <f>-(CW25+CW44)*Inputs!$L$98*Inputs!$L$99*Inputs!$L$100</f>
        <v>0</v>
      </c>
      <c r="CX32" s="63">
        <f>-(CX25+CX44)*Inputs!$L$98*Inputs!$L$99*Inputs!$L$100</f>
        <v>0</v>
      </c>
      <c r="CY32" s="63">
        <f>-(CY25+CY44)*Inputs!$L$98*Inputs!$L$99*Inputs!$L$100</f>
        <v>0</v>
      </c>
      <c r="CZ32" s="63">
        <f>-(CZ25+CZ44)*Inputs!$L$98*Inputs!$L$99*Inputs!$L$100</f>
        <v>0</v>
      </c>
      <c r="DA32" s="63">
        <f>-(DA25+DA44)*Inputs!$L$98*Inputs!$L$99*Inputs!$L$100</f>
        <v>0</v>
      </c>
      <c r="DB32" s="63">
        <f>-(DB25+DB44)*Inputs!$L$98*Inputs!$L$99*Inputs!$L$100</f>
        <v>0</v>
      </c>
      <c r="DC32" s="63">
        <f>-(DC25+DC44)*Inputs!$L$98*Inputs!$L$99*Inputs!$L$100</f>
        <v>0</v>
      </c>
      <c r="DD32" s="63">
        <f>-(DD25+DD44)*Inputs!$L$98*Inputs!$L$99*Inputs!$L$100</f>
        <v>0</v>
      </c>
      <c r="DE32" s="63">
        <f>-(DE25+DE44)*Inputs!$L$98*Inputs!$L$99*Inputs!$L$100</f>
        <v>0</v>
      </c>
      <c r="DF32" s="63">
        <f>-(DF25+DF44)*Inputs!$L$98*Inputs!$L$99*Inputs!$L$100</f>
        <v>0</v>
      </c>
      <c r="DG32" s="63">
        <f>-(DG25+DG44)*Inputs!$L$98*Inputs!$L$99*Inputs!$L$100</f>
        <v>0</v>
      </c>
      <c r="DH32" s="63">
        <f>-(DH25+DH44)*Inputs!$L$98*Inputs!$L$99*Inputs!$L$100</f>
        <v>0</v>
      </c>
      <c r="DI32" s="63">
        <f>-(DI25+DI44)*Inputs!$L$98*Inputs!$L$99*Inputs!$L$100</f>
        <v>0</v>
      </c>
      <c r="DJ32" s="63">
        <f>-(DJ25+DJ44)*Inputs!$L$98*Inputs!$L$99*Inputs!$L$100</f>
        <v>0</v>
      </c>
      <c r="DK32" s="63">
        <f>-(DK25+DK44)*Inputs!$L$98*Inputs!$L$99*Inputs!$L$100</f>
        <v>0</v>
      </c>
      <c r="DL32" s="63">
        <f>-(DL25+DL44)*Inputs!$L$98*Inputs!$L$99*Inputs!$L$100</f>
        <v>0</v>
      </c>
      <c r="DM32" s="63">
        <f>-(DM25+DM44)*Inputs!$L$98*Inputs!$L$99*Inputs!$L$100</f>
        <v>0</v>
      </c>
      <c r="DN32" s="63">
        <f>-(DN25+DN44)*Inputs!$L$98*Inputs!$L$99*Inputs!$L$100</f>
        <v>0</v>
      </c>
      <c r="DO32" s="63">
        <f>-(DO25+DO44)*Inputs!$L$98*Inputs!$L$99*Inputs!$L$100</f>
        <v>0</v>
      </c>
      <c r="DP32" s="63">
        <f>-(DP25+DP44)*Inputs!$L$98*Inputs!$L$99*Inputs!$L$100</f>
        <v>0</v>
      </c>
      <c r="DQ32" s="16"/>
    </row>
    <row r="33" spans="1:121" x14ac:dyDescent="0.2">
      <c r="C33" s="163" t="s">
        <v>350</v>
      </c>
      <c r="K33" s="144" t="s">
        <v>63</v>
      </c>
      <c r="L33" s="63"/>
      <c r="M33" s="63"/>
      <c r="N33" s="63">
        <f t="shared" si="63"/>
        <v>1982.7223300000005</v>
      </c>
      <c r="O33" s="39"/>
      <c r="Q33" s="63"/>
      <c r="R33" s="63"/>
      <c r="S33" s="63">
        <f>-Fin!S315-Fin!S316</f>
        <v>0</v>
      </c>
      <c r="T33" s="63">
        <f>-Fin!T315-Fin!T316</f>
        <v>0</v>
      </c>
      <c r="U33" s="63">
        <f>-Fin!U315-Fin!U316</f>
        <v>0</v>
      </c>
      <c r="V33" s="63">
        <f>-Fin!V315-Fin!V316</f>
        <v>0</v>
      </c>
      <c r="W33" s="63">
        <f>-Fin!W315-Fin!W316</f>
        <v>0</v>
      </c>
      <c r="X33" s="63">
        <f>-Fin!X315-Fin!X316</f>
        <v>0</v>
      </c>
      <c r="Y33" s="63">
        <f>-Fin!Y315-Fin!Y316</f>
        <v>0</v>
      </c>
      <c r="Z33" s="63">
        <f>-Fin!Z315-Fin!Z316</f>
        <v>0</v>
      </c>
      <c r="AA33" s="63">
        <f>-Fin!AA315-Fin!AA316</f>
        <v>0</v>
      </c>
      <c r="AB33" s="63">
        <f>-Fin!AB315-Fin!AB316</f>
        <v>0</v>
      </c>
      <c r="AC33" s="63">
        <f>-Fin!AC315-Fin!AC316</f>
        <v>0</v>
      </c>
      <c r="AD33" s="63">
        <f>-Fin!AD315-Fin!AD316</f>
        <v>0</v>
      </c>
      <c r="AE33" s="63">
        <f>-Fin!AE315-Fin!AE316</f>
        <v>0</v>
      </c>
      <c r="AF33" s="63">
        <f>-Fin!AF315-Fin!AF316</f>
        <v>0</v>
      </c>
      <c r="AG33" s="63">
        <f>-Fin!AG315-Fin!AG316</f>
        <v>0</v>
      </c>
      <c r="AH33" s="63">
        <f>-Fin!AH315-Fin!AH316</f>
        <v>0</v>
      </c>
      <c r="AI33" s="63">
        <f>-Fin!AI315-Fin!AI316</f>
        <v>0</v>
      </c>
      <c r="AJ33" s="63">
        <f>-Fin!AJ315-Fin!AJ316</f>
        <v>0</v>
      </c>
      <c r="AK33" s="63">
        <f>-Fin!AK315-Fin!AK316</f>
        <v>0</v>
      </c>
      <c r="AL33" s="63">
        <f>-Fin!AL315-Fin!AL316</f>
        <v>0</v>
      </c>
      <c r="AM33" s="63">
        <f>-Fin!AM315-Fin!AM316</f>
        <v>0</v>
      </c>
      <c r="AN33" s="63">
        <f>-Fin!AN315-Fin!AN316</f>
        <v>0</v>
      </c>
      <c r="AO33" s="63">
        <f>-Fin!AO315-Fin!AO316</f>
        <v>0</v>
      </c>
      <c r="AP33" s="63">
        <f>-Fin!AP315-Fin!AP316</f>
        <v>0</v>
      </c>
      <c r="AQ33" s="63">
        <f>-Fin!AQ315-Fin!AQ316</f>
        <v>0</v>
      </c>
      <c r="AR33" s="63">
        <f>-Fin!AR315-Fin!AR316</f>
        <v>0</v>
      </c>
      <c r="AS33" s="63">
        <f>-Fin!AS315-Fin!AS316</f>
        <v>0</v>
      </c>
      <c r="AT33" s="63">
        <f>-Fin!AT315-Fin!AT316</f>
        <v>0</v>
      </c>
      <c r="AU33" s="63">
        <f>-Fin!AU315-Fin!AU316</f>
        <v>0</v>
      </c>
      <c r="AV33" s="63">
        <f>-Fin!AV315-Fin!AV316</f>
        <v>0</v>
      </c>
      <c r="AW33" s="63">
        <f>-Fin!AW315-Fin!AW316</f>
        <v>0</v>
      </c>
      <c r="AX33" s="63">
        <f>-Fin!AX315-Fin!AX316</f>
        <v>0</v>
      </c>
      <c r="AY33" s="63">
        <f>-Fin!AY315-Fin!AY316</f>
        <v>0</v>
      </c>
      <c r="AZ33" s="63">
        <f>-Fin!AZ315-Fin!AZ316</f>
        <v>0</v>
      </c>
      <c r="BA33" s="63">
        <f>-Fin!BA315-Fin!BA316</f>
        <v>0</v>
      </c>
      <c r="BB33" s="63">
        <f>-Fin!BB315-Fin!BB316</f>
        <v>0</v>
      </c>
      <c r="BC33" s="63">
        <f>-Fin!BC315-Fin!BC316</f>
        <v>0</v>
      </c>
      <c r="BD33" s="63">
        <f>-Fin!BD315-Fin!BD316</f>
        <v>0</v>
      </c>
      <c r="BE33" s="63">
        <f>-Fin!BE315-Fin!BE316</f>
        <v>0</v>
      </c>
      <c r="BF33" s="63">
        <f>-Fin!BF315-Fin!BF316</f>
        <v>0</v>
      </c>
      <c r="BG33" s="63">
        <f>-Fin!BG315-Fin!BG316</f>
        <v>0</v>
      </c>
      <c r="BH33" s="63">
        <f>-Fin!BH315-Fin!BH316</f>
        <v>0</v>
      </c>
      <c r="BI33" s="63">
        <f>-Fin!BI315-Fin!BI316</f>
        <v>0</v>
      </c>
      <c r="BJ33" s="63">
        <f>-Fin!BJ315-Fin!BJ316</f>
        <v>1982.7223300000005</v>
      </c>
      <c r="BK33" s="63">
        <f>-Fin!BK315-Fin!BK316</f>
        <v>0</v>
      </c>
      <c r="BL33" s="63">
        <f>-Fin!BL315-Fin!BL316</f>
        <v>0</v>
      </c>
      <c r="BM33" s="63">
        <f>-Fin!BM315-Fin!BM316</f>
        <v>0</v>
      </c>
      <c r="BN33" s="63">
        <f>-Fin!BN315-Fin!BN316</f>
        <v>0</v>
      </c>
      <c r="BO33" s="63">
        <f>-Fin!BO315-Fin!BO316</f>
        <v>0</v>
      </c>
      <c r="BP33" s="63">
        <f>-Fin!BP315-Fin!BP316</f>
        <v>0</v>
      </c>
      <c r="BQ33" s="63">
        <f>-Fin!BQ315-Fin!BQ316</f>
        <v>0</v>
      </c>
      <c r="BR33" s="63">
        <f>-Fin!BR315-Fin!BR316</f>
        <v>0</v>
      </c>
      <c r="BS33" s="63">
        <f>-Fin!BS315-Fin!BS316</f>
        <v>0</v>
      </c>
      <c r="BT33" s="63">
        <f>-Fin!BT315-Fin!BT316</f>
        <v>0</v>
      </c>
      <c r="BU33" s="63">
        <f>-Fin!BU315-Fin!BU316</f>
        <v>0</v>
      </c>
      <c r="BV33" s="63">
        <f>-Fin!BV315-Fin!BV316</f>
        <v>0</v>
      </c>
      <c r="BW33" s="63">
        <f>-Fin!BW315-Fin!BW316</f>
        <v>0</v>
      </c>
      <c r="BX33" s="63">
        <f>-Fin!BX315-Fin!BX316</f>
        <v>0</v>
      </c>
      <c r="BY33" s="63">
        <f>-Fin!BY315-Fin!BY316</f>
        <v>0</v>
      </c>
      <c r="BZ33" s="63">
        <f>-Fin!BZ315-Fin!BZ316</f>
        <v>0</v>
      </c>
      <c r="CA33" s="63">
        <f>-Fin!CA315-Fin!CA316</f>
        <v>0</v>
      </c>
      <c r="CB33" s="63">
        <f>-Fin!CB315-Fin!CB316</f>
        <v>0</v>
      </c>
      <c r="CC33" s="63">
        <f>-Fin!CC315-Fin!CC316</f>
        <v>0</v>
      </c>
      <c r="CD33" s="63">
        <f>-Fin!CD315-Fin!CD316</f>
        <v>0</v>
      </c>
      <c r="CE33" s="63">
        <f>-Fin!CE315-Fin!CE316</f>
        <v>0</v>
      </c>
      <c r="CF33" s="63">
        <f>-Fin!CF315-Fin!CF316</f>
        <v>0</v>
      </c>
      <c r="CG33" s="63">
        <f>-Fin!CG315-Fin!CG316</f>
        <v>0</v>
      </c>
      <c r="CH33" s="63">
        <f>-Fin!CH315-Fin!CH316</f>
        <v>0</v>
      </c>
      <c r="CI33" s="63">
        <f>-Fin!CI315-Fin!CI316</f>
        <v>0</v>
      </c>
      <c r="CJ33" s="63">
        <f>-Fin!CJ315-Fin!CJ316</f>
        <v>0</v>
      </c>
      <c r="CK33" s="63">
        <f>-Fin!CK315-Fin!CK316</f>
        <v>0</v>
      </c>
      <c r="CL33" s="63">
        <f>-Fin!CL315-Fin!CL316</f>
        <v>0</v>
      </c>
      <c r="CM33" s="63">
        <f>-Fin!CM315-Fin!CM316</f>
        <v>0</v>
      </c>
      <c r="CN33" s="63">
        <f>-Fin!CN315-Fin!CN316</f>
        <v>0</v>
      </c>
      <c r="CO33" s="63">
        <f>-Fin!CO315-Fin!CO316</f>
        <v>0</v>
      </c>
      <c r="CP33" s="63">
        <f>-Fin!CP315-Fin!CP316</f>
        <v>0</v>
      </c>
      <c r="CQ33" s="63">
        <f>-Fin!CQ315-Fin!CQ316</f>
        <v>0</v>
      </c>
      <c r="CR33" s="63">
        <f>-Fin!CR315-Fin!CR316</f>
        <v>0</v>
      </c>
      <c r="CS33" s="63">
        <f>-Fin!CS315-Fin!CS316</f>
        <v>0</v>
      </c>
      <c r="CT33" s="63">
        <f>-Fin!CT315-Fin!CT316</f>
        <v>0</v>
      </c>
      <c r="CU33" s="63">
        <f>-Fin!CU315-Fin!CU316</f>
        <v>0</v>
      </c>
      <c r="CV33" s="63">
        <f>-Fin!CV315-Fin!CV316</f>
        <v>0</v>
      </c>
      <c r="CW33" s="63">
        <f>-Fin!CW315-Fin!CW316</f>
        <v>0</v>
      </c>
      <c r="CX33" s="63">
        <f>-Fin!CX315-Fin!CX316</f>
        <v>0</v>
      </c>
      <c r="CY33" s="63">
        <f>-Fin!CY315-Fin!CY316</f>
        <v>0</v>
      </c>
      <c r="CZ33" s="63">
        <f>-Fin!CZ315-Fin!CZ316</f>
        <v>0</v>
      </c>
      <c r="DA33" s="63">
        <f>-Fin!DA315-Fin!DA316</f>
        <v>0</v>
      </c>
      <c r="DB33" s="63">
        <f>-Fin!DB315-Fin!DB316</f>
        <v>0</v>
      </c>
      <c r="DC33" s="63">
        <f>-Fin!DC315-Fin!DC316</f>
        <v>0</v>
      </c>
      <c r="DD33" s="63">
        <f>-Fin!DD315-Fin!DD316</f>
        <v>0</v>
      </c>
      <c r="DE33" s="63">
        <f>-Fin!DE315-Fin!DE316</f>
        <v>0</v>
      </c>
      <c r="DF33" s="63">
        <f>-Fin!DF315-Fin!DF316</f>
        <v>0</v>
      </c>
      <c r="DG33" s="63">
        <f>-Fin!DG315-Fin!DG316</f>
        <v>0</v>
      </c>
      <c r="DH33" s="63">
        <f>-Fin!DH315-Fin!DH316</f>
        <v>0</v>
      </c>
      <c r="DI33" s="63">
        <f>-Fin!DI315-Fin!DI316</f>
        <v>0</v>
      </c>
      <c r="DJ33" s="63">
        <f>-Fin!DJ315-Fin!DJ316</f>
        <v>0</v>
      </c>
      <c r="DK33" s="63">
        <f>-Fin!DK315-Fin!DK316</f>
        <v>0</v>
      </c>
      <c r="DL33" s="63">
        <f>-Fin!DL315-Fin!DL316</f>
        <v>0</v>
      </c>
      <c r="DM33" s="63">
        <f>-Fin!DM315-Fin!DM316</f>
        <v>0</v>
      </c>
      <c r="DN33" s="63">
        <f>-Fin!DN315-Fin!DN316</f>
        <v>0</v>
      </c>
      <c r="DO33" s="63">
        <f>-Fin!DO315-Fin!DO316</f>
        <v>0</v>
      </c>
      <c r="DP33" s="63">
        <f>-Fin!DP315-Fin!DP316</f>
        <v>0</v>
      </c>
      <c r="DQ33" s="16"/>
    </row>
    <row r="34" spans="1:121" x14ac:dyDescent="0.2">
      <c r="L34" s="63"/>
      <c r="M34" s="63"/>
      <c r="N34" s="63"/>
      <c r="O34" s="39"/>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16"/>
    </row>
    <row r="35" spans="1:121" x14ac:dyDescent="0.2">
      <c r="C35" s="17" t="s">
        <v>67</v>
      </c>
      <c r="D35" s="17"/>
      <c r="E35" s="17"/>
      <c r="F35" s="17"/>
      <c r="G35" s="25"/>
      <c r="H35" s="38"/>
      <c r="I35" s="17"/>
      <c r="J35" s="17"/>
      <c r="K35" s="637" t="s">
        <v>63</v>
      </c>
      <c r="L35" s="25"/>
      <c r="M35" s="25"/>
      <c r="N35" s="748">
        <f>SUM(Q35:DQ35)</f>
        <v>34703400.735021822</v>
      </c>
      <c r="O35" s="25"/>
      <c r="P35" s="17"/>
      <c r="Q35" s="748"/>
      <c r="R35" s="748"/>
      <c r="S35" s="748">
        <f t="shared" ref="S35" si="64">SUM(S25:S34)</f>
        <v>89846.957513966117</v>
      </c>
      <c r="T35" s="748">
        <f t="shared" ref="T35:BJ35" si="65">SUM(T25:T34)</f>
        <v>107787.25778688517</v>
      </c>
      <c r="U35" s="748">
        <f t="shared" si="65"/>
        <v>127292.93067584572</v>
      </c>
      <c r="V35" s="748">
        <f t="shared" si="65"/>
        <v>149007.99685362194</v>
      </c>
      <c r="W35" s="748">
        <f t="shared" si="65"/>
        <v>160619.93723227814</v>
      </c>
      <c r="X35" s="748">
        <f t="shared" si="65"/>
        <v>173006.67532120904</v>
      </c>
      <c r="Y35" s="748">
        <f t="shared" si="65"/>
        <v>186189.54259599856</v>
      </c>
      <c r="Z35" s="748">
        <f t="shared" si="65"/>
        <v>200181.53143253952</v>
      </c>
      <c r="AA35" s="748">
        <f t="shared" si="65"/>
        <v>214980.91978116057</v>
      </c>
      <c r="AB35" s="748">
        <f t="shared" si="65"/>
        <v>234872.71762222287</v>
      </c>
      <c r="AC35" s="748">
        <f t="shared" si="65"/>
        <v>256317.90226592895</v>
      </c>
      <c r="AD35" s="748">
        <f t="shared" si="65"/>
        <v>279455.3537780089</v>
      </c>
      <c r="AE35" s="748">
        <f t="shared" si="65"/>
        <v>304432.7856825809</v>
      </c>
      <c r="AF35" s="748">
        <f t="shared" si="65"/>
        <v>331410.33040269662</v>
      </c>
      <c r="AG35" s="748">
        <f t="shared" si="65"/>
        <v>353824.42259048193</v>
      </c>
      <c r="AH35" s="748">
        <f t="shared" si="65"/>
        <v>376997.69227556384</v>
      </c>
      <c r="AI35" s="748">
        <f t="shared" si="65"/>
        <v>400660.7529097388</v>
      </c>
      <c r="AJ35" s="748">
        <f t="shared" si="65"/>
        <v>424407.26491201326</v>
      </c>
      <c r="AK35" s="748">
        <f t="shared" si="65"/>
        <v>447640.31933821109</v>
      </c>
      <c r="AL35" s="748">
        <f t="shared" si="65"/>
        <v>491401.72096867103</v>
      </c>
      <c r="AM35" s="748">
        <f t="shared" si="65"/>
        <v>535137.38779530756</v>
      </c>
      <c r="AN35" s="748">
        <f t="shared" si="65"/>
        <v>579901.4357321976</v>
      </c>
      <c r="AO35" s="748">
        <f t="shared" si="65"/>
        <v>626489.47343321692</v>
      </c>
      <c r="AP35" s="748">
        <f t="shared" si="65"/>
        <v>675513.23155296955</v>
      </c>
      <c r="AQ35" s="748">
        <f t="shared" si="65"/>
        <v>718618.1663494797</v>
      </c>
      <c r="AR35" s="748">
        <f t="shared" si="65"/>
        <v>764064.33801144105</v>
      </c>
      <c r="AS35" s="748">
        <f t="shared" si="65"/>
        <v>811824.68996448664</v>
      </c>
      <c r="AT35" s="748">
        <f t="shared" si="65"/>
        <v>861800.749404039</v>
      </c>
      <c r="AU35" s="748">
        <f t="shared" si="65"/>
        <v>913784.04889413237</v>
      </c>
      <c r="AV35" s="748">
        <f t="shared" si="65"/>
        <v>972984.16301102925</v>
      </c>
      <c r="AW35" s="748">
        <f t="shared" si="65"/>
        <v>1035881.3298988369</v>
      </c>
      <c r="AX35" s="748">
        <f t="shared" si="65"/>
        <v>1102698.5513239114</v>
      </c>
      <c r="AY35" s="748">
        <f t="shared" si="65"/>
        <v>1173680.8770877966</v>
      </c>
      <c r="AZ35" s="748">
        <f t="shared" si="65"/>
        <v>1249089.5869846835</v>
      </c>
      <c r="BA35" s="748">
        <f t="shared" si="65"/>
        <v>1328650.2403321571</v>
      </c>
      <c r="BB35" s="748">
        <f t="shared" si="65"/>
        <v>1413195.2943792967</v>
      </c>
      <c r="BC35" s="748">
        <f t="shared" si="65"/>
        <v>1503029.1087251636</v>
      </c>
      <c r="BD35" s="748">
        <f t="shared" si="65"/>
        <v>1598473.8326373152</v>
      </c>
      <c r="BE35" s="748">
        <f t="shared" si="65"/>
        <v>1474161.2991422408</v>
      </c>
      <c r="BF35" s="748">
        <f t="shared" si="65"/>
        <v>1864685.1254187608</v>
      </c>
      <c r="BG35" s="748">
        <f t="shared" si="65"/>
        <v>2009666.1697636149</v>
      </c>
      <c r="BH35" s="748">
        <f t="shared" si="65"/>
        <v>2165869.7007026696</v>
      </c>
      <c r="BI35" s="748">
        <f t="shared" si="65"/>
        <v>2334161.8378286157</v>
      </c>
      <c r="BJ35" s="748">
        <f t="shared" si="65"/>
        <v>1679705.0847088366</v>
      </c>
      <c r="BK35" s="748">
        <f t="shared" ref="BK35:CB35" si="66">SUM(BK25:BK34)</f>
        <v>0</v>
      </c>
      <c r="BL35" s="748">
        <f t="shared" si="66"/>
        <v>0</v>
      </c>
      <c r="BM35" s="748">
        <f t="shared" si="66"/>
        <v>0</v>
      </c>
      <c r="BN35" s="748">
        <f t="shared" si="66"/>
        <v>0</v>
      </c>
      <c r="BO35" s="748">
        <f t="shared" si="66"/>
        <v>0</v>
      </c>
      <c r="BP35" s="748">
        <f t="shared" si="66"/>
        <v>0</v>
      </c>
      <c r="BQ35" s="748">
        <f t="shared" si="66"/>
        <v>0</v>
      </c>
      <c r="BR35" s="748">
        <f t="shared" si="66"/>
        <v>0</v>
      </c>
      <c r="BS35" s="748">
        <f t="shared" si="66"/>
        <v>0</v>
      </c>
      <c r="BT35" s="748">
        <f t="shared" si="66"/>
        <v>0</v>
      </c>
      <c r="BU35" s="748">
        <f t="shared" si="66"/>
        <v>0</v>
      </c>
      <c r="BV35" s="748">
        <f t="shared" si="66"/>
        <v>0</v>
      </c>
      <c r="BW35" s="748">
        <f t="shared" si="66"/>
        <v>0</v>
      </c>
      <c r="BX35" s="748">
        <f t="shared" si="66"/>
        <v>0</v>
      </c>
      <c r="BY35" s="748">
        <f t="shared" si="66"/>
        <v>0</v>
      </c>
      <c r="BZ35" s="748">
        <f t="shared" si="66"/>
        <v>0</v>
      </c>
      <c r="CA35" s="748">
        <f t="shared" si="66"/>
        <v>0</v>
      </c>
      <c r="CB35" s="748">
        <f t="shared" si="66"/>
        <v>0</v>
      </c>
      <c r="CC35" s="748">
        <f t="shared" ref="CC35:DH35" si="67">SUM(CC25:CC34)</f>
        <v>0</v>
      </c>
      <c r="CD35" s="748">
        <f t="shared" si="67"/>
        <v>0</v>
      </c>
      <c r="CE35" s="748">
        <f t="shared" si="67"/>
        <v>0</v>
      </c>
      <c r="CF35" s="748">
        <f t="shared" si="67"/>
        <v>0</v>
      </c>
      <c r="CG35" s="748">
        <f t="shared" si="67"/>
        <v>0</v>
      </c>
      <c r="CH35" s="748">
        <f t="shared" si="67"/>
        <v>0</v>
      </c>
      <c r="CI35" s="748">
        <f t="shared" si="67"/>
        <v>0</v>
      </c>
      <c r="CJ35" s="748">
        <f t="shared" si="67"/>
        <v>0</v>
      </c>
      <c r="CK35" s="748">
        <f t="shared" si="67"/>
        <v>0</v>
      </c>
      <c r="CL35" s="748">
        <f t="shared" si="67"/>
        <v>0</v>
      </c>
      <c r="CM35" s="748">
        <f t="shared" si="67"/>
        <v>0</v>
      </c>
      <c r="CN35" s="748">
        <f t="shared" si="67"/>
        <v>0</v>
      </c>
      <c r="CO35" s="748">
        <f t="shared" si="67"/>
        <v>0</v>
      </c>
      <c r="CP35" s="748">
        <f t="shared" si="67"/>
        <v>0</v>
      </c>
      <c r="CQ35" s="748">
        <f t="shared" si="67"/>
        <v>0</v>
      </c>
      <c r="CR35" s="748">
        <f t="shared" si="67"/>
        <v>0</v>
      </c>
      <c r="CS35" s="748">
        <f t="shared" si="67"/>
        <v>0</v>
      </c>
      <c r="CT35" s="748">
        <f t="shared" si="67"/>
        <v>0</v>
      </c>
      <c r="CU35" s="748">
        <f t="shared" si="67"/>
        <v>0</v>
      </c>
      <c r="CV35" s="748">
        <f t="shared" si="67"/>
        <v>0</v>
      </c>
      <c r="CW35" s="748">
        <f t="shared" si="67"/>
        <v>0</v>
      </c>
      <c r="CX35" s="748">
        <f t="shared" si="67"/>
        <v>0</v>
      </c>
      <c r="CY35" s="748">
        <f t="shared" si="67"/>
        <v>0</v>
      </c>
      <c r="CZ35" s="748">
        <f t="shared" si="67"/>
        <v>0</v>
      </c>
      <c r="DA35" s="748">
        <f t="shared" si="67"/>
        <v>0</v>
      </c>
      <c r="DB35" s="748">
        <f t="shared" si="67"/>
        <v>0</v>
      </c>
      <c r="DC35" s="748">
        <f t="shared" si="67"/>
        <v>0</v>
      </c>
      <c r="DD35" s="748">
        <f t="shared" si="67"/>
        <v>0</v>
      </c>
      <c r="DE35" s="748">
        <f t="shared" si="67"/>
        <v>0</v>
      </c>
      <c r="DF35" s="748">
        <f t="shared" si="67"/>
        <v>0</v>
      </c>
      <c r="DG35" s="748">
        <f t="shared" si="67"/>
        <v>0</v>
      </c>
      <c r="DH35" s="748">
        <f t="shared" si="67"/>
        <v>0</v>
      </c>
      <c r="DI35" s="748">
        <f t="shared" ref="DI35:DP35" si="68">SUM(DI25:DI34)</f>
        <v>0</v>
      </c>
      <c r="DJ35" s="748">
        <f t="shared" si="68"/>
        <v>0</v>
      </c>
      <c r="DK35" s="748">
        <f t="shared" si="68"/>
        <v>0</v>
      </c>
      <c r="DL35" s="748">
        <f t="shared" si="68"/>
        <v>0</v>
      </c>
      <c r="DM35" s="748">
        <f t="shared" si="68"/>
        <v>0</v>
      </c>
      <c r="DN35" s="748">
        <f t="shared" si="68"/>
        <v>0</v>
      </c>
      <c r="DO35" s="748">
        <f t="shared" si="68"/>
        <v>0</v>
      </c>
      <c r="DP35" s="748">
        <f t="shared" si="68"/>
        <v>0</v>
      </c>
      <c r="DQ35" s="31"/>
    </row>
    <row r="36" spans="1:121" x14ac:dyDescent="0.2">
      <c r="L36" s="63"/>
      <c r="M36" s="63"/>
      <c r="N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16"/>
    </row>
    <row r="37" spans="1:121" x14ac:dyDescent="0.2">
      <c r="C37" s="61" t="s">
        <v>68</v>
      </c>
      <c r="K37" s="144" t="s">
        <v>63</v>
      </c>
      <c r="L37" s="63"/>
      <c r="M37" s="63"/>
      <c r="N37" s="63">
        <f t="shared" ref="N37:N42" si="69">SUM(Q37:DQ37)</f>
        <v>2359374.8543635271</v>
      </c>
      <c r="Q37" s="126"/>
      <c r="R37" s="63"/>
      <c r="S37" s="63">
        <f>+Fin!S213+-(-Fin!S89)+Fin!S37+Fin!S50+Fin!S51+Fin!S52+Fin!S53</f>
        <v>0</v>
      </c>
      <c r="T37" s="63">
        <f>+Fin!T213+-(-Fin!T89)+Fin!T37+Fin!T50+Fin!T51+Fin!T52+Fin!T53</f>
        <v>0</v>
      </c>
      <c r="U37" s="63">
        <f>+Fin!U213+-(-Fin!U89)+Fin!U37+Fin!U50+Fin!U51+Fin!U52+Fin!U53</f>
        <v>616758.50732369267</v>
      </c>
      <c r="V37" s="63">
        <f>+Fin!V213+-(-Fin!V89)+Fin!V37+Fin!V50+Fin!V51+Fin!V52+Fin!V53</f>
        <v>3590.8031428707486</v>
      </c>
      <c r="W37" s="63">
        <f>+Fin!W213+-(-Fin!W89)+Fin!W37+Fin!W50+Fin!W51+Fin!W52+Fin!W53</f>
        <v>4760.5154907399174</v>
      </c>
      <c r="X37" s="63">
        <f>+Fin!X213+-(-Fin!X89)+Fin!X37+Fin!X50+Fin!X51+Fin!X52+Fin!X53</f>
        <v>6174.275185812714</v>
      </c>
      <c r="Y37" s="63">
        <f>+Fin!Y213+-(-Fin!Y89)+Fin!Y37+Fin!Y50+Fin!Y51+Fin!Y52+Fin!Y53</f>
        <v>7889.8770163611152</v>
      </c>
      <c r="Z37" s="63">
        <f>+Fin!Z213+-(-Fin!Z89)+Fin!Z37+Fin!Z50+Fin!Z51+Fin!Z52+Fin!Z53</f>
        <v>26281.983251327314</v>
      </c>
      <c r="AA37" s="63">
        <f>+Fin!AA213+-(-Fin!AA89)+Fin!AA37+Fin!AA50+Fin!AA51+Fin!AA52+Fin!AA53</f>
        <v>29663.311907241117</v>
      </c>
      <c r="AB37" s="63">
        <f>+Fin!AB213+-(-Fin!AB89)+Fin!AB37+Fin!AB50+Fin!AB51+Fin!AB52+Fin!AB53</f>
        <v>32041.645019957905</v>
      </c>
      <c r="AC37" s="63">
        <f>+Fin!AC213+-(-Fin!AC89)+Fin!AC37+Fin!AC50+Fin!AC51+Fin!AC52+Fin!AC53</f>
        <v>34807.216194034139</v>
      </c>
      <c r="AD37" s="63">
        <f>+Fin!AD213+-(-Fin!AD89)+Fin!AD37+Fin!AD50+Fin!AD51+Fin!AD52+Fin!AD53</f>
        <v>37986.873672286703</v>
      </c>
      <c r="AE37" s="63">
        <f>+Fin!AE213+-(-Fin!AE89)+Fin!AE37+Fin!AE50+Fin!AE51+Fin!AE52+Fin!AE53</f>
        <v>99714.646057769161</v>
      </c>
      <c r="AF37" s="63">
        <f>+Fin!AF213+-(-Fin!AF89)+Fin!AF37+Fin!AF50+Fin!AF51+Fin!AF52+Fin!AF53</f>
        <v>44663.001363939591</v>
      </c>
      <c r="AG37" s="63">
        <f>+Fin!AG213+-(-Fin!AG89)+Fin!AG37+Fin!AG50+Fin!AG51+Fin!AG52+Fin!AG53</f>
        <v>48687.154699828388</v>
      </c>
      <c r="AH37" s="63">
        <f>+Fin!AH213+-(-Fin!AH89)+Fin!AH37+Fin!AH50+Fin!AH51+Fin!AH52+Fin!AH53</f>
        <v>53505.891582419346</v>
      </c>
      <c r="AI37" s="63">
        <f>+Fin!AI213+-(-Fin!AI89)+Fin!AI37+Fin!AI50+Fin!AI51+Fin!AI52+Fin!AI53</f>
        <v>59372.224137263518</v>
      </c>
      <c r="AJ37" s="63">
        <f>+Fin!AJ213+-(-Fin!AJ89)+Fin!AJ37+Fin!AJ50+Fin!AJ51+Fin!AJ52+Fin!AJ53</f>
        <v>76628.264347512202</v>
      </c>
      <c r="AK37" s="63">
        <f>+Fin!AK213+-(-Fin!AK89)+Fin!AK37+Fin!AK50+Fin!AK51+Fin!AK52+Fin!AK53</f>
        <v>95736.955007188357</v>
      </c>
      <c r="AL37" s="63">
        <f>+Fin!AL213+-(-Fin!AL89)+Fin!AL37+Fin!AL50+Fin!AL51+Fin!AL52+Fin!AL53</f>
        <v>90384.598914979899</v>
      </c>
      <c r="AM37" s="63">
        <f>+Fin!AM213+-(-Fin!AM89)+Fin!AM37+Fin!AM50+Fin!AM51+Fin!AM52+Fin!AM53</f>
        <v>87847.975304427455</v>
      </c>
      <c r="AN37" s="63">
        <f>+Fin!AN213+-(-Fin!AN89)+Fin!AN37+Fin!AN50+Fin!AN51+Fin!AN52+Fin!AN53</f>
        <v>127273.52558223369</v>
      </c>
      <c r="AO37" s="63">
        <f>+Fin!AO213+-(-Fin!AO89)+Fin!AO37+Fin!AO50+Fin!AO51+Fin!AO52+Fin!AO53</f>
        <v>242142.59323991038</v>
      </c>
      <c r="AP37" s="63">
        <f>+Fin!AP213+-(-Fin!AP89)+Fin!AP37+Fin!AP50+Fin!AP51+Fin!AP52+Fin!AP53</f>
        <v>124112.74071768418</v>
      </c>
      <c r="AQ37" s="63">
        <f>+Fin!AQ213+-(-Fin!AQ89)+Fin!AQ37+Fin!AQ50+Fin!AQ51+Fin!AQ52+Fin!AQ53</f>
        <v>104522.93341488246</v>
      </c>
      <c r="AR37" s="63">
        <f>+Fin!AR213+-(-Fin!AR89)+Fin!AR37+Fin!AR50+Fin!AR51+Fin!AR52+Fin!AR53</f>
        <v>76476.724491239351</v>
      </c>
      <c r="AS37" s="63">
        <f>+Fin!AS213+-(-Fin!AS89)+Fin!AS37+Fin!AS50+Fin!AS51+Fin!AS52+Fin!AS53</f>
        <v>9710.6613725056704</v>
      </c>
      <c r="AT37" s="63">
        <f>+Fin!AT213+-(-Fin!AT89)+Fin!AT37+Fin!AT50+Fin!AT51+Fin!AT52+Fin!AT53</f>
        <v>13490.309208687973</v>
      </c>
      <c r="AU37" s="63">
        <f>+Fin!AU213+-(-Fin!AU89)+Fin!AU37+Fin!AU50+Fin!AU51+Fin!AU52+Fin!AU53</f>
        <v>18741.096570547237</v>
      </c>
      <c r="AV37" s="63">
        <f>+Fin!AV213+-(-Fin!AV89)+Fin!AV37+Fin!AV50+Fin!AV51+Fin!AV52+Fin!AV53</f>
        <v>18421.350964280813</v>
      </c>
      <c r="AW37" s="63">
        <f>+Fin!AW213+-(-Fin!AW89)+Fin!AW37+Fin!AW50+Fin!AW51+Fin!AW52+Fin!AW53</f>
        <v>18107.060601913374</v>
      </c>
      <c r="AX37" s="63">
        <f>+Fin!AX213+-(-Fin!AX89)+Fin!AX37+Fin!AX50+Fin!AX51+Fin!AX52+Fin!AX53</f>
        <v>17798.132410434951</v>
      </c>
      <c r="AY37" s="63">
        <f>+Fin!AY213+-(-Fin!AY89)+Fin!AY37+Fin!AY50+Fin!AY51+Fin!AY52+Fin!AY53</f>
        <v>132082.00616955457</v>
      </c>
      <c r="AZ37" s="63">
        <f>+Fin!AZ213+-(-Fin!AZ89)+Fin!AZ37+Fin!AZ50+Fin!AZ51+Fin!AZ52+Fin!AZ53</f>
        <v>0</v>
      </c>
      <c r="BA37" s="63">
        <f>+Fin!BA213+-(-Fin!BA89)+Fin!BA37+Fin!BA50+Fin!BA51+Fin!BA52+Fin!BA53</f>
        <v>0</v>
      </c>
      <c r="BB37" s="63">
        <f>+Fin!BB213+-(-Fin!BB89)+Fin!BB37+Fin!BB50+Fin!BB51+Fin!BB52+Fin!BB53</f>
        <v>0</v>
      </c>
      <c r="BC37" s="63">
        <f>+Fin!BC213+-(-Fin!BC89)+Fin!BC37+Fin!BC50+Fin!BC51+Fin!BC52+Fin!BC53</f>
        <v>0</v>
      </c>
      <c r="BD37" s="63">
        <f>+Fin!BD213+-(-Fin!BD89)+Fin!BD37+Fin!BD50+Fin!BD51+Fin!BD52+Fin!BD53</f>
        <v>0</v>
      </c>
      <c r="BE37" s="63">
        <f>+Fin!BE213+-(-Fin!BE89)+Fin!BE37+Fin!BE50+Fin!BE51+Fin!BE52+Fin!BE53</f>
        <v>0</v>
      </c>
      <c r="BF37" s="63">
        <f>+Fin!BF213+-(-Fin!BF89)+Fin!BF37+Fin!BF50+Fin!BF51+Fin!BF52+Fin!BF53</f>
        <v>0</v>
      </c>
      <c r="BG37" s="63">
        <f>+Fin!BG213+-(-Fin!BG89)+Fin!BG37+Fin!BG50+Fin!BG51+Fin!BG52+Fin!BG53</f>
        <v>0</v>
      </c>
      <c r="BH37" s="63">
        <f>+Fin!BH213+-(-Fin!BH89)+Fin!BH37+Fin!BH50+Fin!BH51+Fin!BH52+Fin!BH53</f>
        <v>0</v>
      </c>
      <c r="BI37" s="63">
        <f>+Fin!BI213+-(-Fin!BI89)+Fin!BI37+Fin!BI50+Fin!BI51+Fin!BI52+Fin!BI53</f>
        <v>0</v>
      </c>
      <c r="BJ37" s="63">
        <f>+Fin!BJ213+-(-Fin!BJ89)+Fin!BJ37+Fin!BJ50+Fin!BJ51+Fin!BJ52+Fin!BJ53</f>
        <v>0</v>
      </c>
      <c r="BK37" s="63">
        <f>+Fin!BK213+-(-Fin!BK89)+Fin!BK37+Fin!BK50+Fin!BK51+Fin!BK52+Fin!BK53</f>
        <v>0</v>
      </c>
      <c r="BL37" s="63">
        <f>+Fin!BL213+-(-Fin!BL89)+Fin!BL37+Fin!BL50+Fin!BL51+Fin!BL52+Fin!BL53</f>
        <v>0</v>
      </c>
      <c r="BM37" s="63">
        <f>+Fin!BM213+-(-Fin!BM89)+Fin!BM37+Fin!BM50+Fin!BM51+Fin!BM52+Fin!BM53</f>
        <v>0</v>
      </c>
      <c r="BN37" s="63">
        <f>+Fin!BN213+-(-Fin!BN89)+Fin!BN37+Fin!BN50+Fin!BN51+Fin!BN52+Fin!BN53</f>
        <v>0</v>
      </c>
      <c r="BO37" s="63">
        <f>+Fin!BO213+-(-Fin!BO89)+Fin!BO37+Fin!BO50+Fin!BO51+Fin!BO52+Fin!BO53</f>
        <v>0</v>
      </c>
      <c r="BP37" s="63">
        <f>+Fin!BP213+-(-Fin!BP89)+Fin!BP37+Fin!BP50+Fin!BP51+Fin!BP52+Fin!BP53</f>
        <v>0</v>
      </c>
      <c r="BQ37" s="63">
        <f>+Fin!BQ213+-(-Fin!BQ89)+Fin!BQ37+Fin!BQ50+Fin!BQ51+Fin!BQ52+Fin!BQ53</f>
        <v>0</v>
      </c>
      <c r="BR37" s="63">
        <f>+Fin!BR213+-(-Fin!BR89)+Fin!BR37+Fin!BR50+Fin!BR51+Fin!BR52+Fin!BR53</f>
        <v>0</v>
      </c>
      <c r="BS37" s="63">
        <f>+Fin!BS213+-(-Fin!BS89)+Fin!BS37+Fin!BS50+Fin!BS51+Fin!BS52+Fin!BS53</f>
        <v>0</v>
      </c>
      <c r="BT37" s="63">
        <f>+Fin!BT213+-(-Fin!BT89)+Fin!BT37+Fin!BT50+Fin!BT51+Fin!BT52+Fin!BT53</f>
        <v>0</v>
      </c>
      <c r="BU37" s="63">
        <f>+Fin!BU213+-(-Fin!BU89)+Fin!BU37+Fin!BU50+Fin!BU51+Fin!BU52+Fin!BU53</f>
        <v>0</v>
      </c>
      <c r="BV37" s="63">
        <f>+Fin!BV213+-(-Fin!BV89)+Fin!BV37+Fin!BV50+Fin!BV51+Fin!BV52+Fin!BV53</f>
        <v>0</v>
      </c>
      <c r="BW37" s="63">
        <f>+Fin!BW213+-(-Fin!BW89)+Fin!BW37+Fin!BW50+Fin!BW51+Fin!BW52+Fin!BW53</f>
        <v>0</v>
      </c>
      <c r="BX37" s="63">
        <f>+Fin!BX213+-(-Fin!BX89)+Fin!BX37+Fin!BX50+Fin!BX51+Fin!BX52+Fin!BX53</f>
        <v>0</v>
      </c>
      <c r="BY37" s="63">
        <f>+Fin!BY213+-(-Fin!BY89)+Fin!BY37+Fin!BY50+Fin!BY51+Fin!BY52+Fin!BY53</f>
        <v>0</v>
      </c>
      <c r="BZ37" s="63">
        <f>+Fin!BZ213+-(-Fin!BZ89)+Fin!BZ37+Fin!BZ50+Fin!BZ51+Fin!BZ52+Fin!BZ53</f>
        <v>0</v>
      </c>
      <c r="CA37" s="63">
        <f>+Fin!CA213+-(-Fin!CA89)+Fin!CA37+Fin!CA50+Fin!CA51+Fin!CA52+Fin!CA53</f>
        <v>0</v>
      </c>
      <c r="CB37" s="63">
        <f>+Fin!CB213+-(-Fin!CB89)+Fin!CB37+Fin!CB50+Fin!CB51+Fin!CB52+Fin!CB53</f>
        <v>0</v>
      </c>
      <c r="CC37" s="63">
        <f>+Fin!CC213+-(-Fin!CC89)+Fin!CC37+Fin!CC50+Fin!CC51+Fin!CC52+Fin!CC53</f>
        <v>0</v>
      </c>
      <c r="CD37" s="63">
        <f>+Fin!CD213+-(-Fin!CD89)+Fin!CD37+Fin!CD50+Fin!CD51+Fin!CD52+Fin!CD53</f>
        <v>0</v>
      </c>
      <c r="CE37" s="63">
        <f>+Fin!CE213+-(-Fin!CE89)+Fin!CE37+Fin!CE50+Fin!CE51+Fin!CE52+Fin!CE53</f>
        <v>0</v>
      </c>
      <c r="CF37" s="63">
        <f>+Fin!CF213+-(-Fin!CF89)+Fin!CF37+Fin!CF50+Fin!CF51+Fin!CF52+Fin!CF53</f>
        <v>0</v>
      </c>
      <c r="CG37" s="63">
        <f>+Fin!CG213+-(-Fin!CG89)+Fin!CG37+Fin!CG50+Fin!CG51+Fin!CG52+Fin!CG53</f>
        <v>0</v>
      </c>
      <c r="CH37" s="63">
        <f>+Fin!CH213+-(-Fin!CH89)+Fin!CH37+Fin!CH50+Fin!CH51+Fin!CH52+Fin!CH53</f>
        <v>0</v>
      </c>
      <c r="CI37" s="63">
        <f>+Fin!CI213+-(-Fin!CI89)+Fin!CI37+Fin!CI50+Fin!CI51+Fin!CI52+Fin!CI53</f>
        <v>0</v>
      </c>
      <c r="CJ37" s="63">
        <f>+Fin!CJ213+-(-Fin!CJ89)+Fin!CJ37+Fin!CJ50+Fin!CJ51+Fin!CJ52+Fin!CJ53</f>
        <v>0</v>
      </c>
      <c r="CK37" s="63">
        <f>+Fin!CK213+-(-Fin!CK89)+Fin!CK37+Fin!CK50+Fin!CK51+Fin!CK52+Fin!CK53</f>
        <v>0</v>
      </c>
      <c r="CL37" s="63">
        <f>+Fin!CL213+-(-Fin!CL89)+Fin!CL37+Fin!CL50+Fin!CL51+Fin!CL52+Fin!CL53</f>
        <v>0</v>
      </c>
      <c r="CM37" s="63">
        <f>+Fin!CM213+-(-Fin!CM89)+Fin!CM37+Fin!CM50+Fin!CM51+Fin!CM52+Fin!CM53</f>
        <v>0</v>
      </c>
      <c r="CN37" s="63">
        <f>+Fin!CN213+-(-Fin!CN89)+Fin!CN37+Fin!CN50+Fin!CN51+Fin!CN52+Fin!CN53</f>
        <v>0</v>
      </c>
      <c r="CO37" s="63">
        <f>+Fin!CO213+-(-Fin!CO89)+Fin!CO37+Fin!CO50+Fin!CO51+Fin!CO52+Fin!CO53</f>
        <v>0</v>
      </c>
      <c r="CP37" s="63">
        <f>+Fin!CP213+-(-Fin!CP89)+Fin!CP37+Fin!CP50+Fin!CP51+Fin!CP52+Fin!CP53</f>
        <v>0</v>
      </c>
      <c r="CQ37" s="63">
        <f>+Fin!CQ213+-(-Fin!CQ89)+Fin!CQ37+Fin!CQ50+Fin!CQ51+Fin!CQ52+Fin!CQ53</f>
        <v>0</v>
      </c>
      <c r="CR37" s="63">
        <f>+Fin!CR213+-(-Fin!CR89)+Fin!CR37+Fin!CR50+Fin!CR51+Fin!CR52+Fin!CR53</f>
        <v>0</v>
      </c>
      <c r="CS37" s="63">
        <f>+Fin!CS213+-(-Fin!CS89)+Fin!CS37+Fin!CS50+Fin!CS51+Fin!CS52+Fin!CS53</f>
        <v>0</v>
      </c>
      <c r="CT37" s="63">
        <f>+Fin!CT213+-(-Fin!CT89)+Fin!CT37+Fin!CT50+Fin!CT51+Fin!CT52+Fin!CT53</f>
        <v>0</v>
      </c>
      <c r="CU37" s="63">
        <f>+Fin!CU213+-(-Fin!CU89)+Fin!CU37+Fin!CU50+Fin!CU51+Fin!CU52+Fin!CU53</f>
        <v>0</v>
      </c>
      <c r="CV37" s="63">
        <f>+Fin!CV213+-(-Fin!CV89)+Fin!CV37+Fin!CV50+Fin!CV51+Fin!CV52+Fin!CV53</f>
        <v>0</v>
      </c>
      <c r="CW37" s="63">
        <f>+Fin!CW213+-(-Fin!CW89)+Fin!CW37+Fin!CW50+Fin!CW51+Fin!CW52+Fin!CW53</f>
        <v>0</v>
      </c>
      <c r="CX37" s="63">
        <f>+Fin!CX213+-(-Fin!CX89)+Fin!CX37+Fin!CX50+Fin!CX51+Fin!CX52+Fin!CX53</f>
        <v>0</v>
      </c>
      <c r="CY37" s="63">
        <f>+Fin!CY213+-(-Fin!CY89)+Fin!CY37+Fin!CY50+Fin!CY51+Fin!CY52+Fin!CY53</f>
        <v>0</v>
      </c>
      <c r="CZ37" s="63">
        <f>+Fin!CZ213+-(-Fin!CZ89)+Fin!CZ37+Fin!CZ50+Fin!CZ51+Fin!CZ52+Fin!CZ53</f>
        <v>0</v>
      </c>
      <c r="DA37" s="63">
        <f>+Fin!DA213+-(-Fin!DA89)+Fin!DA37+Fin!DA50+Fin!DA51+Fin!DA52+Fin!DA53</f>
        <v>0</v>
      </c>
      <c r="DB37" s="63">
        <f>+Fin!DB213+-(-Fin!DB89)+Fin!DB37+Fin!DB50+Fin!DB51+Fin!DB52+Fin!DB53</f>
        <v>0</v>
      </c>
      <c r="DC37" s="63">
        <f>+Fin!DC213+-(-Fin!DC89)+Fin!DC37+Fin!DC50+Fin!DC51+Fin!DC52+Fin!DC53</f>
        <v>0</v>
      </c>
      <c r="DD37" s="63">
        <f>+Fin!DD213+-(-Fin!DD89)+Fin!DD37+Fin!DD50+Fin!DD51+Fin!DD52+Fin!DD53</f>
        <v>0</v>
      </c>
      <c r="DE37" s="63">
        <f>+Fin!DE213+-(-Fin!DE89)+Fin!DE37+Fin!DE50+Fin!DE51+Fin!DE52+Fin!DE53</f>
        <v>0</v>
      </c>
      <c r="DF37" s="63">
        <f>+Fin!DF213+-(-Fin!DF89)+Fin!DF37+Fin!DF50+Fin!DF51+Fin!DF52+Fin!DF53</f>
        <v>0</v>
      </c>
      <c r="DG37" s="63">
        <f>+Fin!DG213+-(-Fin!DG89)+Fin!DG37+Fin!DG50+Fin!DG51+Fin!DG52+Fin!DG53</f>
        <v>0</v>
      </c>
      <c r="DH37" s="63">
        <f>+Fin!DH213+-(-Fin!DH89)+Fin!DH37+Fin!DH50+Fin!DH51+Fin!DH52+Fin!DH53</f>
        <v>0</v>
      </c>
      <c r="DI37" s="63">
        <f>+Fin!DI213+-(-Fin!DI89)+Fin!DI37+Fin!DI50+Fin!DI51+Fin!DI52+Fin!DI53</f>
        <v>0</v>
      </c>
      <c r="DJ37" s="63">
        <f>+Fin!DJ213+-(-Fin!DJ89)+Fin!DJ37+Fin!DJ50+Fin!DJ51+Fin!DJ52+Fin!DJ53</f>
        <v>0</v>
      </c>
      <c r="DK37" s="63">
        <f>+Fin!DK213+-(-Fin!DK89)+Fin!DK37+Fin!DK50+Fin!DK51+Fin!DK52+Fin!DK53</f>
        <v>0</v>
      </c>
      <c r="DL37" s="63">
        <f>+Fin!DL213+-(-Fin!DL89)+Fin!DL37+Fin!DL50+Fin!DL51+Fin!DL52+Fin!DL53</f>
        <v>0</v>
      </c>
      <c r="DM37" s="63">
        <f>+Fin!DM213+-(-Fin!DM89)+Fin!DM37+Fin!DM50+Fin!DM51+Fin!DM52+Fin!DM53</f>
        <v>0</v>
      </c>
      <c r="DN37" s="63">
        <f>+Fin!DN213+-(-Fin!DN89)+Fin!DN37+Fin!DN50+Fin!DN51+Fin!DN52+Fin!DN53</f>
        <v>0</v>
      </c>
      <c r="DO37" s="63">
        <f>+Fin!DO213+-(-Fin!DO89)+Fin!DO37+Fin!DO50+Fin!DO51+Fin!DO52+Fin!DO53</f>
        <v>0</v>
      </c>
      <c r="DP37" s="63">
        <f>+Fin!DP213+-(-Fin!DP89)+Fin!DP37+Fin!DP50+Fin!DP51+Fin!DP52+Fin!DP53</f>
        <v>0</v>
      </c>
      <c r="DQ37" s="16"/>
    </row>
    <row r="38" spans="1:121" x14ac:dyDescent="0.2">
      <c r="C38" s="163" t="s">
        <v>320</v>
      </c>
      <c r="K38" s="144" t="s">
        <v>63</v>
      </c>
      <c r="L38" s="63"/>
      <c r="M38" s="63"/>
      <c r="N38" s="63">
        <f t="shared" si="69"/>
        <v>0</v>
      </c>
      <c r="Q38" s="126"/>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16"/>
    </row>
    <row r="39" spans="1:121" x14ac:dyDescent="0.2">
      <c r="A39" s="61"/>
      <c r="B39" s="61"/>
      <c r="C39" s="61" t="s">
        <v>69</v>
      </c>
      <c r="D39" s="61"/>
      <c r="E39" s="61"/>
      <c r="F39" s="61"/>
      <c r="G39" s="61"/>
      <c r="H39" s="61"/>
      <c r="I39" s="61"/>
      <c r="J39" s="61"/>
      <c r="K39" s="636" t="s">
        <v>63</v>
      </c>
      <c r="L39" s="63"/>
      <c r="M39" s="63"/>
      <c r="N39" s="63">
        <f t="shared" si="69"/>
        <v>-85775.84291604691</v>
      </c>
      <c r="O39" s="61"/>
      <c r="P39" s="61"/>
      <c r="Q39" s="126"/>
      <c r="R39" s="63"/>
      <c r="S39" s="63">
        <f>-SUM(Fin!S60:S63)</f>
        <v>0</v>
      </c>
      <c r="T39" s="63">
        <f>-SUM(Fin!T60:T63)</f>
        <v>-185.57599601629585</v>
      </c>
      <c r="U39" s="63">
        <f>-SUM(Fin!U60:U63)</f>
        <v>-8234.6643871878387</v>
      </c>
      <c r="V39" s="63">
        <f>-SUM(Fin!V60:V63)</f>
        <v>-421.57731551623601</v>
      </c>
      <c r="W39" s="63">
        <f>-SUM(Fin!W60:W63)</f>
        <v>-421.67749218718967</v>
      </c>
      <c r="X39" s="63">
        <f>-SUM(Fin!X60:X63)</f>
        <v>-419.70912138295796</v>
      </c>
      <c r="Y39" s="63">
        <f>-SUM(Fin!Y60:Y63)</f>
        <v>-414.95456311591295</v>
      </c>
      <c r="Z39" s="63">
        <f>-SUM(Fin!Z60:Z63)</f>
        <v>-602.10684011685805</v>
      </c>
      <c r="AA39" s="63">
        <f>-SUM(Fin!AA60:AA63)</f>
        <v>-598.61529966201601</v>
      </c>
      <c r="AB39" s="63">
        <f>-SUM(Fin!AB60:AB63)</f>
        <v>-606.41633303187086</v>
      </c>
      <c r="AC39" s="63">
        <f>-SUM(Fin!AC60:AC63)</f>
        <v>-621.09003702900895</v>
      </c>
      <c r="AD39" s="63">
        <f>-SUM(Fin!AD60:AD63)</f>
        <v>-642.78812890495203</v>
      </c>
      <c r="AE39" s="63">
        <f>-SUM(Fin!AE60:AE63)</f>
        <v>-11810.517242795093</v>
      </c>
      <c r="AF39" s="63">
        <f>-SUM(Fin!AF60:AF63)</f>
        <v>-1198.2752951762759</v>
      </c>
      <c r="AG39" s="63">
        <f>-SUM(Fin!AG60:AG63)</f>
        <v>-1206.1511923977835</v>
      </c>
      <c r="AH39" s="63">
        <f>-SUM(Fin!AH60:AH63)</f>
        <v>-1207.3142519747826</v>
      </c>
      <c r="AI39" s="63">
        <f>-SUM(Fin!AI60:AI63)</f>
        <v>-1198.9752432750104</v>
      </c>
      <c r="AJ39" s="63">
        <f>-SUM(Fin!AJ60:AJ63)</f>
        <v>-1297.3399394924027</v>
      </c>
      <c r="AK39" s="63">
        <f>-SUM(Fin!AK60:AK63)</f>
        <v>-1377.2516760372655</v>
      </c>
      <c r="AL39" s="63">
        <f>-SUM(Fin!AL60:AL63)</f>
        <v>-1316.1862769306522</v>
      </c>
      <c r="AM39" s="63">
        <f>-SUM(Fin!AM60:AM63)</f>
        <v>-1290.0601840879945</v>
      </c>
      <c r="AN39" s="63">
        <f>-SUM(Fin!AN60:AN63)</f>
        <v>-1768.3088669642812</v>
      </c>
      <c r="AO39" s="63">
        <f>-SUM(Fin!AO60:AO63)</f>
        <v>-21625.94321194138</v>
      </c>
      <c r="AP39" s="63">
        <f>-SUM(Fin!AP60:AP63)</f>
        <v>-2279.9650346316016</v>
      </c>
      <c r="AQ39" s="63">
        <f>-SUM(Fin!AQ60:AQ63)</f>
        <v>-2020.5155328239105</v>
      </c>
      <c r="AR39" s="63">
        <f>-SUM(Fin!AR60:AR63)</f>
        <v>-1647.5276875554664</v>
      </c>
      <c r="AS39" s="63">
        <f>-SUM(Fin!AS60:AS63)</f>
        <v>-571.53909421827882</v>
      </c>
      <c r="AT39" s="63">
        <f>-SUM(Fin!AT60:AT63)</f>
        <v>-535.129494132118</v>
      </c>
      <c r="AU39" s="63">
        <f>-SUM(Fin!AU60:AU63)</f>
        <v>-483.6572627455169</v>
      </c>
      <c r="AV39" s="63">
        <f>-SUM(Fin!AV60:AV63)</f>
        <v>-411.23912903678615</v>
      </c>
      <c r="AW39" s="63">
        <f>-SUM(Fin!AW60:AW63)</f>
        <v>-340.15854156231063</v>
      </c>
      <c r="AX39" s="63">
        <f>-SUM(Fin!AX60:AX63)</f>
        <v>-270.39502631410579</v>
      </c>
      <c r="AY39" s="63">
        <f>-SUM(Fin!AY60:AY63)</f>
        <v>-17961.866278762696</v>
      </c>
      <c r="AZ39" s="63">
        <f>-SUM(Fin!AZ60:AZ63)</f>
        <v>-124.03715987773975</v>
      </c>
      <c r="BA39" s="63">
        <f>-SUM(Fin!BA60:BA63)</f>
        <v>-126.89001455492776</v>
      </c>
      <c r="BB39" s="63">
        <f>-SUM(Fin!BB60:BB63)</f>
        <v>-129.8084848896911</v>
      </c>
      <c r="BC39" s="63">
        <f>-SUM(Fin!BC60:BC63)</f>
        <v>-132.79408004215398</v>
      </c>
      <c r="BD39" s="63">
        <f>-SUM(Fin!BD60:BD63)</f>
        <v>-135.84834388312353</v>
      </c>
      <c r="BE39" s="63">
        <f>-SUM(Fin!BE60:BE63)</f>
        <v>-138.97285579243535</v>
      </c>
      <c r="BF39" s="63">
        <f>-SUM(Fin!BF60:BF63)</f>
        <v>0</v>
      </c>
      <c r="BG39" s="63">
        <f>-SUM(Fin!BG60:BG63)</f>
        <v>0</v>
      </c>
      <c r="BH39" s="63">
        <f>-SUM(Fin!BH60:BH63)</f>
        <v>0</v>
      </c>
      <c r="BI39" s="63">
        <f>-SUM(Fin!BI60:BI63)</f>
        <v>0</v>
      </c>
      <c r="BJ39" s="63">
        <f>-SUM(Fin!BJ60:BJ63)</f>
        <v>0</v>
      </c>
      <c r="BK39" s="63">
        <f>-SUM(Fin!BK60:BK63)</f>
        <v>0</v>
      </c>
      <c r="BL39" s="63">
        <f>-SUM(Fin!BL60:BL63)</f>
        <v>0</v>
      </c>
      <c r="BM39" s="63">
        <f>-SUM(Fin!BM60:BM63)</f>
        <v>0</v>
      </c>
      <c r="BN39" s="63">
        <f>-SUM(Fin!BN60:BN63)</f>
        <v>0</v>
      </c>
      <c r="BO39" s="63">
        <f>-SUM(Fin!BO60:BO63)</f>
        <v>0</v>
      </c>
      <c r="BP39" s="63">
        <f>-SUM(Fin!BP60:BP63)</f>
        <v>0</v>
      </c>
      <c r="BQ39" s="63">
        <f>-SUM(Fin!BQ60:BQ63)</f>
        <v>0</v>
      </c>
      <c r="BR39" s="63">
        <f>-SUM(Fin!BR60:BR63)</f>
        <v>0</v>
      </c>
      <c r="BS39" s="63">
        <f>-SUM(Fin!BS60:BS63)</f>
        <v>0</v>
      </c>
      <c r="BT39" s="63">
        <f>-SUM(Fin!BT60:BT63)</f>
        <v>0</v>
      </c>
      <c r="BU39" s="63">
        <f>-SUM(Fin!BU60:BU63)</f>
        <v>0</v>
      </c>
      <c r="BV39" s="63">
        <f>-SUM(Fin!BV60:BV63)</f>
        <v>0</v>
      </c>
      <c r="BW39" s="63">
        <f>-SUM(Fin!BW60:BW63)</f>
        <v>0</v>
      </c>
      <c r="BX39" s="63">
        <f>-SUM(Fin!BX60:BX63)</f>
        <v>0</v>
      </c>
      <c r="BY39" s="63">
        <f>-SUM(Fin!BY60:BY63)</f>
        <v>0</v>
      </c>
      <c r="BZ39" s="63">
        <f>-SUM(Fin!BZ60:BZ63)</f>
        <v>0</v>
      </c>
      <c r="CA39" s="63">
        <f>-SUM(Fin!CA60:CA63)</f>
        <v>0</v>
      </c>
      <c r="CB39" s="63">
        <f>-SUM(Fin!CB60:CB63)</f>
        <v>0</v>
      </c>
      <c r="CC39" s="63">
        <f>-SUM(Fin!CC60:CC63)</f>
        <v>0</v>
      </c>
      <c r="CD39" s="63">
        <f>-SUM(Fin!CD60:CD63)</f>
        <v>0</v>
      </c>
      <c r="CE39" s="63">
        <f>-SUM(Fin!CE60:CE63)</f>
        <v>0</v>
      </c>
      <c r="CF39" s="63">
        <f>-SUM(Fin!CF60:CF63)</f>
        <v>0</v>
      </c>
      <c r="CG39" s="63">
        <f>-SUM(Fin!CG60:CG63)</f>
        <v>0</v>
      </c>
      <c r="CH39" s="63">
        <f>-SUM(Fin!CH60:CH63)</f>
        <v>0</v>
      </c>
      <c r="CI39" s="63">
        <f>-SUM(Fin!CI60:CI63)</f>
        <v>0</v>
      </c>
      <c r="CJ39" s="63">
        <f>-SUM(Fin!CJ60:CJ63)</f>
        <v>0</v>
      </c>
      <c r="CK39" s="63">
        <f>-SUM(Fin!CK60:CK63)</f>
        <v>0</v>
      </c>
      <c r="CL39" s="63">
        <f>-SUM(Fin!CL60:CL63)</f>
        <v>0</v>
      </c>
      <c r="CM39" s="63">
        <f>-SUM(Fin!CM60:CM63)</f>
        <v>0</v>
      </c>
      <c r="CN39" s="63">
        <f>-SUM(Fin!CN60:CN63)</f>
        <v>0</v>
      </c>
      <c r="CO39" s="63">
        <f>-SUM(Fin!CO60:CO63)</f>
        <v>0</v>
      </c>
      <c r="CP39" s="63">
        <f>-SUM(Fin!CP60:CP63)</f>
        <v>0</v>
      </c>
      <c r="CQ39" s="63">
        <f>-SUM(Fin!CQ60:CQ63)</f>
        <v>0</v>
      </c>
      <c r="CR39" s="63">
        <f>-SUM(Fin!CR60:CR63)</f>
        <v>0</v>
      </c>
      <c r="CS39" s="63">
        <f>-SUM(Fin!CS60:CS63)</f>
        <v>0</v>
      </c>
      <c r="CT39" s="63">
        <f>-SUM(Fin!CT60:CT63)</f>
        <v>0</v>
      </c>
      <c r="CU39" s="63">
        <f>-SUM(Fin!CU60:CU63)</f>
        <v>0</v>
      </c>
      <c r="CV39" s="63">
        <f>-SUM(Fin!CV60:CV63)</f>
        <v>0</v>
      </c>
      <c r="CW39" s="63">
        <f>-SUM(Fin!CW60:CW63)</f>
        <v>0</v>
      </c>
      <c r="CX39" s="63">
        <f>-SUM(Fin!CX60:CX63)</f>
        <v>0</v>
      </c>
      <c r="CY39" s="63">
        <f>-SUM(Fin!CY60:CY63)</f>
        <v>0</v>
      </c>
      <c r="CZ39" s="63">
        <f>-SUM(Fin!CZ60:CZ63)</f>
        <v>0</v>
      </c>
      <c r="DA39" s="63">
        <f>-SUM(Fin!DA60:DA63)</f>
        <v>0</v>
      </c>
      <c r="DB39" s="63">
        <f>-SUM(Fin!DB60:DB63)</f>
        <v>0</v>
      </c>
      <c r="DC39" s="63">
        <f>-SUM(Fin!DC60:DC63)</f>
        <v>0</v>
      </c>
      <c r="DD39" s="63">
        <f>-SUM(Fin!DD60:DD63)</f>
        <v>0</v>
      </c>
      <c r="DE39" s="63">
        <f>-SUM(Fin!DE60:DE63)</f>
        <v>0</v>
      </c>
      <c r="DF39" s="63">
        <f>-SUM(Fin!DF60:DF63)</f>
        <v>0</v>
      </c>
      <c r="DG39" s="63">
        <f>-SUM(Fin!DG60:DG63)</f>
        <v>0</v>
      </c>
      <c r="DH39" s="63">
        <f>-SUM(Fin!DH60:DH63)</f>
        <v>0</v>
      </c>
      <c r="DI39" s="63">
        <f>-SUM(Fin!DI60:DI63)</f>
        <v>0</v>
      </c>
      <c r="DJ39" s="63">
        <f>-SUM(Fin!DJ60:DJ63)</f>
        <v>0</v>
      </c>
      <c r="DK39" s="63">
        <f>-SUM(Fin!DK60:DK63)</f>
        <v>0</v>
      </c>
      <c r="DL39" s="63">
        <f>-SUM(Fin!DL60:DL63)</f>
        <v>0</v>
      </c>
      <c r="DM39" s="63">
        <f>-SUM(Fin!DM60:DM63)</f>
        <v>0</v>
      </c>
      <c r="DN39" s="63">
        <f>-SUM(Fin!DN60:DN63)</f>
        <v>0</v>
      </c>
      <c r="DO39" s="63">
        <f>-SUM(Fin!DO60:DO63)</f>
        <v>0</v>
      </c>
      <c r="DP39" s="63">
        <f>-SUM(Fin!DP60:DP63)</f>
        <v>0</v>
      </c>
      <c r="DQ39" s="63"/>
    </row>
    <row r="40" spans="1:121" s="89" customFormat="1" x14ac:dyDescent="0.2">
      <c r="A40"/>
      <c r="B40"/>
      <c r="C40" s="61" t="s">
        <v>70</v>
      </c>
      <c r="D40"/>
      <c r="E40"/>
      <c r="F40"/>
      <c r="G40"/>
      <c r="H40"/>
      <c r="I40"/>
      <c r="J40"/>
      <c r="K40" s="144" t="s">
        <v>63</v>
      </c>
      <c r="L40" s="63"/>
      <c r="M40" s="63"/>
      <c r="N40" s="63">
        <f t="shared" si="69"/>
        <v>-3097996.7666265788</v>
      </c>
      <c r="O40"/>
      <c r="P40"/>
      <c r="Q40" s="63"/>
      <c r="R40" s="63"/>
      <c r="S40" s="63">
        <f>+Fin!S23+Fin!S39+Fin!S40+Fin!S55+Fin!S31</f>
        <v>-43757.752098483172</v>
      </c>
      <c r="T40" s="63">
        <f>+Fin!T23+Fin!T39+Fin!T40+Fin!T55+Fin!T31</f>
        <v>-43757.752098483172</v>
      </c>
      <c r="U40" s="63">
        <f>+Fin!U23+Fin!U39+Fin!U40+Fin!U55+Fin!U31</f>
        <v>-74116.888088743697</v>
      </c>
      <c r="V40" s="63">
        <f>+Fin!V23+Fin!V39+Fin!V40+Fin!V55+Fin!V31</f>
        <v>-80818.75911029664</v>
      </c>
      <c r="W40" s="63">
        <f>+Fin!W23+Fin!W39+Fin!W40+Fin!W55+Fin!W31</f>
        <v>-80975.453055409336</v>
      </c>
      <c r="X40" s="63">
        <f>+Fin!X23+Fin!X39+Fin!X40+Fin!X55+Fin!X31</f>
        <v>-81176.858847384108</v>
      </c>
      <c r="Y40" s="63">
        <f>+Fin!Y23+Fin!Y39+Fin!Y40+Fin!Y55+Fin!Y31</f>
        <v>-81524.877633462238</v>
      </c>
      <c r="Z40" s="63">
        <f>+Fin!Z23+Fin!Z39+Fin!Z40+Fin!Z55+Fin!Z31</f>
        <v>-81893.517773305415</v>
      </c>
      <c r="AA40" s="63">
        <f>+Fin!AA23+Fin!AA39+Fin!AA40+Fin!AA55+Fin!AA31</f>
        <v>-82497.096074733767</v>
      </c>
      <c r="AB40" s="63">
        <f>+Fin!AB23+Fin!AB39+Fin!AB40+Fin!AB55+Fin!AB31</f>
        <v>-83193.725174246778</v>
      </c>
      <c r="AC40" s="63">
        <f>+Fin!AC23+Fin!AC39+Fin!AC40+Fin!AC55+Fin!AC31</f>
        <v>-83992.201296358675</v>
      </c>
      <c r="AD40" s="63">
        <f>+Fin!AD23+Fin!AD39+Fin!AD40+Fin!AD55+Fin!AD31</f>
        <v>-84595.651386516445</v>
      </c>
      <c r="AE40" s="63">
        <f>+Fin!AE23+Fin!AE39+Fin!AE40+Fin!AE55+Fin!AE31</f>
        <v>-85346.855589792307</v>
      </c>
      <c r="AF40" s="63">
        <f>+Fin!AF23+Fin!AF39+Fin!AF40+Fin!AF55+Fin!AF31</f>
        <v>-86104.045346159211</v>
      </c>
      <c r="AG40" s="63">
        <f>+Fin!AG23+Fin!AG39+Fin!AG40+Fin!AG55+Fin!AG31</f>
        <v>-86999.475609176254</v>
      </c>
      <c r="AH40" s="63">
        <f>+Fin!AH23+Fin!AH39+Fin!AH40+Fin!AH55+Fin!AH31</f>
        <v>-87771.983959559293</v>
      </c>
      <c r="AI40" s="63">
        <f>+Fin!AI23+Fin!AI39+Fin!AI40+Fin!AI55+Fin!AI31</f>
        <v>-88851.955460500263</v>
      </c>
      <c r="AJ40" s="63">
        <f>+Fin!AJ23+Fin!AJ39+Fin!AJ40+Fin!AJ55+Fin!AJ31</f>
        <v>-90245.676064310799</v>
      </c>
      <c r="AK40" s="63">
        <f>+Fin!AK23+Fin!AK39+Fin!AK40+Fin!AK55+Fin!AK31</f>
        <v>-92216.372345049065</v>
      </c>
      <c r="AL40" s="63">
        <f>+Fin!AL23+Fin!AL39+Fin!AL40+Fin!AL55+Fin!AL31</f>
        <v>-94086.566732905019</v>
      </c>
      <c r="AM40" s="63">
        <f>+Fin!AM23+Fin!AM39+Fin!AM40+Fin!AM55+Fin!AM31</f>
        <v>-95750.340880407879</v>
      </c>
      <c r="AN40" s="63">
        <f>+Fin!AN23+Fin!AN39+Fin!AN40+Fin!AN55+Fin!AN31</f>
        <v>-97501.090368714693</v>
      </c>
      <c r="AO40" s="63">
        <f>+Fin!AO23+Fin!AO39+Fin!AO40+Fin!AO55+Fin!AO31</f>
        <v>-99409.252862252455</v>
      </c>
      <c r="AP40" s="63">
        <f>+Fin!AP23+Fin!AP39+Fin!AP40+Fin!AP55+Fin!AP31</f>
        <v>-101086.21404886839</v>
      </c>
      <c r="AQ40" s="63">
        <f>+Fin!AQ23+Fin!AQ39+Fin!AQ40+Fin!AQ55+Fin!AQ31</f>
        <v>-102361.08542199977</v>
      </c>
      <c r="AR40" s="63">
        <f>+Fin!AR23+Fin!AR39+Fin!AR40+Fin!AR55+Fin!AR31</f>
        <v>-103369.69387875052</v>
      </c>
      <c r="AS40" s="63">
        <f>+Fin!AS23+Fin!AS39+Fin!AS40+Fin!AS55+Fin!AS31</f>
        <v>-104207.95531981395</v>
      </c>
      <c r="AT40" s="63">
        <f>+Fin!AT23+Fin!AT39+Fin!AT40+Fin!AT55+Fin!AT31</f>
        <v>-104485.62767496044</v>
      </c>
      <c r="AU40" s="63">
        <f>+Fin!AU23+Fin!AU39+Fin!AU40+Fin!AU55+Fin!AU31</f>
        <v>-104239.62442952156</v>
      </c>
      <c r="AV40" s="63">
        <f>+Fin!AV23+Fin!AV39+Fin!AV40+Fin!AV55+Fin!AV31</f>
        <v>-100079.40226845442</v>
      </c>
      <c r="AW40" s="63">
        <f>+Fin!AW23+Fin!AW39+Fin!AW40+Fin!AW55+Fin!AW31</f>
        <v>-92893.772380016409</v>
      </c>
      <c r="AX40" s="63">
        <f>+Fin!AX23+Fin!AX39+Fin!AX40+Fin!AX55+Fin!AX31</f>
        <v>-84767.466695155206</v>
      </c>
      <c r="AY40" s="63">
        <f>+Fin!AY23+Fin!AY39+Fin!AY40+Fin!AY55+Fin!AY31</f>
        <v>-76224.228288785962</v>
      </c>
      <c r="AZ40" s="63">
        <f>+Fin!AZ23+Fin!AZ39+Fin!AZ40+Fin!AZ55+Fin!AZ31</f>
        <v>-66255.988443943555</v>
      </c>
      <c r="BA40" s="63">
        <f>+Fin!BA23+Fin!BA39+Fin!BA40+Fin!BA55+Fin!BA31</f>
        <v>-55107.485090240669</v>
      </c>
      <c r="BB40" s="63">
        <f>+Fin!BB23+Fin!BB39+Fin!BB40+Fin!BB55+Fin!BB31</f>
        <v>-43064.646749955486</v>
      </c>
      <c r="BC40" s="63">
        <f>+Fin!BC23+Fin!BC39+Fin!BC40+Fin!BC55+Fin!BC31</f>
        <v>-30548.03105816455</v>
      </c>
      <c r="BD40" s="63">
        <f>+Fin!BD23+Fin!BD39+Fin!BD40+Fin!BD55+Fin!BD31</f>
        <v>-17374.293042554604</v>
      </c>
      <c r="BE40" s="63">
        <f>+Fin!BE23+Fin!BE39+Fin!BE40+Fin!BE55+Fin!BE31</f>
        <v>-5347.1039791417761</v>
      </c>
      <c r="BF40" s="63">
        <f>+Fin!BF23+Fin!BF39+Fin!BF40+Fin!BF55+Fin!BF31</f>
        <v>0</v>
      </c>
      <c r="BG40" s="63">
        <f>+Fin!BG23+Fin!BG39+Fin!BG40+Fin!BG55+Fin!BG31</f>
        <v>0</v>
      </c>
      <c r="BH40" s="63">
        <f>+Fin!BH23+Fin!BH39+Fin!BH40+Fin!BH55+Fin!BH31</f>
        <v>0</v>
      </c>
      <c r="BI40" s="63">
        <f>+Fin!BI23+Fin!BI39+Fin!BI40+Fin!BI55+Fin!BI31</f>
        <v>0</v>
      </c>
      <c r="BJ40" s="63">
        <f>+Fin!BJ23+Fin!BJ39+Fin!BJ40+Fin!BJ55+Fin!BJ31</f>
        <v>0</v>
      </c>
      <c r="BK40" s="53">
        <f>+Fin!BK23+Fin!BK39+Fin!BK40+Fin!BK55+Fin!BK31</f>
        <v>0</v>
      </c>
      <c r="BL40" s="53">
        <f>+Fin!BL23+Fin!BL39+Fin!BL40+Fin!BL55+Fin!BL31</f>
        <v>0</v>
      </c>
      <c r="BM40" s="53">
        <f>+Fin!BM23+Fin!BM39+Fin!BM40+Fin!BM55+Fin!BM31</f>
        <v>0</v>
      </c>
      <c r="BN40" s="53">
        <f>+Fin!BN23+Fin!BN39+Fin!BN40+Fin!BN55+Fin!BN31</f>
        <v>0</v>
      </c>
      <c r="BO40" s="53">
        <f>+Fin!BO23+Fin!BO39+Fin!BO40+Fin!BO55+Fin!BO31</f>
        <v>0</v>
      </c>
      <c r="BP40" s="53">
        <f>+Fin!BP23+Fin!BP39+Fin!BP40+Fin!BP55+Fin!BP31</f>
        <v>0</v>
      </c>
      <c r="BQ40" s="53">
        <f>+Fin!BQ23+Fin!BQ39+Fin!BQ40+Fin!BQ55+Fin!BQ31</f>
        <v>0</v>
      </c>
      <c r="BR40" s="53">
        <f>+Fin!BR23+Fin!BR39+Fin!BR40+Fin!BR55+Fin!BR31</f>
        <v>0</v>
      </c>
      <c r="BS40" s="53">
        <f>+Fin!BS23+Fin!BS39+Fin!BS40+Fin!BS55+Fin!BS31</f>
        <v>0</v>
      </c>
      <c r="BT40" s="53">
        <f>+Fin!BT23+Fin!BT39+Fin!BT40+Fin!BT55+Fin!BT31</f>
        <v>0</v>
      </c>
      <c r="BU40" s="53">
        <f>+Fin!BU23+Fin!BU39+Fin!BU40+Fin!BU55+Fin!BU31</f>
        <v>0</v>
      </c>
      <c r="BV40" s="53">
        <f>+Fin!BV23+Fin!BV39+Fin!BV40+Fin!BV55+Fin!BV31</f>
        <v>0</v>
      </c>
      <c r="BW40" s="53">
        <f>+Fin!BW23+Fin!BW39+Fin!BW40+Fin!BW55+Fin!BW31</f>
        <v>0</v>
      </c>
      <c r="BX40" s="53">
        <f>+Fin!BX23+Fin!BX39+Fin!BX40+Fin!BX55+Fin!BX31</f>
        <v>0</v>
      </c>
      <c r="BY40" s="53">
        <f>+Fin!BY23+Fin!BY39+Fin!BY40+Fin!BY55+Fin!BY31</f>
        <v>0</v>
      </c>
      <c r="BZ40" s="53">
        <f>+Fin!BZ23+Fin!BZ39+Fin!BZ40+Fin!BZ55+Fin!BZ31</f>
        <v>0</v>
      </c>
      <c r="CA40" s="53">
        <f>+Fin!CA23+Fin!CA39+Fin!CA40+Fin!CA55+Fin!CA31</f>
        <v>0</v>
      </c>
      <c r="CB40" s="53">
        <f>+Fin!CB23+Fin!CB39+Fin!CB40+Fin!CB55+Fin!CB31</f>
        <v>0</v>
      </c>
      <c r="CC40" s="53">
        <f>+Fin!CC23+Fin!CC39+Fin!CC40+Fin!CC55+Fin!CC31</f>
        <v>0</v>
      </c>
      <c r="CD40" s="53">
        <f>+Fin!CD23+Fin!CD39+Fin!CD40+Fin!CD55+Fin!CD31</f>
        <v>0</v>
      </c>
      <c r="CE40" s="53">
        <f>+Fin!CE23+Fin!CE39+Fin!CE40+Fin!CE55+Fin!CE31</f>
        <v>0</v>
      </c>
      <c r="CF40" s="53">
        <f>+Fin!CF23+Fin!CF39+Fin!CF40+Fin!CF55+Fin!CF31</f>
        <v>0</v>
      </c>
      <c r="CG40" s="53">
        <f>+Fin!CG23+Fin!CG39+Fin!CG40+Fin!CG55+Fin!CG31</f>
        <v>0</v>
      </c>
      <c r="CH40" s="53">
        <f>+Fin!CH23+Fin!CH39+Fin!CH40+Fin!CH55+Fin!CH31</f>
        <v>0</v>
      </c>
      <c r="CI40" s="53">
        <f>+Fin!CI23+Fin!CI39+Fin!CI40+Fin!CI55+Fin!CI31</f>
        <v>0</v>
      </c>
      <c r="CJ40" s="53">
        <f>+Fin!CJ23+Fin!CJ39+Fin!CJ40+Fin!CJ55+Fin!CJ31</f>
        <v>0</v>
      </c>
      <c r="CK40" s="53">
        <f>+Fin!CK23+Fin!CK39+Fin!CK40+Fin!CK55+Fin!CK31</f>
        <v>0</v>
      </c>
      <c r="CL40" s="53">
        <f>+Fin!CL23+Fin!CL39+Fin!CL40+Fin!CL55+Fin!CL31</f>
        <v>0</v>
      </c>
      <c r="CM40" s="53">
        <f>+Fin!CM23+Fin!CM39+Fin!CM40+Fin!CM55+Fin!CM31</f>
        <v>0</v>
      </c>
      <c r="CN40" s="53">
        <f>+Fin!CN23+Fin!CN39+Fin!CN40+Fin!CN55+Fin!CN31</f>
        <v>0</v>
      </c>
      <c r="CO40" s="53">
        <f>+Fin!CO23+Fin!CO39+Fin!CO40+Fin!CO55+Fin!CO31</f>
        <v>0</v>
      </c>
      <c r="CP40" s="53">
        <f>+Fin!CP23+Fin!CP39+Fin!CP40+Fin!CP55+Fin!CP31</f>
        <v>0</v>
      </c>
      <c r="CQ40" s="53">
        <f>+Fin!CQ23+Fin!CQ39+Fin!CQ40+Fin!CQ55+Fin!CQ31</f>
        <v>0</v>
      </c>
      <c r="CR40" s="53">
        <f>+Fin!CR23+Fin!CR39+Fin!CR40+Fin!CR55+Fin!CR31</f>
        <v>0</v>
      </c>
      <c r="CS40" s="53">
        <f>+Fin!CS23+Fin!CS39+Fin!CS40+Fin!CS55+Fin!CS31</f>
        <v>0</v>
      </c>
      <c r="CT40" s="53">
        <f>+Fin!CT23+Fin!CT39+Fin!CT40+Fin!CT55+Fin!CT31</f>
        <v>0</v>
      </c>
      <c r="CU40" s="53">
        <f>+Fin!CU23+Fin!CU39+Fin!CU40+Fin!CU55+Fin!CU31</f>
        <v>0</v>
      </c>
      <c r="CV40" s="53">
        <f>+Fin!CV23+Fin!CV39+Fin!CV40+Fin!CV55+Fin!CV31</f>
        <v>0</v>
      </c>
      <c r="CW40" s="53">
        <f>+Fin!CW23+Fin!CW39+Fin!CW40+Fin!CW55+Fin!CW31</f>
        <v>0</v>
      </c>
      <c r="CX40" s="53">
        <f>+Fin!CX23+Fin!CX39+Fin!CX40+Fin!CX55+Fin!CX31</f>
        <v>0</v>
      </c>
      <c r="CY40" s="53">
        <f>+Fin!CY23+Fin!CY39+Fin!CY40+Fin!CY55+Fin!CY31</f>
        <v>0</v>
      </c>
      <c r="CZ40" s="53">
        <f>+Fin!CZ23+Fin!CZ39+Fin!CZ40+Fin!CZ55+Fin!CZ31</f>
        <v>0</v>
      </c>
      <c r="DA40" s="53">
        <f>+Fin!DA23+Fin!DA39+Fin!DA40+Fin!DA55+Fin!DA31</f>
        <v>0</v>
      </c>
      <c r="DB40" s="53">
        <f>+Fin!DB23+Fin!DB39+Fin!DB40+Fin!DB55+Fin!DB31</f>
        <v>0</v>
      </c>
      <c r="DC40" s="53">
        <f>+Fin!DC23+Fin!DC39+Fin!DC40+Fin!DC55+Fin!DC31</f>
        <v>0</v>
      </c>
      <c r="DD40" s="53">
        <f>+Fin!DD23+Fin!DD39+Fin!DD40+Fin!DD55+Fin!DD31</f>
        <v>0</v>
      </c>
      <c r="DE40" s="53">
        <f>+Fin!DE23+Fin!DE39+Fin!DE40+Fin!DE55+Fin!DE31</f>
        <v>0</v>
      </c>
      <c r="DF40" s="53">
        <f>+Fin!DF23+Fin!DF39+Fin!DF40+Fin!DF55+Fin!DF31</f>
        <v>0</v>
      </c>
      <c r="DG40" s="53">
        <f>+Fin!DG23+Fin!DG39+Fin!DG40+Fin!DG55+Fin!DG31</f>
        <v>0</v>
      </c>
      <c r="DH40" s="53">
        <f>+Fin!DH23+Fin!DH39+Fin!DH40+Fin!DH55+Fin!DH31</f>
        <v>0</v>
      </c>
      <c r="DI40" s="53">
        <f>+Fin!DI23+Fin!DI39+Fin!DI40+Fin!DI55+Fin!DI31</f>
        <v>0</v>
      </c>
      <c r="DJ40" s="53">
        <f>+Fin!DJ23+Fin!DJ39+Fin!DJ40+Fin!DJ55+Fin!DJ31</f>
        <v>0</v>
      </c>
      <c r="DK40" s="53">
        <f>+Fin!DK23+Fin!DK39+Fin!DK40+Fin!DK55+Fin!DK31</f>
        <v>0</v>
      </c>
      <c r="DL40" s="53">
        <f>+Fin!DL23+Fin!DL39+Fin!DL40+Fin!DL55+Fin!DL31</f>
        <v>0</v>
      </c>
      <c r="DM40" s="53">
        <f>+Fin!DM23+Fin!DM39+Fin!DM40+Fin!DM55+Fin!DM31</f>
        <v>0</v>
      </c>
      <c r="DN40" s="53">
        <f>+Fin!DN23+Fin!DN39+Fin!DN40+Fin!DN55+Fin!DN31</f>
        <v>0</v>
      </c>
      <c r="DO40" s="53">
        <f>+Fin!DO23+Fin!DO39+Fin!DO40+Fin!DO55+Fin!DO31</f>
        <v>0</v>
      </c>
      <c r="DP40" s="53">
        <f>+Fin!DP23+Fin!DP39+Fin!DP40+Fin!DP55+Fin!DP31</f>
        <v>0</v>
      </c>
      <c r="DQ40" s="553"/>
    </row>
    <row r="41" spans="1:121" x14ac:dyDescent="0.2">
      <c r="C41" s="26" t="s">
        <v>71</v>
      </c>
      <c r="D41" s="26"/>
      <c r="E41" s="26"/>
      <c r="F41" s="26"/>
      <c r="G41" s="26"/>
      <c r="H41" s="26"/>
      <c r="I41" s="26"/>
      <c r="J41" s="26"/>
      <c r="K41" s="638" t="s">
        <v>63</v>
      </c>
      <c r="L41" s="68"/>
      <c r="M41" s="68"/>
      <c r="N41" s="68">
        <f t="shared" si="69"/>
        <v>-4110604.322713519</v>
      </c>
      <c r="O41" s="26"/>
      <c r="P41" s="26"/>
      <c r="Q41" s="127"/>
      <c r="R41" s="68"/>
      <c r="S41" s="68">
        <f>+Fin!S24+Fin!S32+Fin!S42+Fin!S43+Fin!S44+Fin!S45+Fin!S56+Fin!S41</f>
        <v>0</v>
      </c>
      <c r="T41" s="68">
        <f>+Fin!T24+Fin!T32+Fin!T42+Fin!T43+Fin!T44+Fin!T45+Fin!T56+Fin!T41</f>
        <v>0</v>
      </c>
      <c r="U41" s="68">
        <f>+Fin!U24+Fin!U32+Fin!U42+Fin!U43+Fin!U44+Fin!U45+Fin!U56+Fin!U41</f>
        <v>-615000.38086000003</v>
      </c>
      <c r="V41" s="68">
        <f>+Fin!V24+Fin!V32+Fin!V42+Fin!V43+Fin!V44+Fin!V45+Fin!V56+Fin!V41</f>
        <v>-1079.4031143557513</v>
      </c>
      <c r="W41" s="68">
        <f>+Fin!W24+Fin!W32+Fin!W42+Fin!W43+Fin!W44+Fin!W45+Fin!W56+Fin!W41</f>
        <v>-1553.0111910439446</v>
      </c>
      <c r="X41" s="68">
        <f>+Fin!X24+Fin!X32+Fin!X42+Fin!X43+Fin!X44+Fin!X45+Fin!X56+Fin!X41</f>
        <v>-2077.7219821195758</v>
      </c>
      <c r="Y41" s="68">
        <f>+Fin!Y24+Fin!Y32+Fin!Y42+Fin!Y43+Fin!Y44+Fin!Y45+Fin!Y56+Fin!Y41</f>
        <v>-2657.8503118983353</v>
      </c>
      <c r="Z41" s="68">
        <f>+Fin!Z24+Fin!Z32+Fin!Z42+Fin!Z43+Fin!Z44+Fin!Z45+Fin!Z56+Fin!Z41</f>
        <v>-19599.755027967913</v>
      </c>
      <c r="AA41" s="68">
        <f>+Fin!AA24+Fin!AA32+Fin!AA42+Fin!AA43+Fin!AA44+Fin!AA45+Fin!AA56+Fin!AA41</f>
        <v>-21128.918535171018</v>
      </c>
      <c r="AB41" s="68">
        <f>+Fin!AB24+Fin!AB32+Fin!AB42+Fin!AB43+Fin!AB44+Fin!AB45+Fin!AB56+Fin!AB41</f>
        <v>-24207.150707494118</v>
      </c>
      <c r="AC41" s="68">
        <f>+Fin!AC24+Fin!AC32+Fin!AC42+Fin!AC43+Fin!AC44+Fin!AC45+Fin!AC56+Fin!AC41</f>
        <v>-27615.222755707393</v>
      </c>
      <c r="AD41" s="68">
        <f>+Fin!AD24+Fin!AD32+Fin!AD42+Fin!AD43+Fin!AD44+Fin!AD45+Fin!AD56+Fin!AD41</f>
        <v>-31384.690103827568</v>
      </c>
      <c r="AE41" s="68">
        <f>+Fin!AE24+Fin!AE32+Fin!AE42+Fin!AE43+Fin!AE44+Fin!AE45+Fin!AE56+Fin!AE41</f>
        <v>-93653.902503785474</v>
      </c>
      <c r="AF41" s="68">
        <f>+Fin!AF24+Fin!AF32+Fin!AF42+Fin!AF43+Fin!AF44+Fin!AF45+Fin!AF56+Fin!AF41</f>
        <v>-39099.294743808801</v>
      </c>
      <c r="AG41" s="68">
        <f>+Fin!AG24+Fin!AG32+Fin!AG42+Fin!AG43+Fin!AG44+Fin!AG45+Fin!AG56+Fin!AG41</f>
        <v>-41143.36633653898</v>
      </c>
      <c r="AH41" s="68">
        <f>+Fin!AH24+Fin!AH32+Fin!AH42+Fin!AH43+Fin!AH44+Fin!AH45+Fin!AH56+Fin!AH41</f>
        <v>-43277.325132816914</v>
      </c>
      <c r="AI41" s="68">
        <f>+Fin!AI24+Fin!AI32+Fin!AI42+Fin!AI43+Fin!AI44+Fin!AI45+Fin!AI56+Fin!AI41</f>
        <v>-45503.387078808155</v>
      </c>
      <c r="AJ41" s="68">
        <f>+Fin!AJ24+Fin!AJ32+Fin!AJ42+Fin!AJ43+Fin!AJ44+Fin!AJ45+Fin!AJ56+Fin!AJ41</f>
        <v>-57823.611486166134</v>
      </c>
      <c r="AK41" s="68">
        <f>+Fin!AK24+Fin!AK32+Fin!AK42+Fin!AK43+Fin!AK44+Fin!AK45+Fin!AK56+Fin!AK41</f>
        <v>-70239.866264614684</v>
      </c>
      <c r="AL41" s="68">
        <f>+Fin!AL24+Fin!AL32+Fin!AL42+Fin!AL43+Fin!AL44+Fin!AL45+Fin!AL56+Fin!AL41</f>
        <v>-73127.079058772419</v>
      </c>
      <c r="AM41" s="68">
        <f>+Fin!AM24+Fin!AM32+Fin!AM42+Fin!AM43+Fin!AM44+Fin!AM45+Fin!AM56+Fin!AM41</f>
        <v>-76167.347974997945</v>
      </c>
      <c r="AN41" s="68">
        <f>+Fin!AN24+Fin!AN32+Fin!AN42+Fin!AN43+Fin!AN44+Fin!AN45+Fin!AN56+Fin!AN41</f>
        <v>-119367.5775696669</v>
      </c>
      <c r="AO41" s="68">
        <f>+Fin!AO24+Fin!AO32+Fin!AO42+Fin!AO43+Fin!AO44+Fin!AO45+Fin!AO56+Fin!AO41</f>
        <v>-236791.50958535966</v>
      </c>
      <c r="AP41" s="68">
        <f>+Fin!AP24+Fin!AP32+Fin!AP42+Fin!AP43+Fin!AP44+Fin!AP45+Fin!AP56+Fin!AP41</f>
        <v>-120490.89850059837</v>
      </c>
      <c r="AQ41" s="68">
        <f>+Fin!AQ24+Fin!AQ32+Fin!AQ42+Fin!AQ43+Fin!AQ44+Fin!AQ45+Fin!AQ56+Fin!AQ41</f>
        <v>-99491.37381875579</v>
      </c>
      <c r="AR41" s="68">
        <f>+Fin!AR24+Fin!AR32+Fin!AR42+Fin!AR43+Fin!AR44+Fin!AR45+Fin!AR56+Fin!AR41</f>
        <v>-69486.747995315527</v>
      </c>
      <c r="AS41" s="68">
        <f>+Fin!AS24+Fin!AS32+Fin!AS42+Fin!AS43+Fin!AS44+Fin!AS45+Fin!AS56+Fin!AS41</f>
        <v>0</v>
      </c>
      <c r="AT41" s="68">
        <f>+Fin!AT24+Fin!AT32+Fin!AT42+Fin!AT43+Fin!AT44+Fin!AT45+Fin!AT56+Fin!AT41</f>
        <v>0</v>
      </c>
      <c r="AU41" s="68">
        <f>+Fin!AU24+Fin!AU32+Fin!AU42+Fin!AU43+Fin!AU44+Fin!AU45+Fin!AU56+Fin!AU41</f>
        <v>-76887.250136877992</v>
      </c>
      <c r="AV41" s="68">
        <f>+Fin!AV24+Fin!AV32+Fin!AV42+Fin!AV43+Fin!AV44+Fin!AV45+Fin!AV56+Fin!AV41</f>
        <v>-155587.62314248437</v>
      </c>
      <c r="AW41" s="68">
        <f>+Fin!AW24+Fin!AW32+Fin!AW42+Fin!AW43+Fin!AW44+Fin!AW45+Fin!AW56+Fin!AW41</f>
        <v>-163755.97335746483</v>
      </c>
      <c r="AX41" s="68">
        <f>+Fin!AX24+Fin!AX32+Fin!AX42+Fin!AX43+Fin!AX44+Fin!AX45+Fin!AX56+Fin!AX41</f>
        <v>-172353.16195873168</v>
      </c>
      <c r="AY41" s="68">
        <f>+Fin!AY24+Fin!AY32+Fin!AY42+Fin!AY43+Fin!AY44+Fin!AY45+Fin!AY56+Fin!AY41</f>
        <v>-312941.47745388886</v>
      </c>
      <c r="AZ41" s="68">
        <f>+Fin!AZ24+Fin!AZ32+Fin!AZ42+Fin!AZ43+Fin!AZ44+Fin!AZ45+Fin!AZ56+Fin!AZ41</f>
        <v>-209522.18265871578</v>
      </c>
      <c r="BA41" s="68">
        <f>+Fin!BA24+Fin!BA32+Fin!BA42+Fin!BA43+Fin!BA44+Fin!BA45+Fin!BA56+Fin!BA41</f>
        <v>-220522.09724829838</v>
      </c>
      <c r="BB41" s="68">
        <f>+Fin!BB24+Fin!BB32+Fin!BB42+Fin!BB43+Fin!BB44+Fin!BB45+Fin!BB56+Fin!BB41</f>
        <v>-232099.50735383405</v>
      </c>
      <c r="BC41" s="68">
        <f>+Fin!BC24+Fin!BC32+Fin!BC42+Fin!BC43+Fin!BC44+Fin!BC45+Fin!BC56+Fin!BC41</f>
        <v>-244284.73148991028</v>
      </c>
      <c r="BD41" s="68">
        <f>+Fin!BD24+Fin!BD32+Fin!BD42+Fin!BD43+Fin!BD44+Fin!BD45+Fin!BD56+Fin!BD41</f>
        <v>-257109.67989313052</v>
      </c>
      <c r="BE41" s="68">
        <f>+Fin!BE24+Fin!BE32+Fin!BE42+Fin!BE43+Fin!BE44+Fin!BE45+Fin!BE56+Fin!BE41</f>
        <v>-133573.24538059082</v>
      </c>
      <c r="BF41" s="68">
        <f>+Fin!BF24+Fin!BF32+Fin!BF42+Fin!BF43+Fin!BF44+Fin!BF45+Fin!BF56+Fin!BF41</f>
        <v>0</v>
      </c>
      <c r="BG41" s="68">
        <f>+Fin!BG24+Fin!BG32+Fin!BG42+Fin!BG43+Fin!BG44+Fin!BG45+Fin!BG56+Fin!BG41</f>
        <v>0</v>
      </c>
      <c r="BH41" s="68">
        <f>+Fin!BH24+Fin!BH32+Fin!BH42+Fin!BH43+Fin!BH44+Fin!BH45+Fin!BH56+Fin!BH41</f>
        <v>0</v>
      </c>
      <c r="BI41" s="68">
        <f>+Fin!BI24+Fin!BI32+Fin!BI42+Fin!BI43+Fin!BI44+Fin!BI45+Fin!BI56+Fin!BI41</f>
        <v>0</v>
      </c>
      <c r="BJ41" s="68">
        <f>+Fin!BJ24+Fin!BJ32+Fin!BJ42+Fin!BJ43+Fin!BJ44+Fin!BJ45+Fin!BJ56+Fin!BJ41</f>
        <v>0</v>
      </c>
      <c r="BK41" s="68">
        <f>+Fin!BK24+Fin!BK32+Fin!BK42+Fin!BK43+Fin!BK44+Fin!BK45+Fin!BK56+Fin!BK41</f>
        <v>0</v>
      </c>
      <c r="BL41" s="68">
        <f>+Fin!BL24+Fin!BL32+Fin!BL42+Fin!BL43+Fin!BL44+Fin!BL45+Fin!BL56+Fin!BL41</f>
        <v>0</v>
      </c>
      <c r="BM41" s="68">
        <f>+Fin!BM24+Fin!BM32+Fin!BM42+Fin!BM43+Fin!BM44+Fin!BM45+Fin!BM56+Fin!BM41</f>
        <v>0</v>
      </c>
      <c r="BN41" s="68">
        <f>+Fin!BN24+Fin!BN32+Fin!BN42+Fin!BN43+Fin!BN44+Fin!BN45+Fin!BN56+Fin!BN41</f>
        <v>0</v>
      </c>
      <c r="BO41" s="68">
        <f>+Fin!BO24+Fin!BO32+Fin!BO42+Fin!BO43+Fin!BO44+Fin!BO45+Fin!BO56+Fin!BO41</f>
        <v>0</v>
      </c>
      <c r="BP41" s="68">
        <f>+Fin!BP24+Fin!BP32+Fin!BP42+Fin!BP43+Fin!BP44+Fin!BP45+Fin!BP56+Fin!BP41</f>
        <v>0</v>
      </c>
      <c r="BQ41" s="68">
        <f>+Fin!BQ24+Fin!BQ32+Fin!BQ42+Fin!BQ43+Fin!BQ44+Fin!BQ45+Fin!BQ56+Fin!BQ41</f>
        <v>0</v>
      </c>
      <c r="BR41" s="68">
        <f>+Fin!BR24+Fin!BR32+Fin!BR42+Fin!BR43+Fin!BR44+Fin!BR45+Fin!BR56+Fin!BR41</f>
        <v>0</v>
      </c>
      <c r="BS41" s="68">
        <f>+Fin!BS24+Fin!BS32+Fin!BS42+Fin!BS43+Fin!BS44+Fin!BS45+Fin!BS56+Fin!BS41</f>
        <v>0</v>
      </c>
      <c r="BT41" s="68">
        <f>+Fin!BT24+Fin!BT32+Fin!BT42+Fin!BT43+Fin!BT44+Fin!BT45+Fin!BT56+Fin!BT41</f>
        <v>0</v>
      </c>
      <c r="BU41" s="68">
        <f>+Fin!BU24+Fin!BU32+Fin!BU42+Fin!BU43+Fin!BU44+Fin!BU45+Fin!BU56+Fin!BU41</f>
        <v>0</v>
      </c>
      <c r="BV41" s="68">
        <f>+Fin!BV24+Fin!BV32+Fin!BV42+Fin!BV43+Fin!BV44+Fin!BV45+Fin!BV56+Fin!BV41</f>
        <v>0</v>
      </c>
      <c r="BW41" s="68">
        <f>+Fin!BW24+Fin!BW32+Fin!BW42+Fin!BW43+Fin!BW44+Fin!BW45+Fin!BW56+Fin!BW41</f>
        <v>0</v>
      </c>
      <c r="BX41" s="68">
        <f>+Fin!BX24+Fin!BX32+Fin!BX42+Fin!BX43+Fin!BX44+Fin!BX45+Fin!BX56+Fin!BX41</f>
        <v>0</v>
      </c>
      <c r="BY41" s="68">
        <f>+Fin!BY24+Fin!BY32+Fin!BY42+Fin!BY43+Fin!BY44+Fin!BY45+Fin!BY56+Fin!BY41</f>
        <v>0</v>
      </c>
      <c r="BZ41" s="68">
        <f>+Fin!BZ24+Fin!BZ32+Fin!BZ42+Fin!BZ43+Fin!BZ44+Fin!BZ45+Fin!BZ56+Fin!BZ41</f>
        <v>0</v>
      </c>
      <c r="CA41" s="68">
        <f>+Fin!CA24+Fin!CA32+Fin!CA42+Fin!CA43+Fin!CA44+Fin!CA45+Fin!CA56+Fin!CA41</f>
        <v>0</v>
      </c>
      <c r="CB41" s="68">
        <f>+Fin!CB24+Fin!CB32+Fin!CB42+Fin!CB43+Fin!CB44+Fin!CB45+Fin!CB56+Fin!CB41</f>
        <v>0</v>
      </c>
      <c r="CC41" s="68">
        <f>+Fin!CC24+Fin!CC32+Fin!CC42+Fin!CC43+Fin!CC44+Fin!CC45+Fin!CC56+Fin!CC41</f>
        <v>0</v>
      </c>
      <c r="CD41" s="68">
        <f>+Fin!CD24+Fin!CD32+Fin!CD42+Fin!CD43+Fin!CD44+Fin!CD45+Fin!CD56+Fin!CD41</f>
        <v>0</v>
      </c>
      <c r="CE41" s="68">
        <f>+Fin!CE24+Fin!CE32+Fin!CE42+Fin!CE43+Fin!CE44+Fin!CE45+Fin!CE56+Fin!CE41</f>
        <v>0</v>
      </c>
      <c r="CF41" s="68">
        <f>+Fin!CF24+Fin!CF32+Fin!CF42+Fin!CF43+Fin!CF44+Fin!CF45+Fin!CF56+Fin!CF41</f>
        <v>0</v>
      </c>
      <c r="CG41" s="68">
        <f>+Fin!CG24+Fin!CG32+Fin!CG42+Fin!CG43+Fin!CG44+Fin!CG45+Fin!CG56+Fin!CG41</f>
        <v>0</v>
      </c>
      <c r="CH41" s="68">
        <f>+Fin!CH24+Fin!CH32+Fin!CH42+Fin!CH43+Fin!CH44+Fin!CH45+Fin!CH56+Fin!CH41</f>
        <v>0</v>
      </c>
      <c r="CI41" s="68">
        <f>+Fin!CI24+Fin!CI32+Fin!CI42+Fin!CI43+Fin!CI44+Fin!CI45+Fin!CI56+Fin!CI41</f>
        <v>0</v>
      </c>
      <c r="CJ41" s="68">
        <f>+Fin!CJ24+Fin!CJ32+Fin!CJ42+Fin!CJ43+Fin!CJ44+Fin!CJ45+Fin!CJ56+Fin!CJ41</f>
        <v>0</v>
      </c>
      <c r="CK41" s="68">
        <f>+Fin!CK24+Fin!CK32+Fin!CK42+Fin!CK43+Fin!CK44+Fin!CK45+Fin!CK56+Fin!CK41</f>
        <v>0</v>
      </c>
      <c r="CL41" s="68">
        <f>+Fin!CL24+Fin!CL32+Fin!CL42+Fin!CL43+Fin!CL44+Fin!CL45+Fin!CL56+Fin!CL41</f>
        <v>0</v>
      </c>
      <c r="CM41" s="68">
        <f>+Fin!CM24+Fin!CM32+Fin!CM42+Fin!CM43+Fin!CM44+Fin!CM45+Fin!CM56+Fin!CM41</f>
        <v>0</v>
      </c>
      <c r="CN41" s="68">
        <f>+Fin!CN24+Fin!CN32+Fin!CN42+Fin!CN43+Fin!CN44+Fin!CN45+Fin!CN56+Fin!CN41</f>
        <v>0</v>
      </c>
      <c r="CO41" s="68">
        <f>+Fin!CO24+Fin!CO32+Fin!CO42+Fin!CO43+Fin!CO44+Fin!CO45+Fin!CO56+Fin!CO41</f>
        <v>0</v>
      </c>
      <c r="CP41" s="68">
        <f>+Fin!CP24+Fin!CP32+Fin!CP42+Fin!CP43+Fin!CP44+Fin!CP45+Fin!CP56+Fin!CP41</f>
        <v>0</v>
      </c>
      <c r="CQ41" s="68">
        <f>+Fin!CQ24+Fin!CQ32+Fin!CQ42+Fin!CQ43+Fin!CQ44+Fin!CQ45+Fin!CQ56+Fin!CQ41</f>
        <v>0</v>
      </c>
      <c r="CR41" s="68">
        <f>+Fin!CR24+Fin!CR32+Fin!CR42+Fin!CR43+Fin!CR44+Fin!CR45+Fin!CR56+Fin!CR41</f>
        <v>0</v>
      </c>
      <c r="CS41" s="68">
        <f>+Fin!CS24+Fin!CS32+Fin!CS42+Fin!CS43+Fin!CS44+Fin!CS45+Fin!CS56+Fin!CS41</f>
        <v>0</v>
      </c>
      <c r="CT41" s="68">
        <f>+Fin!CT24+Fin!CT32+Fin!CT42+Fin!CT43+Fin!CT44+Fin!CT45+Fin!CT56+Fin!CT41</f>
        <v>0</v>
      </c>
      <c r="CU41" s="68">
        <f>+Fin!CU24+Fin!CU32+Fin!CU42+Fin!CU43+Fin!CU44+Fin!CU45+Fin!CU56+Fin!CU41</f>
        <v>0</v>
      </c>
      <c r="CV41" s="68">
        <f>+Fin!CV24+Fin!CV32+Fin!CV42+Fin!CV43+Fin!CV44+Fin!CV45+Fin!CV56+Fin!CV41</f>
        <v>0</v>
      </c>
      <c r="CW41" s="68">
        <f>+Fin!CW24+Fin!CW32+Fin!CW42+Fin!CW43+Fin!CW44+Fin!CW45+Fin!CW56+Fin!CW41</f>
        <v>0</v>
      </c>
      <c r="CX41" s="68">
        <f>+Fin!CX24+Fin!CX32+Fin!CX42+Fin!CX43+Fin!CX44+Fin!CX45+Fin!CX56+Fin!CX41</f>
        <v>0</v>
      </c>
      <c r="CY41" s="68">
        <f>+Fin!CY24+Fin!CY32+Fin!CY42+Fin!CY43+Fin!CY44+Fin!CY45+Fin!CY56+Fin!CY41</f>
        <v>0</v>
      </c>
      <c r="CZ41" s="68">
        <f>+Fin!CZ24+Fin!CZ32+Fin!CZ42+Fin!CZ43+Fin!CZ44+Fin!CZ45+Fin!CZ56+Fin!CZ41</f>
        <v>0</v>
      </c>
      <c r="DA41" s="68">
        <f>+Fin!DA24+Fin!DA32+Fin!DA42+Fin!DA43+Fin!DA44+Fin!DA45+Fin!DA56+Fin!DA41</f>
        <v>0</v>
      </c>
      <c r="DB41" s="68">
        <f>+Fin!DB24+Fin!DB32+Fin!DB42+Fin!DB43+Fin!DB44+Fin!DB45+Fin!DB56+Fin!DB41</f>
        <v>0</v>
      </c>
      <c r="DC41" s="68">
        <f>+Fin!DC24+Fin!DC32+Fin!DC42+Fin!DC43+Fin!DC44+Fin!DC45+Fin!DC56+Fin!DC41</f>
        <v>0</v>
      </c>
      <c r="DD41" s="68">
        <f>+Fin!DD24+Fin!DD32+Fin!DD42+Fin!DD43+Fin!DD44+Fin!DD45+Fin!DD56+Fin!DD41</f>
        <v>0</v>
      </c>
      <c r="DE41" s="68">
        <f>+Fin!DE24+Fin!DE32+Fin!DE42+Fin!DE43+Fin!DE44+Fin!DE45+Fin!DE56+Fin!DE41</f>
        <v>0</v>
      </c>
      <c r="DF41" s="68">
        <f>+Fin!DF24+Fin!DF32+Fin!DF42+Fin!DF43+Fin!DF44+Fin!DF45+Fin!DF56+Fin!DF41</f>
        <v>0</v>
      </c>
      <c r="DG41" s="68">
        <f>+Fin!DG24+Fin!DG32+Fin!DG42+Fin!DG43+Fin!DG44+Fin!DG45+Fin!DG56+Fin!DG41</f>
        <v>0</v>
      </c>
      <c r="DH41" s="68">
        <f>+Fin!DH24+Fin!DH32+Fin!DH42+Fin!DH43+Fin!DH44+Fin!DH45+Fin!DH56+Fin!DH41</f>
        <v>0</v>
      </c>
      <c r="DI41" s="68">
        <f>+Fin!DI24+Fin!DI32+Fin!DI42+Fin!DI43+Fin!DI44+Fin!DI45+Fin!DI56+Fin!DI41</f>
        <v>0</v>
      </c>
      <c r="DJ41" s="68">
        <f>+Fin!DJ24+Fin!DJ32+Fin!DJ42+Fin!DJ43+Fin!DJ44+Fin!DJ45+Fin!DJ56+Fin!DJ41</f>
        <v>0</v>
      </c>
      <c r="DK41" s="68">
        <f>+Fin!DK24+Fin!DK32+Fin!DK42+Fin!DK43+Fin!DK44+Fin!DK45+Fin!DK56+Fin!DK41</f>
        <v>0</v>
      </c>
      <c r="DL41" s="68">
        <f>+Fin!DL24+Fin!DL32+Fin!DL42+Fin!DL43+Fin!DL44+Fin!DL45+Fin!DL56+Fin!DL41</f>
        <v>0</v>
      </c>
      <c r="DM41" s="68">
        <f>+Fin!DM24+Fin!DM32+Fin!DM42+Fin!DM43+Fin!DM44+Fin!DM45+Fin!DM56+Fin!DM41</f>
        <v>0</v>
      </c>
      <c r="DN41" s="68">
        <f>+Fin!DN24+Fin!DN32+Fin!DN42+Fin!DN43+Fin!DN44+Fin!DN45+Fin!DN56+Fin!DN41</f>
        <v>0</v>
      </c>
      <c r="DO41" s="68">
        <f>+Fin!DO24+Fin!DO32+Fin!DO42+Fin!DO43+Fin!DO44+Fin!DO45+Fin!DO56+Fin!DO41</f>
        <v>0</v>
      </c>
      <c r="DP41" s="68">
        <f>+Fin!DP24+Fin!DP32+Fin!DP42+Fin!DP43+Fin!DP44+Fin!DP45+Fin!DP56+Fin!DP41</f>
        <v>0</v>
      </c>
      <c r="DQ41" s="16"/>
    </row>
    <row r="42" spans="1:121" x14ac:dyDescent="0.2">
      <c r="C42" t="s">
        <v>72</v>
      </c>
      <c r="G42" s="36"/>
      <c r="H42" s="63"/>
      <c r="K42" s="144" t="s">
        <v>63</v>
      </c>
      <c r="L42" s="63"/>
      <c r="M42" s="63"/>
      <c r="N42" s="63">
        <f t="shared" si="69"/>
        <v>-4935002.0778926183</v>
      </c>
      <c r="Q42" s="63"/>
      <c r="R42" s="63"/>
      <c r="S42" s="63">
        <f t="shared" ref="S42" si="70">SUM(S37:S41)</f>
        <v>-43757.752098483172</v>
      </c>
      <c r="T42" s="63">
        <f t="shared" ref="T42:BJ42" si="71">SUM(T37:T41)</f>
        <v>-43943.328094499469</v>
      </c>
      <c r="U42" s="63">
        <f t="shared" si="71"/>
        <v>-80593.426012238837</v>
      </c>
      <c r="V42" s="63">
        <f t="shared" si="71"/>
        <v>-78728.936397297875</v>
      </c>
      <c r="W42" s="63">
        <f t="shared" si="71"/>
        <v>-78189.626247900553</v>
      </c>
      <c r="X42" s="63">
        <f t="shared" si="71"/>
        <v>-77500.014765073924</v>
      </c>
      <c r="Y42" s="63">
        <f t="shared" si="71"/>
        <v>-76707.805492115367</v>
      </c>
      <c r="Z42" s="63">
        <f t="shared" si="71"/>
        <v>-75813.396390062873</v>
      </c>
      <c r="AA42" s="63">
        <f t="shared" si="71"/>
        <v>-74561.318002325686</v>
      </c>
      <c r="AB42" s="63">
        <f t="shared" si="71"/>
        <v>-75965.647194814868</v>
      </c>
      <c r="AC42" s="63">
        <f t="shared" si="71"/>
        <v>-77421.297895060939</v>
      </c>
      <c r="AD42" s="63">
        <f t="shared" si="71"/>
        <v>-78636.255946962265</v>
      </c>
      <c r="AE42" s="63">
        <f t="shared" si="71"/>
        <v>-91096.629278603708</v>
      </c>
      <c r="AF42" s="63">
        <f t="shared" si="71"/>
        <v>-81738.614021204703</v>
      </c>
      <c r="AG42" s="63">
        <f t="shared" si="71"/>
        <v>-80661.838438284627</v>
      </c>
      <c r="AH42" s="63">
        <f t="shared" si="71"/>
        <v>-78750.731761931645</v>
      </c>
      <c r="AI42" s="63">
        <f t="shared" si="71"/>
        <v>-76182.09364531991</v>
      </c>
      <c r="AJ42" s="63">
        <f t="shared" si="71"/>
        <v>-72738.363142457136</v>
      </c>
      <c r="AK42" s="63">
        <f t="shared" si="71"/>
        <v>-68096.53527851266</v>
      </c>
      <c r="AL42" s="63">
        <f t="shared" si="71"/>
        <v>-78145.233153628185</v>
      </c>
      <c r="AM42" s="63">
        <f t="shared" si="71"/>
        <v>-85359.773735066366</v>
      </c>
      <c r="AN42" s="63">
        <f t="shared" si="71"/>
        <v>-91363.451223112177</v>
      </c>
      <c r="AO42" s="63">
        <f t="shared" si="71"/>
        <v>-115684.1124196431</v>
      </c>
      <c r="AP42" s="63">
        <f t="shared" si="71"/>
        <v>-99744.336866414189</v>
      </c>
      <c r="AQ42" s="63">
        <f t="shared" si="71"/>
        <v>-99350.04135869701</v>
      </c>
      <c r="AR42" s="63">
        <f t="shared" si="71"/>
        <v>-98027.245070382167</v>
      </c>
      <c r="AS42" s="63">
        <f t="shared" si="71"/>
        <v>-95068.833041526552</v>
      </c>
      <c r="AT42" s="63">
        <f t="shared" si="71"/>
        <v>-91530.447960404592</v>
      </c>
      <c r="AU42" s="63">
        <f t="shared" si="71"/>
        <v>-162869.43525859783</v>
      </c>
      <c r="AV42" s="63">
        <f t="shared" si="71"/>
        <v>-237656.91357569478</v>
      </c>
      <c r="AW42" s="63">
        <f t="shared" si="71"/>
        <v>-238882.84367713018</v>
      </c>
      <c r="AX42" s="63">
        <f t="shared" si="71"/>
        <v>-239592.89126976603</v>
      </c>
      <c r="AY42" s="63">
        <f t="shared" si="71"/>
        <v>-275045.56585188292</v>
      </c>
      <c r="AZ42" s="63">
        <f t="shared" si="71"/>
        <v>-275902.20826253708</v>
      </c>
      <c r="BA42" s="63">
        <f t="shared" si="71"/>
        <v>-275756.47235309397</v>
      </c>
      <c r="BB42" s="63">
        <f t="shared" si="71"/>
        <v>-275293.96258867922</v>
      </c>
      <c r="BC42" s="63">
        <f t="shared" si="71"/>
        <v>-274965.55662811699</v>
      </c>
      <c r="BD42" s="63">
        <f t="shared" si="71"/>
        <v>-274619.82127956825</v>
      </c>
      <c r="BE42" s="63">
        <f t="shared" si="71"/>
        <v>-139059.32221552503</v>
      </c>
      <c r="BF42" s="63">
        <f t="shared" si="71"/>
        <v>0</v>
      </c>
      <c r="BG42" s="63">
        <f t="shared" si="71"/>
        <v>0</v>
      </c>
      <c r="BH42" s="63">
        <f t="shared" si="71"/>
        <v>0</v>
      </c>
      <c r="BI42" s="63">
        <f t="shared" si="71"/>
        <v>0</v>
      </c>
      <c r="BJ42" s="63">
        <f t="shared" si="71"/>
        <v>0</v>
      </c>
      <c r="BK42" s="63">
        <f t="shared" ref="BK42:CB42" si="72">SUM(BK37:BK41)</f>
        <v>0</v>
      </c>
      <c r="BL42" s="63">
        <f t="shared" si="72"/>
        <v>0</v>
      </c>
      <c r="BM42" s="63">
        <f t="shared" si="72"/>
        <v>0</v>
      </c>
      <c r="BN42" s="63">
        <f t="shared" si="72"/>
        <v>0</v>
      </c>
      <c r="BO42" s="63">
        <f t="shared" si="72"/>
        <v>0</v>
      </c>
      <c r="BP42" s="63">
        <f t="shared" si="72"/>
        <v>0</v>
      </c>
      <c r="BQ42" s="63">
        <f t="shared" si="72"/>
        <v>0</v>
      </c>
      <c r="BR42" s="63">
        <f t="shared" si="72"/>
        <v>0</v>
      </c>
      <c r="BS42" s="63">
        <f t="shared" si="72"/>
        <v>0</v>
      </c>
      <c r="BT42" s="63">
        <f t="shared" si="72"/>
        <v>0</v>
      </c>
      <c r="BU42" s="63">
        <f t="shared" si="72"/>
        <v>0</v>
      </c>
      <c r="BV42" s="63">
        <f t="shared" si="72"/>
        <v>0</v>
      </c>
      <c r="BW42" s="63">
        <f t="shared" si="72"/>
        <v>0</v>
      </c>
      <c r="BX42" s="63">
        <f t="shared" si="72"/>
        <v>0</v>
      </c>
      <c r="BY42" s="63">
        <f t="shared" si="72"/>
        <v>0</v>
      </c>
      <c r="BZ42" s="63">
        <f t="shared" si="72"/>
        <v>0</v>
      </c>
      <c r="CA42" s="63">
        <f t="shared" si="72"/>
        <v>0</v>
      </c>
      <c r="CB42" s="63">
        <f t="shared" si="72"/>
        <v>0</v>
      </c>
      <c r="CC42" s="63">
        <f t="shared" ref="CC42:DH42" si="73">SUM(CC37:CC41)</f>
        <v>0</v>
      </c>
      <c r="CD42" s="63">
        <f t="shared" si="73"/>
        <v>0</v>
      </c>
      <c r="CE42" s="63">
        <f t="shared" si="73"/>
        <v>0</v>
      </c>
      <c r="CF42" s="63">
        <f t="shared" si="73"/>
        <v>0</v>
      </c>
      <c r="CG42" s="63">
        <f t="shared" si="73"/>
        <v>0</v>
      </c>
      <c r="CH42" s="63">
        <f t="shared" si="73"/>
        <v>0</v>
      </c>
      <c r="CI42" s="63">
        <f t="shared" si="73"/>
        <v>0</v>
      </c>
      <c r="CJ42" s="63">
        <f t="shared" si="73"/>
        <v>0</v>
      </c>
      <c r="CK42" s="63">
        <f t="shared" si="73"/>
        <v>0</v>
      </c>
      <c r="CL42" s="63">
        <f t="shared" si="73"/>
        <v>0</v>
      </c>
      <c r="CM42" s="63">
        <f t="shared" si="73"/>
        <v>0</v>
      </c>
      <c r="CN42" s="63">
        <f t="shared" si="73"/>
        <v>0</v>
      </c>
      <c r="CO42" s="63">
        <f t="shared" si="73"/>
        <v>0</v>
      </c>
      <c r="CP42" s="63">
        <f t="shared" si="73"/>
        <v>0</v>
      </c>
      <c r="CQ42" s="63">
        <f t="shared" si="73"/>
        <v>0</v>
      </c>
      <c r="CR42" s="63">
        <f t="shared" si="73"/>
        <v>0</v>
      </c>
      <c r="CS42" s="63">
        <f t="shared" si="73"/>
        <v>0</v>
      </c>
      <c r="CT42" s="63">
        <f t="shared" si="73"/>
        <v>0</v>
      </c>
      <c r="CU42" s="63">
        <f t="shared" si="73"/>
        <v>0</v>
      </c>
      <c r="CV42" s="63">
        <f t="shared" si="73"/>
        <v>0</v>
      </c>
      <c r="CW42" s="63">
        <f t="shared" si="73"/>
        <v>0</v>
      </c>
      <c r="CX42" s="63">
        <f t="shared" si="73"/>
        <v>0</v>
      </c>
      <c r="CY42" s="63">
        <f t="shared" si="73"/>
        <v>0</v>
      </c>
      <c r="CZ42" s="63">
        <f t="shared" si="73"/>
        <v>0</v>
      </c>
      <c r="DA42" s="63">
        <f t="shared" si="73"/>
        <v>0</v>
      </c>
      <c r="DB42" s="63">
        <f t="shared" si="73"/>
        <v>0</v>
      </c>
      <c r="DC42" s="63">
        <f t="shared" si="73"/>
        <v>0</v>
      </c>
      <c r="DD42" s="63">
        <f t="shared" si="73"/>
        <v>0</v>
      </c>
      <c r="DE42" s="63">
        <f t="shared" si="73"/>
        <v>0</v>
      </c>
      <c r="DF42" s="63">
        <f t="shared" si="73"/>
        <v>0</v>
      </c>
      <c r="DG42" s="63">
        <f t="shared" si="73"/>
        <v>0</v>
      </c>
      <c r="DH42" s="63">
        <f t="shared" si="73"/>
        <v>0</v>
      </c>
      <c r="DI42" s="63">
        <f t="shared" ref="DI42:DP42" si="74">SUM(DI37:DI41)</f>
        <v>0</v>
      </c>
      <c r="DJ42" s="63">
        <f t="shared" si="74"/>
        <v>0</v>
      </c>
      <c r="DK42" s="63">
        <f t="shared" si="74"/>
        <v>0</v>
      </c>
      <c r="DL42" s="63">
        <f t="shared" si="74"/>
        <v>0</v>
      </c>
      <c r="DM42" s="63">
        <f t="shared" si="74"/>
        <v>0</v>
      </c>
      <c r="DN42" s="63">
        <f t="shared" si="74"/>
        <v>0</v>
      </c>
      <c r="DO42" s="63">
        <f t="shared" si="74"/>
        <v>0</v>
      </c>
      <c r="DP42" s="63">
        <f t="shared" si="74"/>
        <v>0</v>
      </c>
      <c r="DQ42" s="16"/>
    </row>
    <row r="43" spans="1:121" x14ac:dyDescent="0.2">
      <c r="L43" s="63"/>
      <c r="M43" s="63"/>
      <c r="N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16"/>
    </row>
    <row r="44" spans="1:121" s="61" customFormat="1" x14ac:dyDescent="0.2">
      <c r="C44" s="61" t="s">
        <v>73</v>
      </c>
      <c r="K44" s="636" t="s">
        <v>63</v>
      </c>
      <c r="L44" s="63"/>
      <c r="M44" s="63"/>
      <c r="N44" s="63">
        <f>SUM(Q44:DQ44)</f>
        <v>313910.83358659851</v>
      </c>
      <c r="Q44" s="63"/>
      <c r="R44" s="63"/>
      <c r="S44" s="63">
        <f>+Mac!S33</f>
        <v>0</v>
      </c>
      <c r="T44" s="63">
        <f>+Mac!T33</f>
        <v>2692.085174796453</v>
      </c>
      <c r="U44" s="63">
        <f>+Mac!U33</f>
        <v>3887.4732955742647</v>
      </c>
      <c r="V44" s="63">
        <f>+Mac!V33</f>
        <v>1368.9413706881614</v>
      </c>
      <c r="W44" s="63">
        <f>+Mac!W33</f>
        <v>1585.1746377621182</v>
      </c>
      <c r="X44" s="63">
        <f>+Mac!X33</f>
        <v>1826.1460309171671</v>
      </c>
      <c r="Y44" s="63">
        <f>+Mac!Y33</f>
        <v>2091.0309584081278</v>
      </c>
      <c r="Z44" s="63">
        <f>+Mac!Z33</f>
        <v>2234.8612616227101</v>
      </c>
      <c r="AA44" s="63">
        <f>+Mac!AA33</f>
        <v>2483.3469456730418</v>
      </c>
      <c r="AB44" s="63">
        <f>+Mac!AB33</f>
        <v>2701.6488251499013</v>
      </c>
      <c r="AC44" s="63">
        <f>+Mac!AC33</f>
        <v>2954.0066602775159</v>
      </c>
      <c r="AD44" s="63">
        <f>+Mac!AD33</f>
        <v>3105.9081402819047</v>
      </c>
      <c r="AE44" s="63">
        <f>+Mac!AE33</f>
        <v>3356.848176385216</v>
      </c>
      <c r="AF44" s="63">
        <f>+Mac!AF33</f>
        <v>3734.4677636830684</v>
      </c>
      <c r="AG44" s="63">
        <f>+Mac!AG33</f>
        <v>4031.6091928702144</v>
      </c>
      <c r="AH44" s="63">
        <f>+Mac!AH33</f>
        <v>4407.9977848620492</v>
      </c>
      <c r="AI44" s="63">
        <f>+Mac!AI33</f>
        <v>4834.9837245341078</v>
      </c>
      <c r="AJ44" s="63">
        <f>+Mac!AJ33</f>
        <v>5183.2973913445458</v>
      </c>
      <c r="AK44" s="63">
        <f>+Mac!AK33</f>
        <v>5397.7403829528903</v>
      </c>
      <c r="AL44" s="63">
        <f>+Mac!AL33</f>
        <v>5152.2009753896455</v>
      </c>
      <c r="AM44" s="63">
        <f>+Mac!AM33</f>
        <v>5153.3683819462549</v>
      </c>
      <c r="AN44" s="63">
        <f>+Mac!AN33</f>
        <v>5579.4166041562667</v>
      </c>
      <c r="AO44" s="63">
        <f>+Mac!AO33</f>
        <v>5604.3686889780784</v>
      </c>
      <c r="AP44" s="63">
        <f>+Mac!AP33</f>
        <v>6498.0922850655752</v>
      </c>
      <c r="AQ44" s="63">
        <f>+Mac!AQ33</f>
        <v>6693.7903799019577</v>
      </c>
      <c r="AR44" s="63">
        <f>+Mac!AR33</f>
        <v>6953.5617772199748</v>
      </c>
      <c r="AS44" s="63">
        <f>+Mac!AS33</f>
        <v>7273.9631759357089</v>
      </c>
      <c r="AT44" s="63">
        <f>+Mac!AT33</f>
        <v>7703.6355831298733</v>
      </c>
      <c r="AU44" s="63">
        <f>+Mac!AU33</f>
        <v>9674.9728346018928</v>
      </c>
      <c r="AV44" s="63">
        <f>+Mac!AV33</f>
        <v>11195.996218899842</v>
      </c>
      <c r="AW44" s="63">
        <f>+Mac!AW33</f>
        <v>11354.32538880326</v>
      </c>
      <c r="AX44" s="63">
        <f>+Mac!AX33</f>
        <v>11665.94387593715</v>
      </c>
      <c r="AY44" s="63">
        <f>+Mac!AY33</f>
        <v>12185.596123718682</v>
      </c>
      <c r="AZ44" s="63">
        <f>+Mac!AZ33</f>
        <v>12785.168145198666</v>
      </c>
      <c r="BA44" s="63">
        <f>+Mac!BA33</f>
        <v>13265.638165528426</v>
      </c>
      <c r="BB44" s="63">
        <f>+Mac!BB33</f>
        <v>13776.034553174752</v>
      </c>
      <c r="BC44" s="63">
        <f>+Mac!BC33</f>
        <v>14330.629817677251</v>
      </c>
      <c r="BD44" s="63">
        <f>+Mac!BD33</f>
        <v>14932.713615848705</v>
      </c>
      <c r="BE44" s="63">
        <f>+Mac!BE33</f>
        <v>12981.616243807486</v>
      </c>
      <c r="BF44" s="63">
        <f>+Mac!BF33</f>
        <v>13266.074581726716</v>
      </c>
      <c r="BG44" s="63">
        <f>+Mac!BG33</f>
        <v>13209.619932323629</v>
      </c>
      <c r="BH44" s="63">
        <f>+Mac!BH33</f>
        <v>13148.974364401478</v>
      </c>
      <c r="BI44" s="63">
        <f>+Mac!BI33</f>
        <v>13042.999778069923</v>
      </c>
      <c r="BJ44" s="63">
        <f>+Mac!BJ33</f>
        <v>8604.564377373923</v>
      </c>
      <c r="BK44" s="63">
        <f>+Mac!BK33</f>
        <v>0</v>
      </c>
      <c r="BL44" s="63">
        <f>+Mac!BL33</f>
        <v>0</v>
      </c>
      <c r="BM44" s="63">
        <f>+Mac!BM33</f>
        <v>0</v>
      </c>
      <c r="BN44" s="63">
        <f>+Mac!BN33</f>
        <v>0</v>
      </c>
      <c r="BO44" s="63">
        <f>+Mac!BO33</f>
        <v>0</v>
      </c>
      <c r="BP44" s="63">
        <f>+Mac!BP33</f>
        <v>0</v>
      </c>
      <c r="BQ44" s="63">
        <f>+Mac!BQ33</f>
        <v>0</v>
      </c>
      <c r="BR44" s="63">
        <f>+Mac!BR33</f>
        <v>0</v>
      </c>
      <c r="BS44" s="63">
        <f>+Mac!BS33</f>
        <v>0</v>
      </c>
      <c r="BT44" s="63">
        <f>+Mac!BT33</f>
        <v>0</v>
      </c>
      <c r="BU44" s="63">
        <f>+Mac!BU33</f>
        <v>0</v>
      </c>
      <c r="BV44" s="63">
        <f>+Mac!BV33</f>
        <v>0</v>
      </c>
      <c r="BW44" s="63">
        <f>+Mac!BW33</f>
        <v>0</v>
      </c>
      <c r="BX44" s="63">
        <f>+Mac!BX33</f>
        <v>0</v>
      </c>
      <c r="BY44" s="63">
        <f>+Mac!BY33</f>
        <v>0</v>
      </c>
      <c r="BZ44" s="63">
        <f>+Mac!BZ33</f>
        <v>0</v>
      </c>
      <c r="CA44" s="63">
        <f>+Mac!CA33</f>
        <v>0</v>
      </c>
      <c r="CB44" s="63">
        <f>+Mac!CB33</f>
        <v>0</v>
      </c>
      <c r="CC44" s="63">
        <f>+Mac!CC33</f>
        <v>0</v>
      </c>
      <c r="CD44" s="63">
        <f>+Mac!CD33</f>
        <v>0</v>
      </c>
      <c r="CE44" s="63">
        <f>+Mac!CE33</f>
        <v>0</v>
      </c>
      <c r="CF44" s="63">
        <f>+Mac!CF33</f>
        <v>0</v>
      </c>
      <c r="CG44" s="63">
        <f>+Mac!CG33</f>
        <v>0</v>
      </c>
      <c r="CH44" s="63">
        <f>+Mac!CH33</f>
        <v>0</v>
      </c>
      <c r="CI44" s="63">
        <f>+Mac!CI33</f>
        <v>0</v>
      </c>
      <c r="CJ44" s="63">
        <f>+Mac!CJ33</f>
        <v>0</v>
      </c>
      <c r="CK44" s="63">
        <f>+Mac!CK33</f>
        <v>0</v>
      </c>
      <c r="CL44" s="63">
        <f>+Mac!CL33</f>
        <v>0</v>
      </c>
      <c r="CM44" s="63">
        <f>+Mac!CM33</f>
        <v>0</v>
      </c>
      <c r="CN44" s="63">
        <f>+Mac!CN33</f>
        <v>0</v>
      </c>
      <c r="CO44" s="63">
        <f>+Mac!CO33</f>
        <v>0</v>
      </c>
      <c r="CP44" s="63">
        <f>+Mac!CP33</f>
        <v>0</v>
      </c>
      <c r="CQ44" s="63">
        <f>+Mac!CQ33</f>
        <v>0</v>
      </c>
      <c r="CR44" s="63">
        <f>+Mac!CR33</f>
        <v>0</v>
      </c>
      <c r="CS44" s="63">
        <f>+Mac!CS33</f>
        <v>0</v>
      </c>
      <c r="CT44" s="63">
        <f>+Mac!CT33</f>
        <v>0</v>
      </c>
      <c r="CU44" s="63">
        <f>+Mac!CU33</f>
        <v>0</v>
      </c>
      <c r="CV44" s="63">
        <f>+Mac!CV33</f>
        <v>0</v>
      </c>
      <c r="CW44" s="63">
        <f>+Mac!CW33</f>
        <v>0</v>
      </c>
      <c r="CX44" s="63">
        <f>+Mac!CX33</f>
        <v>0</v>
      </c>
      <c r="CY44" s="63">
        <f>+Mac!CY33</f>
        <v>0</v>
      </c>
      <c r="CZ44" s="63">
        <f>+Mac!CZ33</f>
        <v>0</v>
      </c>
      <c r="DA44" s="63">
        <f>+Mac!DA33</f>
        <v>0</v>
      </c>
      <c r="DB44" s="63">
        <f>+Mac!DB33</f>
        <v>0</v>
      </c>
      <c r="DC44" s="63">
        <f>+Mac!DC33</f>
        <v>0</v>
      </c>
      <c r="DD44" s="63">
        <f>+Mac!DD33</f>
        <v>0</v>
      </c>
      <c r="DE44" s="63">
        <f>+Mac!DE33</f>
        <v>0</v>
      </c>
      <c r="DF44" s="63">
        <f>+Mac!DF33</f>
        <v>0</v>
      </c>
      <c r="DG44" s="63">
        <f>+Mac!DG33</f>
        <v>0</v>
      </c>
      <c r="DH44" s="63">
        <f>+Mac!DH33</f>
        <v>0</v>
      </c>
      <c r="DI44" s="63">
        <f>+Mac!DI33</f>
        <v>0</v>
      </c>
      <c r="DJ44" s="63">
        <f>+Mac!DJ33</f>
        <v>0</v>
      </c>
      <c r="DK44" s="63">
        <f>+Mac!DK33</f>
        <v>0</v>
      </c>
      <c r="DL44" s="63">
        <f>+Mac!DL33</f>
        <v>0</v>
      </c>
      <c r="DM44" s="63">
        <f>+Mac!DM33</f>
        <v>0</v>
      </c>
      <c r="DN44" s="63">
        <f>+Mac!DN33</f>
        <v>0</v>
      </c>
      <c r="DO44" s="63">
        <f>+Mac!DO33</f>
        <v>0</v>
      </c>
      <c r="DP44" s="63">
        <f>+Mac!DP33</f>
        <v>0</v>
      </c>
      <c r="DQ44" s="63"/>
    </row>
    <row r="45" spans="1:121" x14ac:dyDescent="0.2">
      <c r="L45" s="63"/>
      <c r="M45" s="63"/>
      <c r="N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16"/>
    </row>
    <row r="46" spans="1:121" x14ac:dyDescent="0.2">
      <c r="C46" s="17" t="s">
        <v>74</v>
      </c>
      <c r="D46" s="17"/>
      <c r="E46" s="17"/>
      <c r="F46" s="17"/>
      <c r="G46" s="17"/>
      <c r="H46" s="17"/>
      <c r="I46" s="17"/>
      <c r="J46" s="25"/>
      <c r="K46" s="637" t="s">
        <v>63</v>
      </c>
      <c r="L46" s="25"/>
      <c r="M46" s="25"/>
      <c r="N46" s="748">
        <f>SUM(Q46:DQ46)</f>
        <v>30082309.490715805</v>
      </c>
      <c r="O46" s="25"/>
      <c r="P46" s="17"/>
      <c r="Q46" s="748"/>
      <c r="R46" s="748"/>
      <c r="S46" s="748">
        <f t="shared" ref="S46:CD46" si="75">+S35+S42+S44+S23</f>
        <v>46089.205415482946</v>
      </c>
      <c r="T46" s="748">
        <f t="shared" ref="T46:BJ46" si="76">+T35+T42+T44+T23</f>
        <v>66536.014867182152</v>
      </c>
      <c r="U46" s="748">
        <f t="shared" si="76"/>
        <v>50586.977959181153</v>
      </c>
      <c r="V46" s="748">
        <f t="shared" si="76"/>
        <v>71648.001827012224</v>
      </c>
      <c r="W46" s="748">
        <f t="shared" si="76"/>
        <v>84015.485622139706</v>
      </c>
      <c r="X46" s="748">
        <f t="shared" si="76"/>
        <v>97332.806587052284</v>
      </c>
      <c r="Y46" s="748">
        <f t="shared" si="76"/>
        <v>111572.76806229132</v>
      </c>
      <c r="Z46" s="748">
        <f t="shared" si="76"/>
        <v>126602.99630409935</v>
      </c>
      <c r="AA46" s="748">
        <f t="shared" si="76"/>
        <v>142902.94872450794</v>
      </c>
      <c r="AB46" s="748">
        <f t="shared" si="76"/>
        <v>161608.7192525579</v>
      </c>
      <c r="AC46" s="748">
        <f t="shared" si="76"/>
        <v>181850.61103114553</v>
      </c>
      <c r="AD46" s="748">
        <f t="shared" si="76"/>
        <v>203925.00597132853</v>
      </c>
      <c r="AE46" s="748">
        <f t="shared" si="76"/>
        <v>216693.00458036241</v>
      </c>
      <c r="AF46" s="748">
        <f t="shared" si="76"/>
        <v>253406.18414517498</v>
      </c>
      <c r="AG46" s="748">
        <f t="shared" si="76"/>
        <v>277194.1933450675</v>
      </c>
      <c r="AH46" s="748">
        <f t="shared" si="76"/>
        <v>302654.95829849422</v>
      </c>
      <c r="AI46" s="748">
        <f t="shared" si="76"/>
        <v>329313.64298895298</v>
      </c>
      <c r="AJ46" s="748">
        <f t="shared" si="76"/>
        <v>356852.19916090067</v>
      </c>
      <c r="AK46" s="748">
        <f t="shared" si="76"/>
        <v>384941.52444265137</v>
      </c>
      <c r="AL46" s="748">
        <f t="shared" si="76"/>
        <v>418408.68879043247</v>
      </c>
      <c r="AM46" s="748">
        <f t="shared" si="76"/>
        <v>454930.98244218744</v>
      </c>
      <c r="AN46" s="748">
        <f t="shared" si="76"/>
        <v>494117.40111324168</v>
      </c>
      <c r="AO46" s="748">
        <f t="shared" si="76"/>
        <v>516409.72970255191</v>
      </c>
      <c r="AP46" s="748">
        <f t="shared" si="76"/>
        <v>582266.98697162094</v>
      </c>
      <c r="AQ46" s="748">
        <f t="shared" si="76"/>
        <v>625961.9153706847</v>
      </c>
      <c r="AR46" s="748">
        <f t="shared" si="76"/>
        <v>672990.65471827891</v>
      </c>
      <c r="AS46" s="748">
        <f t="shared" si="76"/>
        <v>724029.82009889581</v>
      </c>
      <c r="AT46" s="748">
        <f t="shared" si="76"/>
        <v>777973.93702676427</v>
      </c>
      <c r="AU46" s="748">
        <f t="shared" si="76"/>
        <v>760589.58647013642</v>
      </c>
      <c r="AV46" s="748">
        <f t="shared" si="76"/>
        <v>746523.24565423431</v>
      </c>
      <c r="AW46" s="748">
        <f t="shared" si="76"/>
        <v>808352.81161050999</v>
      </c>
      <c r="AX46" s="748">
        <f t="shared" si="76"/>
        <v>874771.60393008252</v>
      </c>
      <c r="AY46" s="748">
        <f t="shared" si="76"/>
        <v>910820.90735963231</v>
      </c>
      <c r="AZ46" s="748">
        <f t="shared" si="76"/>
        <v>985972.54686734499</v>
      </c>
      <c r="BA46" s="748">
        <f t="shared" si="76"/>
        <v>1066159.4061445915</v>
      </c>
      <c r="BB46" s="748">
        <f t="shared" si="76"/>
        <v>1151677.3663437923</v>
      </c>
      <c r="BC46" s="748">
        <f t="shared" si="76"/>
        <v>1242394.1819147239</v>
      </c>
      <c r="BD46" s="748">
        <f t="shared" si="76"/>
        <v>1338786.7249735957</v>
      </c>
      <c r="BE46" s="748">
        <f t="shared" si="76"/>
        <v>1348083.5931705234</v>
      </c>
      <c r="BF46" s="748">
        <f t="shared" si="76"/>
        <v>1877951.2000004875</v>
      </c>
      <c r="BG46" s="748">
        <f t="shared" si="76"/>
        <v>2022875.7896959386</v>
      </c>
      <c r="BH46" s="748">
        <f t="shared" si="76"/>
        <v>2179018.6750670709</v>
      </c>
      <c r="BI46" s="748">
        <f t="shared" si="76"/>
        <v>2347204.8376066857</v>
      </c>
      <c r="BJ46" s="748">
        <f t="shared" si="76"/>
        <v>1688309.6490862106</v>
      </c>
      <c r="BK46" s="748">
        <f t="shared" si="75"/>
        <v>0</v>
      </c>
      <c r="BL46" s="748">
        <f t="shared" si="75"/>
        <v>0</v>
      </c>
      <c r="BM46" s="748">
        <f t="shared" si="75"/>
        <v>0</v>
      </c>
      <c r="BN46" s="748">
        <f t="shared" si="75"/>
        <v>0</v>
      </c>
      <c r="BO46" s="748">
        <f t="shared" si="75"/>
        <v>0</v>
      </c>
      <c r="BP46" s="748">
        <f t="shared" si="75"/>
        <v>0</v>
      </c>
      <c r="BQ46" s="748">
        <f t="shared" si="75"/>
        <v>0</v>
      </c>
      <c r="BR46" s="748">
        <f t="shared" si="75"/>
        <v>0</v>
      </c>
      <c r="BS46" s="748">
        <f t="shared" si="75"/>
        <v>0</v>
      </c>
      <c r="BT46" s="748">
        <f t="shared" si="75"/>
        <v>0</v>
      </c>
      <c r="BU46" s="748">
        <f t="shared" si="75"/>
        <v>0</v>
      </c>
      <c r="BV46" s="748">
        <f t="shared" si="75"/>
        <v>0</v>
      </c>
      <c r="BW46" s="748">
        <f t="shared" si="75"/>
        <v>0</v>
      </c>
      <c r="BX46" s="748">
        <f t="shared" si="75"/>
        <v>0</v>
      </c>
      <c r="BY46" s="748">
        <f t="shared" si="75"/>
        <v>0</v>
      </c>
      <c r="BZ46" s="748">
        <f t="shared" si="75"/>
        <v>0</v>
      </c>
      <c r="CA46" s="748">
        <f t="shared" si="75"/>
        <v>0</v>
      </c>
      <c r="CB46" s="748">
        <f t="shared" si="75"/>
        <v>0</v>
      </c>
      <c r="CC46" s="748">
        <f t="shared" si="75"/>
        <v>0</v>
      </c>
      <c r="CD46" s="748">
        <f t="shared" si="75"/>
        <v>0</v>
      </c>
      <c r="CE46" s="748">
        <f t="shared" ref="CE46:DP46" si="77">+CE35+CE42+CE44+CE23</f>
        <v>0</v>
      </c>
      <c r="CF46" s="748">
        <f t="shared" si="77"/>
        <v>0</v>
      </c>
      <c r="CG46" s="748">
        <f t="shared" si="77"/>
        <v>0</v>
      </c>
      <c r="CH46" s="748">
        <f t="shared" si="77"/>
        <v>0</v>
      </c>
      <c r="CI46" s="748">
        <f t="shared" si="77"/>
        <v>0</v>
      </c>
      <c r="CJ46" s="748">
        <f t="shared" si="77"/>
        <v>0</v>
      </c>
      <c r="CK46" s="748">
        <f t="shared" si="77"/>
        <v>0</v>
      </c>
      <c r="CL46" s="748">
        <f t="shared" si="77"/>
        <v>0</v>
      </c>
      <c r="CM46" s="748">
        <f t="shared" si="77"/>
        <v>0</v>
      </c>
      <c r="CN46" s="748">
        <f t="shared" si="77"/>
        <v>0</v>
      </c>
      <c r="CO46" s="748">
        <f t="shared" si="77"/>
        <v>0</v>
      </c>
      <c r="CP46" s="748">
        <f t="shared" si="77"/>
        <v>0</v>
      </c>
      <c r="CQ46" s="748">
        <f t="shared" si="77"/>
        <v>0</v>
      </c>
      <c r="CR46" s="748">
        <f t="shared" si="77"/>
        <v>0</v>
      </c>
      <c r="CS46" s="748">
        <f t="shared" si="77"/>
        <v>0</v>
      </c>
      <c r="CT46" s="748">
        <f t="shared" si="77"/>
        <v>0</v>
      </c>
      <c r="CU46" s="748">
        <f t="shared" si="77"/>
        <v>0</v>
      </c>
      <c r="CV46" s="748">
        <f t="shared" si="77"/>
        <v>0</v>
      </c>
      <c r="CW46" s="748">
        <f t="shared" si="77"/>
        <v>0</v>
      </c>
      <c r="CX46" s="748">
        <f t="shared" si="77"/>
        <v>0</v>
      </c>
      <c r="CY46" s="748">
        <f t="shared" si="77"/>
        <v>0</v>
      </c>
      <c r="CZ46" s="748">
        <f t="shared" si="77"/>
        <v>0</v>
      </c>
      <c r="DA46" s="748">
        <f t="shared" si="77"/>
        <v>0</v>
      </c>
      <c r="DB46" s="748">
        <f t="shared" si="77"/>
        <v>0</v>
      </c>
      <c r="DC46" s="748">
        <f t="shared" si="77"/>
        <v>0</v>
      </c>
      <c r="DD46" s="748">
        <f t="shared" si="77"/>
        <v>0</v>
      </c>
      <c r="DE46" s="748">
        <f t="shared" si="77"/>
        <v>0</v>
      </c>
      <c r="DF46" s="748">
        <f t="shared" si="77"/>
        <v>0</v>
      </c>
      <c r="DG46" s="748">
        <f t="shared" si="77"/>
        <v>0</v>
      </c>
      <c r="DH46" s="748">
        <f t="shared" si="77"/>
        <v>0</v>
      </c>
      <c r="DI46" s="748">
        <f t="shared" si="77"/>
        <v>0</v>
      </c>
      <c r="DJ46" s="748">
        <f t="shared" si="77"/>
        <v>0</v>
      </c>
      <c r="DK46" s="748">
        <f t="shared" si="77"/>
        <v>0</v>
      </c>
      <c r="DL46" s="748">
        <f t="shared" si="77"/>
        <v>0</v>
      </c>
      <c r="DM46" s="748">
        <f t="shared" si="77"/>
        <v>0</v>
      </c>
      <c r="DN46" s="748">
        <f t="shared" si="77"/>
        <v>0</v>
      </c>
      <c r="DO46" s="748">
        <f t="shared" si="77"/>
        <v>0</v>
      </c>
      <c r="DP46" s="748">
        <f t="shared" si="77"/>
        <v>0</v>
      </c>
      <c r="DQ46" s="31"/>
    </row>
    <row r="47" spans="1:121" x14ac:dyDescent="0.2">
      <c r="L47" s="63"/>
      <c r="M47" s="63"/>
      <c r="N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16"/>
    </row>
    <row r="48" spans="1:121" x14ac:dyDescent="0.2">
      <c r="C48" t="s">
        <v>33</v>
      </c>
      <c r="K48" s="144" t="s">
        <v>63</v>
      </c>
      <c r="L48" s="63"/>
      <c r="M48" s="63"/>
      <c r="N48" s="63">
        <f>SUM(Q48:DQ48)</f>
        <v>20000</v>
      </c>
      <c r="Q48" s="747"/>
      <c r="R48" s="746"/>
      <c r="S48" s="746">
        <f>-Fin!S248-Fin!S249-Fin!S250</f>
        <v>0</v>
      </c>
      <c r="T48" s="746">
        <f>-Fin!T248-Fin!T249-Fin!T250</f>
        <v>0</v>
      </c>
      <c r="U48" s="746">
        <f>-Fin!U248-Fin!U249-Fin!U250</f>
        <v>10121.893906041663</v>
      </c>
      <c r="V48" s="746">
        <f>-Fin!V248-Fin!V249-Fin!V250</f>
        <v>-2737.9914649635248</v>
      </c>
      <c r="W48" s="746">
        <f>-Fin!W248-Fin!W249-Fin!W250</f>
        <v>-3037.0853628754758</v>
      </c>
      <c r="X48" s="746">
        <f>-Fin!X248-Fin!X249-Fin!X250</f>
        <v>-2843.7019947117424</v>
      </c>
      <c r="Y48" s="746">
        <f>-Fin!Y248-Fin!Y249-Fin!Y250</f>
        <v>-2068.5240352732362</v>
      </c>
      <c r="Z48" s="746">
        <f>-Fin!Z248-Fin!Z249-Fin!Z250</f>
        <v>-593.60765917007666</v>
      </c>
      <c r="AA48" s="746">
        <f>-Fin!AA248-Fin!AA249-Fin!AA250</f>
        <v>1735.2347358003062</v>
      </c>
      <c r="AB48" s="746">
        <f>-Fin!AB248-Fin!AB249-Fin!AB250</f>
        <v>1227.4759061671175</v>
      </c>
      <c r="AC48" s="746">
        <f>-Fin!AC248-Fin!AC249-Fin!AC250</f>
        <v>144.02437779743559</v>
      </c>
      <c r="AD48" s="746">
        <f>-Fin!AD248-Fin!AD249-Fin!AD250</f>
        <v>-1687.6121661333927</v>
      </c>
      <c r="AE48" s="746">
        <f>-Fin!AE248-Fin!AE249-Fin!AE250</f>
        <v>-4503.9712512130063</v>
      </c>
      <c r="AF48" s="746">
        <f>-Fin!AF248-Fin!AF249-Fin!AF250</f>
        <v>-8628.2109688004566</v>
      </c>
      <c r="AG48" s="746">
        <f>-Fin!AG248-Fin!AG249-Fin!AG250</f>
        <v>-9101.8580557016976</v>
      </c>
      <c r="AH48" s="746">
        <f>-Fin!AH248-Fin!AH249-Fin!AH250</f>
        <v>-7120.5756760086297</v>
      </c>
      <c r="AI48" s="746">
        <f>-Fin!AI248-Fin!AI249-Fin!AI250</f>
        <v>-2658.4747542637706</v>
      </c>
      <c r="AJ48" s="746">
        <f>-Fin!AJ248-Fin!AJ249-Fin!AJ250</f>
        <v>4593.5208819406616</v>
      </c>
      <c r="AK48" s="746">
        <f>-Fin!AK248-Fin!AK249-Fin!AK250</f>
        <v>15239.922202331221</v>
      </c>
      <c r="AL48" s="746">
        <f>-Fin!AL248-Fin!AL249-Fin!AL250</f>
        <v>9928.0096812515367</v>
      </c>
      <c r="AM48" s="746">
        <f>-Fin!AM248-Fin!AM249-Fin!AM250</f>
        <v>5666.0127925034576</v>
      </c>
      <c r="AN48" s="746">
        <f>-Fin!AN248-Fin!AN249-Fin!AN250</f>
        <v>1855.1590133251939</v>
      </c>
      <c r="AO48" s="746">
        <f>-Fin!AO248-Fin!AO249-Fin!AO250</f>
        <v>-2010.8248458083926</v>
      </c>
      <c r="AP48" s="746">
        <f>-Fin!AP248-Fin!AP249-Fin!AP250</f>
        <v>-6414.9157139993986</v>
      </c>
      <c r="AQ48" s="746">
        <f>-Fin!AQ248-Fin!AQ249-Fin!AQ250</f>
        <v>-7769.6297578547201</v>
      </c>
      <c r="AR48" s="746">
        <f>-Fin!AR248-Fin!AR249-Fin!AR250</f>
        <v>-8148.265042363706</v>
      </c>
      <c r="AS48" s="746">
        <f>-Fin!AS248-Fin!AS249-Fin!AS250</f>
        <v>-7196.555026770744</v>
      </c>
      <c r="AT48" s="746">
        <f>-Fin!AT248-Fin!AT249-Fin!AT250</f>
        <v>-4421.9055968976172</v>
      </c>
      <c r="AU48" s="746">
        <f>-Fin!AU248-Fin!AU249-Fin!AU250</f>
        <v>860.43824163452518</v>
      </c>
      <c r="AV48" s="746">
        <f>-Fin!AV248-Fin!AV249-Fin!AV250</f>
        <v>493.45984102274087</v>
      </c>
      <c r="AW48" s="746">
        <f>-Fin!AW248-Fin!AW249-Fin!AW250</f>
        <v>-379.09532086609397</v>
      </c>
      <c r="AX48" s="746">
        <f>-Fin!AX248-Fin!AX249-Fin!AX250</f>
        <v>-1809.776512616947</v>
      </c>
      <c r="AY48" s="746">
        <f>-Fin!AY248-Fin!AY249-Fin!AY250</f>
        <v>-3857.5481055167693</v>
      </c>
      <c r="AZ48" s="746">
        <f>-Fin!AZ248-Fin!AZ249-Fin!AZ250</f>
        <v>-6588.554015575246</v>
      </c>
      <c r="BA48" s="746">
        <f>-Fin!BA248-Fin!BA249-Fin!BA250</f>
        <v>-7453.8591490584149</v>
      </c>
      <c r="BB48" s="746">
        <f>-Fin!BB248-Fin!BB249-Fin!BB250</f>
        <v>-8537.0104540626635</v>
      </c>
      <c r="BC48" s="746">
        <f>-Fin!BC248-Fin!BC249-Fin!BC250</f>
        <v>-9879.6845760317956</v>
      </c>
      <c r="BD48" s="746">
        <f>-Fin!BD248-Fin!BD249-Fin!BD250</f>
        <v>-11530.676993100526</v>
      </c>
      <c r="BE48" s="746">
        <f>-Fin!BE248-Fin!BE249-Fin!BE250</f>
        <v>99114.762919822184</v>
      </c>
      <c r="BF48" s="746">
        <f>-Fin!BF248-Fin!BF249-Fin!BF250</f>
        <v>0</v>
      </c>
      <c r="BG48" s="746">
        <f>-Fin!BG248-Fin!BG249-Fin!BG250</f>
        <v>0</v>
      </c>
      <c r="BH48" s="746">
        <f>-Fin!BH248-Fin!BH249-Fin!BH250</f>
        <v>0</v>
      </c>
      <c r="BI48" s="746">
        <f>-Fin!BI248-Fin!BI249-Fin!BI250</f>
        <v>0</v>
      </c>
      <c r="BJ48" s="746">
        <f>-Fin!BJ248-Fin!BJ249-Fin!BJ250</f>
        <v>0</v>
      </c>
      <c r="BK48" s="63">
        <f>-Fin!BK248-Fin!BK249-Fin!BK250</f>
        <v>0</v>
      </c>
      <c r="BL48" s="63">
        <f>-Fin!BL248-Fin!BL249-Fin!BL250</f>
        <v>0</v>
      </c>
      <c r="BM48" s="63">
        <f>-Fin!BM248-Fin!BM249-Fin!BM250</f>
        <v>0</v>
      </c>
      <c r="BN48" s="63">
        <f>-Fin!BN248-Fin!BN249-Fin!BN250</f>
        <v>0</v>
      </c>
      <c r="BO48" s="63">
        <f>-Fin!BO248-Fin!BO249-Fin!BO250</f>
        <v>0</v>
      </c>
      <c r="BP48" s="63">
        <f>-Fin!BP248-Fin!BP249-Fin!BP250</f>
        <v>0</v>
      </c>
      <c r="BQ48" s="63">
        <f>-Fin!BQ248-Fin!BQ249-Fin!BQ250</f>
        <v>0</v>
      </c>
      <c r="BR48" s="63">
        <f>-Fin!BR248-Fin!BR249-Fin!BR250</f>
        <v>0</v>
      </c>
      <c r="BS48" s="63">
        <f>-Fin!BS248-Fin!BS249-Fin!BS250</f>
        <v>0</v>
      </c>
      <c r="BT48" s="63">
        <f>-Fin!BT248-Fin!BT249-Fin!BT250</f>
        <v>0</v>
      </c>
      <c r="BU48" s="63">
        <f>-Fin!BU248-Fin!BU249-Fin!BU250</f>
        <v>0</v>
      </c>
      <c r="BV48" s="63">
        <f>-Fin!BV248-Fin!BV249-Fin!BV250</f>
        <v>0</v>
      </c>
      <c r="BW48" s="63">
        <f>-Fin!BW248-Fin!BW249-Fin!BW250</f>
        <v>0</v>
      </c>
      <c r="BX48" s="63">
        <f>-Fin!BX248-Fin!BX249-Fin!BX250</f>
        <v>0</v>
      </c>
      <c r="BY48" s="63">
        <f>-Fin!BY248-Fin!BY249-Fin!BY250</f>
        <v>0</v>
      </c>
      <c r="BZ48" s="63">
        <f>-Fin!BZ248-Fin!BZ249-Fin!BZ250</f>
        <v>0</v>
      </c>
      <c r="CA48" s="63">
        <f>-Fin!CA248-Fin!CA249-Fin!CA250</f>
        <v>0</v>
      </c>
      <c r="CB48" s="63">
        <f>-Fin!CB248-Fin!CB249-Fin!CB250</f>
        <v>0</v>
      </c>
      <c r="CC48" s="63">
        <f>-Fin!CC248-Fin!CC249-Fin!CC250</f>
        <v>0</v>
      </c>
      <c r="CD48" s="63">
        <f>-Fin!CD248-Fin!CD249-Fin!CD250</f>
        <v>0</v>
      </c>
      <c r="CE48" s="63">
        <f>-Fin!CE248-Fin!CE249-Fin!CE250</f>
        <v>0</v>
      </c>
      <c r="CF48" s="63">
        <f>-Fin!CF248-Fin!CF249-Fin!CF250</f>
        <v>0</v>
      </c>
      <c r="CG48" s="63">
        <f>-Fin!CG248-Fin!CG249-Fin!CG250</f>
        <v>0</v>
      </c>
      <c r="CH48" s="63">
        <f>-Fin!CH248-Fin!CH249-Fin!CH250</f>
        <v>0</v>
      </c>
      <c r="CI48" s="63">
        <f>-Fin!CI248-Fin!CI249-Fin!CI250</f>
        <v>0</v>
      </c>
      <c r="CJ48" s="63">
        <f>-Fin!CJ248-Fin!CJ249-Fin!CJ250</f>
        <v>0</v>
      </c>
      <c r="CK48" s="63">
        <f>-Fin!CK248-Fin!CK249-Fin!CK250</f>
        <v>0</v>
      </c>
      <c r="CL48" s="63">
        <f>-Fin!CL248-Fin!CL249-Fin!CL250</f>
        <v>0</v>
      </c>
      <c r="CM48" s="63">
        <f>-Fin!CM248-Fin!CM249-Fin!CM250</f>
        <v>0</v>
      </c>
      <c r="CN48" s="63">
        <f>-Fin!CN248-Fin!CN249-Fin!CN250</f>
        <v>0</v>
      </c>
      <c r="CO48" s="63">
        <f>-Fin!CO248-Fin!CO249-Fin!CO250</f>
        <v>0</v>
      </c>
      <c r="CP48" s="63">
        <f>-Fin!CP248-Fin!CP249-Fin!CP250</f>
        <v>0</v>
      </c>
      <c r="CQ48" s="63">
        <f>-Fin!CQ248-Fin!CQ249-Fin!CQ250</f>
        <v>0</v>
      </c>
      <c r="CR48" s="63">
        <f>-Fin!CR248-Fin!CR249-Fin!CR250</f>
        <v>0</v>
      </c>
      <c r="CS48" s="63">
        <f>-Fin!CS248-Fin!CS249-Fin!CS250</f>
        <v>0</v>
      </c>
      <c r="CT48" s="63">
        <f>-Fin!CT248-Fin!CT249-Fin!CT250</f>
        <v>0</v>
      </c>
      <c r="CU48" s="63">
        <f>-Fin!CU248-Fin!CU249-Fin!CU250</f>
        <v>0</v>
      </c>
      <c r="CV48" s="63">
        <f>-Fin!CV248-Fin!CV249-Fin!CV250</f>
        <v>0</v>
      </c>
      <c r="CW48" s="63">
        <f>-Fin!CW248-Fin!CW249-Fin!CW250</f>
        <v>0</v>
      </c>
      <c r="CX48" s="63">
        <f>-Fin!CX248-Fin!CX249-Fin!CX250</f>
        <v>0</v>
      </c>
      <c r="CY48" s="63">
        <f>-Fin!CY248-Fin!CY249-Fin!CY250</f>
        <v>0</v>
      </c>
      <c r="CZ48" s="63">
        <f>-Fin!CZ248-Fin!CZ249-Fin!CZ250</f>
        <v>0</v>
      </c>
      <c r="DA48" s="63">
        <f>-Fin!DA248-Fin!DA249-Fin!DA250</f>
        <v>0</v>
      </c>
      <c r="DB48" s="63">
        <f>-Fin!DB248-Fin!DB249-Fin!DB250</f>
        <v>0</v>
      </c>
      <c r="DC48" s="63">
        <f>-Fin!DC248-Fin!DC249-Fin!DC250</f>
        <v>0</v>
      </c>
      <c r="DD48" s="63">
        <f>-Fin!DD248-Fin!DD249-Fin!DD250</f>
        <v>0</v>
      </c>
      <c r="DE48" s="63">
        <f>-Fin!DE248-Fin!DE249-Fin!DE250</f>
        <v>0</v>
      </c>
      <c r="DF48" s="63">
        <f>-Fin!DF248-Fin!DF249-Fin!DF250</f>
        <v>0</v>
      </c>
      <c r="DG48" s="63">
        <f>-Fin!DG248-Fin!DG249-Fin!DG250</f>
        <v>0</v>
      </c>
      <c r="DH48" s="63">
        <f>-Fin!DH248-Fin!DH249-Fin!DH250</f>
        <v>0</v>
      </c>
      <c r="DI48" s="63">
        <f>-Fin!DI248-Fin!DI249-Fin!DI250</f>
        <v>0</v>
      </c>
      <c r="DJ48" s="63">
        <f>-Fin!DJ248-Fin!DJ249-Fin!DJ250</f>
        <v>0</v>
      </c>
      <c r="DK48" s="63">
        <f>-Fin!DK248-Fin!DK249-Fin!DK250</f>
        <v>0</v>
      </c>
      <c r="DL48" s="63">
        <f>-Fin!DL248-Fin!DL249-Fin!DL250</f>
        <v>0</v>
      </c>
      <c r="DM48" s="63">
        <f>-Fin!DM248-Fin!DM249-Fin!DM250</f>
        <v>0</v>
      </c>
      <c r="DN48" s="63">
        <f>-Fin!DN248-Fin!DN249-Fin!DN250</f>
        <v>0</v>
      </c>
      <c r="DO48" s="63">
        <f>-Fin!DO248-Fin!DO249-Fin!DO250</f>
        <v>0</v>
      </c>
      <c r="DP48" s="63">
        <f>-Fin!DP248-Fin!DP249-Fin!DP250</f>
        <v>0</v>
      </c>
      <c r="DQ48" s="16"/>
    </row>
    <row r="49" spans="2:121" x14ac:dyDescent="0.2">
      <c r="C49" t="s">
        <v>43</v>
      </c>
      <c r="K49" s="144" t="s">
        <v>63</v>
      </c>
      <c r="L49" s="63"/>
      <c r="M49" s="63"/>
      <c r="N49" s="63">
        <f>SUM(Q49:DQ49)</f>
        <v>61500</v>
      </c>
      <c r="Q49" s="747"/>
      <c r="R49" s="746"/>
      <c r="S49" s="746">
        <f>-Fin!S274-Fin!S275-Fin!S276</f>
        <v>0</v>
      </c>
      <c r="T49" s="746">
        <f>-Fin!T274-Fin!T275-Fin!T276</f>
        <v>0</v>
      </c>
      <c r="U49" s="746">
        <f>-Fin!U274-Fin!U275-Fin!U276</f>
        <v>21730.869530352829</v>
      </c>
      <c r="V49" s="746">
        <f>-Fin!V274-Fin!V275-Fin!V276</f>
        <v>-3973.3070391430374</v>
      </c>
      <c r="W49" s="746">
        <f>-Fin!W274-Fin!W275-Fin!W276</f>
        <v>-2186.781713659766</v>
      </c>
      <c r="X49" s="746">
        <f>-Fin!X274-Fin!X275-Fin!X276</f>
        <v>-404.15483066316665</v>
      </c>
      <c r="Y49" s="746">
        <f>-Fin!Y274-Fin!Y275-Fin!Y276</f>
        <v>-587.47197038256127</v>
      </c>
      <c r="Z49" s="746">
        <f>-Fin!Z274-Fin!Z275-Fin!Z276</f>
        <v>-1438.7543011091111</v>
      </c>
      <c r="AA49" s="746">
        <f>-Fin!AA274-Fin!AA275-Fin!AA276</f>
        <v>-1621.8091364062057</v>
      </c>
      <c r="AB49" s="746">
        <f>-Fin!AB274-Fin!AB275-Fin!AB276</f>
        <v>-1803.391462022475</v>
      </c>
      <c r="AC49" s="746">
        <f>-Fin!AC274-Fin!AC275-Fin!AC276</f>
        <v>-1805.9984307099658</v>
      </c>
      <c r="AD49" s="746">
        <f>-Fin!AD274-Fin!AD275-Fin!AD276</f>
        <v>-2105.1144933757896</v>
      </c>
      <c r="AE49" s="746">
        <f>-Fin!AE274-Fin!AE275-Fin!AE276</f>
        <v>-2345.9547922531128</v>
      </c>
      <c r="AF49" s="746">
        <f>-Fin!AF274-Fin!AF275-Fin!AF276</f>
        <v>-2521.5989788574298</v>
      </c>
      <c r="AG49" s="746">
        <f>-Fin!AG274-Fin!AG275-Fin!AG276</f>
        <v>-2537.3170424353593</v>
      </c>
      <c r="AH49" s="746">
        <f>-Fin!AH274-Fin!AH275-Fin!AH276</f>
        <v>-2918.0170983109347</v>
      </c>
      <c r="AI49" s="746">
        <f>-Fin!AI274-Fin!AI275-Fin!AI276</f>
        <v>-3396.2547222850553</v>
      </c>
      <c r="AJ49" s="746">
        <f>-Fin!AJ274-Fin!AJ275-Fin!AJ276</f>
        <v>-4362.9094294107927</v>
      </c>
      <c r="AK49" s="746">
        <f>-Fin!AK274-Fin!AK275-Fin!AK276</f>
        <v>-4761.2757917118724</v>
      </c>
      <c r="AL49" s="746">
        <f>-Fin!AL274-Fin!AL275-Fin!AL276</f>
        <v>-4660.2743023161602</v>
      </c>
      <c r="AM49" s="746">
        <f>-Fin!AM274-Fin!AM275-Fin!AM276</f>
        <v>-5104.1137839636067</v>
      </c>
      <c r="AN49" s="746">
        <f>-Fin!AN274-Fin!AN275-Fin!AN276</f>
        <v>-697.80868542422832</v>
      </c>
      <c r="AO49" s="746">
        <f>-Fin!AO274-Fin!AO275-Fin!AO276</f>
        <v>-27326.006116330274</v>
      </c>
      <c r="AP49" s="746">
        <f>-Fin!AP274-Fin!AP275-Fin!AP276</f>
        <v>2568.80516300624</v>
      </c>
      <c r="AQ49" s="746">
        <f>-Fin!AQ274-Fin!AQ275-Fin!AQ276</f>
        <v>4270.0309883518785</v>
      </c>
      <c r="AR49" s="746">
        <f>-Fin!AR274-Fin!AR275-Fin!AR276</f>
        <v>5280.6531192460097</v>
      </c>
      <c r="AS49" s="746">
        <f>-Fin!AS274-Fin!AS275-Fin!AS276</f>
        <v>-277.67235514649656</v>
      </c>
      <c r="AT49" s="746">
        <f>-Fin!AT274-Fin!AT275-Fin!AT276</f>
        <v>-76641.246891439107</v>
      </c>
      <c r="AU49" s="746">
        <f>-Fin!AU274-Fin!AU275-Fin!AU276</f>
        <v>-74540.150844539225</v>
      </c>
      <c r="AV49" s="746">
        <f>-Fin!AV274-Fin!AV275-Fin!AV276</f>
        <v>-982.72032654244686</v>
      </c>
      <c r="AW49" s="746">
        <f>-Fin!AW274-Fin!AW275-Fin!AW276</f>
        <v>-470.88291640568059</v>
      </c>
      <c r="AX49" s="746">
        <f>-Fin!AX274-Fin!AX275-Fin!AX276</f>
        <v>-8710.3083716197871</v>
      </c>
      <c r="AY49" s="746">
        <f>-Fin!AY274-Fin!AY275-Fin!AY276</f>
        <v>-9947.2340771526215</v>
      </c>
      <c r="AZ49" s="746">
        <f>-Fin!AZ274-Fin!AZ275-Fin!AZ276</f>
        <v>148.58876412024256</v>
      </c>
      <c r="BA49" s="746">
        <f>-Fin!BA274-Fin!BA275-Fin!BA276</f>
        <v>465.42823474953184</v>
      </c>
      <c r="BB49" s="746">
        <f>-Fin!BB274-Fin!BB275-Fin!BB276</f>
        <v>331.39155571471201</v>
      </c>
      <c r="BC49" s="746">
        <f>-Fin!BC274-Fin!BC275-Fin!BC276</f>
        <v>348.7896123896935</v>
      </c>
      <c r="BD49" s="746">
        <f>-Fin!BD274-Fin!BD275-Fin!BD276</f>
        <v>135563.62357595254</v>
      </c>
      <c r="BE49" s="746">
        <f>-Fin!BE274-Fin!BE275-Fin!BE276</f>
        <v>138920.34935973259</v>
      </c>
      <c r="BF49" s="746">
        <f>-Fin!BF274-Fin!BF275-Fin!BF276</f>
        <v>0</v>
      </c>
      <c r="BG49" s="746">
        <f>-Fin!BG274-Fin!BG275-Fin!BG276</f>
        <v>0</v>
      </c>
      <c r="BH49" s="746">
        <f>-Fin!BH274-Fin!BH275-Fin!BH276</f>
        <v>0</v>
      </c>
      <c r="BI49" s="746">
        <f>-Fin!BI274-Fin!BI275-Fin!BI276</f>
        <v>0</v>
      </c>
      <c r="BJ49" s="746">
        <f>-Fin!BJ274-Fin!BJ275-Fin!BJ276</f>
        <v>0</v>
      </c>
      <c r="BK49" s="63">
        <f>-Fin!BK274-Fin!BK275-Fin!BK276</f>
        <v>0</v>
      </c>
      <c r="BL49" s="63">
        <f>-Fin!BL274-Fin!BL275-Fin!BL276</f>
        <v>0</v>
      </c>
      <c r="BM49" s="63">
        <f>-Fin!BM274-Fin!BM275-Fin!BM276</f>
        <v>0</v>
      </c>
      <c r="BN49" s="63">
        <f>-Fin!BN274-Fin!BN275-Fin!BN276</f>
        <v>0</v>
      </c>
      <c r="BO49" s="63">
        <f>-Fin!BO274-Fin!BO275-Fin!BO276</f>
        <v>0</v>
      </c>
      <c r="BP49" s="63">
        <f>-Fin!BP274-Fin!BP275-Fin!BP276</f>
        <v>0</v>
      </c>
      <c r="BQ49" s="63">
        <f>-Fin!BQ274-Fin!BQ275-Fin!BQ276</f>
        <v>0</v>
      </c>
      <c r="BR49" s="63">
        <f>-Fin!BR274-Fin!BR275-Fin!BR276</f>
        <v>0</v>
      </c>
      <c r="BS49" s="63">
        <f>-Fin!BS274-Fin!BS275-Fin!BS276</f>
        <v>0</v>
      </c>
      <c r="BT49" s="63">
        <f>-Fin!BT274-Fin!BT275-Fin!BT276</f>
        <v>0</v>
      </c>
      <c r="BU49" s="63">
        <f>-Fin!BU274-Fin!BU275-Fin!BU276</f>
        <v>0</v>
      </c>
      <c r="BV49" s="63">
        <f>-Fin!BV274-Fin!BV275-Fin!BV276</f>
        <v>0</v>
      </c>
      <c r="BW49" s="63">
        <f>-Fin!BW274-Fin!BW275-Fin!BW276</f>
        <v>0</v>
      </c>
      <c r="BX49" s="63">
        <f>-Fin!BX274-Fin!BX275-Fin!BX276</f>
        <v>0</v>
      </c>
      <c r="BY49" s="63">
        <f>-Fin!BY274-Fin!BY275-Fin!BY276</f>
        <v>0</v>
      </c>
      <c r="BZ49" s="63">
        <f>-Fin!BZ274-Fin!BZ275-Fin!BZ276</f>
        <v>0</v>
      </c>
      <c r="CA49" s="63">
        <f>-Fin!CA274-Fin!CA275-Fin!CA276</f>
        <v>0</v>
      </c>
      <c r="CB49" s="63">
        <f>-Fin!CB274-Fin!CB275-Fin!CB276</f>
        <v>0</v>
      </c>
      <c r="CC49" s="63">
        <f>-Fin!CC274-Fin!CC275-Fin!CC276</f>
        <v>0</v>
      </c>
      <c r="CD49" s="63">
        <f>-Fin!CD274-Fin!CD275-Fin!CD276</f>
        <v>0</v>
      </c>
      <c r="CE49" s="63">
        <f>-Fin!CE274-Fin!CE275-Fin!CE276</f>
        <v>0</v>
      </c>
      <c r="CF49" s="63">
        <f>-Fin!CF274-Fin!CF275-Fin!CF276</f>
        <v>0</v>
      </c>
      <c r="CG49" s="63">
        <f>-Fin!CG274-Fin!CG275-Fin!CG276</f>
        <v>0</v>
      </c>
      <c r="CH49" s="63">
        <f>-Fin!CH274-Fin!CH275-Fin!CH276</f>
        <v>0</v>
      </c>
      <c r="CI49" s="63">
        <f>-Fin!CI274-Fin!CI275-Fin!CI276</f>
        <v>0</v>
      </c>
      <c r="CJ49" s="63">
        <f>-Fin!CJ274-Fin!CJ275-Fin!CJ276</f>
        <v>0</v>
      </c>
      <c r="CK49" s="63">
        <f>-Fin!CK274-Fin!CK275-Fin!CK276</f>
        <v>0</v>
      </c>
      <c r="CL49" s="63">
        <f>-Fin!CL274-Fin!CL275-Fin!CL276</f>
        <v>0</v>
      </c>
      <c r="CM49" s="63">
        <f>-Fin!CM274-Fin!CM275-Fin!CM276</f>
        <v>0</v>
      </c>
      <c r="CN49" s="63">
        <f>-Fin!CN274-Fin!CN275-Fin!CN276</f>
        <v>0</v>
      </c>
      <c r="CO49" s="63">
        <f>-Fin!CO274-Fin!CO275-Fin!CO276</f>
        <v>0</v>
      </c>
      <c r="CP49" s="63">
        <f>-Fin!CP274-Fin!CP275-Fin!CP276</f>
        <v>0</v>
      </c>
      <c r="CQ49" s="63">
        <f>-Fin!CQ274-Fin!CQ275-Fin!CQ276</f>
        <v>0</v>
      </c>
      <c r="CR49" s="63">
        <f>-Fin!CR274-Fin!CR275-Fin!CR276</f>
        <v>0</v>
      </c>
      <c r="CS49" s="63">
        <f>-Fin!CS274-Fin!CS275-Fin!CS276</f>
        <v>0</v>
      </c>
      <c r="CT49" s="63">
        <f>-Fin!CT274-Fin!CT275-Fin!CT276</f>
        <v>0</v>
      </c>
      <c r="CU49" s="63">
        <f>-Fin!CU274-Fin!CU275-Fin!CU276</f>
        <v>0</v>
      </c>
      <c r="CV49" s="63">
        <f>-Fin!CV274-Fin!CV275-Fin!CV276</f>
        <v>0</v>
      </c>
      <c r="CW49" s="63">
        <f>-Fin!CW274-Fin!CW275-Fin!CW276</f>
        <v>0</v>
      </c>
      <c r="CX49" s="63">
        <f>-Fin!CX274-Fin!CX275-Fin!CX276</f>
        <v>0</v>
      </c>
      <c r="CY49" s="63">
        <f>-Fin!CY274-Fin!CY275-Fin!CY276</f>
        <v>0</v>
      </c>
      <c r="CZ49" s="63">
        <f>-Fin!CZ274-Fin!CZ275-Fin!CZ276</f>
        <v>0</v>
      </c>
      <c r="DA49" s="63">
        <f>-Fin!DA274-Fin!DA275-Fin!DA276</f>
        <v>0</v>
      </c>
      <c r="DB49" s="63">
        <f>-Fin!DB274-Fin!DB275-Fin!DB276</f>
        <v>0</v>
      </c>
      <c r="DC49" s="63">
        <f>-Fin!DC274-Fin!DC275-Fin!DC276</f>
        <v>0</v>
      </c>
      <c r="DD49" s="63">
        <f>-Fin!DD274-Fin!DD275-Fin!DD276</f>
        <v>0</v>
      </c>
      <c r="DE49" s="63">
        <f>-Fin!DE274-Fin!DE275-Fin!DE276</f>
        <v>0</v>
      </c>
      <c r="DF49" s="63">
        <f>-Fin!DF274-Fin!DF275-Fin!DF276</f>
        <v>0</v>
      </c>
      <c r="DG49" s="63">
        <f>-Fin!DG274-Fin!DG275-Fin!DG276</f>
        <v>0</v>
      </c>
      <c r="DH49" s="63">
        <f>-Fin!DH274-Fin!DH275-Fin!DH276</f>
        <v>0</v>
      </c>
      <c r="DI49" s="63">
        <f>-Fin!DI274-Fin!DI275-Fin!DI276</f>
        <v>0</v>
      </c>
      <c r="DJ49" s="63">
        <f>-Fin!DJ274-Fin!DJ275-Fin!DJ276</f>
        <v>0</v>
      </c>
      <c r="DK49" s="63">
        <f>-Fin!DK274-Fin!DK275-Fin!DK276</f>
        <v>0</v>
      </c>
      <c r="DL49" s="63">
        <f>-Fin!DL274-Fin!DL275-Fin!DL276</f>
        <v>0</v>
      </c>
      <c r="DM49" s="63">
        <f>-Fin!DM274-Fin!DM275-Fin!DM276</f>
        <v>0</v>
      </c>
      <c r="DN49" s="63">
        <f>-Fin!DN274-Fin!DN275-Fin!DN276</f>
        <v>0</v>
      </c>
      <c r="DO49" s="63">
        <f>-Fin!DO274-Fin!DO275-Fin!DO276</f>
        <v>0</v>
      </c>
      <c r="DP49" s="63">
        <f>-Fin!DP274-Fin!DP275-Fin!DP276</f>
        <v>0</v>
      </c>
      <c r="DQ49" s="16"/>
    </row>
    <row r="50" spans="2:121" x14ac:dyDescent="0.2">
      <c r="C50" t="s">
        <v>75</v>
      </c>
      <c r="K50" s="144" t="s">
        <v>63</v>
      </c>
      <c r="L50" s="63"/>
      <c r="M50" s="63"/>
      <c r="N50" s="63">
        <f>SUM(Q50:DQ50)</f>
        <v>52505.482649999991</v>
      </c>
      <c r="Q50" s="126"/>
      <c r="R50" s="126"/>
      <c r="S50" s="63">
        <f>-Fin!S305-Fin!S306</f>
        <v>-46089.205415482946</v>
      </c>
      <c r="T50" s="63">
        <f>-Fin!T305-Fin!T306</f>
        <v>-66536.014867182152</v>
      </c>
      <c r="U50" s="63">
        <f>-Fin!U305-Fin!U306</f>
        <v>165130.7029326651</v>
      </c>
      <c r="V50" s="63">
        <f>-Fin!V305-Fin!V306</f>
        <v>0</v>
      </c>
      <c r="W50" s="63">
        <f>-Fin!W305-Fin!W306</f>
        <v>0</v>
      </c>
      <c r="X50" s="63">
        <f>-Fin!X305-Fin!X306</f>
        <v>0</v>
      </c>
      <c r="Y50" s="63">
        <f>-Fin!Y305-Fin!Y306</f>
        <v>0</v>
      </c>
      <c r="Z50" s="63">
        <f>-Fin!Z305-Fin!Z306</f>
        <v>0</v>
      </c>
      <c r="AA50" s="63">
        <f>-Fin!AA305-Fin!AA306</f>
        <v>0</v>
      </c>
      <c r="AB50" s="63">
        <f>-Fin!AB305-Fin!AB306</f>
        <v>0</v>
      </c>
      <c r="AC50" s="63">
        <f>-Fin!AC305-Fin!AC306</f>
        <v>0</v>
      </c>
      <c r="AD50" s="63">
        <f>-Fin!AD305-Fin!AD306</f>
        <v>0</v>
      </c>
      <c r="AE50" s="63">
        <f>-Fin!AE305-Fin!AE306</f>
        <v>0</v>
      </c>
      <c r="AF50" s="63">
        <f>-Fin!AF305-Fin!AF306</f>
        <v>0</v>
      </c>
      <c r="AG50" s="63">
        <f>-Fin!AG305-Fin!AG306</f>
        <v>0</v>
      </c>
      <c r="AH50" s="63">
        <f>-Fin!AH305-Fin!AH306</f>
        <v>0</v>
      </c>
      <c r="AI50" s="63">
        <f>-Fin!AI305-Fin!AI306</f>
        <v>0</v>
      </c>
      <c r="AJ50" s="63">
        <f>-Fin!AJ305-Fin!AJ306</f>
        <v>0</v>
      </c>
      <c r="AK50" s="63">
        <f>-Fin!AK305-Fin!AK306</f>
        <v>0</v>
      </c>
      <c r="AL50" s="63">
        <f>-Fin!AL305-Fin!AL306</f>
        <v>0</v>
      </c>
      <c r="AM50" s="63">
        <f>-Fin!AM305-Fin!AM306</f>
        <v>0</v>
      </c>
      <c r="AN50" s="63">
        <f>-Fin!AN305-Fin!AN306</f>
        <v>0</v>
      </c>
      <c r="AO50" s="63">
        <f>-Fin!AO305-Fin!AO306</f>
        <v>0</v>
      </c>
      <c r="AP50" s="63">
        <f>-Fin!AP305-Fin!AP306</f>
        <v>0</v>
      </c>
      <c r="AQ50" s="63">
        <f>-Fin!AQ305-Fin!AQ306</f>
        <v>0</v>
      </c>
      <c r="AR50" s="63">
        <f>-Fin!AR305-Fin!AR306</f>
        <v>0</v>
      </c>
      <c r="AS50" s="63">
        <f>-Fin!AS305-Fin!AS306</f>
        <v>0</v>
      </c>
      <c r="AT50" s="63">
        <f>-Fin!AT305-Fin!AT306</f>
        <v>0</v>
      </c>
      <c r="AU50" s="63">
        <f>-Fin!AU305-Fin!AU306</f>
        <v>0</v>
      </c>
      <c r="AV50" s="63">
        <f>-Fin!AV305-Fin!AV306</f>
        <v>0</v>
      </c>
      <c r="AW50" s="63">
        <f>-Fin!AW305-Fin!AW306</f>
        <v>0</v>
      </c>
      <c r="AX50" s="63">
        <f>-Fin!AX305-Fin!AX306</f>
        <v>0</v>
      </c>
      <c r="AY50" s="63">
        <f>-Fin!AY305-Fin!AY306</f>
        <v>0</v>
      </c>
      <c r="AZ50" s="63">
        <f>-Fin!AZ305-Fin!AZ306</f>
        <v>0</v>
      </c>
      <c r="BA50" s="63">
        <f>-Fin!BA305-Fin!BA306</f>
        <v>0</v>
      </c>
      <c r="BB50" s="63">
        <f>-Fin!BB305-Fin!BB306</f>
        <v>0</v>
      </c>
      <c r="BC50" s="63">
        <f>-Fin!BC305-Fin!BC306</f>
        <v>0</v>
      </c>
      <c r="BD50" s="63">
        <f>-Fin!BD305-Fin!BD306</f>
        <v>0</v>
      </c>
      <c r="BE50" s="63">
        <f>-Fin!BE305-Fin!BE306</f>
        <v>0</v>
      </c>
      <c r="BF50" s="63">
        <f>-Fin!BF305-Fin!BF306</f>
        <v>0</v>
      </c>
      <c r="BG50" s="63">
        <f>-Fin!BG305-Fin!BG306</f>
        <v>0</v>
      </c>
      <c r="BH50" s="63">
        <f>-Fin!BH305-Fin!BH306</f>
        <v>0</v>
      </c>
      <c r="BI50" s="63">
        <f>-Fin!BI305-Fin!BI306</f>
        <v>0</v>
      </c>
      <c r="BJ50" s="63">
        <f>-Fin!BJ305-Fin!BJ306</f>
        <v>0</v>
      </c>
      <c r="BK50" s="63">
        <f>-Fin!BK305-Fin!BK306</f>
        <v>0</v>
      </c>
      <c r="BL50" s="63">
        <f>-Fin!BL305-Fin!BL306</f>
        <v>0</v>
      </c>
      <c r="BM50" s="63">
        <f>-Fin!BM305-Fin!BM306</f>
        <v>0</v>
      </c>
      <c r="BN50" s="63">
        <f>-Fin!BN305-Fin!BN306</f>
        <v>0</v>
      </c>
      <c r="BO50" s="63">
        <f>-Fin!BO305-Fin!BO306</f>
        <v>0</v>
      </c>
      <c r="BP50" s="63">
        <f>-Fin!BP305-Fin!BP306</f>
        <v>0</v>
      </c>
      <c r="BQ50" s="63">
        <f>-Fin!BQ305-Fin!BQ306</f>
        <v>0</v>
      </c>
      <c r="BR50" s="63">
        <f>-Fin!BR305-Fin!BR306</f>
        <v>0</v>
      </c>
      <c r="BS50" s="63">
        <f>-Fin!BS305-Fin!BS306</f>
        <v>0</v>
      </c>
      <c r="BT50" s="63">
        <f>-Fin!BT305-Fin!BT306</f>
        <v>0</v>
      </c>
      <c r="BU50" s="63">
        <f>-Fin!BU305-Fin!BU306</f>
        <v>0</v>
      </c>
      <c r="BV50" s="63">
        <f>-Fin!BV305-Fin!BV306</f>
        <v>0</v>
      </c>
      <c r="BW50" s="63">
        <f>-Fin!BW305-Fin!BW306</f>
        <v>0</v>
      </c>
      <c r="BX50" s="63">
        <f>-Fin!BX305-Fin!BX306</f>
        <v>0</v>
      </c>
      <c r="BY50" s="63">
        <f>-Fin!BY305-Fin!BY306</f>
        <v>0</v>
      </c>
      <c r="BZ50" s="63">
        <f>-Fin!BZ305-Fin!BZ306</f>
        <v>0</v>
      </c>
      <c r="CA50" s="63">
        <f>-Fin!CA305-Fin!CA306</f>
        <v>0</v>
      </c>
      <c r="CB50" s="63">
        <f>-Fin!CB305-Fin!CB306</f>
        <v>0</v>
      </c>
      <c r="CC50" s="63">
        <f>-Fin!CC305-Fin!CC306</f>
        <v>0</v>
      </c>
      <c r="CD50" s="63">
        <f>-Fin!CD305-Fin!CD306</f>
        <v>0</v>
      </c>
      <c r="CE50" s="63">
        <f>-Fin!CE305-Fin!CE306</f>
        <v>0</v>
      </c>
      <c r="CF50" s="63">
        <f>-Fin!CF305-Fin!CF306</f>
        <v>0</v>
      </c>
      <c r="CG50" s="63">
        <f>-Fin!CG305-Fin!CG306</f>
        <v>0</v>
      </c>
      <c r="CH50" s="63">
        <f>-Fin!CH305-Fin!CH306</f>
        <v>0</v>
      </c>
      <c r="CI50" s="63">
        <f>-Fin!CI305-Fin!CI306</f>
        <v>0</v>
      </c>
      <c r="CJ50" s="63">
        <f>-Fin!CJ305-Fin!CJ306</f>
        <v>0</v>
      </c>
      <c r="CK50" s="63">
        <f>-Fin!CK305-Fin!CK306</f>
        <v>0</v>
      </c>
      <c r="CL50" s="63">
        <f>-Fin!CL305-Fin!CL306</f>
        <v>0</v>
      </c>
      <c r="CM50" s="63">
        <f>-Fin!CM305-Fin!CM306</f>
        <v>0</v>
      </c>
      <c r="CN50" s="63">
        <f>-Fin!CN305-Fin!CN306</f>
        <v>0</v>
      </c>
      <c r="CO50" s="63">
        <f>-Fin!CO305-Fin!CO306</f>
        <v>0</v>
      </c>
      <c r="CP50" s="63">
        <f>-Fin!CP305-Fin!CP306</f>
        <v>0</v>
      </c>
      <c r="CQ50" s="63">
        <f>-Fin!CQ305-Fin!CQ306</f>
        <v>0</v>
      </c>
      <c r="CR50" s="63">
        <f>-Fin!CR305-Fin!CR306</f>
        <v>0</v>
      </c>
      <c r="CS50" s="63">
        <f>-Fin!CS305-Fin!CS306</f>
        <v>0</v>
      </c>
      <c r="CT50" s="63">
        <f>-Fin!CT305-Fin!CT306</f>
        <v>0</v>
      </c>
      <c r="CU50" s="63">
        <f>-Fin!CU305-Fin!CU306</f>
        <v>0</v>
      </c>
      <c r="CV50" s="63">
        <f>-Fin!CV305-Fin!CV306</f>
        <v>0</v>
      </c>
      <c r="CW50" s="63">
        <f>-Fin!CW305-Fin!CW306</f>
        <v>0</v>
      </c>
      <c r="CX50" s="63">
        <f>-Fin!CX305-Fin!CX306</f>
        <v>0</v>
      </c>
      <c r="CY50" s="63">
        <f>-Fin!CY305-Fin!CY306</f>
        <v>0</v>
      </c>
      <c r="CZ50" s="63">
        <f>-Fin!CZ305-Fin!CZ306</f>
        <v>0</v>
      </c>
      <c r="DA50" s="63">
        <f>-Fin!DA305-Fin!DA306</f>
        <v>0</v>
      </c>
      <c r="DB50" s="63">
        <f>-Fin!DB305-Fin!DB306</f>
        <v>0</v>
      </c>
      <c r="DC50" s="63">
        <f>-Fin!DC305-Fin!DC306</f>
        <v>0</v>
      </c>
      <c r="DD50" s="63">
        <f>-Fin!DD305-Fin!DD306</f>
        <v>0</v>
      </c>
      <c r="DE50" s="63">
        <f>-Fin!DE305-Fin!DE306</f>
        <v>0</v>
      </c>
      <c r="DF50" s="63">
        <f>-Fin!DF305-Fin!DF306</f>
        <v>0</v>
      </c>
      <c r="DG50" s="63">
        <f>-Fin!DG305-Fin!DG306</f>
        <v>0</v>
      </c>
      <c r="DH50" s="63">
        <f>-Fin!DH305-Fin!DH306</f>
        <v>0</v>
      </c>
      <c r="DI50" s="63">
        <f>-Fin!DI305-Fin!DI306</f>
        <v>0</v>
      </c>
      <c r="DJ50" s="63">
        <f>-Fin!DJ305-Fin!DJ306</f>
        <v>0</v>
      </c>
      <c r="DK50" s="63">
        <f>-Fin!DK305-Fin!DK306</f>
        <v>0</v>
      </c>
      <c r="DL50" s="63">
        <f>-Fin!DL305-Fin!DL306</f>
        <v>0</v>
      </c>
      <c r="DM50" s="63">
        <f>-Fin!DM305-Fin!DM306</f>
        <v>0</v>
      </c>
      <c r="DN50" s="63">
        <f>-Fin!DN305-Fin!DN306</f>
        <v>0</v>
      </c>
      <c r="DO50" s="63">
        <f>-Fin!DO305-Fin!DO306</f>
        <v>0</v>
      </c>
      <c r="DP50" s="63">
        <f>-Fin!DP305-Fin!DP306</f>
        <v>0</v>
      </c>
      <c r="DQ50" s="16"/>
    </row>
    <row r="51" spans="2:121" x14ac:dyDescent="0.2">
      <c r="L51" s="63"/>
      <c r="M51" s="63"/>
      <c r="N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16"/>
    </row>
    <row r="52" spans="2:121" x14ac:dyDescent="0.2">
      <c r="C52" s="32" t="s">
        <v>76</v>
      </c>
      <c r="D52" s="32"/>
      <c r="E52" s="32"/>
      <c r="F52" s="32"/>
      <c r="G52" s="32"/>
      <c r="H52" s="32"/>
      <c r="I52" s="32"/>
      <c r="J52" s="32"/>
      <c r="K52" s="639" t="s">
        <v>63</v>
      </c>
      <c r="L52" s="33"/>
      <c r="M52" s="33"/>
      <c r="N52" s="745">
        <f>SUM(Q52:DQ52)</f>
        <v>30216314.973365799</v>
      </c>
      <c r="O52" s="32"/>
      <c r="P52" s="32"/>
      <c r="Q52" s="745"/>
      <c r="R52" s="745"/>
      <c r="S52" s="745">
        <f>IF(SUM(S46:S50) &lt; 0,0,SUM(S46:S50) * S$16)</f>
        <v>0</v>
      </c>
      <c r="T52" s="745">
        <f t="shared" ref="T52:BJ52" si="78">IF(SUM(T46:T50) &lt; 0,0,SUM(T46:T50) * T$16)</f>
        <v>0</v>
      </c>
      <c r="U52" s="745">
        <f t="shared" si="78"/>
        <v>247570.44432824073</v>
      </c>
      <c r="V52" s="745">
        <f t="shared" si="78"/>
        <v>64936.703322905654</v>
      </c>
      <c r="W52" s="745">
        <f t="shared" si="78"/>
        <v>78791.618545604462</v>
      </c>
      <c r="X52" s="745">
        <f t="shared" si="78"/>
        <v>94084.949761677388</v>
      </c>
      <c r="Y52" s="745">
        <f t="shared" si="78"/>
        <v>108916.77205663553</v>
      </c>
      <c r="Z52" s="745">
        <f t="shared" si="78"/>
        <v>124570.63434382016</v>
      </c>
      <c r="AA52" s="745">
        <f t="shared" si="78"/>
        <v>143016.37432390204</v>
      </c>
      <c r="AB52" s="745">
        <f t="shared" si="78"/>
        <v>161032.80369670255</v>
      </c>
      <c r="AC52" s="745">
        <f t="shared" si="78"/>
        <v>180188.636978233</v>
      </c>
      <c r="AD52" s="745">
        <f t="shared" si="78"/>
        <v>200132.27931181935</v>
      </c>
      <c r="AE52" s="745">
        <f t="shared" si="78"/>
        <v>209843.0785368963</v>
      </c>
      <c r="AF52" s="745">
        <f t="shared" si="78"/>
        <v>242256.37419751709</v>
      </c>
      <c r="AG52" s="745">
        <f t="shared" si="78"/>
        <v>265555.01824693044</v>
      </c>
      <c r="AH52" s="745">
        <f t="shared" si="78"/>
        <v>292616.36552417465</v>
      </c>
      <c r="AI52" s="745">
        <f t="shared" si="78"/>
        <v>323258.91351240419</v>
      </c>
      <c r="AJ52" s="745">
        <f t="shared" si="78"/>
        <v>357082.81061343057</v>
      </c>
      <c r="AK52" s="745">
        <f t="shared" si="78"/>
        <v>395420.17085327074</v>
      </c>
      <c r="AL52" s="745">
        <f t="shared" si="78"/>
        <v>423676.42416936788</v>
      </c>
      <c r="AM52" s="745">
        <f t="shared" si="78"/>
        <v>455492.88145072729</v>
      </c>
      <c r="AN52" s="745">
        <f t="shared" si="78"/>
        <v>495274.75144114264</v>
      </c>
      <c r="AO52" s="745">
        <f t="shared" si="78"/>
        <v>487072.89874041325</v>
      </c>
      <c r="AP52" s="745">
        <f t="shared" si="78"/>
        <v>578420.87642062781</v>
      </c>
      <c r="AQ52" s="745">
        <f t="shared" si="78"/>
        <v>622462.31660118187</v>
      </c>
      <c r="AR52" s="745">
        <f t="shared" si="78"/>
        <v>670123.04279516125</v>
      </c>
      <c r="AS52" s="745">
        <f t="shared" si="78"/>
        <v>716555.59271697851</v>
      </c>
      <c r="AT52" s="745">
        <f t="shared" si="78"/>
        <v>696910.7845384276</v>
      </c>
      <c r="AU52" s="745">
        <f t="shared" si="78"/>
        <v>686909.87386723165</v>
      </c>
      <c r="AV52" s="745">
        <f t="shared" si="78"/>
        <v>746033.98516871454</v>
      </c>
      <c r="AW52" s="745">
        <f t="shared" si="78"/>
        <v>807502.83337323822</v>
      </c>
      <c r="AX52" s="745">
        <f t="shared" si="78"/>
        <v>864251.51904584584</v>
      </c>
      <c r="AY52" s="745">
        <f t="shared" si="78"/>
        <v>897016.12517696293</v>
      </c>
      <c r="AZ52" s="745">
        <f t="shared" si="78"/>
        <v>979532.58161589003</v>
      </c>
      <c r="BA52" s="745">
        <f t="shared" si="78"/>
        <v>1059170.9752302826</v>
      </c>
      <c r="BB52" s="745">
        <f t="shared" si="78"/>
        <v>1143471.7474454443</v>
      </c>
      <c r="BC52" s="745">
        <f t="shared" si="78"/>
        <v>1232863.2869510818</v>
      </c>
      <c r="BD52" s="745">
        <f t="shared" si="78"/>
        <v>1462819.6715564479</v>
      </c>
      <c r="BE52" s="745">
        <f t="shared" si="78"/>
        <v>1586118.7054500782</v>
      </c>
      <c r="BF52" s="745">
        <f t="shared" si="78"/>
        <v>1877951.2000004875</v>
      </c>
      <c r="BG52" s="745">
        <f t="shared" si="78"/>
        <v>2022875.7896959386</v>
      </c>
      <c r="BH52" s="745">
        <f t="shared" si="78"/>
        <v>2179018.6750670709</v>
      </c>
      <c r="BI52" s="745">
        <f t="shared" si="78"/>
        <v>2347204.8376066857</v>
      </c>
      <c r="BJ52" s="745">
        <f t="shared" si="78"/>
        <v>1688309.6490862106</v>
      </c>
      <c r="BK52" s="745">
        <f t="shared" ref="BK52:CP52" si="79">IF(SUM(BK46:BK50) &lt; 0,0,SUM(BK46:BK50) * BK$16)</f>
        <v>0</v>
      </c>
      <c r="BL52" s="745">
        <f t="shared" si="79"/>
        <v>0</v>
      </c>
      <c r="BM52" s="745">
        <f t="shared" si="79"/>
        <v>0</v>
      </c>
      <c r="BN52" s="745">
        <f t="shared" si="79"/>
        <v>0</v>
      </c>
      <c r="BO52" s="745">
        <f t="shared" si="79"/>
        <v>0</v>
      </c>
      <c r="BP52" s="745">
        <f t="shared" si="79"/>
        <v>0</v>
      </c>
      <c r="BQ52" s="745">
        <f t="shared" si="79"/>
        <v>0</v>
      </c>
      <c r="BR52" s="745">
        <f t="shared" si="79"/>
        <v>0</v>
      </c>
      <c r="BS52" s="745">
        <f t="shared" si="79"/>
        <v>0</v>
      </c>
      <c r="BT52" s="745">
        <f t="shared" si="79"/>
        <v>0</v>
      </c>
      <c r="BU52" s="745">
        <f t="shared" si="79"/>
        <v>0</v>
      </c>
      <c r="BV52" s="745">
        <f t="shared" si="79"/>
        <v>0</v>
      </c>
      <c r="BW52" s="745">
        <f t="shared" si="79"/>
        <v>0</v>
      </c>
      <c r="BX52" s="745">
        <f t="shared" si="79"/>
        <v>0</v>
      </c>
      <c r="BY52" s="745">
        <f t="shared" si="79"/>
        <v>0</v>
      </c>
      <c r="BZ52" s="745">
        <f t="shared" si="79"/>
        <v>0</v>
      </c>
      <c r="CA52" s="745">
        <f t="shared" si="79"/>
        <v>0</v>
      </c>
      <c r="CB52" s="745">
        <f t="shared" si="79"/>
        <v>0</v>
      </c>
      <c r="CC52" s="745">
        <f t="shared" si="79"/>
        <v>0</v>
      </c>
      <c r="CD52" s="745">
        <f t="shared" si="79"/>
        <v>0</v>
      </c>
      <c r="CE52" s="745">
        <f t="shared" si="79"/>
        <v>0</v>
      </c>
      <c r="CF52" s="745">
        <f t="shared" si="79"/>
        <v>0</v>
      </c>
      <c r="CG52" s="745">
        <f t="shared" si="79"/>
        <v>0</v>
      </c>
      <c r="CH52" s="745">
        <f t="shared" si="79"/>
        <v>0</v>
      </c>
      <c r="CI52" s="745">
        <f t="shared" si="79"/>
        <v>0</v>
      </c>
      <c r="CJ52" s="745">
        <f t="shared" si="79"/>
        <v>0</v>
      </c>
      <c r="CK52" s="745">
        <f t="shared" si="79"/>
        <v>0</v>
      </c>
      <c r="CL52" s="745">
        <f t="shared" si="79"/>
        <v>0</v>
      </c>
      <c r="CM52" s="745">
        <f t="shared" si="79"/>
        <v>0</v>
      </c>
      <c r="CN52" s="745">
        <f t="shared" si="79"/>
        <v>0</v>
      </c>
      <c r="CO52" s="745">
        <f t="shared" si="79"/>
        <v>0</v>
      </c>
      <c r="CP52" s="745">
        <f t="shared" si="79"/>
        <v>0</v>
      </c>
      <c r="CQ52" s="745">
        <f t="shared" ref="CQ52:DP52" si="80">IF(SUM(CQ46:CQ50) &lt; 0,0,SUM(CQ46:CQ50) * CQ$16)</f>
        <v>0</v>
      </c>
      <c r="CR52" s="745">
        <f t="shared" si="80"/>
        <v>0</v>
      </c>
      <c r="CS52" s="745">
        <f t="shared" si="80"/>
        <v>0</v>
      </c>
      <c r="CT52" s="745">
        <f t="shared" si="80"/>
        <v>0</v>
      </c>
      <c r="CU52" s="745">
        <f t="shared" si="80"/>
        <v>0</v>
      </c>
      <c r="CV52" s="745">
        <f t="shared" si="80"/>
        <v>0</v>
      </c>
      <c r="CW52" s="745">
        <f t="shared" si="80"/>
        <v>0</v>
      </c>
      <c r="CX52" s="745">
        <f t="shared" si="80"/>
        <v>0</v>
      </c>
      <c r="CY52" s="745">
        <f t="shared" si="80"/>
        <v>0</v>
      </c>
      <c r="CZ52" s="745">
        <f t="shared" si="80"/>
        <v>0</v>
      </c>
      <c r="DA52" s="745">
        <f t="shared" si="80"/>
        <v>0</v>
      </c>
      <c r="DB52" s="745">
        <f t="shared" si="80"/>
        <v>0</v>
      </c>
      <c r="DC52" s="745">
        <f t="shared" si="80"/>
        <v>0</v>
      </c>
      <c r="DD52" s="745">
        <f t="shared" si="80"/>
        <v>0</v>
      </c>
      <c r="DE52" s="745">
        <f t="shared" si="80"/>
        <v>0</v>
      </c>
      <c r="DF52" s="745">
        <f t="shared" si="80"/>
        <v>0</v>
      </c>
      <c r="DG52" s="745">
        <f t="shared" si="80"/>
        <v>0</v>
      </c>
      <c r="DH52" s="745">
        <f t="shared" si="80"/>
        <v>0</v>
      </c>
      <c r="DI52" s="745">
        <f t="shared" si="80"/>
        <v>0</v>
      </c>
      <c r="DJ52" s="745">
        <f t="shared" si="80"/>
        <v>0</v>
      </c>
      <c r="DK52" s="745">
        <f t="shared" si="80"/>
        <v>0</v>
      </c>
      <c r="DL52" s="745">
        <f t="shared" si="80"/>
        <v>0</v>
      </c>
      <c r="DM52" s="745">
        <f t="shared" si="80"/>
        <v>0</v>
      </c>
      <c r="DN52" s="745">
        <f t="shared" si="80"/>
        <v>0</v>
      </c>
      <c r="DO52" s="745">
        <f t="shared" si="80"/>
        <v>0</v>
      </c>
      <c r="DP52" s="745">
        <f t="shared" si="80"/>
        <v>0</v>
      </c>
      <c r="DQ52" s="45"/>
    </row>
    <row r="53" spans="2:121" x14ac:dyDescent="0.2">
      <c r="L53" s="63"/>
      <c r="M53" s="63"/>
      <c r="N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16"/>
    </row>
    <row r="54" spans="2:121" x14ac:dyDescent="0.2">
      <c r="L54" s="63"/>
      <c r="M54" s="63"/>
      <c r="N54" s="63"/>
      <c r="Q54" s="63"/>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16"/>
    </row>
    <row r="55" spans="2:121" x14ac:dyDescent="0.2">
      <c r="C55" s="40" t="s">
        <v>77</v>
      </c>
      <c r="D55" s="41"/>
      <c r="E55" s="41"/>
      <c r="F55" s="41"/>
      <c r="G55" s="41"/>
      <c r="H55" s="41"/>
      <c r="I55" s="41"/>
      <c r="J55" s="41"/>
      <c r="K55" s="635" t="s">
        <v>63</v>
      </c>
      <c r="L55" s="79"/>
      <c r="M55" s="79"/>
      <c r="N55" s="79">
        <f>SUM(Q55:DQ55)</f>
        <v>0</v>
      </c>
      <c r="O55" s="41"/>
      <c r="P55" s="41"/>
      <c r="Q55" s="79"/>
      <c r="R55" s="79"/>
      <c r="S55" s="79">
        <f>IF(NOT(S16),MAX(SUM(S46:S50,0)),0)</f>
        <v>0</v>
      </c>
      <c r="T55" s="79">
        <f t="shared" ref="T55:BJ55" si="81">IF(NOT(T16),MAX(SUM(T46:T50,0)),0)</f>
        <v>0</v>
      </c>
      <c r="U55" s="79">
        <f t="shared" si="81"/>
        <v>0</v>
      </c>
      <c r="V55" s="79">
        <f t="shared" si="81"/>
        <v>0</v>
      </c>
      <c r="W55" s="79">
        <f t="shared" si="81"/>
        <v>0</v>
      </c>
      <c r="X55" s="79">
        <f t="shared" si="81"/>
        <v>0</v>
      </c>
      <c r="Y55" s="79">
        <f t="shared" si="81"/>
        <v>0</v>
      </c>
      <c r="Z55" s="79">
        <f t="shared" si="81"/>
        <v>0</v>
      </c>
      <c r="AA55" s="79">
        <f t="shared" si="81"/>
        <v>0</v>
      </c>
      <c r="AB55" s="79">
        <f t="shared" si="81"/>
        <v>0</v>
      </c>
      <c r="AC55" s="79">
        <f t="shared" si="81"/>
        <v>0</v>
      </c>
      <c r="AD55" s="79">
        <f t="shared" si="81"/>
        <v>0</v>
      </c>
      <c r="AE55" s="79">
        <f t="shared" si="81"/>
        <v>0</v>
      </c>
      <c r="AF55" s="79">
        <f t="shared" si="81"/>
        <v>0</v>
      </c>
      <c r="AG55" s="79">
        <f t="shared" si="81"/>
        <v>0</v>
      </c>
      <c r="AH55" s="79">
        <f t="shared" si="81"/>
        <v>0</v>
      </c>
      <c r="AI55" s="79">
        <f t="shared" si="81"/>
        <v>0</v>
      </c>
      <c r="AJ55" s="79">
        <f t="shared" si="81"/>
        <v>0</v>
      </c>
      <c r="AK55" s="79">
        <f t="shared" si="81"/>
        <v>0</v>
      </c>
      <c r="AL55" s="79">
        <f t="shared" si="81"/>
        <v>0</v>
      </c>
      <c r="AM55" s="79">
        <f t="shared" si="81"/>
        <v>0</v>
      </c>
      <c r="AN55" s="79">
        <f t="shared" si="81"/>
        <v>0</v>
      </c>
      <c r="AO55" s="79">
        <f t="shared" si="81"/>
        <v>0</v>
      </c>
      <c r="AP55" s="79">
        <f t="shared" si="81"/>
        <v>0</v>
      </c>
      <c r="AQ55" s="79">
        <f t="shared" si="81"/>
        <v>0</v>
      </c>
      <c r="AR55" s="79">
        <f t="shared" si="81"/>
        <v>0</v>
      </c>
      <c r="AS55" s="79">
        <f t="shared" si="81"/>
        <v>0</v>
      </c>
      <c r="AT55" s="79">
        <f t="shared" si="81"/>
        <v>0</v>
      </c>
      <c r="AU55" s="79">
        <f t="shared" si="81"/>
        <v>0</v>
      </c>
      <c r="AV55" s="79">
        <f t="shared" si="81"/>
        <v>0</v>
      </c>
      <c r="AW55" s="79">
        <f t="shared" si="81"/>
        <v>0</v>
      </c>
      <c r="AX55" s="79">
        <f t="shared" si="81"/>
        <v>0</v>
      </c>
      <c r="AY55" s="79">
        <f t="shared" si="81"/>
        <v>0</v>
      </c>
      <c r="AZ55" s="79">
        <f t="shared" si="81"/>
        <v>0</v>
      </c>
      <c r="BA55" s="79">
        <f t="shared" si="81"/>
        <v>0</v>
      </c>
      <c r="BB55" s="79">
        <f t="shared" si="81"/>
        <v>0</v>
      </c>
      <c r="BC55" s="79">
        <f t="shared" si="81"/>
        <v>0</v>
      </c>
      <c r="BD55" s="79">
        <f t="shared" si="81"/>
        <v>0</v>
      </c>
      <c r="BE55" s="79">
        <f t="shared" si="81"/>
        <v>0</v>
      </c>
      <c r="BF55" s="79">
        <f t="shared" si="81"/>
        <v>0</v>
      </c>
      <c r="BG55" s="79">
        <f t="shared" si="81"/>
        <v>0</v>
      </c>
      <c r="BH55" s="79">
        <f t="shared" si="81"/>
        <v>0</v>
      </c>
      <c r="BI55" s="79">
        <f t="shared" si="81"/>
        <v>0</v>
      </c>
      <c r="BJ55" s="79">
        <f t="shared" si="81"/>
        <v>0</v>
      </c>
      <c r="BK55" s="79">
        <f t="shared" ref="BK55:CP55" si="82">IF(NOT(BK16),MAX(SUM(BK46:BK50,0)),0)</f>
        <v>0</v>
      </c>
      <c r="BL55" s="79">
        <f t="shared" si="82"/>
        <v>0</v>
      </c>
      <c r="BM55" s="79">
        <f t="shared" si="82"/>
        <v>0</v>
      </c>
      <c r="BN55" s="79">
        <f t="shared" si="82"/>
        <v>0</v>
      </c>
      <c r="BO55" s="79">
        <f t="shared" si="82"/>
        <v>0</v>
      </c>
      <c r="BP55" s="79">
        <f t="shared" si="82"/>
        <v>0</v>
      </c>
      <c r="BQ55" s="79">
        <f t="shared" si="82"/>
        <v>0</v>
      </c>
      <c r="BR55" s="79">
        <f t="shared" si="82"/>
        <v>0</v>
      </c>
      <c r="BS55" s="79">
        <f t="shared" si="82"/>
        <v>0</v>
      </c>
      <c r="BT55" s="79">
        <f t="shared" si="82"/>
        <v>0</v>
      </c>
      <c r="BU55" s="79">
        <f t="shared" si="82"/>
        <v>0</v>
      </c>
      <c r="BV55" s="79">
        <f t="shared" si="82"/>
        <v>0</v>
      </c>
      <c r="BW55" s="79">
        <f t="shared" si="82"/>
        <v>0</v>
      </c>
      <c r="BX55" s="79">
        <f t="shared" si="82"/>
        <v>0</v>
      </c>
      <c r="BY55" s="79">
        <f t="shared" si="82"/>
        <v>0</v>
      </c>
      <c r="BZ55" s="79">
        <f t="shared" si="82"/>
        <v>0</v>
      </c>
      <c r="CA55" s="79">
        <f t="shared" si="82"/>
        <v>0</v>
      </c>
      <c r="CB55" s="79">
        <f t="shared" si="82"/>
        <v>0</v>
      </c>
      <c r="CC55" s="79">
        <f t="shared" si="82"/>
        <v>0</v>
      </c>
      <c r="CD55" s="79">
        <f t="shared" si="82"/>
        <v>0</v>
      </c>
      <c r="CE55" s="79">
        <f t="shared" si="82"/>
        <v>0</v>
      </c>
      <c r="CF55" s="79">
        <f t="shared" si="82"/>
        <v>0</v>
      </c>
      <c r="CG55" s="79">
        <f t="shared" si="82"/>
        <v>0</v>
      </c>
      <c r="CH55" s="79">
        <f t="shared" si="82"/>
        <v>0</v>
      </c>
      <c r="CI55" s="79">
        <f t="shared" si="82"/>
        <v>0</v>
      </c>
      <c r="CJ55" s="79">
        <f t="shared" si="82"/>
        <v>0</v>
      </c>
      <c r="CK55" s="79">
        <f t="shared" si="82"/>
        <v>0</v>
      </c>
      <c r="CL55" s="79">
        <f t="shared" si="82"/>
        <v>0</v>
      </c>
      <c r="CM55" s="79">
        <f t="shared" si="82"/>
        <v>0</v>
      </c>
      <c r="CN55" s="79">
        <f t="shared" si="82"/>
        <v>0</v>
      </c>
      <c r="CO55" s="79">
        <f t="shared" si="82"/>
        <v>0</v>
      </c>
      <c r="CP55" s="79">
        <f t="shared" si="82"/>
        <v>0</v>
      </c>
      <c r="CQ55" s="79">
        <f t="shared" ref="CQ55:DP55" si="83">IF(NOT(CQ16),MAX(SUM(CQ46:CQ50,0)),0)</f>
        <v>0</v>
      </c>
      <c r="CR55" s="79">
        <f t="shared" si="83"/>
        <v>0</v>
      </c>
      <c r="CS55" s="79">
        <f t="shared" si="83"/>
        <v>0</v>
      </c>
      <c r="CT55" s="79">
        <f t="shared" si="83"/>
        <v>0</v>
      </c>
      <c r="CU55" s="79">
        <f t="shared" si="83"/>
        <v>0</v>
      </c>
      <c r="CV55" s="79">
        <f t="shared" si="83"/>
        <v>0</v>
      </c>
      <c r="CW55" s="79">
        <f t="shared" si="83"/>
        <v>0</v>
      </c>
      <c r="CX55" s="79">
        <f t="shared" si="83"/>
        <v>0</v>
      </c>
      <c r="CY55" s="79">
        <f t="shared" si="83"/>
        <v>0</v>
      </c>
      <c r="CZ55" s="79">
        <f t="shared" si="83"/>
        <v>0</v>
      </c>
      <c r="DA55" s="79">
        <f t="shared" si="83"/>
        <v>0</v>
      </c>
      <c r="DB55" s="79">
        <f t="shared" si="83"/>
        <v>0</v>
      </c>
      <c r="DC55" s="79">
        <f t="shared" si="83"/>
        <v>0</v>
      </c>
      <c r="DD55" s="79">
        <f t="shared" si="83"/>
        <v>0</v>
      </c>
      <c r="DE55" s="79">
        <f t="shared" si="83"/>
        <v>0</v>
      </c>
      <c r="DF55" s="79">
        <f t="shared" si="83"/>
        <v>0</v>
      </c>
      <c r="DG55" s="79">
        <f t="shared" si="83"/>
        <v>0</v>
      </c>
      <c r="DH55" s="79">
        <f t="shared" si="83"/>
        <v>0</v>
      </c>
      <c r="DI55" s="79">
        <f t="shared" si="83"/>
        <v>0</v>
      </c>
      <c r="DJ55" s="79">
        <f t="shared" si="83"/>
        <v>0</v>
      </c>
      <c r="DK55" s="79">
        <f t="shared" si="83"/>
        <v>0</v>
      </c>
      <c r="DL55" s="79">
        <f t="shared" si="83"/>
        <v>0</v>
      </c>
      <c r="DM55" s="79">
        <f t="shared" si="83"/>
        <v>0</v>
      </c>
      <c r="DN55" s="79">
        <f t="shared" si="83"/>
        <v>0</v>
      </c>
      <c r="DO55" s="79">
        <f t="shared" si="83"/>
        <v>0</v>
      </c>
      <c r="DP55" s="79">
        <f t="shared" si="83"/>
        <v>0</v>
      </c>
      <c r="DQ55" s="16"/>
    </row>
    <row r="56" spans="2:121" x14ac:dyDescent="0.2">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42"/>
    </row>
    <row r="57" spans="2:121" ht="13.5" thickBot="1" x14ac:dyDescent="0.25">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42"/>
    </row>
    <row r="58" spans="2:121" ht="13.5" thickBot="1" x14ac:dyDescent="0.25">
      <c r="N58" s="744">
        <f>IF(ROUND(N55,0) = 0,0,1)*IF(N55&gt;0,0,1)</f>
        <v>0</v>
      </c>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42"/>
    </row>
    <row r="59" spans="2:121" x14ac:dyDescent="0.2">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42"/>
    </row>
    <row r="60" spans="2:121" x14ac:dyDescent="0.2">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42"/>
    </row>
    <row r="61" spans="2:121" x14ac:dyDescent="0.2">
      <c r="B61" s="108"/>
      <c r="C61" s="108"/>
      <c r="D61" s="10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42"/>
    </row>
    <row r="62" spans="2:121" x14ac:dyDescent="0.2">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42"/>
    </row>
    <row r="63" spans="2:121" x14ac:dyDescent="0.2">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DQ63" s="42"/>
    </row>
    <row r="64" spans="2:121" x14ac:dyDescent="0.2">
      <c r="DQ64" s="42"/>
    </row>
    <row r="65" spans="121:121" x14ac:dyDescent="0.2">
      <c r="DQ65" s="42"/>
    </row>
  </sheetData>
  <sheetProtection algorithmName="SHA-512" hashValue="d0FYyPlZJHTX6H6L5RE6EKDN3a0opzZaR7SBDx0bR4T1j0eUzN9dy3gmRtFClyUH8E7Ywpkocu2PGNq03VRC4Q==" saltValue="/aDVQcZzvGJJjn6uWhqBuA==" spinCount="100000" sheet="1" objects="1" scenarios="1"/>
  <customSheetViews>
    <customSheetView guid="{A171ABFC-BD20-4BE9-8F97-F532286F0C2D}" scale="70" showGridLines="0" hiddenColumns="1">
      <pane xSplit="15" ySplit="10" topLeftCell="P29" activePane="bottomRight" state="frozen"/>
      <selection pane="bottomRight" activeCell="Q65" sqref="Q65:W65"/>
      <pageMargins left="0.7" right="0.7" top="0.75" bottom="0.75" header="0.3" footer="0.3"/>
      <pageSetup orientation="portrait" r:id="rId1"/>
    </customSheetView>
    <customSheetView guid="{5F88CBE0-3291-4A41-996B-A8A1DC273A84}" scale="70" showGridLines="0" hiddenColumns="1">
      <pane xSplit="15" ySplit="10" topLeftCell="P25" activePane="bottomRight" state="frozen"/>
      <selection pane="bottomRight" activeCell="T46" sqref="T46"/>
      <pageMargins left="0.7" right="0.7" top="0.75" bottom="0.75" header="0.3" footer="0.3"/>
      <pageSetup orientation="portrait" r:id="rId2"/>
    </customSheetView>
  </customSheetViews>
  <conditionalFormatting sqref="N58">
    <cfRule type="cellIs" dxfId="20" priority="13" stopIfTrue="1" operator="equal">
      <formula>0</formula>
    </cfRule>
    <cfRule type="cellIs" dxfId="19" priority="14" stopIfTrue="1" operator="equal">
      <formula>1</formula>
    </cfRule>
  </conditionalFormatting>
  <conditionalFormatting sqref="Q16:DQ16 Q12:DQ14">
    <cfRule type="cellIs" dxfId="18" priority="12" stopIfTrue="1" operator="equal">
      <formula>1</formula>
    </cfRule>
  </conditionalFormatting>
  <conditionalFormatting sqref="F4">
    <cfRule type="cellIs" dxfId="17" priority="15" stopIfTrue="1" operator="equal">
      <formula>0</formula>
    </cfRule>
    <cfRule type="cellIs" dxfId="16" priority="16" stopIfTrue="1" operator="equal">
      <formula>1</formula>
    </cfRule>
  </conditionalFormatting>
  <pageMargins left="0.70866141732283472" right="0.70866141732283472" top="0.74803149606299213" bottom="0.74803149606299213" header="0.31496062992125984" footer="0.31496062992125984"/>
  <pageSetup paperSize="9" scale="35" orientation="landscape" r:id="rId3"/>
  <colBreaks count="1" manualBreakCount="1">
    <brk id="32" max="70"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DU131"/>
  <sheetViews>
    <sheetView showGridLines="0" view="pageBreakPreview" zoomScale="70" zoomScaleNormal="70" zoomScaleSheetLayoutView="70" workbookViewId="0">
      <pane xSplit="15" ySplit="11" topLeftCell="R12" activePane="bottomRight" state="frozen"/>
      <selection pane="topRight" activeCell="P1" sqref="P1"/>
      <selection pane="bottomLeft" activeCell="A12" sqref="A12"/>
      <selection pane="bottomRight" activeCell="S22" sqref="S22"/>
    </sheetView>
  </sheetViews>
  <sheetFormatPr baseColWidth="10" defaultColWidth="0" defaultRowHeight="12.75" x14ac:dyDescent="0.2"/>
  <cols>
    <col min="1" max="2" width="2.5703125" customWidth="1"/>
    <col min="3" max="10" width="9.140625" customWidth="1"/>
    <col min="11" max="11" width="9.140625" style="144" customWidth="1"/>
    <col min="12" max="13" width="9.140625" customWidth="1"/>
    <col min="14" max="14" width="14.5703125" bestFit="1" customWidth="1"/>
    <col min="15" max="15" width="4.85546875" customWidth="1"/>
    <col min="16" max="16" width="3.28515625" customWidth="1"/>
    <col min="17" max="62" width="13.85546875" customWidth="1"/>
    <col min="63" max="120" width="9.7109375" hidden="1" customWidth="1"/>
    <col min="121" max="125" width="0" hidden="1" customWidth="1"/>
    <col min="126" max="16384" width="9.140625" hidden="1"/>
  </cols>
  <sheetData>
    <row r="1" spans="1:125" x14ac:dyDescent="0.2">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42"/>
    </row>
    <row r="2" spans="1:125" x14ac:dyDescent="0.2">
      <c r="C2" t="s">
        <v>2</v>
      </c>
      <c r="F2" s="61" t="str">
        <f>+Inputs!$G$2</f>
        <v xml:space="preserve">LBJ Infrastructure Group LLC IH-635 Mananged Lanes Project </v>
      </c>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42"/>
    </row>
    <row r="3" spans="1:125" ht="13.5" thickBot="1" x14ac:dyDescent="0.25">
      <c r="C3" t="s">
        <v>3</v>
      </c>
      <c r="F3" t="s">
        <v>443</v>
      </c>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42"/>
    </row>
    <row r="4" spans="1:125" ht="13.5" thickBot="1" x14ac:dyDescent="0.25">
      <c r="C4" t="s">
        <v>4</v>
      </c>
      <c r="F4" s="728">
        <f ca="1">+Inputs!G4</f>
        <v>0</v>
      </c>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42"/>
    </row>
    <row r="5" spans="1:125" x14ac:dyDescent="0.2">
      <c r="BJ5" s="117"/>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42"/>
    </row>
    <row r="6" spans="1:125" x14ac:dyDescent="0.2">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42"/>
    </row>
    <row r="7" spans="1:125" x14ac:dyDescent="0.2">
      <c r="C7" t="s">
        <v>19</v>
      </c>
      <c r="Q7" s="667">
        <f t="shared" ref="Q7:AP7" si="0">+YEAR(Q9)</f>
        <v>2016</v>
      </c>
      <c r="R7" s="667">
        <f t="shared" si="0"/>
        <v>2017</v>
      </c>
      <c r="S7" s="667">
        <f t="shared" si="0"/>
        <v>2018</v>
      </c>
      <c r="T7" s="667">
        <f t="shared" si="0"/>
        <v>2019</v>
      </c>
      <c r="U7" s="667">
        <f t="shared" si="0"/>
        <v>2020</v>
      </c>
      <c r="V7" s="667">
        <f t="shared" si="0"/>
        <v>2021</v>
      </c>
      <c r="W7" s="667">
        <f t="shared" si="0"/>
        <v>2022</v>
      </c>
      <c r="X7" s="667">
        <f t="shared" si="0"/>
        <v>2023</v>
      </c>
      <c r="Y7" s="667">
        <f t="shared" si="0"/>
        <v>2024</v>
      </c>
      <c r="Z7" s="667">
        <f t="shared" si="0"/>
        <v>2025</v>
      </c>
      <c r="AA7" s="667">
        <f t="shared" si="0"/>
        <v>2026</v>
      </c>
      <c r="AB7" s="667">
        <f t="shared" si="0"/>
        <v>2027</v>
      </c>
      <c r="AC7" s="667">
        <f t="shared" si="0"/>
        <v>2028</v>
      </c>
      <c r="AD7" s="667">
        <f t="shared" si="0"/>
        <v>2029</v>
      </c>
      <c r="AE7" s="667">
        <f t="shared" si="0"/>
        <v>2030</v>
      </c>
      <c r="AF7" s="667">
        <f t="shared" si="0"/>
        <v>2031</v>
      </c>
      <c r="AG7" s="667">
        <f t="shared" si="0"/>
        <v>2032</v>
      </c>
      <c r="AH7" s="667">
        <f t="shared" si="0"/>
        <v>2033</v>
      </c>
      <c r="AI7" s="667">
        <f t="shared" si="0"/>
        <v>2034</v>
      </c>
      <c r="AJ7" s="667">
        <f t="shared" si="0"/>
        <v>2035</v>
      </c>
      <c r="AK7" s="667">
        <f t="shared" si="0"/>
        <v>2036</v>
      </c>
      <c r="AL7" s="667">
        <f t="shared" si="0"/>
        <v>2037</v>
      </c>
      <c r="AM7" s="667">
        <f t="shared" si="0"/>
        <v>2038</v>
      </c>
      <c r="AN7" s="667">
        <f t="shared" si="0"/>
        <v>2039</v>
      </c>
      <c r="AO7" s="667">
        <f t="shared" si="0"/>
        <v>2040</v>
      </c>
      <c r="AP7" s="667">
        <f t="shared" si="0"/>
        <v>2041</v>
      </c>
      <c r="AQ7" s="667">
        <f t="shared" ref="AQ7:BV7" si="1">+YEAR(AQ9)</f>
        <v>2042</v>
      </c>
      <c r="AR7" s="667">
        <f t="shared" si="1"/>
        <v>2043</v>
      </c>
      <c r="AS7" s="667">
        <f t="shared" si="1"/>
        <v>2044</v>
      </c>
      <c r="AT7" s="667">
        <f t="shared" si="1"/>
        <v>2045</v>
      </c>
      <c r="AU7" s="667">
        <f t="shared" si="1"/>
        <v>2046</v>
      </c>
      <c r="AV7" s="667">
        <f t="shared" si="1"/>
        <v>2047</v>
      </c>
      <c r="AW7" s="667">
        <f t="shared" si="1"/>
        <v>2048</v>
      </c>
      <c r="AX7" s="667">
        <f t="shared" si="1"/>
        <v>2049</v>
      </c>
      <c r="AY7" s="667">
        <f t="shared" si="1"/>
        <v>2050</v>
      </c>
      <c r="AZ7" s="667">
        <f t="shared" si="1"/>
        <v>2051</v>
      </c>
      <c r="BA7" s="667">
        <f t="shared" si="1"/>
        <v>2052</v>
      </c>
      <c r="BB7" s="667">
        <f t="shared" si="1"/>
        <v>2053</v>
      </c>
      <c r="BC7" s="667">
        <f t="shared" si="1"/>
        <v>2054</v>
      </c>
      <c r="BD7" s="667">
        <f t="shared" si="1"/>
        <v>2055</v>
      </c>
      <c r="BE7" s="667">
        <f t="shared" si="1"/>
        <v>2056</v>
      </c>
      <c r="BF7" s="667">
        <f t="shared" si="1"/>
        <v>2057</v>
      </c>
      <c r="BG7" s="667">
        <f t="shared" si="1"/>
        <v>2058</v>
      </c>
      <c r="BH7" s="667">
        <f t="shared" si="1"/>
        <v>2059</v>
      </c>
      <c r="BI7" s="667">
        <f t="shared" si="1"/>
        <v>2060</v>
      </c>
      <c r="BJ7" s="667">
        <f t="shared" si="1"/>
        <v>2061</v>
      </c>
      <c r="BK7" s="667">
        <f t="shared" si="1"/>
        <v>2062</v>
      </c>
      <c r="BL7" s="667">
        <f t="shared" si="1"/>
        <v>2063</v>
      </c>
      <c r="BM7" s="667">
        <f t="shared" si="1"/>
        <v>2064</v>
      </c>
      <c r="BN7" s="667">
        <f t="shared" si="1"/>
        <v>2065</v>
      </c>
      <c r="BO7" s="667">
        <f t="shared" si="1"/>
        <v>2066</v>
      </c>
      <c r="BP7" s="667">
        <f t="shared" si="1"/>
        <v>2067</v>
      </c>
      <c r="BQ7" s="667">
        <f t="shared" si="1"/>
        <v>2068</v>
      </c>
      <c r="BR7" s="667">
        <f t="shared" si="1"/>
        <v>2069</v>
      </c>
      <c r="BS7" s="667">
        <f t="shared" si="1"/>
        <v>2070</v>
      </c>
      <c r="BT7" s="667">
        <f t="shared" si="1"/>
        <v>2071</v>
      </c>
      <c r="BU7" s="667">
        <f t="shared" si="1"/>
        <v>2072</v>
      </c>
      <c r="BV7" s="667">
        <f t="shared" si="1"/>
        <v>2073</v>
      </c>
      <c r="BW7" s="667">
        <f t="shared" ref="BW7:DB7" si="2">+YEAR(BW9)</f>
        <v>2074</v>
      </c>
      <c r="BX7" s="667">
        <f t="shared" si="2"/>
        <v>2075</v>
      </c>
      <c r="BY7" s="667">
        <f t="shared" si="2"/>
        <v>2076</v>
      </c>
      <c r="BZ7" s="667">
        <f t="shared" si="2"/>
        <v>2077</v>
      </c>
      <c r="CA7" s="667">
        <f t="shared" si="2"/>
        <v>2078</v>
      </c>
      <c r="CB7" s="667">
        <f t="shared" si="2"/>
        <v>2079</v>
      </c>
      <c r="CC7" s="667">
        <f t="shared" si="2"/>
        <v>2080</v>
      </c>
      <c r="CD7" s="667">
        <f t="shared" si="2"/>
        <v>2081</v>
      </c>
      <c r="CE7" s="667">
        <f t="shared" si="2"/>
        <v>2082</v>
      </c>
      <c r="CF7" s="667">
        <f t="shared" si="2"/>
        <v>2083</v>
      </c>
      <c r="CG7" s="667">
        <f t="shared" si="2"/>
        <v>2084</v>
      </c>
      <c r="CH7" s="667">
        <f t="shared" si="2"/>
        <v>2085</v>
      </c>
      <c r="CI7" s="667">
        <f t="shared" si="2"/>
        <v>2086</v>
      </c>
      <c r="CJ7" s="667">
        <f t="shared" si="2"/>
        <v>2087</v>
      </c>
      <c r="CK7" s="667">
        <f t="shared" si="2"/>
        <v>2088</v>
      </c>
      <c r="CL7" s="667">
        <f t="shared" si="2"/>
        <v>2089</v>
      </c>
      <c r="CM7" s="667">
        <f t="shared" si="2"/>
        <v>2090</v>
      </c>
      <c r="CN7" s="667">
        <f t="shared" si="2"/>
        <v>2091</v>
      </c>
      <c r="CO7" s="667">
        <f t="shared" si="2"/>
        <v>2092</v>
      </c>
      <c r="CP7" s="667">
        <f t="shared" si="2"/>
        <v>2093</v>
      </c>
      <c r="CQ7" s="667">
        <f t="shared" si="2"/>
        <v>2094</v>
      </c>
      <c r="CR7" s="667">
        <f t="shared" si="2"/>
        <v>2095</v>
      </c>
      <c r="CS7" s="667">
        <f t="shared" si="2"/>
        <v>2096</v>
      </c>
      <c r="CT7" s="667">
        <f t="shared" si="2"/>
        <v>2097</v>
      </c>
      <c r="CU7" s="667">
        <f t="shared" si="2"/>
        <v>2098</v>
      </c>
      <c r="CV7" s="667">
        <f t="shared" si="2"/>
        <v>2099</v>
      </c>
      <c r="CW7" s="667">
        <f t="shared" si="2"/>
        <v>2100</v>
      </c>
      <c r="CX7" s="667">
        <f t="shared" si="2"/>
        <v>2101</v>
      </c>
      <c r="CY7" s="667">
        <f t="shared" si="2"/>
        <v>2102</v>
      </c>
      <c r="CZ7" s="667">
        <f t="shared" si="2"/>
        <v>2103</v>
      </c>
      <c r="DA7" s="667">
        <f t="shared" si="2"/>
        <v>2104</v>
      </c>
      <c r="DB7" s="667">
        <f t="shared" si="2"/>
        <v>2105</v>
      </c>
      <c r="DC7" s="667">
        <f t="shared" ref="DC7:DP7" si="3">+YEAR(DC9)</f>
        <v>2106</v>
      </c>
      <c r="DD7" s="667">
        <f t="shared" si="3"/>
        <v>2107</v>
      </c>
      <c r="DE7" s="667">
        <f t="shared" si="3"/>
        <v>2108</v>
      </c>
      <c r="DF7" s="667">
        <f t="shared" si="3"/>
        <v>2109</v>
      </c>
      <c r="DG7" s="667">
        <f t="shared" si="3"/>
        <v>2110</v>
      </c>
      <c r="DH7" s="667">
        <f t="shared" si="3"/>
        <v>2111</v>
      </c>
      <c r="DI7" s="667">
        <f t="shared" si="3"/>
        <v>2112</v>
      </c>
      <c r="DJ7" s="667">
        <f t="shared" si="3"/>
        <v>2113</v>
      </c>
      <c r="DK7" s="667">
        <f t="shared" si="3"/>
        <v>2114</v>
      </c>
      <c r="DL7" s="667">
        <f t="shared" si="3"/>
        <v>2115</v>
      </c>
      <c r="DM7" s="667">
        <f t="shared" si="3"/>
        <v>2116</v>
      </c>
      <c r="DN7" s="667">
        <f t="shared" si="3"/>
        <v>2117</v>
      </c>
      <c r="DO7" s="667">
        <f t="shared" si="3"/>
        <v>2118</v>
      </c>
      <c r="DP7" s="667">
        <f t="shared" si="3"/>
        <v>2119</v>
      </c>
      <c r="DQ7" s="5"/>
    </row>
    <row r="8" spans="1:125" x14ac:dyDescent="0.2">
      <c r="C8" t="s">
        <v>46</v>
      </c>
      <c r="Q8" s="148">
        <v>42370</v>
      </c>
      <c r="R8" s="70">
        <f t="shared" ref="R8:AP8" si="4">+Q9+1</f>
        <v>42736</v>
      </c>
      <c r="S8" s="70">
        <f t="shared" si="4"/>
        <v>43101</v>
      </c>
      <c r="T8" s="70">
        <f t="shared" si="4"/>
        <v>43466</v>
      </c>
      <c r="U8" s="70">
        <f t="shared" si="4"/>
        <v>43831</v>
      </c>
      <c r="V8" s="70">
        <f t="shared" si="4"/>
        <v>44197</v>
      </c>
      <c r="W8" s="70">
        <f t="shared" si="4"/>
        <v>44562</v>
      </c>
      <c r="X8" s="70">
        <f t="shared" si="4"/>
        <v>44927</v>
      </c>
      <c r="Y8" s="70">
        <f t="shared" si="4"/>
        <v>45292</v>
      </c>
      <c r="Z8" s="70">
        <f t="shared" si="4"/>
        <v>45658</v>
      </c>
      <c r="AA8" s="70">
        <f t="shared" si="4"/>
        <v>46023</v>
      </c>
      <c r="AB8" s="70">
        <f t="shared" si="4"/>
        <v>46388</v>
      </c>
      <c r="AC8" s="70">
        <f t="shared" si="4"/>
        <v>46753</v>
      </c>
      <c r="AD8" s="70">
        <f t="shared" si="4"/>
        <v>47119</v>
      </c>
      <c r="AE8" s="70">
        <f t="shared" si="4"/>
        <v>47484</v>
      </c>
      <c r="AF8" s="70">
        <f t="shared" si="4"/>
        <v>47849</v>
      </c>
      <c r="AG8" s="70">
        <f t="shared" si="4"/>
        <v>48214</v>
      </c>
      <c r="AH8" s="70">
        <f t="shared" si="4"/>
        <v>48580</v>
      </c>
      <c r="AI8" s="70">
        <f t="shared" si="4"/>
        <v>48945</v>
      </c>
      <c r="AJ8" s="70">
        <f t="shared" si="4"/>
        <v>49310</v>
      </c>
      <c r="AK8" s="70">
        <f t="shared" si="4"/>
        <v>49675</v>
      </c>
      <c r="AL8" s="70">
        <f t="shared" si="4"/>
        <v>50041</v>
      </c>
      <c r="AM8" s="70">
        <f t="shared" si="4"/>
        <v>50406</v>
      </c>
      <c r="AN8" s="70">
        <f t="shared" si="4"/>
        <v>50771</v>
      </c>
      <c r="AO8" s="70">
        <f t="shared" si="4"/>
        <v>51136</v>
      </c>
      <c r="AP8" s="70">
        <f t="shared" si="4"/>
        <v>51502</v>
      </c>
      <c r="AQ8" s="70">
        <f t="shared" ref="AQ8:BV8" si="5">+AP9+1</f>
        <v>51867</v>
      </c>
      <c r="AR8" s="70">
        <f t="shared" si="5"/>
        <v>52232</v>
      </c>
      <c r="AS8" s="70">
        <f t="shared" si="5"/>
        <v>52597</v>
      </c>
      <c r="AT8" s="70">
        <f t="shared" si="5"/>
        <v>52963</v>
      </c>
      <c r="AU8" s="70">
        <f t="shared" si="5"/>
        <v>53328</v>
      </c>
      <c r="AV8" s="70">
        <f t="shared" si="5"/>
        <v>53693</v>
      </c>
      <c r="AW8" s="70">
        <f t="shared" si="5"/>
        <v>54058</v>
      </c>
      <c r="AX8" s="70">
        <f t="shared" si="5"/>
        <v>54424</v>
      </c>
      <c r="AY8" s="70">
        <f t="shared" si="5"/>
        <v>54789</v>
      </c>
      <c r="AZ8" s="70">
        <f t="shared" si="5"/>
        <v>55154</v>
      </c>
      <c r="BA8" s="70">
        <f t="shared" si="5"/>
        <v>55519</v>
      </c>
      <c r="BB8" s="70">
        <f t="shared" si="5"/>
        <v>55885</v>
      </c>
      <c r="BC8" s="70">
        <f t="shared" si="5"/>
        <v>56250</v>
      </c>
      <c r="BD8" s="70">
        <f t="shared" si="5"/>
        <v>56615</v>
      </c>
      <c r="BE8" s="70">
        <f t="shared" si="5"/>
        <v>56980</v>
      </c>
      <c r="BF8" s="70">
        <f t="shared" si="5"/>
        <v>57346</v>
      </c>
      <c r="BG8" s="70">
        <f t="shared" si="5"/>
        <v>57711</v>
      </c>
      <c r="BH8" s="70">
        <f t="shared" si="5"/>
        <v>58076</v>
      </c>
      <c r="BI8" s="70">
        <f t="shared" si="5"/>
        <v>58441</v>
      </c>
      <c r="BJ8" s="70">
        <f t="shared" si="5"/>
        <v>58807</v>
      </c>
      <c r="BK8" s="70">
        <f t="shared" si="5"/>
        <v>59172</v>
      </c>
      <c r="BL8" s="70">
        <f t="shared" si="5"/>
        <v>59537</v>
      </c>
      <c r="BM8" s="70">
        <f t="shared" si="5"/>
        <v>59902</v>
      </c>
      <c r="BN8" s="70">
        <f t="shared" si="5"/>
        <v>60268</v>
      </c>
      <c r="BO8" s="70">
        <f t="shared" si="5"/>
        <v>60633</v>
      </c>
      <c r="BP8" s="70">
        <f t="shared" si="5"/>
        <v>60998</v>
      </c>
      <c r="BQ8" s="70">
        <f t="shared" si="5"/>
        <v>61363</v>
      </c>
      <c r="BR8" s="70">
        <f t="shared" si="5"/>
        <v>61729</v>
      </c>
      <c r="BS8" s="70">
        <f t="shared" si="5"/>
        <v>62094</v>
      </c>
      <c r="BT8" s="70">
        <f t="shared" si="5"/>
        <v>62459</v>
      </c>
      <c r="BU8" s="70">
        <f t="shared" si="5"/>
        <v>62824</v>
      </c>
      <c r="BV8" s="70">
        <f t="shared" si="5"/>
        <v>63190</v>
      </c>
      <c r="BW8" s="70">
        <f t="shared" ref="BW8:DB8" si="6">+BV9+1</f>
        <v>63555</v>
      </c>
      <c r="BX8" s="70">
        <f t="shared" si="6"/>
        <v>63920</v>
      </c>
      <c r="BY8" s="70">
        <f t="shared" si="6"/>
        <v>64285</v>
      </c>
      <c r="BZ8" s="70">
        <f t="shared" si="6"/>
        <v>64651</v>
      </c>
      <c r="CA8" s="70">
        <f t="shared" si="6"/>
        <v>65016</v>
      </c>
      <c r="CB8" s="70">
        <f t="shared" si="6"/>
        <v>65381</v>
      </c>
      <c r="CC8" s="70">
        <f t="shared" si="6"/>
        <v>65746</v>
      </c>
      <c r="CD8" s="70">
        <f t="shared" si="6"/>
        <v>66112</v>
      </c>
      <c r="CE8" s="70">
        <f t="shared" si="6"/>
        <v>66477</v>
      </c>
      <c r="CF8" s="70">
        <f t="shared" si="6"/>
        <v>66842</v>
      </c>
      <c r="CG8" s="70">
        <f t="shared" si="6"/>
        <v>67207</v>
      </c>
      <c r="CH8" s="70">
        <f t="shared" si="6"/>
        <v>67573</v>
      </c>
      <c r="CI8" s="70">
        <f t="shared" si="6"/>
        <v>67938</v>
      </c>
      <c r="CJ8" s="70">
        <f t="shared" si="6"/>
        <v>68303</v>
      </c>
      <c r="CK8" s="70">
        <f t="shared" si="6"/>
        <v>68668</v>
      </c>
      <c r="CL8" s="70">
        <f t="shared" si="6"/>
        <v>69034</v>
      </c>
      <c r="CM8" s="70">
        <f t="shared" si="6"/>
        <v>69399</v>
      </c>
      <c r="CN8" s="70">
        <f t="shared" si="6"/>
        <v>69764</v>
      </c>
      <c r="CO8" s="70">
        <f t="shared" si="6"/>
        <v>70129</v>
      </c>
      <c r="CP8" s="70">
        <f t="shared" si="6"/>
        <v>70495</v>
      </c>
      <c r="CQ8" s="70">
        <f t="shared" si="6"/>
        <v>70860</v>
      </c>
      <c r="CR8" s="70">
        <f t="shared" si="6"/>
        <v>71225</v>
      </c>
      <c r="CS8" s="70">
        <f t="shared" si="6"/>
        <v>71590</v>
      </c>
      <c r="CT8" s="70">
        <f t="shared" si="6"/>
        <v>71956</v>
      </c>
      <c r="CU8" s="70">
        <f t="shared" si="6"/>
        <v>72321</v>
      </c>
      <c r="CV8" s="70">
        <f t="shared" si="6"/>
        <v>72686</v>
      </c>
      <c r="CW8" s="70">
        <f t="shared" si="6"/>
        <v>73051</v>
      </c>
      <c r="CX8" s="70">
        <f t="shared" si="6"/>
        <v>73416</v>
      </c>
      <c r="CY8" s="70">
        <f t="shared" si="6"/>
        <v>73781</v>
      </c>
      <c r="CZ8" s="70">
        <f t="shared" si="6"/>
        <v>74146</v>
      </c>
      <c r="DA8" s="70">
        <f t="shared" si="6"/>
        <v>74511</v>
      </c>
      <c r="DB8" s="70">
        <f t="shared" si="6"/>
        <v>74877</v>
      </c>
      <c r="DC8" s="70">
        <f t="shared" ref="DC8:DP8" si="7">+DB9+1</f>
        <v>75242</v>
      </c>
      <c r="DD8" s="70">
        <f t="shared" si="7"/>
        <v>75607</v>
      </c>
      <c r="DE8" s="70">
        <f t="shared" si="7"/>
        <v>75972</v>
      </c>
      <c r="DF8" s="70">
        <f t="shared" si="7"/>
        <v>76338</v>
      </c>
      <c r="DG8" s="70">
        <f t="shared" si="7"/>
        <v>76703</v>
      </c>
      <c r="DH8" s="70">
        <f t="shared" si="7"/>
        <v>77068</v>
      </c>
      <c r="DI8" s="70">
        <f t="shared" si="7"/>
        <v>77433</v>
      </c>
      <c r="DJ8" s="70">
        <f t="shared" si="7"/>
        <v>77799</v>
      </c>
      <c r="DK8" s="70">
        <f t="shared" si="7"/>
        <v>78164</v>
      </c>
      <c r="DL8" s="70">
        <f t="shared" si="7"/>
        <v>78529</v>
      </c>
      <c r="DM8" s="70">
        <f t="shared" si="7"/>
        <v>78894</v>
      </c>
      <c r="DN8" s="70">
        <f t="shared" si="7"/>
        <v>79260</v>
      </c>
      <c r="DO8" s="70">
        <f t="shared" si="7"/>
        <v>79625</v>
      </c>
      <c r="DP8" s="70">
        <f t="shared" si="7"/>
        <v>79990</v>
      </c>
      <c r="DQ8" s="30"/>
    </row>
    <row r="9" spans="1:125" x14ac:dyDescent="0.2">
      <c r="C9" t="s">
        <v>47</v>
      </c>
      <c r="Q9" s="70">
        <f t="shared" ref="Q9:AO9" si="8">+EOMONTH(Q8,11)</f>
        <v>42735</v>
      </c>
      <c r="R9" s="70">
        <f t="shared" si="8"/>
        <v>43100</v>
      </c>
      <c r="S9" s="70">
        <f t="shared" si="8"/>
        <v>43465</v>
      </c>
      <c r="T9" s="70">
        <f t="shared" si="8"/>
        <v>43830</v>
      </c>
      <c r="U9" s="70">
        <f t="shared" si="8"/>
        <v>44196</v>
      </c>
      <c r="V9" s="70">
        <f t="shared" si="8"/>
        <v>44561</v>
      </c>
      <c r="W9" s="70">
        <f t="shared" si="8"/>
        <v>44926</v>
      </c>
      <c r="X9" s="70">
        <f t="shared" si="8"/>
        <v>45291</v>
      </c>
      <c r="Y9" s="70">
        <f t="shared" si="8"/>
        <v>45657</v>
      </c>
      <c r="Z9" s="70">
        <f t="shared" si="8"/>
        <v>46022</v>
      </c>
      <c r="AA9" s="70">
        <f t="shared" si="8"/>
        <v>46387</v>
      </c>
      <c r="AB9" s="70">
        <f t="shared" si="8"/>
        <v>46752</v>
      </c>
      <c r="AC9" s="70">
        <f t="shared" si="8"/>
        <v>47118</v>
      </c>
      <c r="AD9" s="70">
        <f t="shared" si="8"/>
        <v>47483</v>
      </c>
      <c r="AE9" s="70">
        <f t="shared" si="8"/>
        <v>47848</v>
      </c>
      <c r="AF9" s="70">
        <f t="shared" si="8"/>
        <v>48213</v>
      </c>
      <c r="AG9" s="70">
        <f t="shared" si="8"/>
        <v>48579</v>
      </c>
      <c r="AH9" s="70">
        <f t="shared" si="8"/>
        <v>48944</v>
      </c>
      <c r="AI9" s="70">
        <f t="shared" si="8"/>
        <v>49309</v>
      </c>
      <c r="AJ9" s="70">
        <f t="shared" si="8"/>
        <v>49674</v>
      </c>
      <c r="AK9" s="70">
        <f t="shared" si="8"/>
        <v>50040</v>
      </c>
      <c r="AL9" s="70">
        <f t="shared" si="8"/>
        <v>50405</v>
      </c>
      <c r="AM9" s="70">
        <f t="shared" si="8"/>
        <v>50770</v>
      </c>
      <c r="AN9" s="70">
        <f t="shared" si="8"/>
        <v>51135</v>
      </c>
      <c r="AO9" s="70">
        <f t="shared" si="8"/>
        <v>51501</v>
      </c>
      <c r="AP9" s="70">
        <f t="shared" ref="AP9:BU9" si="9">+EOMONTH(AP8,11)</f>
        <v>51866</v>
      </c>
      <c r="AQ9" s="70">
        <f t="shared" si="9"/>
        <v>52231</v>
      </c>
      <c r="AR9" s="70">
        <f t="shared" si="9"/>
        <v>52596</v>
      </c>
      <c r="AS9" s="70">
        <f t="shared" si="9"/>
        <v>52962</v>
      </c>
      <c r="AT9" s="70">
        <f t="shared" si="9"/>
        <v>53327</v>
      </c>
      <c r="AU9" s="70">
        <f t="shared" si="9"/>
        <v>53692</v>
      </c>
      <c r="AV9" s="70">
        <f t="shared" si="9"/>
        <v>54057</v>
      </c>
      <c r="AW9" s="70">
        <f t="shared" si="9"/>
        <v>54423</v>
      </c>
      <c r="AX9" s="70">
        <f t="shared" si="9"/>
        <v>54788</v>
      </c>
      <c r="AY9" s="70">
        <f t="shared" si="9"/>
        <v>55153</v>
      </c>
      <c r="AZ9" s="70">
        <f t="shared" si="9"/>
        <v>55518</v>
      </c>
      <c r="BA9" s="70">
        <f t="shared" si="9"/>
        <v>55884</v>
      </c>
      <c r="BB9" s="70">
        <f t="shared" si="9"/>
        <v>56249</v>
      </c>
      <c r="BC9" s="70">
        <f t="shared" si="9"/>
        <v>56614</v>
      </c>
      <c r="BD9" s="70">
        <f t="shared" si="9"/>
        <v>56979</v>
      </c>
      <c r="BE9" s="70">
        <f t="shared" si="9"/>
        <v>57345</v>
      </c>
      <c r="BF9" s="70">
        <f t="shared" si="9"/>
        <v>57710</v>
      </c>
      <c r="BG9" s="70">
        <f t="shared" si="9"/>
        <v>58075</v>
      </c>
      <c r="BH9" s="70">
        <f t="shared" si="9"/>
        <v>58440</v>
      </c>
      <c r="BI9" s="70">
        <f t="shared" si="9"/>
        <v>58806</v>
      </c>
      <c r="BJ9" s="70">
        <f t="shared" si="9"/>
        <v>59171</v>
      </c>
      <c r="BK9" s="70">
        <f t="shared" si="9"/>
        <v>59536</v>
      </c>
      <c r="BL9" s="70">
        <f t="shared" si="9"/>
        <v>59901</v>
      </c>
      <c r="BM9" s="70">
        <f t="shared" si="9"/>
        <v>60267</v>
      </c>
      <c r="BN9" s="70">
        <f t="shared" si="9"/>
        <v>60632</v>
      </c>
      <c r="BO9" s="70">
        <f t="shared" si="9"/>
        <v>60997</v>
      </c>
      <c r="BP9" s="70">
        <f t="shared" si="9"/>
        <v>61362</v>
      </c>
      <c r="BQ9" s="70">
        <f t="shared" si="9"/>
        <v>61728</v>
      </c>
      <c r="BR9" s="70">
        <f t="shared" si="9"/>
        <v>62093</v>
      </c>
      <c r="BS9" s="70">
        <f t="shared" si="9"/>
        <v>62458</v>
      </c>
      <c r="BT9" s="70">
        <f t="shared" si="9"/>
        <v>62823</v>
      </c>
      <c r="BU9" s="70">
        <f t="shared" si="9"/>
        <v>63189</v>
      </c>
      <c r="BV9" s="70">
        <f t="shared" ref="BV9:DA9" si="10">+EOMONTH(BV8,11)</f>
        <v>63554</v>
      </c>
      <c r="BW9" s="70">
        <f t="shared" si="10"/>
        <v>63919</v>
      </c>
      <c r="BX9" s="70">
        <f t="shared" si="10"/>
        <v>64284</v>
      </c>
      <c r="BY9" s="70">
        <f t="shared" si="10"/>
        <v>64650</v>
      </c>
      <c r="BZ9" s="70">
        <f t="shared" si="10"/>
        <v>65015</v>
      </c>
      <c r="CA9" s="70">
        <f t="shared" si="10"/>
        <v>65380</v>
      </c>
      <c r="CB9" s="70">
        <f t="shared" si="10"/>
        <v>65745</v>
      </c>
      <c r="CC9" s="70">
        <f t="shared" si="10"/>
        <v>66111</v>
      </c>
      <c r="CD9" s="70">
        <f t="shared" si="10"/>
        <v>66476</v>
      </c>
      <c r="CE9" s="70">
        <f t="shared" si="10"/>
        <v>66841</v>
      </c>
      <c r="CF9" s="70">
        <f t="shared" si="10"/>
        <v>67206</v>
      </c>
      <c r="CG9" s="70">
        <f t="shared" si="10"/>
        <v>67572</v>
      </c>
      <c r="CH9" s="70">
        <f t="shared" si="10"/>
        <v>67937</v>
      </c>
      <c r="CI9" s="70">
        <f t="shared" si="10"/>
        <v>68302</v>
      </c>
      <c r="CJ9" s="70">
        <f t="shared" si="10"/>
        <v>68667</v>
      </c>
      <c r="CK9" s="70">
        <f t="shared" si="10"/>
        <v>69033</v>
      </c>
      <c r="CL9" s="70">
        <f t="shared" si="10"/>
        <v>69398</v>
      </c>
      <c r="CM9" s="70">
        <f t="shared" si="10"/>
        <v>69763</v>
      </c>
      <c r="CN9" s="70">
        <f t="shared" si="10"/>
        <v>70128</v>
      </c>
      <c r="CO9" s="70">
        <f t="shared" si="10"/>
        <v>70494</v>
      </c>
      <c r="CP9" s="70">
        <f t="shared" si="10"/>
        <v>70859</v>
      </c>
      <c r="CQ9" s="70">
        <f t="shared" si="10"/>
        <v>71224</v>
      </c>
      <c r="CR9" s="70">
        <f t="shared" si="10"/>
        <v>71589</v>
      </c>
      <c r="CS9" s="70">
        <f t="shared" si="10"/>
        <v>71955</v>
      </c>
      <c r="CT9" s="70">
        <f t="shared" si="10"/>
        <v>72320</v>
      </c>
      <c r="CU9" s="70">
        <f t="shared" si="10"/>
        <v>72685</v>
      </c>
      <c r="CV9" s="70">
        <f t="shared" si="10"/>
        <v>73050</v>
      </c>
      <c r="CW9" s="70">
        <f t="shared" si="10"/>
        <v>73415</v>
      </c>
      <c r="CX9" s="70">
        <f t="shared" si="10"/>
        <v>73780</v>
      </c>
      <c r="CY9" s="70">
        <f t="shared" si="10"/>
        <v>74145</v>
      </c>
      <c r="CZ9" s="70">
        <f t="shared" si="10"/>
        <v>74510</v>
      </c>
      <c r="DA9" s="70">
        <f t="shared" si="10"/>
        <v>74876</v>
      </c>
      <c r="DB9" s="70">
        <f t="shared" ref="DB9:DP9" si="11">+EOMONTH(DB8,11)</f>
        <v>75241</v>
      </c>
      <c r="DC9" s="70">
        <f t="shared" si="11"/>
        <v>75606</v>
      </c>
      <c r="DD9" s="70">
        <f t="shared" si="11"/>
        <v>75971</v>
      </c>
      <c r="DE9" s="70">
        <f t="shared" si="11"/>
        <v>76337</v>
      </c>
      <c r="DF9" s="70">
        <f t="shared" si="11"/>
        <v>76702</v>
      </c>
      <c r="DG9" s="70">
        <f t="shared" si="11"/>
        <v>77067</v>
      </c>
      <c r="DH9" s="70">
        <f t="shared" si="11"/>
        <v>77432</v>
      </c>
      <c r="DI9" s="70">
        <f t="shared" si="11"/>
        <v>77798</v>
      </c>
      <c r="DJ9" s="70">
        <f t="shared" si="11"/>
        <v>78163</v>
      </c>
      <c r="DK9" s="70">
        <f t="shared" si="11"/>
        <v>78528</v>
      </c>
      <c r="DL9" s="70">
        <f t="shared" si="11"/>
        <v>78893</v>
      </c>
      <c r="DM9" s="70">
        <f t="shared" si="11"/>
        <v>79259</v>
      </c>
      <c r="DN9" s="70">
        <f t="shared" si="11"/>
        <v>79624</v>
      </c>
      <c r="DO9" s="70">
        <f t="shared" si="11"/>
        <v>79989</v>
      </c>
      <c r="DP9" s="70">
        <f t="shared" si="11"/>
        <v>80354</v>
      </c>
      <c r="DQ9" s="30"/>
    </row>
    <row r="12" spans="1:125" x14ac:dyDescent="0.2">
      <c r="DQ12" s="42"/>
    </row>
    <row r="13" spans="1:125" s="124" customFormat="1" ht="15.75" x14ac:dyDescent="0.25">
      <c r="A13" s="120"/>
      <c r="B13" s="120" t="s">
        <v>78</v>
      </c>
      <c r="C13" s="120"/>
      <c r="D13" s="120"/>
      <c r="E13" s="120"/>
      <c r="F13" s="120"/>
      <c r="G13" s="120"/>
      <c r="H13" s="120"/>
      <c r="I13" s="120"/>
      <c r="J13" s="120"/>
      <c r="K13" s="562"/>
      <c r="L13" s="120"/>
      <c r="M13" s="120"/>
      <c r="N13" s="120"/>
      <c r="O13" s="121"/>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3"/>
      <c r="DQ13" s="122"/>
      <c r="DR13" s="122"/>
      <c r="DS13" s="122"/>
      <c r="DT13" s="122"/>
      <c r="DU13" s="122"/>
    </row>
    <row r="14" spans="1:125" x14ac:dyDescent="0.2">
      <c r="DQ14" s="42"/>
    </row>
    <row r="15" spans="1:125" x14ac:dyDescent="0.2">
      <c r="DQ15" s="42"/>
    </row>
    <row r="16" spans="1:125" x14ac:dyDescent="0.2">
      <c r="C16" t="s">
        <v>0</v>
      </c>
      <c r="K16" s="144" t="s">
        <v>63</v>
      </c>
      <c r="N16" s="63">
        <f>SUM(Q16:DQ16)</f>
        <v>38515255.610091619</v>
      </c>
      <c r="O16" s="63"/>
      <c r="P16" s="63"/>
      <c r="Q16" s="63"/>
      <c r="R16" s="63"/>
      <c r="S16" s="63">
        <f>+CF!S25 + CF!S26</f>
        <v>118385.88824258334</v>
      </c>
      <c r="T16" s="63">
        <f>+CF!T25 + CF!T26</f>
        <v>135523.30071911303</v>
      </c>
      <c r="U16" s="63">
        <f>+CF!U25 + CF!U26</f>
        <v>155007.90602940397</v>
      </c>
      <c r="V16" s="63">
        <f>+CF!V25 + CF!V26</f>
        <v>177172.65595104065</v>
      </c>
      <c r="W16" s="63">
        <f>+CF!W25 + CF!W26</f>
        <v>190618.33383550725</v>
      </c>
      <c r="X16" s="63">
        <f>+CF!X25 + CF!X26</f>
        <v>205083.20401391943</v>
      </c>
      <c r="Y16" s="63">
        <f>+CF!Y25 + CF!Y26</f>
        <v>220644.46141165117</v>
      </c>
      <c r="Z16" s="63">
        <f>+CF!Z25 + CF!Z26</f>
        <v>237385.14474138763</v>
      </c>
      <c r="AA16" s="63">
        <f>+CF!AA25 + CF!AA26</f>
        <v>255394.57873366229</v>
      </c>
      <c r="AB16" s="63">
        <f>+CF!AB25 + CF!AB26</f>
        <v>276228.42658277228</v>
      </c>
      <c r="AC16" s="63">
        <f>+CF!AC25 + CF!AC26</f>
        <v>298758.97588646598</v>
      </c>
      <c r="AD16" s="63">
        <f>+CF!AD25 + CF!AD26</f>
        <v>323124.27256532089</v>
      </c>
      <c r="AE16" s="63">
        <f>+CF!AE25 + CF!AE26</f>
        <v>349473.58787748212</v>
      </c>
      <c r="AF16" s="63">
        <f>+CF!AF25 + CF!AF26</f>
        <v>377968.33092216315</v>
      </c>
      <c r="AG16" s="63">
        <f>+CF!AG25 + CF!AG26</f>
        <v>404274.70615933061</v>
      </c>
      <c r="AH16" s="63">
        <f>+CF!AH25 + CF!AH26</f>
        <v>432135.8195189283</v>
      </c>
      <c r="AI16" s="63">
        <f>+CF!AI25 + CF!AI26</f>
        <v>461537.30685369787</v>
      </c>
      <c r="AJ16" s="63">
        <f>+CF!AJ25 + CF!AJ26</f>
        <v>492416.79754232417</v>
      </c>
      <c r="AK16" s="63">
        <f>+CF!AK25 + CF!AK26</f>
        <v>524642.9923395334</v>
      </c>
      <c r="AL16" s="63">
        <f>+CF!AL25 + CF!AL26</f>
        <v>562789.32042620645</v>
      </c>
      <c r="AM16" s="63">
        <f>+CF!AM25 + CF!AM26</f>
        <v>603709.23429929616</v>
      </c>
      <c r="AN16" s="63">
        <f>+CF!AN25 + CF!AN26</f>
        <v>647604.3989289446</v>
      </c>
      <c r="AO16" s="63">
        <f>+CF!AO25 + CF!AO26</f>
        <v>694691.1421669611</v>
      </c>
      <c r="AP16" s="63">
        <f>+CF!AP25 + CF!AP26</f>
        <v>745201.52087198477</v>
      </c>
      <c r="AQ16" s="63">
        <f>+CF!AQ25 + CF!AQ26</f>
        <v>792674.2453344469</v>
      </c>
      <c r="AR16" s="63">
        <f>+CF!AR25 + CF!AR26</f>
        <v>843171.19814959902</v>
      </c>
      <c r="AS16" s="63">
        <f>+CF!AS25 + CF!AS26</f>
        <v>896885.03641123092</v>
      </c>
      <c r="AT16" s="63">
        <f>+CF!AT25 + CF!AT26</f>
        <v>954020.69034579908</v>
      </c>
      <c r="AU16" s="63">
        <f>+CF!AU25 + CF!AU26</f>
        <v>1014796.1451667695</v>
      </c>
      <c r="AV16" s="63">
        <f>+CF!AV25 + CF!AV26</f>
        <v>1077480.5551897804</v>
      </c>
      <c r="AW16" s="63">
        <f>+CF!AW25 + CF!AW26</f>
        <v>1144037.0091485586</v>
      </c>
      <c r="AX16" s="63">
        <f>+CF!AX25 + CF!AX26</f>
        <v>1214704.6849221813</v>
      </c>
      <c r="AY16" s="63">
        <f>+CF!AY25 + CF!AY26</f>
        <v>1289737.5345138805</v>
      </c>
      <c r="AZ16" s="63">
        <f>+CF!AZ25 + CF!AZ26</f>
        <v>1369405.1966552755</v>
      </c>
      <c r="BA16" s="63">
        <f>+CF!BA25 + CF!BA26</f>
        <v>1455892.2500829627</v>
      </c>
      <c r="BB16" s="63">
        <f>+CF!BB25 + CF!BB26</f>
        <v>1547841.5366238826</v>
      </c>
      <c r="BC16" s="63">
        <f>+CF!BC25 + CF!BC26</f>
        <v>1645598.032657746</v>
      </c>
      <c r="BD16" s="63">
        <f>+CF!BD25 + CF!BD26</f>
        <v>1749528.5021189298</v>
      </c>
      <c r="BE16" s="63">
        <f>+CF!BE25 + CF!BE26</f>
        <v>1860022.8725255821</v>
      </c>
      <c r="BF16" s="63">
        <f>+CF!BF25 + CF!BF26</f>
        <v>2002219.3388551215</v>
      </c>
      <c r="BG16" s="63">
        <f>+CF!BG25 + CF!BG26</f>
        <v>2155286.5505584273</v>
      </c>
      <c r="BH16" s="63">
        <f>+CF!BH25 + CF!BH26</f>
        <v>2320055.5627807616</v>
      </c>
      <c r="BI16" s="63">
        <f>+CF!BI25 + CF!BI26</f>
        <v>2497420.9638135266</v>
      </c>
      <c r="BJ16" s="63">
        <f>+CF!BJ25 + CF!BJ26</f>
        <v>1794705.3976174702</v>
      </c>
      <c r="BK16" s="63">
        <f>+CF!BK25 + CF!BK26</f>
        <v>0</v>
      </c>
      <c r="BL16" s="63">
        <f>+CF!BL25 + CF!BL26</f>
        <v>0</v>
      </c>
      <c r="BM16" s="63">
        <f>+CF!BM25 + CF!BM26</f>
        <v>0</v>
      </c>
      <c r="BN16" s="63">
        <f>+CF!BN25 + CF!BN26</f>
        <v>0</v>
      </c>
      <c r="BO16" s="63">
        <f>+CF!BO25 + CF!BO26</f>
        <v>0</v>
      </c>
      <c r="BP16" s="63">
        <f>+CF!BP25 + CF!BP26</f>
        <v>0</v>
      </c>
      <c r="BQ16" s="63">
        <f>+CF!BQ25 + CF!BQ26</f>
        <v>0</v>
      </c>
      <c r="BR16" s="63">
        <f>+CF!BR25 + CF!BR26</f>
        <v>0</v>
      </c>
      <c r="BS16" s="63">
        <f>+CF!BS25 + CF!BS26</f>
        <v>0</v>
      </c>
      <c r="BT16" s="63">
        <f>+CF!BT25 + CF!BT26</f>
        <v>0</v>
      </c>
      <c r="BU16" s="63">
        <f>+CF!BU25 + CF!BU26</f>
        <v>0</v>
      </c>
      <c r="BV16" s="63">
        <f>+CF!BV25 + CF!BV26</f>
        <v>0</v>
      </c>
      <c r="BW16" s="63">
        <f>+CF!BW25 + CF!BW26</f>
        <v>0</v>
      </c>
      <c r="BX16" s="63">
        <f>+CF!BX25 + CF!BX26</f>
        <v>0</v>
      </c>
      <c r="BY16" s="63">
        <f>+CF!BY25 + CF!BY26</f>
        <v>0</v>
      </c>
      <c r="BZ16" s="63">
        <f>+CF!BZ25 + CF!BZ26</f>
        <v>0</v>
      </c>
      <c r="CA16" s="63">
        <f>+CF!CA25 + CF!CA26</f>
        <v>0</v>
      </c>
      <c r="CB16" s="63">
        <f>+CF!CB25 + CF!CB26</f>
        <v>0</v>
      </c>
      <c r="CC16" s="63">
        <f>+CF!CC25 + CF!CC26</f>
        <v>0</v>
      </c>
      <c r="CD16" s="63">
        <f>+CF!CD25 + CF!CD26</f>
        <v>0</v>
      </c>
      <c r="CE16" s="63">
        <f>+CF!CE25 + CF!CE26</f>
        <v>0</v>
      </c>
      <c r="CF16" s="63">
        <f>+CF!CF25 + CF!CF26</f>
        <v>0</v>
      </c>
      <c r="CG16" s="63">
        <f>+CF!CG25 + CF!CG26</f>
        <v>0</v>
      </c>
      <c r="CH16" s="63">
        <f>+CF!CH25 + CF!CH26</f>
        <v>0</v>
      </c>
      <c r="CI16" s="63">
        <f>+CF!CI25 + CF!CI26</f>
        <v>0</v>
      </c>
      <c r="CJ16" s="63">
        <f>+CF!CJ25 + CF!CJ26</f>
        <v>0</v>
      </c>
      <c r="CK16" s="63">
        <f>+CF!CK25 + CF!CK26</f>
        <v>0</v>
      </c>
      <c r="CL16" s="63">
        <f>+CF!CL25 + CF!CL26</f>
        <v>0</v>
      </c>
      <c r="CM16" s="63">
        <f>+CF!CM25 + CF!CM26</f>
        <v>0</v>
      </c>
      <c r="CN16" s="63">
        <f>+CF!CN25 + CF!CN26</f>
        <v>0</v>
      </c>
      <c r="CO16" s="63">
        <f>+CF!CO25 + CF!CO26</f>
        <v>0</v>
      </c>
      <c r="CP16" s="63">
        <f>+CF!CP25 + CF!CP26</f>
        <v>0</v>
      </c>
      <c r="CQ16" s="63">
        <f>+CF!CQ25 + CF!CQ26</f>
        <v>0</v>
      </c>
      <c r="CR16" s="63">
        <f>+CF!CR25 + CF!CR26</f>
        <v>0</v>
      </c>
      <c r="CS16" s="63">
        <f>+CF!CS25 + CF!CS26</f>
        <v>0</v>
      </c>
      <c r="CT16" s="63">
        <f>+CF!CT25 + CF!CT26</f>
        <v>0</v>
      </c>
      <c r="CU16" s="63">
        <f>+CF!CU25 + CF!CU26</f>
        <v>0</v>
      </c>
      <c r="CV16" s="63">
        <f>+CF!CV25 + CF!CV26</f>
        <v>0</v>
      </c>
      <c r="CW16" s="63">
        <f>+CF!CW25 + CF!CW26</f>
        <v>0</v>
      </c>
      <c r="CX16" s="63">
        <f>+CF!CX25 + CF!CX26</f>
        <v>0</v>
      </c>
      <c r="CY16" s="63">
        <f>+CF!CY25 + CF!CY26</f>
        <v>0</v>
      </c>
      <c r="CZ16" s="63">
        <f>+CF!CZ25 + CF!CZ26</f>
        <v>0</v>
      </c>
      <c r="DA16" s="63">
        <f>+CF!DA25 + CF!DA26</f>
        <v>0</v>
      </c>
      <c r="DB16" s="63">
        <f>+CF!DB25 + CF!DB26</f>
        <v>0</v>
      </c>
      <c r="DC16" s="63">
        <f>+CF!DC25 + CF!DC26</f>
        <v>0</v>
      </c>
      <c r="DD16" s="63">
        <f>+CF!DD25 + CF!DD26</f>
        <v>0</v>
      </c>
      <c r="DE16" s="63">
        <f>+CF!DE25 + CF!DE26</f>
        <v>0</v>
      </c>
      <c r="DF16" s="63">
        <f>+CF!DF25 + CF!DF26</f>
        <v>0</v>
      </c>
      <c r="DG16" s="63">
        <f>+CF!DG25 + CF!DG26</f>
        <v>0</v>
      </c>
      <c r="DH16" s="63">
        <f>+CF!DH25 + CF!DH26</f>
        <v>0</v>
      </c>
      <c r="DI16" s="63">
        <f>+CF!DI25 + CF!DI26</f>
        <v>0</v>
      </c>
      <c r="DJ16" s="63">
        <f>+CF!DJ25 + CF!DJ26</f>
        <v>0</v>
      </c>
      <c r="DK16" s="63">
        <f>+CF!DK25 + CF!DK26</f>
        <v>0</v>
      </c>
      <c r="DL16" s="63">
        <f>+CF!DL25 + CF!DL26</f>
        <v>0</v>
      </c>
      <c r="DM16" s="63">
        <f>+CF!DM25 + CF!DM26</f>
        <v>0</v>
      </c>
      <c r="DN16" s="63">
        <f>+CF!DN25 + CF!DN26</f>
        <v>0</v>
      </c>
      <c r="DO16" s="63">
        <f>+CF!DO25 + CF!DO26</f>
        <v>0</v>
      </c>
      <c r="DP16" s="63">
        <f>+CF!DP25 + CF!DP26</f>
        <v>0</v>
      </c>
      <c r="DQ16" s="16"/>
    </row>
    <row r="17" spans="1:121" x14ac:dyDescent="0.2">
      <c r="C17" s="26" t="s">
        <v>79</v>
      </c>
      <c r="D17" s="26"/>
      <c r="E17" s="26"/>
      <c r="F17" s="26"/>
      <c r="G17" s="26"/>
      <c r="H17" s="26"/>
      <c r="I17" s="26"/>
      <c r="J17" s="26"/>
      <c r="K17" s="638" t="s">
        <v>63</v>
      </c>
      <c r="L17" s="26"/>
      <c r="M17" s="26"/>
      <c r="N17" s="68">
        <f>SUM(Q17:DQ17)</f>
        <v>-3046502.9529659953</v>
      </c>
      <c r="O17" s="68"/>
      <c r="P17" s="68"/>
      <c r="Q17" s="68"/>
      <c r="R17" s="68"/>
      <c r="S17" s="68">
        <f>+CF!S27+CF!S31</f>
        <v>-20866.926728617222</v>
      </c>
      <c r="T17" s="68">
        <f>+CF!T27+CF!T31</f>
        <v>-22075.289012235549</v>
      </c>
      <c r="U17" s="68">
        <f>+CF!U27+CF!U31</f>
        <v>-23353.625155802732</v>
      </c>
      <c r="V17" s="68">
        <f>+CF!V27+CF!V31</f>
        <v>-24705.987206575235</v>
      </c>
      <c r="W17" s="68">
        <f>+CF!W27+CF!W31</f>
        <v>-25771.393741783409</v>
      </c>
      <c r="X17" s="68">
        <f>+CF!X27+CF!X31</f>
        <v>-26882.74424497689</v>
      </c>
      <c r="Y17" s="68">
        <f>+CF!Y27+CF!Y31</f>
        <v>-28042.019976946256</v>
      </c>
      <c r="Z17" s="68">
        <f>+CF!Z27+CF!Z31</f>
        <v>-29251.287637213056</v>
      </c>
      <c r="AA17" s="68">
        <f>+CF!AA27+CF!AA31</f>
        <v>-30512.70304843966</v>
      </c>
      <c r="AB17" s="68">
        <f>+CF!AB27+CF!AB31</f>
        <v>-32043.527968003862</v>
      </c>
      <c r="AC17" s="68">
        <f>+CF!AC27+CF!AC31</f>
        <v>-33651.154504607315</v>
      </c>
      <c r="AD17" s="68">
        <f>+CF!AD27+CF!AD31</f>
        <v>-35339.435801940366</v>
      </c>
      <c r="AE17" s="68">
        <f>+CF!AE27+CF!AE31</f>
        <v>-37112.418316241608</v>
      </c>
      <c r="AF17" s="68">
        <f>+CF!AF27+CF!AF31</f>
        <v>-38974.351514804897</v>
      </c>
      <c r="AG17" s="68">
        <f>+CF!AG27+CF!AG31</f>
        <v>-40740.934330237193</v>
      </c>
      <c r="AH17" s="68">
        <f>+CF!AH27+CF!AH31</f>
        <v>-42587.590699750173</v>
      </c>
      <c r="AI17" s="68">
        <f>+CF!AI27+CF!AI31</f>
        <v>-44517.950101683113</v>
      </c>
      <c r="AJ17" s="68">
        <f>+CF!AJ27+CF!AJ31</f>
        <v>-46535.806527030727</v>
      </c>
      <c r="AK17" s="68">
        <f>+CF!AK27+CF!AK31</f>
        <v>-48645.125936276221</v>
      </c>
      <c r="AL17" s="68">
        <f>+CF!AL27+CF!AL31</f>
        <v>-51064.989406204753</v>
      </c>
      <c r="AM17" s="68">
        <f>+CF!AM27+CF!AM31</f>
        <v>-53605.229565480651</v>
      </c>
      <c r="AN17" s="68">
        <f>+CF!AN27+CF!AN31</f>
        <v>-56271.834581419265</v>
      </c>
      <c r="AO17" s="68">
        <f>+CF!AO27+CF!AO31</f>
        <v>-59071.090504156869</v>
      </c>
      <c r="AP17" s="68">
        <f>+CF!AP27+CF!AP31</f>
        <v>-62009.596084903082</v>
      </c>
      <c r="AQ17" s="68">
        <f>+CF!AQ27+CF!AQ31</f>
        <v>-64710.374384743314</v>
      </c>
      <c r="AR17" s="68">
        <f>+CF!AR27+CF!AR31</f>
        <v>-67528.782920634447</v>
      </c>
      <c r="AS17" s="68">
        <f>+CF!AS27+CF!AS31</f>
        <v>-70469.944983308698</v>
      </c>
      <c r="AT17" s="68">
        <f>+CF!AT27+CF!AT31</f>
        <v>-73539.207004323398</v>
      </c>
      <c r="AU17" s="68">
        <f>+CF!AU27+CF!AU31</f>
        <v>-76742.148274780877</v>
      </c>
      <c r="AV17" s="68">
        <f>+CF!AV27+CF!AV31</f>
        <v>-80199.822342142434</v>
      </c>
      <c r="AW17" s="68">
        <f>+CF!AW27+CF!AW31</f>
        <v>-83813.284463720251</v>
      </c>
      <c r="AX17" s="68">
        <f>+CF!AX27+CF!AX31</f>
        <v>-87589.553785149139</v>
      </c>
      <c r="AY17" s="68">
        <f>+CF!AY27+CF!AY31</f>
        <v>-91535.96570484525</v>
      </c>
      <c r="AZ17" s="68">
        <f>+CF!AZ27+CF!AZ31</f>
        <v>-95660.186123008156</v>
      </c>
      <c r="BA17" s="68">
        <f>+CF!BA27+CF!BA31</f>
        <v>-100061.91967675925</v>
      </c>
      <c r="BB17" s="68">
        <f>+CF!BB27+CF!BB31</f>
        <v>-104666.19578309647</v>
      </c>
      <c r="BC17" s="68">
        <f>+CF!BC27+CF!BC31</f>
        <v>-109482.33428955424</v>
      </c>
      <c r="BD17" s="68">
        <f>+CF!BD27+CF!BD31</f>
        <v>-114520.08388964013</v>
      </c>
      <c r="BE17" s="68">
        <f>+CF!BE27+CF!BE31</f>
        <v>-119789.64185586889</v>
      </c>
      <c r="BF17" s="68">
        <f>+CF!BF27+CF!BF31</f>
        <v>-126656.21517427311</v>
      </c>
      <c r="BG17" s="68">
        <f>+CF!BG27+CF!BG31</f>
        <v>-133916.39371936084</v>
      </c>
      <c r="BH17" s="68">
        <f>+CF!BH27+CF!BH31</f>
        <v>-141592.73970190145</v>
      </c>
      <c r="BI17" s="68">
        <f>+CF!BI27+CF!BI31</f>
        <v>-149709.10864210289</v>
      </c>
      <c r="BJ17" s="68">
        <f>+CF!BJ27+CF!BJ31</f>
        <v>-240686.03765145168</v>
      </c>
      <c r="BK17" s="68">
        <f>+CF!BK27+CF!BK31</f>
        <v>0</v>
      </c>
      <c r="BL17" s="68">
        <f>+CF!BL27+CF!BL31</f>
        <v>0</v>
      </c>
      <c r="BM17" s="68">
        <f>+CF!BM27+CF!BM31</f>
        <v>0</v>
      </c>
      <c r="BN17" s="68">
        <f>+CF!BN27+CF!BN31</f>
        <v>0</v>
      </c>
      <c r="BO17" s="68">
        <f>+CF!BO27+CF!BO31</f>
        <v>0</v>
      </c>
      <c r="BP17" s="68">
        <f>+CF!BP27+CF!BP31</f>
        <v>0</v>
      </c>
      <c r="BQ17" s="68">
        <f>+CF!BQ27+CF!BQ31</f>
        <v>0</v>
      </c>
      <c r="BR17" s="68">
        <f>+CF!BR27+CF!BR31</f>
        <v>0</v>
      </c>
      <c r="BS17" s="68">
        <f>+CF!BS27+CF!BS31</f>
        <v>0</v>
      </c>
      <c r="BT17" s="68">
        <f>+CF!BT27+CF!BT31</f>
        <v>0</v>
      </c>
      <c r="BU17" s="68">
        <f>+CF!BU27+CF!BU31</f>
        <v>0</v>
      </c>
      <c r="BV17" s="68">
        <f>+CF!BV27+CF!BV31</f>
        <v>0</v>
      </c>
      <c r="BW17" s="68">
        <f>+CF!BW27+CF!BW31</f>
        <v>0</v>
      </c>
      <c r="BX17" s="68">
        <f>+CF!BX27+CF!BX31</f>
        <v>0</v>
      </c>
      <c r="BY17" s="68">
        <f>+CF!BY27+CF!BY31</f>
        <v>0</v>
      </c>
      <c r="BZ17" s="68">
        <f>+CF!BZ27+CF!BZ31</f>
        <v>0</v>
      </c>
      <c r="CA17" s="68">
        <f>+CF!CA27+CF!CA31</f>
        <v>0</v>
      </c>
      <c r="CB17" s="68">
        <f>+CF!CB27+CF!CB31</f>
        <v>0</v>
      </c>
      <c r="CC17" s="68">
        <f>+CF!CC27+CF!CC31</f>
        <v>0</v>
      </c>
      <c r="CD17" s="68">
        <f>+CF!CD27+CF!CD31</f>
        <v>0</v>
      </c>
      <c r="CE17" s="68">
        <f>+CF!CE27+CF!CE31</f>
        <v>0</v>
      </c>
      <c r="CF17" s="68">
        <f>+CF!CF27+CF!CF31</f>
        <v>0</v>
      </c>
      <c r="CG17" s="68">
        <f>+CF!CG27+CF!CG31</f>
        <v>0</v>
      </c>
      <c r="CH17" s="68">
        <f>+CF!CH27+CF!CH31</f>
        <v>0</v>
      </c>
      <c r="CI17" s="68">
        <f>+CF!CI27+CF!CI31</f>
        <v>0</v>
      </c>
      <c r="CJ17" s="68">
        <f>+CF!CJ27+CF!CJ31</f>
        <v>0</v>
      </c>
      <c r="CK17" s="68">
        <f>+CF!CK27+CF!CK31</f>
        <v>0</v>
      </c>
      <c r="CL17" s="68">
        <f>+CF!CL27+CF!CL31</f>
        <v>0</v>
      </c>
      <c r="CM17" s="68">
        <f>+CF!CM27+CF!CM31</f>
        <v>0</v>
      </c>
      <c r="CN17" s="68">
        <f>+CF!CN27+CF!CN31</f>
        <v>0</v>
      </c>
      <c r="CO17" s="68">
        <f>+CF!CO27+CF!CO31</f>
        <v>0</v>
      </c>
      <c r="CP17" s="68">
        <f>+CF!CP27+CF!CP31</f>
        <v>0</v>
      </c>
      <c r="CQ17" s="68">
        <f>+CF!CQ27+CF!CQ31</f>
        <v>0</v>
      </c>
      <c r="CR17" s="68">
        <f>+CF!CR27+CF!CR31</f>
        <v>0</v>
      </c>
      <c r="CS17" s="68">
        <f>+CF!CS27+CF!CS31</f>
        <v>0</v>
      </c>
      <c r="CT17" s="68">
        <f>+CF!CT27+CF!CT31</f>
        <v>0</v>
      </c>
      <c r="CU17" s="68">
        <f>+CF!CU27+CF!CU31</f>
        <v>0</v>
      </c>
      <c r="CV17" s="68">
        <f>+CF!CV27+CF!CV31</f>
        <v>0</v>
      </c>
      <c r="CW17" s="68">
        <f>+CF!CW27+CF!CW31</f>
        <v>0</v>
      </c>
      <c r="CX17" s="68">
        <f>+CF!CX27+CF!CX31</f>
        <v>0</v>
      </c>
      <c r="CY17" s="68">
        <f>+CF!CY27+CF!CY31</f>
        <v>0</v>
      </c>
      <c r="CZ17" s="68">
        <f>+CF!CZ27+CF!CZ31</f>
        <v>0</v>
      </c>
      <c r="DA17" s="68">
        <f>+CF!DA27+CF!DA31</f>
        <v>0</v>
      </c>
      <c r="DB17" s="68">
        <f>+CF!DB27+CF!DB31</f>
        <v>0</v>
      </c>
      <c r="DC17" s="68">
        <f>+CF!DC27+CF!DC31</f>
        <v>0</v>
      </c>
      <c r="DD17" s="68">
        <f>+CF!DD27+CF!DD31</f>
        <v>0</v>
      </c>
      <c r="DE17" s="68">
        <f>+CF!DE27+CF!DE31</f>
        <v>0</v>
      </c>
      <c r="DF17" s="68">
        <f>+CF!DF27+CF!DF31</f>
        <v>0</v>
      </c>
      <c r="DG17" s="68">
        <f>+CF!DG27+CF!DG31</f>
        <v>0</v>
      </c>
      <c r="DH17" s="68">
        <f>+CF!DH27+CF!DH31</f>
        <v>0</v>
      </c>
      <c r="DI17" s="68">
        <f>+CF!DI27+CF!DI31</f>
        <v>0</v>
      </c>
      <c r="DJ17" s="68">
        <f>+CF!DJ27+CF!DJ31</f>
        <v>0</v>
      </c>
      <c r="DK17" s="68">
        <f>+CF!DK27+CF!DK31</f>
        <v>0</v>
      </c>
      <c r="DL17" s="68">
        <f>+CF!DL27+CF!DL31</f>
        <v>0</v>
      </c>
      <c r="DM17" s="68">
        <f>+CF!DM27+CF!DM31</f>
        <v>0</v>
      </c>
      <c r="DN17" s="68">
        <f>+CF!DN27+CF!DN31</f>
        <v>0</v>
      </c>
      <c r="DO17" s="68">
        <f>+CF!DO27+CF!DO31</f>
        <v>0</v>
      </c>
      <c r="DP17" s="68">
        <f>+CF!DP27+CF!DP31</f>
        <v>0</v>
      </c>
      <c r="DQ17" s="16"/>
    </row>
    <row r="18" spans="1:121" x14ac:dyDescent="0.2">
      <c r="A18" s="42"/>
      <c r="B18" s="42"/>
      <c r="C18" s="13" t="s">
        <v>80</v>
      </c>
      <c r="D18" s="13"/>
      <c r="E18" s="13"/>
      <c r="F18" s="13"/>
      <c r="G18" s="13"/>
      <c r="H18" s="13"/>
      <c r="I18" s="13"/>
      <c r="J18" s="31"/>
      <c r="K18" s="660" t="s">
        <v>63</v>
      </c>
      <c r="L18" s="31"/>
      <c r="M18" s="31"/>
      <c r="N18" s="755">
        <f>SUM(Q18:DQ18)</f>
        <v>35468752.657125622</v>
      </c>
      <c r="O18" s="31"/>
      <c r="P18" s="13"/>
      <c r="Q18" s="31"/>
      <c r="R18" s="31"/>
      <c r="S18" s="755">
        <f t="shared" ref="S18:AO18" si="12">SUM(S16:S17)</f>
        <v>97518.961513966118</v>
      </c>
      <c r="T18" s="755">
        <f t="shared" si="12"/>
        <v>113448.01170687749</v>
      </c>
      <c r="U18" s="755">
        <f t="shared" si="12"/>
        <v>131654.28087360124</v>
      </c>
      <c r="V18" s="755">
        <f t="shared" si="12"/>
        <v>152466.66874446542</v>
      </c>
      <c r="W18" s="755">
        <f t="shared" si="12"/>
        <v>164846.94009372382</v>
      </c>
      <c r="X18" s="755">
        <f t="shared" si="12"/>
        <v>178200.45976894253</v>
      </c>
      <c r="Y18" s="755">
        <f t="shared" si="12"/>
        <v>192602.4414347049</v>
      </c>
      <c r="Z18" s="755">
        <f t="shared" si="12"/>
        <v>208133.85710417456</v>
      </c>
      <c r="AA18" s="755">
        <f t="shared" si="12"/>
        <v>224881.87568522262</v>
      </c>
      <c r="AB18" s="755">
        <f t="shared" si="12"/>
        <v>244184.89861476843</v>
      </c>
      <c r="AC18" s="755">
        <f t="shared" si="12"/>
        <v>265107.82138185867</v>
      </c>
      <c r="AD18" s="755">
        <f t="shared" si="12"/>
        <v>287784.8367633805</v>
      </c>
      <c r="AE18" s="755">
        <f t="shared" si="12"/>
        <v>312361.16956124053</v>
      </c>
      <c r="AF18" s="755">
        <f t="shared" si="12"/>
        <v>338993.97940735827</v>
      </c>
      <c r="AG18" s="755">
        <f t="shared" si="12"/>
        <v>363533.7718290934</v>
      </c>
      <c r="AH18" s="755">
        <f t="shared" si="12"/>
        <v>389548.22881917813</v>
      </c>
      <c r="AI18" s="755">
        <f t="shared" si="12"/>
        <v>417019.35675201478</v>
      </c>
      <c r="AJ18" s="755">
        <f t="shared" si="12"/>
        <v>445880.99101529346</v>
      </c>
      <c r="AK18" s="755">
        <f t="shared" si="12"/>
        <v>475997.86640325718</v>
      </c>
      <c r="AL18" s="755">
        <f t="shared" si="12"/>
        <v>511724.33102000167</v>
      </c>
      <c r="AM18" s="755">
        <f t="shared" si="12"/>
        <v>550104.00473381556</v>
      </c>
      <c r="AN18" s="755">
        <f t="shared" si="12"/>
        <v>591332.56434752536</v>
      </c>
      <c r="AO18" s="755">
        <f t="shared" si="12"/>
        <v>635620.05166280421</v>
      </c>
      <c r="AP18" s="755">
        <f t="shared" ref="AP18:BU18" si="13">SUM(AP16:AP17)</f>
        <v>683191.92478708166</v>
      </c>
      <c r="AQ18" s="755">
        <f t="shared" si="13"/>
        <v>727963.87094970362</v>
      </c>
      <c r="AR18" s="755">
        <f t="shared" si="13"/>
        <v>775642.41522896453</v>
      </c>
      <c r="AS18" s="755">
        <f t="shared" si="13"/>
        <v>826415.09142792225</v>
      </c>
      <c r="AT18" s="755">
        <f t="shared" si="13"/>
        <v>880481.48334147572</v>
      </c>
      <c r="AU18" s="755">
        <f t="shared" si="13"/>
        <v>938053.99689198867</v>
      </c>
      <c r="AV18" s="755">
        <f t="shared" si="13"/>
        <v>997280.73284763796</v>
      </c>
      <c r="AW18" s="755">
        <f t="shared" si="13"/>
        <v>1060223.7246848384</v>
      </c>
      <c r="AX18" s="755">
        <f t="shared" si="13"/>
        <v>1127115.1311370321</v>
      </c>
      <c r="AY18" s="755">
        <f t="shared" si="13"/>
        <v>1198201.5688090352</v>
      </c>
      <c r="AZ18" s="755">
        <f t="shared" si="13"/>
        <v>1273745.0105322674</v>
      </c>
      <c r="BA18" s="755">
        <f t="shared" si="13"/>
        <v>1355830.3304062034</v>
      </c>
      <c r="BB18" s="755">
        <f t="shared" si="13"/>
        <v>1443175.3408407862</v>
      </c>
      <c r="BC18" s="755">
        <f t="shared" si="13"/>
        <v>1536115.6983681917</v>
      </c>
      <c r="BD18" s="755">
        <f t="shared" si="13"/>
        <v>1635008.4182292896</v>
      </c>
      <c r="BE18" s="755">
        <f t="shared" si="13"/>
        <v>1740233.2306697131</v>
      </c>
      <c r="BF18" s="755">
        <f t="shared" si="13"/>
        <v>1875563.1236808484</v>
      </c>
      <c r="BG18" s="755">
        <f t="shared" si="13"/>
        <v>2021370.1568390664</v>
      </c>
      <c r="BH18" s="755">
        <f t="shared" si="13"/>
        <v>2178462.8230788601</v>
      </c>
      <c r="BI18" s="755">
        <f t="shared" si="13"/>
        <v>2347711.8551714239</v>
      </c>
      <c r="BJ18" s="755">
        <f t="shared" si="13"/>
        <v>1554019.3599660185</v>
      </c>
      <c r="BK18" s="755">
        <f t="shared" si="13"/>
        <v>0</v>
      </c>
      <c r="BL18" s="755">
        <f t="shared" si="13"/>
        <v>0</v>
      </c>
      <c r="BM18" s="755">
        <f t="shared" si="13"/>
        <v>0</v>
      </c>
      <c r="BN18" s="755">
        <f t="shared" si="13"/>
        <v>0</v>
      </c>
      <c r="BO18" s="755">
        <f t="shared" si="13"/>
        <v>0</v>
      </c>
      <c r="BP18" s="755">
        <f t="shared" si="13"/>
        <v>0</v>
      </c>
      <c r="BQ18" s="755">
        <f t="shared" si="13"/>
        <v>0</v>
      </c>
      <c r="BR18" s="755">
        <f t="shared" si="13"/>
        <v>0</v>
      </c>
      <c r="BS18" s="755">
        <f t="shared" si="13"/>
        <v>0</v>
      </c>
      <c r="BT18" s="755">
        <f t="shared" si="13"/>
        <v>0</v>
      </c>
      <c r="BU18" s="755">
        <f t="shared" si="13"/>
        <v>0</v>
      </c>
      <c r="BV18" s="755">
        <f t="shared" ref="BV18:DA18" si="14">SUM(BV16:BV17)</f>
        <v>0</v>
      </c>
      <c r="BW18" s="755">
        <f t="shared" si="14"/>
        <v>0</v>
      </c>
      <c r="BX18" s="755">
        <f t="shared" si="14"/>
        <v>0</v>
      </c>
      <c r="BY18" s="755">
        <f t="shared" si="14"/>
        <v>0</v>
      </c>
      <c r="BZ18" s="755">
        <f t="shared" si="14"/>
        <v>0</v>
      </c>
      <c r="CA18" s="755">
        <f t="shared" si="14"/>
        <v>0</v>
      </c>
      <c r="CB18" s="755">
        <f t="shared" si="14"/>
        <v>0</v>
      </c>
      <c r="CC18" s="755">
        <f t="shared" si="14"/>
        <v>0</v>
      </c>
      <c r="CD18" s="755">
        <f t="shared" si="14"/>
        <v>0</v>
      </c>
      <c r="CE18" s="755">
        <f t="shared" si="14"/>
        <v>0</v>
      </c>
      <c r="CF18" s="755">
        <f t="shared" si="14"/>
        <v>0</v>
      </c>
      <c r="CG18" s="755">
        <f t="shared" si="14"/>
        <v>0</v>
      </c>
      <c r="CH18" s="755">
        <f t="shared" si="14"/>
        <v>0</v>
      </c>
      <c r="CI18" s="755">
        <f t="shared" si="14"/>
        <v>0</v>
      </c>
      <c r="CJ18" s="755">
        <f t="shared" si="14"/>
        <v>0</v>
      </c>
      <c r="CK18" s="755">
        <f t="shared" si="14"/>
        <v>0</v>
      </c>
      <c r="CL18" s="755">
        <f t="shared" si="14"/>
        <v>0</v>
      </c>
      <c r="CM18" s="755">
        <f t="shared" si="14"/>
        <v>0</v>
      </c>
      <c r="CN18" s="755">
        <f t="shared" si="14"/>
        <v>0</v>
      </c>
      <c r="CO18" s="755">
        <f t="shared" si="14"/>
        <v>0</v>
      </c>
      <c r="CP18" s="755">
        <f t="shared" si="14"/>
        <v>0</v>
      </c>
      <c r="CQ18" s="755">
        <f t="shared" si="14"/>
        <v>0</v>
      </c>
      <c r="CR18" s="755">
        <f t="shared" si="14"/>
        <v>0</v>
      </c>
      <c r="CS18" s="755">
        <f t="shared" si="14"/>
        <v>0</v>
      </c>
      <c r="CT18" s="755">
        <f t="shared" si="14"/>
        <v>0</v>
      </c>
      <c r="CU18" s="755">
        <f t="shared" si="14"/>
        <v>0</v>
      </c>
      <c r="CV18" s="755">
        <f t="shared" si="14"/>
        <v>0</v>
      </c>
      <c r="CW18" s="755">
        <f t="shared" si="14"/>
        <v>0</v>
      </c>
      <c r="CX18" s="755">
        <f t="shared" si="14"/>
        <v>0</v>
      </c>
      <c r="CY18" s="755">
        <f t="shared" si="14"/>
        <v>0</v>
      </c>
      <c r="CZ18" s="755">
        <f t="shared" si="14"/>
        <v>0</v>
      </c>
      <c r="DA18" s="755">
        <f t="shared" si="14"/>
        <v>0</v>
      </c>
      <c r="DB18" s="755">
        <f t="shared" ref="DB18:DP18" si="15">SUM(DB16:DB17)</f>
        <v>0</v>
      </c>
      <c r="DC18" s="755">
        <f t="shared" si="15"/>
        <v>0</v>
      </c>
      <c r="DD18" s="755">
        <f t="shared" si="15"/>
        <v>0</v>
      </c>
      <c r="DE18" s="755">
        <f t="shared" si="15"/>
        <v>0</v>
      </c>
      <c r="DF18" s="755">
        <f t="shared" si="15"/>
        <v>0</v>
      </c>
      <c r="DG18" s="755">
        <f t="shared" si="15"/>
        <v>0</v>
      </c>
      <c r="DH18" s="755">
        <f t="shared" si="15"/>
        <v>0</v>
      </c>
      <c r="DI18" s="755">
        <f t="shared" si="15"/>
        <v>0</v>
      </c>
      <c r="DJ18" s="755">
        <f t="shared" si="15"/>
        <v>0</v>
      </c>
      <c r="DK18" s="755">
        <f t="shared" si="15"/>
        <v>0</v>
      </c>
      <c r="DL18" s="755">
        <f t="shared" si="15"/>
        <v>0</v>
      </c>
      <c r="DM18" s="755">
        <f t="shared" si="15"/>
        <v>0</v>
      </c>
      <c r="DN18" s="755">
        <f t="shared" si="15"/>
        <v>0</v>
      </c>
      <c r="DO18" s="755">
        <f t="shared" si="15"/>
        <v>0</v>
      </c>
      <c r="DP18" s="755">
        <f t="shared" si="15"/>
        <v>0</v>
      </c>
      <c r="DQ18" s="16"/>
    </row>
    <row r="19" spans="1:121" x14ac:dyDescent="0.2">
      <c r="DQ19" s="42"/>
    </row>
    <row r="20" spans="1:121" x14ac:dyDescent="0.2">
      <c r="C20" t="s">
        <v>274</v>
      </c>
      <c r="N20" s="746">
        <f>SUM(Q20:DQ20)</f>
        <v>-209073.66959467556</v>
      </c>
      <c r="Q20" s="36"/>
      <c r="R20" s="36"/>
      <c r="S20" s="36">
        <f>+CF!S32</f>
        <v>-446</v>
      </c>
      <c r="T20" s="36">
        <f>+CF!T32</f>
        <v>-737.58974504569574</v>
      </c>
      <c r="U20" s="36">
        <f>+CF!U32</f>
        <v>-845.09727037031769</v>
      </c>
      <c r="V20" s="36">
        <f>+CF!V32</f>
        <v>-947.27186232849067</v>
      </c>
      <c r="W20" s="36">
        <f>+CF!W32</f>
        <v>-1019.4985617497009</v>
      </c>
      <c r="X20" s="36">
        <f>+CF!X32</f>
        <v>-1097.2312440403507</v>
      </c>
      <c r="Y20" s="36">
        <f>+CF!Y32</f>
        <v>-1180.8721342435792</v>
      </c>
      <c r="Z20" s="36">
        <f>+CF!Z32</f>
        <v>-1270.0974482756708</v>
      </c>
      <c r="AA20" s="36">
        <f>+CF!AA32</f>
        <v>-1366.5625319919407</v>
      </c>
      <c r="AB20" s="36">
        <f>+CF!AB32</f>
        <v>-1477.6866800817588</v>
      </c>
      <c r="AC20" s="36">
        <f>+CF!AC32</f>
        <v>-1597.9256776029658</v>
      </c>
      <c r="AD20" s="36">
        <f>+CF!AD32</f>
        <v>-1727.2994169124825</v>
      </c>
      <c r="AE20" s="36">
        <f>+CF!AE32</f>
        <v>-1867.6403246759485</v>
      </c>
      <c r="AF20" s="36">
        <f>+CF!AF32</f>
        <v>-2019.9423845308647</v>
      </c>
      <c r="AG20" s="36">
        <f>+CF!AG32</f>
        <v>-2165.5608753220044</v>
      </c>
      <c r="AH20" s="36">
        <f>+CF!AH32</f>
        <v>-2321.9700940118796</v>
      </c>
      <c r="AI20" s="36">
        <f>+CF!AI32</f>
        <v>-2489.7667838205948</v>
      </c>
      <c r="AJ20" s="36">
        <f>+CF!AJ32</f>
        <v>-2669.0732419341457</v>
      </c>
      <c r="AK20" s="36">
        <f>+CF!AK32</f>
        <v>-2860.4583224723983</v>
      </c>
      <c r="AL20" s="36">
        <f>+CF!AL32</f>
        <v>-3065.0901951231494</v>
      </c>
      <c r="AM20" s="36">
        <f>+CF!AM32</f>
        <v>-3285.9896090785355</v>
      </c>
      <c r="AN20" s="36">
        <f>+CF!AN32</f>
        <v>-3525.1806027610319</v>
      </c>
      <c r="AO20" s="36">
        <f>+CF!AO32</f>
        <v>-3779.4945750365664</v>
      </c>
      <c r="AP20" s="36">
        <f>+CF!AP32</f>
        <v>-4056.8510170263103</v>
      </c>
      <c r="AQ20" s="36">
        <f>+CF!AQ32</f>
        <v>-4314.1450040972704</v>
      </c>
      <c r="AR20" s="36">
        <f>+CF!AR32</f>
        <v>-4588.1007215996615</v>
      </c>
      <c r="AS20" s="36">
        <f>+CF!AS32</f>
        <v>-4879.7400909298531</v>
      </c>
      <c r="AT20" s="36">
        <f>+CF!AT32</f>
        <v>-5190.4247287486833</v>
      </c>
      <c r="AU20" s="36">
        <f>+CF!AU32</f>
        <v>-5528.8514273091296</v>
      </c>
      <c r="AV20" s="36">
        <f>+CF!AV32</f>
        <v>-5875.2188723279269</v>
      </c>
      <c r="AW20" s="36">
        <f>+CF!AW32</f>
        <v>-6235.334184088123</v>
      </c>
      <c r="AX20" s="36">
        <f>+CF!AX32</f>
        <v>-6618.4474026856469</v>
      </c>
      <c r="AY20" s="36">
        <f>+CF!AY32</f>
        <v>-7026.2168164658833</v>
      </c>
      <c r="AZ20" s="36">
        <f>+CF!AZ32</f>
        <v>-7459.425386884267</v>
      </c>
      <c r="BA20" s="36">
        <f>+CF!BA32</f>
        <v>-7928.821010847113</v>
      </c>
      <c r="BB20" s="36">
        <f>+CF!BB32</f>
        <v>-8427.8598957397426</v>
      </c>
      <c r="BC20" s="36">
        <f>+CF!BC32</f>
        <v>-8958.4792187224703</v>
      </c>
      <c r="BD20" s="36">
        <f>+CF!BD32</f>
        <v>-9522.6761102401288</v>
      </c>
      <c r="BE20" s="36">
        <f>+CF!BE32</f>
        <v>-10108.901955415566</v>
      </c>
      <c r="BF20" s="36">
        <f>+CF!BF32</f>
        <v>-10877.998262087507</v>
      </c>
      <c r="BG20" s="36">
        <f>+CF!BG32</f>
        <v>-11703.98707545153</v>
      </c>
      <c r="BH20" s="36">
        <f>+CF!BH32</f>
        <v>-12593.122376190302</v>
      </c>
      <c r="BI20" s="36">
        <f>+CF!BI32</f>
        <v>-13550.017342808085</v>
      </c>
      <c r="BJ20" s="36">
        <f>+CF!BJ32</f>
        <v>-9865.7511136003723</v>
      </c>
      <c r="BK20" s="36">
        <f>+CF!BK32</f>
        <v>0</v>
      </c>
      <c r="BL20" s="36">
        <f>+CF!BL32</f>
        <v>0</v>
      </c>
      <c r="BM20" s="36">
        <f>+CF!BM32</f>
        <v>0</v>
      </c>
      <c r="BN20" s="36">
        <f>+CF!BN32</f>
        <v>0</v>
      </c>
      <c r="BO20" s="36">
        <f>+CF!BO32</f>
        <v>0</v>
      </c>
      <c r="BP20" s="36">
        <f>+CF!BP32</f>
        <v>0</v>
      </c>
      <c r="BQ20" s="36">
        <f>+CF!BQ32</f>
        <v>0</v>
      </c>
      <c r="BR20" s="36">
        <f>+CF!BR32</f>
        <v>0</v>
      </c>
      <c r="BS20" s="36">
        <f>+CF!BS32</f>
        <v>0</v>
      </c>
      <c r="BT20" s="36">
        <f>+CF!BT32</f>
        <v>0</v>
      </c>
      <c r="BU20" s="36">
        <f>+CF!BU32</f>
        <v>0</v>
      </c>
      <c r="BV20" s="36">
        <f>+CF!BV32</f>
        <v>0</v>
      </c>
      <c r="BW20" s="36">
        <f>+CF!BW32</f>
        <v>0</v>
      </c>
      <c r="BX20" s="36">
        <f>+CF!BX32</f>
        <v>0</v>
      </c>
      <c r="BY20" s="36">
        <f>+CF!BY32</f>
        <v>0</v>
      </c>
      <c r="BZ20" s="36">
        <f>+CF!BZ32</f>
        <v>0</v>
      </c>
      <c r="CA20" s="36">
        <f>+CF!CA32</f>
        <v>0</v>
      </c>
      <c r="CB20" s="36">
        <f>+CF!CB32</f>
        <v>0</v>
      </c>
      <c r="CC20" s="36">
        <f>+CF!CC32</f>
        <v>0</v>
      </c>
      <c r="CD20" s="36">
        <f>+CF!CD32</f>
        <v>0</v>
      </c>
      <c r="CE20" s="36">
        <f>+CF!CE32</f>
        <v>0</v>
      </c>
      <c r="CF20" s="36">
        <f>+CF!CF32</f>
        <v>0</v>
      </c>
      <c r="CG20" s="36">
        <f>+CF!CG32</f>
        <v>0</v>
      </c>
      <c r="CH20" s="36">
        <f>+CF!CH32</f>
        <v>0</v>
      </c>
      <c r="CI20" s="36">
        <f>+CF!CI32</f>
        <v>0</v>
      </c>
      <c r="CJ20" s="36">
        <f>+CF!CJ32</f>
        <v>0</v>
      </c>
      <c r="CK20" s="36">
        <f>+CF!CK32</f>
        <v>0</v>
      </c>
      <c r="CL20" s="36">
        <f>+CF!CL32</f>
        <v>0</v>
      </c>
      <c r="CM20" s="36">
        <f>+CF!CM32</f>
        <v>0</v>
      </c>
      <c r="CN20" s="36">
        <f>+CF!CN32</f>
        <v>0</v>
      </c>
      <c r="CO20" s="36">
        <f>+CF!CO32</f>
        <v>0</v>
      </c>
      <c r="CP20" s="36">
        <f>+CF!CP32</f>
        <v>0</v>
      </c>
      <c r="CQ20" s="36">
        <f>+CF!CQ32</f>
        <v>0</v>
      </c>
      <c r="CR20" s="36">
        <f>+CF!CR32</f>
        <v>0</v>
      </c>
      <c r="CS20" s="36">
        <f>+CF!CS32</f>
        <v>0</v>
      </c>
      <c r="CT20" s="36">
        <f>+CF!CT32</f>
        <v>0</v>
      </c>
      <c r="CU20" s="36">
        <f>+CF!CU32</f>
        <v>0</v>
      </c>
      <c r="CV20" s="36">
        <f>+CF!CV32</f>
        <v>0</v>
      </c>
      <c r="CW20" s="36">
        <f>+CF!CW32</f>
        <v>0</v>
      </c>
      <c r="CX20" s="36">
        <f>+CF!CX32</f>
        <v>0</v>
      </c>
      <c r="CY20" s="36">
        <f>+CF!CY32</f>
        <v>0</v>
      </c>
      <c r="CZ20" s="36">
        <f>+CF!CZ32</f>
        <v>0</v>
      </c>
      <c r="DA20" s="36">
        <f>+CF!DA32</f>
        <v>0</v>
      </c>
      <c r="DB20" s="36">
        <f>+CF!DB32</f>
        <v>0</v>
      </c>
      <c r="DC20" s="36">
        <f>+CF!DC32</f>
        <v>0</v>
      </c>
      <c r="DD20" s="36">
        <f>+CF!DD32</f>
        <v>0</v>
      </c>
      <c r="DE20" s="36">
        <f>+CF!DE32</f>
        <v>0</v>
      </c>
      <c r="DF20" s="36">
        <f>+CF!DF32</f>
        <v>0</v>
      </c>
      <c r="DG20" s="36">
        <f>+CF!DG32</f>
        <v>0</v>
      </c>
      <c r="DH20" s="36">
        <f>+CF!DH32</f>
        <v>0</v>
      </c>
      <c r="DI20" s="36">
        <f>+CF!DI32</f>
        <v>0</v>
      </c>
      <c r="DJ20" s="36">
        <f>+CF!DJ32</f>
        <v>0</v>
      </c>
      <c r="DK20" s="36">
        <f>+CF!DK32</f>
        <v>0</v>
      </c>
      <c r="DL20" s="36">
        <f>+CF!DL32</f>
        <v>0</v>
      </c>
      <c r="DM20" s="36">
        <f>+CF!DM32</f>
        <v>0</v>
      </c>
      <c r="DN20" s="36">
        <f>+CF!DN32</f>
        <v>0</v>
      </c>
      <c r="DO20" s="36">
        <f>+CF!DO32</f>
        <v>0</v>
      </c>
      <c r="DP20" s="36">
        <f>+CF!DP32</f>
        <v>0</v>
      </c>
      <c r="DQ20" s="42"/>
    </row>
    <row r="21" spans="1:121" x14ac:dyDescent="0.2">
      <c r="A21" s="42"/>
      <c r="B21" s="42"/>
      <c r="C21" s="27" t="s">
        <v>435</v>
      </c>
      <c r="D21" s="27"/>
      <c r="E21" s="27"/>
      <c r="F21" s="27"/>
      <c r="G21" s="27"/>
      <c r="H21" s="27"/>
      <c r="I21" s="27"/>
      <c r="J21" s="27"/>
      <c r="K21" s="661" t="s">
        <v>63</v>
      </c>
      <c r="L21" s="27"/>
      <c r="M21" s="27"/>
      <c r="N21" s="754">
        <f ca="1">SUM(Q21:DQ21)</f>
        <v>-2607333.0358092841</v>
      </c>
      <c r="O21" s="15"/>
      <c r="P21" s="15"/>
      <c r="Q21" s="15"/>
      <c r="R21" s="15"/>
      <c r="S21" s="754">
        <f ca="1">+Tax!S49</f>
        <v>-136068.79114427743</v>
      </c>
      <c r="T21" s="754">
        <f ca="1">+Tax!T49</f>
        <v>-136550.52474427744</v>
      </c>
      <c r="U21" s="754">
        <f ca="1">+Tax!U49</f>
        <v>-136878.73568927389</v>
      </c>
      <c r="V21" s="754">
        <f ca="1">+Tax!V49</f>
        <v>-137113.15255109957</v>
      </c>
      <c r="W21" s="754">
        <f ca="1">+Tax!W49</f>
        <v>-137280.57921966724</v>
      </c>
      <c r="X21" s="754">
        <f ca="1">+Tax!X49</f>
        <v>-137494.41283964698</v>
      </c>
      <c r="Y21" s="754">
        <f ca="1">+Tax!Y49</f>
        <v>-137767.51638655984</v>
      </c>
      <c r="Z21" s="754">
        <f ca="1">+Tax!Z49</f>
        <v>-138116.31816685735</v>
      </c>
      <c r="AA21" s="754">
        <f ca="1">+Tax!AA49</f>
        <v>-138561.80004841465</v>
      </c>
      <c r="AB21" s="754">
        <f ca="1">+Tax!AB49</f>
        <v>-139130.75960655266</v>
      </c>
      <c r="AC21" s="754">
        <f ca="1">+Tax!AC49</f>
        <v>-139653.05922738358</v>
      </c>
      <c r="AD21" s="754">
        <f ca="1">+Tax!AD49</f>
        <v>-140132.52545660536</v>
      </c>
      <c r="AE21" s="754">
        <f ca="1">+Tax!AE49</f>
        <v>-140572.67102783598</v>
      </c>
      <c r="AF21" s="754">
        <f ca="1">+Tax!AF49</f>
        <v>-140976.72059810156</v>
      </c>
      <c r="AG21" s="754">
        <f ca="1">+Tax!AG49</f>
        <v>-58388.38916468402</v>
      </c>
      <c r="AH21" s="754">
        <f ca="1">+Tax!AH49</f>
        <v>-5781.7624527187836</v>
      </c>
      <c r="AI21" s="754">
        <f ca="1">+Tax!AI49</f>
        <v>-5981.9332826922782</v>
      </c>
      <c r="AJ21" s="754">
        <f ca="1">+Tax!AJ49</f>
        <v>-6578.3114749261949</v>
      </c>
      <c r="AK21" s="754">
        <f ca="1">+Tax!AK49</f>
        <v>-7597.538137190254</v>
      </c>
      <c r="AL21" s="754">
        <f ca="1">+Tax!AL49</f>
        <v>-9129.9173847941656</v>
      </c>
      <c r="AM21" s="754">
        <f ca="1">+Tax!AM49</f>
        <v>-10066.585088561598</v>
      </c>
      <c r="AN21" s="754">
        <f ca="1">+Tax!AN49</f>
        <v>-10572.190030277356</v>
      </c>
      <c r="AO21" s="754">
        <f ca="1">+Tax!AO49</f>
        <v>-10750.451450817625</v>
      </c>
      <c r="AP21" s="754">
        <f ca="1">+Tax!AP49</f>
        <v>-10661.708479563715</v>
      </c>
      <c r="AQ21" s="754">
        <f ca="1">+Tax!AQ49</f>
        <v>-10334.205069231428</v>
      </c>
      <c r="AR21" s="754">
        <f ca="1">+Tax!AR49</f>
        <v>-10147.342754808955</v>
      </c>
      <c r="AS21" s="754">
        <f ca="1">+Tax!AS49</f>
        <v>-10133.874958648759</v>
      </c>
      <c r="AT21" s="754">
        <f ca="1">+Tax!AT49</f>
        <v>-10341.106812251863</v>
      </c>
      <c r="AU21" s="754">
        <f ca="1">+Tax!AU49</f>
        <v>-10836.411189232149</v>
      </c>
      <c r="AV21" s="754">
        <f ca="1">+Tax!AV49</f>
        <v>-11714.903852593245</v>
      </c>
      <c r="AW21" s="754">
        <f ca="1">+Tax!AW49</f>
        <v>-12440.074692659338</v>
      </c>
      <c r="AX21" s="754">
        <f ca="1">+Tax!AX49</f>
        <v>-12965.307636146734</v>
      </c>
      <c r="AY21" s="754">
        <f ca="1">+Tax!AY49</f>
        <v>-13227.260659612039</v>
      </c>
      <c r="AZ21" s="754">
        <f ca="1">+Tax!AZ49</f>
        <v>-13139.915462507159</v>
      </c>
      <c r="BA21" s="754">
        <f ca="1">+Tax!BA49</f>
        <v>-12586.509423715554</v>
      </c>
      <c r="BB21" s="754">
        <f ca="1">+Tax!BB49</f>
        <v>-12719.426037515001</v>
      </c>
      <c r="BC21" s="754">
        <f ca="1">+Tax!BC49</f>
        <v>-13377.529986603024</v>
      </c>
      <c r="BD21" s="754">
        <f ca="1">+Tax!BD49</f>
        <v>-14459.007480718947</v>
      </c>
      <c r="BE21" s="754">
        <f ca="1">+Tax!BE49</f>
        <v>-15903.062535864519</v>
      </c>
      <c r="BF21" s="754">
        <f ca="1">+Tax!BF49</f>
        <v>-17677.631793055283</v>
      </c>
      <c r="BG21" s="754">
        <f ca="1">+Tax!BG49</f>
        <v>-19633.771042091379</v>
      </c>
      <c r="BH21" s="754">
        <f ca="1">+Tax!BH49</f>
        <v>-21772.562755249321</v>
      </c>
      <c r="BI21" s="754">
        <f ca="1">+Tax!BI49</f>
        <v>-24085.999224990541</v>
      </c>
      <c r="BJ21" s="754">
        <f ca="1">+Tax!BJ49</f>
        <v>-268030.77878900873</v>
      </c>
      <c r="BK21" s="754">
        <f>+Tax!BK49</f>
        <v>0</v>
      </c>
      <c r="BL21" s="754">
        <f>+Tax!BL49</f>
        <v>0</v>
      </c>
      <c r="BM21" s="754">
        <f>+Tax!BM49</f>
        <v>0</v>
      </c>
      <c r="BN21" s="754">
        <f>+Tax!BN49</f>
        <v>0</v>
      </c>
      <c r="BO21" s="754">
        <f>+Tax!BO49</f>
        <v>0</v>
      </c>
      <c r="BP21" s="754">
        <f>+Tax!BP49</f>
        <v>0</v>
      </c>
      <c r="BQ21" s="754">
        <f>+Tax!BQ49</f>
        <v>0</v>
      </c>
      <c r="BR21" s="754">
        <f>+Tax!BR49</f>
        <v>0</v>
      </c>
      <c r="BS21" s="754">
        <f>+Tax!BS49</f>
        <v>0</v>
      </c>
      <c r="BT21" s="754">
        <f>+Tax!BT49</f>
        <v>0</v>
      </c>
      <c r="BU21" s="754">
        <f>+Tax!BU49</f>
        <v>0</v>
      </c>
      <c r="BV21" s="754">
        <f>+Tax!BV49</f>
        <v>0</v>
      </c>
      <c r="BW21" s="754">
        <f>+Tax!BW49</f>
        <v>0</v>
      </c>
      <c r="BX21" s="754">
        <f>+Tax!BX49</f>
        <v>0</v>
      </c>
      <c r="BY21" s="754">
        <f>+Tax!BY49</f>
        <v>0</v>
      </c>
      <c r="BZ21" s="754">
        <f>+Tax!BZ49</f>
        <v>0</v>
      </c>
      <c r="CA21" s="754">
        <f>+Tax!CA49</f>
        <v>0</v>
      </c>
      <c r="CB21" s="754">
        <f>+Tax!CB49</f>
        <v>0</v>
      </c>
      <c r="CC21" s="754">
        <f>+Tax!CC49</f>
        <v>0</v>
      </c>
      <c r="CD21" s="754">
        <f>+Tax!CD49</f>
        <v>0</v>
      </c>
      <c r="CE21" s="754">
        <f>+Tax!CE49</f>
        <v>0</v>
      </c>
      <c r="CF21" s="754">
        <f>+Tax!CF49</f>
        <v>0</v>
      </c>
      <c r="CG21" s="754">
        <f>+Tax!CG49</f>
        <v>0</v>
      </c>
      <c r="CH21" s="754">
        <f>+Tax!CH49</f>
        <v>0</v>
      </c>
      <c r="CI21" s="754">
        <f>+Tax!CI49</f>
        <v>0</v>
      </c>
      <c r="CJ21" s="754">
        <f>+Tax!CJ49</f>
        <v>0</v>
      </c>
      <c r="CK21" s="754">
        <f>+Tax!CK49</f>
        <v>0</v>
      </c>
      <c r="CL21" s="754">
        <f>+Tax!CL49</f>
        <v>0</v>
      </c>
      <c r="CM21" s="754">
        <f>+Tax!CM49</f>
        <v>0</v>
      </c>
      <c r="CN21" s="754">
        <f>+Tax!CN49</f>
        <v>0</v>
      </c>
      <c r="CO21" s="754">
        <f>+Tax!CO49</f>
        <v>0</v>
      </c>
      <c r="CP21" s="754">
        <f>+Tax!CP49</f>
        <v>0</v>
      </c>
      <c r="CQ21" s="754">
        <f>+Tax!CQ49</f>
        <v>0</v>
      </c>
      <c r="CR21" s="754">
        <f>+Tax!CR49</f>
        <v>0</v>
      </c>
      <c r="CS21" s="754">
        <f>+Tax!CS49</f>
        <v>0</v>
      </c>
      <c r="CT21" s="754">
        <f>+Tax!CT49</f>
        <v>0</v>
      </c>
      <c r="CU21" s="754">
        <f>+Tax!CU49</f>
        <v>0</v>
      </c>
      <c r="CV21" s="754">
        <f>+Tax!CV49</f>
        <v>0</v>
      </c>
      <c r="CW21" s="754">
        <f>+Tax!CW49</f>
        <v>0</v>
      </c>
      <c r="CX21" s="754">
        <f>+Tax!CX49</f>
        <v>0</v>
      </c>
      <c r="CY21" s="754">
        <f>+Tax!CY49</f>
        <v>0</v>
      </c>
      <c r="CZ21" s="754">
        <f>+Tax!CZ49</f>
        <v>0</v>
      </c>
      <c r="DA21" s="754">
        <f>+Tax!DA49</f>
        <v>0</v>
      </c>
      <c r="DB21" s="754">
        <f>+Tax!DB49</f>
        <v>0</v>
      </c>
      <c r="DC21" s="754">
        <f>+Tax!DC49</f>
        <v>0</v>
      </c>
      <c r="DD21" s="754">
        <f>+Tax!DD49</f>
        <v>0</v>
      </c>
      <c r="DE21" s="754">
        <f>+Tax!DE49</f>
        <v>0</v>
      </c>
      <c r="DF21" s="754">
        <f>+Tax!DF49</f>
        <v>0</v>
      </c>
      <c r="DG21" s="754">
        <f>+Tax!DG49</f>
        <v>0</v>
      </c>
      <c r="DH21" s="754">
        <f>+Tax!DH49</f>
        <v>0</v>
      </c>
      <c r="DI21" s="754">
        <f>+Tax!DI49</f>
        <v>0</v>
      </c>
      <c r="DJ21" s="754">
        <f>+Tax!DJ49</f>
        <v>0</v>
      </c>
      <c r="DK21" s="754">
        <f>+Tax!DK49</f>
        <v>0</v>
      </c>
      <c r="DL21" s="754">
        <f>+Tax!DL49</f>
        <v>0</v>
      </c>
      <c r="DM21" s="754">
        <f>+Tax!DM49</f>
        <v>0</v>
      </c>
      <c r="DN21" s="754">
        <f>+Tax!DN49</f>
        <v>0</v>
      </c>
      <c r="DO21" s="754">
        <f>+Tax!DO49</f>
        <v>0</v>
      </c>
      <c r="DP21" s="754">
        <f>+Tax!DP49</f>
        <v>0</v>
      </c>
      <c r="DQ21" s="16"/>
    </row>
    <row r="22" spans="1:121" x14ac:dyDescent="0.2">
      <c r="A22" s="42"/>
      <c r="B22" s="42"/>
      <c r="C22" s="13" t="s">
        <v>81</v>
      </c>
      <c r="D22" s="13"/>
      <c r="E22" s="13"/>
      <c r="F22" s="13"/>
      <c r="G22" s="13"/>
      <c r="H22" s="13"/>
      <c r="I22" s="13"/>
      <c r="J22" s="31"/>
      <c r="K22" s="660" t="s">
        <v>63</v>
      </c>
      <c r="L22" s="31"/>
      <c r="M22" s="31"/>
      <c r="N22" s="755">
        <f ca="1">SUM(Q22:DQ22)</f>
        <v>32652345.951721653</v>
      </c>
      <c r="O22" s="31"/>
      <c r="P22" s="13"/>
      <c r="Q22" s="31"/>
      <c r="R22" s="31"/>
      <c r="S22" s="755">
        <f t="shared" ref="S22:AV22" ca="1" si="16">SUM(S18:S21)</f>
        <v>-38995.829630311317</v>
      </c>
      <c r="T22" s="755">
        <f t="shared" ca="1" si="16"/>
        <v>-23840.102782445654</v>
      </c>
      <c r="U22" s="755">
        <f t="shared" ca="1" si="16"/>
        <v>-6069.5520860429679</v>
      </c>
      <c r="V22" s="755">
        <f t="shared" ca="1" si="16"/>
        <v>14406.244331037364</v>
      </c>
      <c r="W22" s="755">
        <f t="shared" ca="1" si="16"/>
        <v>26546.862312306883</v>
      </c>
      <c r="X22" s="755">
        <f t="shared" ca="1" si="16"/>
        <v>39608.815685255191</v>
      </c>
      <c r="Y22" s="755">
        <f t="shared" ca="1" si="16"/>
        <v>53654.052913901483</v>
      </c>
      <c r="Z22" s="755">
        <f t="shared" ca="1" si="16"/>
        <v>68747.44148904155</v>
      </c>
      <c r="AA22" s="755">
        <f t="shared" ca="1" si="16"/>
        <v>84953.513104816026</v>
      </c>
      <c r="AB22" s="755">
        <f t="shared" ca="1" si="16"/>
        <v>103576.45232813401</v>
      </c>
      <c r="AC22" s="755">
        <f t="shared" ca="1" si="16"/>
        <v>123856.83647687209</v>
      </c>
      <c r="AD22" s="755">
        <f t="shared" ca="1" si="16"/>
        <v>145925.01188986265</v>
      </c>
      <c r="AE22" s="755">
        <f t="shared" ca="1" si="16"/>
        <v>169920.8582087286</v>
      </c>
      <c r="AF22" s="755">
        <f t="shared" ca="1" si="16"/>
        <v>195997.31642472587</v>
      </c>
      <c r="AG22" s="755">
        <f t="shared" ca="1" si="16"/>
        <v>302979.82178908738</v>
      </c>
      <c r="AH22" s="755">
        <f t="shared" ca="1" si="16"/>
        <v>381444.49627244746</v>
      </c>
      <c r="AI22" s="755">
        <f t="shared" ca="1" si="16"/>
        <v>408547.65668550192</v>
      </c>
      <c r="AJ22" s="755">
        <f t="shared" ca="1" si="16"/>
        <v>436633.60629843315</v>
      </c>
      <c r="AK22" s="755">
        <f t="shared" ca="1" si="16"/>
        <v>465539.8699435945</v>
      </c>
      <c r="AL22" s="755">
        <f t="shared" ca="1" si="16"/>
        <v>499529.32344008435</v>
      </c>
      <c r="AM22" s="755">
        <f t="shared" ca="1" si="16"/>
        <v>536751.43003617541</v>
      </c>
      <c r="AN22" s="755">
        <f t="shared" ca="1" si="16"/>
        <v>577235.19371448702</v>
      </c>
      <c r="AO22" s="755">
        <f t="shared" ca="1" si="16"/>
        <v>621090.10563695</v>
      </c>
      <c r="AP22" s="755">
        <f t="shared" ca="1" si="16"/>
        <v>668473.36529049161</v>
      </c>
      <c r="AQ22" s="755">
        <f t="shared" ca="1" si="16"/>
        <v>713315.52087637491</v>
      </c>
      <c r="AR22" s="755">
        <f t="shared" ca="1" si="16"/>
        <v>760906.97175255592</v>
      </c>
      <c r="AS22" s="755">
        <f t="shared" ca="1" si="16"/>
        <v>811401.47637834353</v>
      </c>
      <c r="AT22" s="755">
        <f t="shared" ca="1" si="16"/>
        <v>864949.95180047513</v>
      </c>
      <c r="AU22" s="755">
        <f t="shared" ca="1" si="16"/>
        <v>921688.73427544744</v>
      </c>
      <c r="AV22" s="755">
        <f t="shared" ca="1" si="16"/>
        <v>979690.61012271675</v>
      </c>
      <c r="AW22" s="755">
        <f t="shared" ref="AW22:CB22" ca="1" si="17">SUM(AW18:AW21)</f>
        <v>1041548.3158080911</v>
      </c>
      <c r="AX22" s="755">
        <f t="shared" ca="1" si="17"/>
        <v>1107531.3760981997</v>
      </c>
      <c r="AY22" s="755">
        <f t="shared" ca="1" si="17"/>
        <v>1177948.0913329574</v>
      </c>
      <c r="AZ22" s="755">
        <f t="shared" ca="1" si="17"/>
        <v>1253145.669682876</v>
      </c>
      <c r="BA22" s="755">
        <f t="shared" ca="1" si="17"/>
        <v>1335314.9999716408</v>
      </c>
      <c r="BB22" s="755">
        <f t="shared" ca="1" si="17"/>
        <v>1422028.0549075315</v>
      </c>
      <c r="BC22" s="755">
        <f t="shared" ca="1" si="17"/>
        <v>1513779.6891628662</v>
      </c>
      <c r="BD22" s="755">
        <f t="shared" ca="1" si="17"/>
        <v>1611026.7346383305</v>
      </c>
      <c r="BE22" s="755">
        <f t="shared" ca="1" si="17"/>
        <v>1714221.2661784331</v>
      </c>
      <c r="BF22" s="755">
        <f t="shared" ca="1" si="17"/>
        <v>1847007.4936257056</v>
      </c>
      <c r="BG22" s="755">
        <f t="shared" ca="1" si="17"/>
        <v>1990032.3987215236</v>
      </c>
      <c r="BH22" s="755">
        <f t="shared" ca="1" si="17"/>
        <v>2144097.1379474201</v>
      </c>
      <c r="BI22" s="755">
        <f t="shared" ca="1" si="17"/>
        <v>2310075.8386036251</v>
      </c>
      <c r="BJ22" s="755">
        <f t="shared" ca="1" si="17"/>
        <v>1276122.8300634094</v>
      </c>
      <c r="BK22" s="755">
        <f t="shared" si="17"/>
        <v>0</v>
      </c>
      <c r="BL22" s="755">
        <f t="shared" si="17"/>
        <v>0</v>
      </c>
      <c r="BM22" s="755">
        <f t="shared" si="17"/>
        <v>0</v>
      </c>
      <c r="BN22" s="755">
        <f t="shared" si="17"/>
        <v>0</v>
      </c>
      <c r="BO22" s="755">
        <f t="shared" si="17"/>
        <v>0</v>
      </c>
      <c r="BP22" s="755">
        <f t="shared" si="17"/>
        <v>0</v>
      </c>
      <c r="BQ22" s="755">
        <f t="shared" si="17"/>
        <v>0</v>
      </c>
      <c r="BR22" s="755">
        <f t="shared" si="17"/>
        <v>0</v>
      </c>
      <c r="BS22" s="755">
        <f t="shared" si="17"/>
        <v>0</v>
      </c>
      <c r="BT22" s="755">
        <f t="shared" si="17"/>
        <v>0</v>
      </c>
      <c r="BU22" s="755">
        <f t="shared" si="17"/>
        <v>0</v>
      </c>
      <c r="BV22" s="755">
        <f t="shared" si="17"/>
        <v>0</v>
      </c>
      <c r="BW22" s="755">
        <f t="shared" si="17"/>
        <v>0</v>
      </c>
      <c r="BX22" s="755">
        <f t="shared" si="17"/>
        <v>0</v>
      </c>
      <c r="BY22" s="755">
        <f t="shared" si="17"/>
        <v>0</v>
      </c>
      <c r="BZ22" s="755">
        <f t="shared" si="17"/>
        <v>0</v>
      </c>
      <c r="CA22" s="755">
        <f t="shared" si="17"/>
        <v>0</v>
      </c>
      <c r="CB22" s="755">
        <f t="shared" si="17"/>
        <v>0</v>
      </c>
      <c r="CC22" s="755">
        <f t="shared" ref="CC22:DH22" si="18">SUM(CC18:CC21)</f>
        <v>0</v>
      </c>
      <c r="CD22" s="755">
        <f t="shared" si="18"/>
        <v>0</v>
      </c>
      <c r="CE22" s="755">
        <f t="shared" si="18"/>
        <v>0</v>
      </c>
      <c r="CF22" s="755">
        <f t="shared" si="18"/>
        <v>0</v>
      </c>
      <c r="CG22" s="755">
        <f t="shared" si="18"/>
        <v>0</v>
      </c>
      <c r="CH22" s="755">
        <f t="shared" si="18"/>
        <v>0</v>
      </c>
      <c r="CI22" s="755">
        <f t="shared" si="18"/>
        <v>0</v>
      </c>
      <c r="CJ22" s="755">
        <f t="shared" si="18"/>
        <v>0</v>
      </c>
      <c r="CK22" s="755">
        <f t="shared" si="18"/>
        <v>0</v>
      </c>
      <c r="CL22" s="755">
        <f t="shared" si="18"/>
        <v>0</v>
      </c>
      <c r="CM22" s="755">
        <f t="shared" si="18"/>
        <v>0</v>
      </c>
      <c r="CN22" s="755">
        <f t="shared" si="18"/>
        <v>0</v>
      </c>
      <c r="CO22" s="755">
        <f t="shared" si="18"/>
        <v>0</v>
      </c>
      <c r="CP22" s="755">
        <f t="shared" si="18"/>
        <v>0</v>
      </c>
      <c r="CQ22" s="755">
        <f t="shared" si="18"/>
        <v>0</v>
      </c>
      <c r="CR22" s="755">
        <f t="shared" si="18"/>
        <v>0</v>
      </c>
      <c r="CS22" s="755">
        <f t="shared" si="18"/>
        <v>0</v>
      </c>
      <c r="CT22" s="755">
        <f t="shared" si="18"/>
        <v>0</v>
      </c>
      <c r="CU22" s="755">
        <f t="shared" si="18"/>
        <v>0</v>
      </c>
      <c r="CV22" s="755">
        <f t="shared" si="18"/>
        <v>0</v>
      </c>
      <c r="CW22" s="755">
        <f t="shared" si="18"/>
        <v>0</v>
      </c>
      <c r="CX22" s="755">
        <f t="shared" si="18"/>
        <v>0</v>
      </c>
      <c r="CY22" s="755">
        <f t="shared" si="18"/>
        <v>0</v>
      </c>
      <c r="CZ22" s="755">
        <f t="shared" si="18"/>
        <v>0</v>
      </c>
      <c r="DA22" s="755">
        <f t="shared" si="18"/>
        <v>0</v>
      </c>
      <c r="DB22" s="755">
        <f t="shared" si="18"/>
        <v>0</v>
      </c>
      <c r="DC22" s="755">
        <f t="shared" si="18"/>
        <v>0</v>
      </c>
      <c r="DD22" s="755">
        <f t="shared" si="18"/>
        <v>0</v>
      </c>
      <c r="DE22" s="755">
        <f t="shared" si="18"/>
        <v>0</v>
      </c>
      <c r="DF22" s="755">
        <f t="shared" si="18"/>
        <v>0</v>
      </c>
      <c r="DG22" s="755">
        <f t="shared" si="18"/>
        <v>0</v>
      </c>
      <c r="DH22" s="755">
        <f t="shared" si="18"/>
        <v>0</v>
      </c>
      <c r="DI22" s="755">
        <f t="shared" ref="DI22:DP22" si="19">SUM(DI18:DI21)</f>
        <v>0</v>
      </c>
      <c r="DJ22" s="755">
        <f t="shared" si="19"/>
        <v>0</v>
      </c>
      <c r="DK22" s="755">
        <f t="shared" si="19"/>
        <v>0</v>
      </c>
      <c r="DL22" s="755">
        <f t="shared" si="19"/>
        <v>0</v>
      </c>
      <c r="DM22" s="755">
        <f t="shared" si="19"/>
        <v>0</v>
      </c>
      <c r="DN22" s="755">
        <f t="shared" si="19"/>
        <v>0</v>
      </c>
      <c r="DO22" s="755">
        <f t="shared" si="19"/>
        <v>0</v>
      </c>
      <c r="DP22" s="755">
        <f t="shared" si="19"/>
        <v>0</v>
      </c>
      <c r="DQ22" s="16"/>
    </row>
    <row r="23" spans="1:121" x14ac:dyDescent="0.2">
      <c r="A23" s="42"/>
      <c r="B23" s="42"/>
      <c r="C23" s="42"/>
      <c r="D23" s="42"/>
      <c r="E23" s="42"/>
      <c r="F23" s="42"/>
      <c r="G23" s="42"/>
      <c r="H23" s="42"/>
      <c r="I23" s="42"/>
      <c r="J23" s="42"/>
      <c r="K23" s="662"/>
      <c r="L23" s="42"/>
      <c r="M23" s="42"/>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row>
    <row r="24" spans="1:121" x14ac:dyDescent="0.2">
      <c r="A24" s="42"/>
      <c r="B24" s="42"/>
      <c r="C24" s="42" t="s">
        <v>82</v>
      </c>
      <c r="D24" s="42"/>
      <c r="E24" s="42"/>
      <c r="F24" s="42"/>
      <c r="G24" s="42"/>
      <c r="H24" s="42"/>
      <c r="I24" s="42"/>
      <c r="J24" s="42"/>
      <c r="K24" s="662" t="s">
        <v>63</v>
      </c>
      <c r="L24" s="42"/>
      <c r="M24" s="42"/>
      <c r="N24" s="746">
        <f t="shared" ref="N24:N29" si="20">SUM(Q24:DQ24)</f>
        <v>-2162464.2734681554</v>
      </c>
      <c r="O24" s="16"/>
      <c r="P24" s="16"/>
      <c r="Q24" s="16"/>
      <c r="R24" s="16"/>
      <c r="S24" s="746">
        <f>-(-Fin!S209+Fin!S186) * CF!S13</f>
        <v>0</v>
      </c>
      <c r="T24" s="746">
        <f>-(-Fin!T209+Fin!T186) * CF!T13</f>
        <v>0</v>
      </c>
      <c r="U24" s="746">
        <f>-(-Fin!U209+Fin!U186) * CF!U13</f>
        <v>-16412.822664201249</v>
      </c>
      <c r="V24" s="746">
        <f>-(-Fin!V209+Fin!V186) * CF!V13</f>
        <v>-32875.585469647172</v>
      </c>
      <c r="W24" s="746">
        <f>-(-Fin!W209+Fin!W186) * CF!W13</f>
        <v>-33080.328508790204</v>
      </c>
      <c r="X24" s="746">
        <f>-(-Fin!X209+Fin!X186) * CF!X13</f>
        <v>-33350.039222449974</v>
      </c>
      <c r="Y24" s="746">
        <f>-(-Fin!Y209+Fin!Y186) * CF!Y13</f>
        <v>-33788.79805311314</v>
      </c>
      <c r="Z24" s="746">
        <f>-(-Fin!Z209+Fin!Z186) * CF!Z13</f>
        <v>-34358.968023495698</v>
      </c>
      <c r="AA24" s="746">
        <f>-(-Fin!AA209+Fin!AA186) * CF!AA13</f>
        <v>-35797.722324604809</v>
      </c>
      <c r="AB24" s="746">
        <f>-(-Fin!AB209+Fin!AB186) * CF!AB13</f>
        <v>-37402.229461011018</v>
      </c>
      <c r="AC24" s="746">
        <f>-(-Fin!AC209+Fin!AC186) * CF!AC13</f>
        <v>-39240.224923033493</v>
      </c>
      <c r="AD24" s="746">
        <f>-(-Fin!AD209+Fin!AD186) * CF!AD13</f>
        <v>-41028.921353743455</v>
      </c>
      <c r="AE24" s="746">
        <f>-(-Fin!AE209+Fin!AE186) * CF!AE13</f>
        <v>-43134.035847119245</v>
      </c>
      <c r="AF24" s="746">
        <f>-(-Fin!AF209+Fin!AF186) * CF!AF13</f>
        <v>-45462.688639372362</v>
      </c>
      <c r="AG24" s="746">
        <f>-(-Fin!AG209+Fin!AG186) * CF!AG13</f>
        <v>-48018.891618229791</v>
      </c>
      <c r="AH24" s="746">
        <f>-(-Fin!AH209+Fin!AH186) * CF!AH13</f>
        <v>-50538.906660665154</v>
      </c>
      <c r="AI24" s="746">
        <f>-(-Fin!AI209+Fin!AI186) * CF!AI13</f>
        <v>-53456.923758976074</v>
      </c>
      <c r="AJ24" s="746">
        <f>-(-Fin!AJ209+Fin!AJ186) * CF!AJ13</f>
        <v>-56835.876481261148</v>
      </c>
      <c r="AK24" s="746">
        <f>-(-Fin!AK209+Fin!AK186) * CF!AK13</f>
        <v>-61312.224910671925</v>
      </c>
      <c r="AL24" s="746">
        <f>-(-Fin!AL209+Fin!AL186) * CF!AL13</f>
        <v>-66161.771702383805</v>
      </c>
      <c r="AM24" s="746">
        <f>-(-Fin!AM209+Fin!AM186) * CF!AM13</f>
        <v>-70927.546004699965</v>
      </c>
      <c r="AN24" s="746">
        <f>-(-Fin!AN209+Fin!AN186) * CF!AN13</f>
        <v>-76120.438788663567</v>
      </c>
      <c r="AO24" s="746">
        <f>-(-Fin!AO209+Fin!AO186) * CF!AO13</f>
        <v>-83030.925474087795</v>
      </c>
      <c r="AP24" s="746">
        <f>-(-Fin!AP209+Fin!AP186) * CF!AP13</f>
        <v>-89220.229764769392</v>
      </c>
      <c r="AQ24" s="746">
        <f>-(-Fin!AQ209+Fin!AQ186) * CF!AQ13</f>
        <v>-95563.062340068427</v>
      </c>
      <c r="AR24" s="746">
        <f>-(-Fin!AR209+Fin!AR186) * CF!AR13</f>
        <v>-100749.48605238738</v>
      </c>
      <c r="AS24" s="746">
        <f>-(-Fin!AS209+Fin!AS186) * CF!AS13</f>
        <v>-104207.95531981395</v>
      </c>
      <c r="AT24" s="746">
        <f>-(-Fin!AT209+Fin!AT186) * CF!AT13</f>
        <v>-104485.62767496044</v>
      </c>
      <c r="AU24" s="746">
        <f>-(-Fin!AU209+Fin!AU186) * CF!AU13</f>
        <v>-104239.62442952156</v>
      </c>
      <c r="AV24" s="746">
        <f>-(-Fin!AV209+Fin!AV186) * CF!AV13</f>
        <v>-100079.40226845442</v>
      </c>
      <c r="AW24" s="746">
        <f>-(-Fin!AW209+Fin!AW186) * CF!AW13</f>
        <v>-92893.772380016409</v>
      </c>
      <c r="AX24" s="746">
        <f>-(-Fin!AX209+Fin!AX186) * CF!AX13</f>
        <v>-84767.466695155206</v>
      </c>
      <c r="AY24" s="746">
        <f>-(-Fin!AY209+Fin!AY186) * CF!AY13</f>
        <v>-76224.228288785962</v>
      </c>
      <c r="AZ24" s="746">
        <f>-(-Fin!AZ209+Fin!AZ186) * CF!AZ13</f>
        <v>-66255.988443943555</v>
      </c>
      <c r="BA24" s="746">
        <f>-(-Fin!BA209+Fin!BA186) * CF!BA13</f>
        <v>-55107.485090240669</v>
      </c>
      <c r="BB24" s="746">
        <f>-(-Fin!BB209+Fin!BB186) * CF!BB13</f>
        <v>-43064.646749955486</v>
      </c>
      <c r="BC24" s="746">
        <f>-(-Fin!BC209+Fin!BC186) * CF!BC13</f>
        <v>-30548.03105816455</v>
      </c>
      <c r="BD24" s="746">
        <f>-(-Fin!BD209+Fin!BD186) * CF!BD13</f>
        <v>-17374.293042554604</v>
      </c>
      <c r="BE24" s="746">
        <f>-(-Fin!BE209+Fin!BE186) * CF!BE13</f>
        <v>-5347.1039791417761</v>
      </c>
      <c r="BF24" s="746">
        <f>-(-Fin!BF209+Fin!BF186) * CF!BF13</f>
        <v>0</v>
      </c>
      <c r="BG24" s="746">
        <f>-(-Fin!BG209+Fin!BG186) * CF!BG13</f>
        <v>0</v>
      </c>
      <c r="BH24" s="746">
        <f>-(-Fin!BH209+Fin!BH186) * CF!BH13</f>
        <v>0</v>
      </c>
      <c r="BI24" s="746">
        <f>-(-Fin!BI209+Fin!BI186) * CF!BI13</f>
        <v>0</v>
      </c>
      <c r="BJ24" s="746">
        <f>-(-Fin!BJ209+Fin!BJ186) * CF!BJ13</f>
        <v>0</v>
      </c>
      <c r="BK24" s="746">
        <f>-(-Fin!BK209+Fin!BK186) * CF!BK13</f>
        <v>0</v>
      </c>
      <c r="BL24" s="746">
        <f>-(-Fin!BL209+Fin!BL186) * CF!BL13</f>
        <v>0</v>
      </c>
      <c r="BM24" s="746">
        <f>-(-Fin!BM209+Fin!BM186) * CF!BM13</f>
        <v>0</v>
      </c>
      <c r="BN24" s="746">
        <f>-(-Fin!BN209+Fin!BN186) * CF!BN13</f>
        <v>0</v>
      </c>
      <c r="BO24" s="746">
        <f>-(-Fin!BO209+Fin!BO186) * CF!BO13</f>
        <v>0</v>
      </c>
      <c r="BP24" s="746">
        <f>-(-Fin!BP209+Fin!BP186) * CF!BP13</f>
        <v>0</v>
      </c>
      <c r="BQ24" s="746">
        <f>-(-Fin!BQ209+Fin!BQ186) * CF!BQ13</f>
        <v>0</v>
      </c>
      <c r="BR24" s="746">
        <f>-(-Fin!BR209+Fin!BR186) * CF!BR13</f>
        <v>0</v>
      </c>
      <c r="BS24" s="746">
        <f>-(-Fin!BS209+Fin!BS186) * CF!BS13</f>
        <v>0</v>
      </c>
      <c r="BT24" s="746">
        <f>-(-Fin!BT209+Fin!BT186) * CF!BT13</f>
        <v>0</v>
      </c>
      <c r="BU24" s="746">
        <f>-(-Fin!BU209+Fin!BU186) * CF!BU13</f>
        <v>0</v>
      </c>
      <c r="BV24" s="746">
        <f>-(-Fin!BV209+Fin!BV186) * CF!BV13</f>
        <v>0</v>
      </c>
      <c r="BW24" s="746">
        <f>-(-Fin!BW209+Fin!BW186) * CF!BW13</f>
        <v>0</v>
      </c>
      <c r="BX24" s="746">
        <f>-(-Fin!BX209+Fin!BX186) * CF!BX13</f>
        <v>0</v>
      </c>
      <c r="BY24" s="746">
        <f>-(-Fin!BY209+Fin!BY186) * CF!BY13</f>
        <v>0</v>
      </c>
      <c r="BZ24" s="746">
        <f>-(-Fin!BZ209+Fin!BZ186) * CF!BZ13</f>
        <v>0</v>
      </c>
      <c r="CA24" s="746">
        <f>-(-Fin!CA209+Fin!CA186) * CF!CA13</f>
        <v>0</v>
      </c>
      <c r="CB24" s="746">
        <f>-(-Fin!CB209+Fin!CB186) * CF!CB13</f>
        <v>0</v>
      </c>
      <c r="CC24" s="746">
        <f>-(-Fin!CC209+Fin!CC186) * CF!CC13</f>
        <v>0</v>
      </c>
      <c r="CD24" s="746">
        <f>-(-Fin!CD209+Fin!CD186) * CF!CD13</f>
        <v>0</v>
      </c>
      <c r="CE24" s="746">
        <f>-(-Fin!CE209+Fin!CE186) * CF!CE13</f>
        <v>0</v>
      </c>
      <c r="CF24" s="746">
        <f>-(-Fin!CF209+Fin!CF186) * CF!CF13</f>
        <v>0</v>
      </c>
      <c r="CG24" s="746">
        <f>-(-Fin!CG209+Fin!CG186) * CF!CG13</f>
        <v>0</v>
      </c>
      <c r="CH24" s="746">
        <f>-(-Fin!CH209+Fin!CH186) * CF!CH13</f>
        <v>0</v>
      </c>
      <c r="CI24" s="746">
        <f>-(-Fin!CI209+Fin!CI186) * CF!CI13</f>
        <v>0</v>
      </c>
      <c r="CJ24" s="746">
        <f>-(-Fin!CJ209+Fin!CJ186) * CF!CJ13</f>
        <v>0</v>
      </c>
      <c r="CK24" s="746">
        <f>-(-Fin!CK209+Fin!CK186) * CF!CK13</f>
        <v>0</v>
      </c>
      <c r="CL24" s="746">
        <f>-(-Fin!CL209+Fin!CL186) * CF!CL13</f>
        <v>0</v>
      </c>
      <c r="CM24" s="746">
        <f>-(-Fin!CM209+Fin!CM186) * CF!CM13</f>
        <v>0</v>
      </c>
      <c r="CN24" s="746">
        <f>-(-Fin!CN209+Fin!CN186) * CF!CN13</f>
        <v>0</v>
      </c>
      <c r="CO24" s="746">
        <f>-(-Fin!CO209+Fin!CO186) * CF!CO13</f>
        <v>0</v>
      </c>
      <c r="CP24" s="746">
        <f>-(-Fin!CP209+Fin!CP186) * CF!CP13</f>
        <v>0</v>
      </c>
      <c r="CQ24" s="746">
        <f>-(-Fin!CQ209+Fin!CQ186) * CF!CQ13</f>
        <v>0</v>
      </c>
      <c r="CR24" s="746">
        <f>-(-Fin!CR209+Fin!CR186) * CF!CR13</f>
        <v>0</v>
      </c>
      <c r="CS24" s="746">
        <f>-(-Fin!CS209+Fin!CS186) * CF!CS13</f>
        <v>0</v>
      </c>
      <c r="CT24" s="746">
        <f>-(-Fin!CT209+Fin!CT186) * CF!CT13</f>
        <v>0</v>
      </c>
      <c r="CU24" s="746">
        <f>-(-Fin!CU209+Fin!CU186) * CF!CU13</f>
        <v>0</v>
      </c>
      <c r="CV24" s="746">
        <f>-(-Fin!CV209+Fin!CV186) * CF!CV13</f>
        <v>0</v>
      </c>
      <c r="CW24" s="746">
        <f>-(-Fin!CW209+Fin!CW186) * CF!CW13</f>
        <v>0</v>
      </c>
      <c r="CX24" s="746">
        <f>-(-Fin!CX209+Fin!CX186) * CF!CX13</f>
        <v>0</v>
      </c>
      <c r="CY24" s="746">
        <f>-(-Fin!CY209+Fin!CY186) * CF!CY13</f>
        <v>0</v>
      </c>
      <c r="CZ24" s="746">
        <f>-(-Fin!CZ209+Fin!CZ186) * CF!CZ13</f>
        <v>0</v>
      </c>
      <c r="DA24" s="746">
        <f>-(-Fin!DA209+Fin!DA186) * CF!DA13</f>
        <v>0</v>
      </c>
      <c r="DB24" s="746">
        <f>-(-Fin!DB209+Fin!DB186) * CF!DB13</f>
        <v>0</v>
      </c>
      <c r="DC24" s="746">
        <f>-(-Fin!DC209+Fin!DC186) * CF!DC13</f>
        <v>0</v>
      </c>
      <c r="DD24" s="746">
        <f>-(-Fin!DD209+Fin!DD186) * CF!DD13</f>
        <v>0</v>
      </c>
      <c r="DE24" s="746">
        <f>-(-Fin!DE209+Fin!DE186) * CF!DE13</f>
        <v>0</v>
      </c>
      <c r="DF24" s="746">
        <f>-(-Fin!DF209+Fin!DF186) * CF!DF13</f>
        <v>0</v>
      </c>
      <c r="DG24" s="746">
        <f>-(-Fin!DG209+Fin!DG186) * CF!DG13</f>
        <v>0</v>
      </c>
      <c r="DH24" s="746">
        <f>-(-Fin!DH209+Fin!DH186) * CF!DH13</f>
        <v>0</v>
      </c>
      <c r="DI24" s="746">
        <f>-(-Fin!DI209+Fin!DI186) * CF!DI13</f>
        <v>0</v>
      </c>
      <c r="DJ24" s="746">
        <f>-(-Fin!DJ209+Fin!DJ186) * CF!DJ13</f>
        <v>0</v>
      </c>
      <c r="DK24" s="746">
        <f>-(-Fin!DK209+Fin!DK186) * CF!DK13</f>
        <v>0</v>
      </c>
      <c r="DL24" s="746">
        <f>-(-Fin!DL209+Fin!DL186) * CF!DL13</f>
        <v>0</v>
      </c>
      <c r="DM24" s="746">
        <f>-(-Fin!DM209+Fin!DM186) * CF!DM13</f>
        <v>0</v>
      </c>
      <c r="DN24" s="746">
        <f>-(-Fin!DN209+Fin!DN186) * CF!DN13</f>
        <v>0</v>
      </c>
      <c r="DO24" s="746">
        <f>-(-Fin!DO209+Fin!DO186) * CF!DO13</f>
        <v>0</v>
      </c>
      <c r="DP24" s="746">
        <f>-(-Fin!DP209+Fin!DP186) * CF!DP13</f>
        <v>0</v>
      </c>
      <c r="DQ24" s="16"/>
    </row>
    <row r="25" spans="1:121" x14ac:dyDescent="0.2">
      <c r="A25" s="42"/>
      <c r="B25" s="42"/>
      <c r="C25" s="42" t="s">
        <v>83</v>
      </c>
      <c r="D25" s="42"/>
      <c r="E25" s="42"/>
      <c r="F25" s="42"/>
      <c r="G25" s="42"/>
      <c r="H25" s="42"/>
      <c r="I25" s="42"/>
      <c r="J25" s="42"/>
      <c r="K25" s="662" t="s">
        <v>63</v>
      </c>
      <c r="L25" s="42"/>
      <c r="M25" s="42"/>
      <c r="N25" s="746">
        <f t="shared" si="20"/>
        <v>-109394.38024620793</v>
      </c>
      <c r="O25" s="16"/>
      <c r="P25" s="16"/>
      <c r="Q25" s="16"/>
      <c r="R25" s="16"/>
      <c r="S25" s="746">
        <f>-Fin!S90</f>
        <v>-43757.752098483172</v>
      </c>
      <c r="T25" s="746">
        <f>-Fin!T90</f>
        <v>-43757.752098483172</v>
      </c>
      <c r="U25" s="746">
        <f>-Fin!U90</f>
        <v>-21878.876049241586</v>
      </c>
      <c r="V25" s="746">
        <f>-Fin!V90</f>
        <v>0</v>
      </c>
      <c r="W25" s="746">
        <f>-Fin!W90</f>
        <v>0</v>
      </c>
      <c r="X25" s="746">
        <f>-Fin!X90</f>
        <v>0</v>
      </c>
      <c r="Y25" s="746">
        <f>-Fin!Y90</f>
        <v>0</v>
      </c>
      <c r="Z25" s="746">
        <f>-Fin!Z90</f>
        <v>0</v>
      </c>
      <c r="AA25" s="746">
        <f>-Fin!AA90</f>
        <v>0</v>
      </c>
      <c r="AB25" s="746">
        <f>-Fin!AB90</f>
        <v>0</v>
      </c>
      <c r="AC25" s="746">
        <f>-Fin!AC90</f>
        <v>0</v>
      </c>
      <c r="AD25" s="746">
        <f>-Fin!AD90</f>
        <v>0</v>
      </c>
      <c r="AE25" s="746">
        <f>-Fin!AE90</f>
        <v>0</v>
      </c>
      <c r="AF25" s="746">
        <f>-Fin!AF90</f>
        <v>0</v>
      </c>
      <c r="AG25" s="746">
        <f>-Fin!AG90</f>
        <v>0</v>
      </c>
      <c r="AH25" s="746">
        <f>-Fin!AH90</f>
        <v>0</v>
      </c>
      <c r="AI25" s="746">
        <f>-Fin!AI90</f>
        <v>0</v>
      </c>
      <c r="AJ25" s="746">
        <f>-Fin!AJ90</f>
        <v>0</v>
      </c>
      <c r="AK25" s="746">
        <f>-Fin!AK90</f>
        <v>0</v>
      </c>
      <c r="AL25" s="746">
        <f>-Fin!AL90</f>
        <v>0</v>
      </c>
      <c r="AM25" s="746">
        <f>-Fin!AM90</f>
        <v>0</v>
      </c>
      <c r="AN25" s="746">
        <f>-Fin!AN90</f>
        <v>0</v>
      </c>
      <c r="AO25" s="746">
        <f>-Fin!AO90</f>
        <v>0</v>
      </c>
      <c r="AP25" s="746">
        <f>-Fin!AP90</f>
        <v>0</v>
      </c>
      <c r="AQ25" s="746">
        <f>-Fin!AQ90</f>
        <v>0</v>
      </c>
      <c r="AR25" s="746">
        <f>-Fin!AR90</f>
        <v>0</v>
      </c>
      <c r="AS25" s="746">
        <f>-Fin!AS90</f>
        <v>0</v>
      </c>
      <c r="AT25" s="746">
        <f>-Fin!AT90</f>
        <v>0</v>
      </c>
      <c r="AU25" s="746">
        <f>-Fin!AU90</f>
        <v>0</v>
      </c>
      <c r="AV25" s="746">
        <f>-Fin!AV90</f>
        <v>0</v>
      </c>
      <c r="AW25" s="746">
        <f>-Fin!AW90</f>
        <v>0</v>
      </c>
      <c r="AX25" s="746">
        <f>-Fin!AX90</f>
        <v>0</v>
      </c>
      <c r="AY25" s="746">
        <f>-Fin!AY90</f>
        <v>0</v>
      </c>
      <c r="AZ25" s="746">
        <f>-Fin!AZ90</f>
        <v>0</v>
      </c>
      <c r="BA25" s="746">
        <f>-Fin!BA90</f>
        <v>0</v>
      </c>
      <c r="BB25" s="746">
        <f>-Fin!BB90</f>
        <v>0</v>
      </c>
      <c r="BC25" s="746">
        <f>-Fin!BC90</f>
        <v>0</v>
      </c>
      <c r="BD25" s="746">
        <f>-Fin!BD90</f>
        <v>0</v>
      </c>
      <c r="BE25" s="746">
        <f>-Fin!BE90</f>
        <v>0</v>
      </c>
      <c r="BF25" s="746">
        <f>-Fin!BF90</f>
        <v>0</v>
      </c>
      <c r="BG25" s="746">
        <f>-Fin!BG90</f>
        <v>0</v>
      </c>
      <c r="BH25" s="746">
        <f>-Fin!BH90</f>
        <v>0</v>
      </c>
      <c r="BI25" s="746">
        <f>-Fin!BI90</f>
        <v>0</v>
      </c>
      <c r="BJ25" s="746">
        <f>-Fin!BJ90</f>
        <v>0</v>
      </c>
      <c r="BK25" s="746">
        <f>-Fin!BK90</f>
        <v>0</v>
      </c>
      <c r="BL25" s="746">
        <f>-Fin!BL90</f>
        <v>0</v>
      </c>
      <c r="BM25" s="746">
        <f>-Fin!BM90</f>
        <v>0</v>
      </c>
      <c r="BN25" s="746">
        <f>-Fin!BN90</f>
        <v>0</v>
      </c>
      <c r="BO25" s="746">
        <f>-Fin!BO90</f>
        <v>0</v>
      </c>
      <c r="BP25" s="746">
        <f>-Fin!BP90</f>
        <v>0</v>
      </c>
      <c r="BQ25" s="746">
        <f>-Fin!BQ90</f>
        <v>0</v>
      </c>
      <c r="BR25" s="746">
        <f>-Fin!BR90</f>
        <v>0</v>
      </c>
      <c r="BS25" s="746">
        <f>-Fin!BS90</f>
        <v>0</v>
      </c>
      <c r="BT25" s="746">
        <f>-Fin!BT90</f>
        <v>0</v>
      </c>
      <c r="BU25" s="746">
        <f>-Fin!BU90</f>
        <v>0</v>
      </c>
      <c r="BV25" s="746">
        <f>-Fin!BV90</f>
        <v>0</v>
      </c>
      <c r="BW25" s="746">
        <f>-Fin!BW90</f>
        <v>0</v>
      </c>
      <c r="BX25" s="746">
        <f>-Fin!BX90</f>
        <v>0</v>
      </c>
      <c r="BY25" s="746">
        <f>-Fin!BY90</f>
        <v>0</v>
      </c>
      <c r="BZ25" s="746">
        <f>-Fin!BZ90</f>
        <v>0</v>
      </c>
      <c r="CA25" s="746">
        <f>-Fin!CA90</f>
        <v>0</v>
      </c>
      <c r="CB25" s="746">
        <f>-Fin!CB90</f>
        <v>0</v>
      </c>
      <c r="CC25" s="746">
        <f>-Fin!CC90</f>
        <v>0</v>
      </c>
      <c r="CD25" s="746">
        <f>-Fin!CD90</f>
        <v>0</v>
      </c>
      <c r="CE25" s="746">
        <f>-Fin!CE90</f>
        <v>0</v>
      </c>
      <c r="CF25" s="746">
        <f>-Fin!CF90</f>
        <v>0</v>
      </c>
      <c r="CG25" s="746">
        <f>-Fin!CG90</f>
        <v>0</v>
      </c>
      <c r="CH25" s="746">
        <f>-Fin!CH90</f>
        <v>0</v>
      </c>
      <c r="CI25" s="746">
        <f>-Fin!CI90</f>
        <v>0</v>
      </c>
      <c r="CJ25" s="746">
        <f>-Fin!CJ90</f>
        <v>0</v>
      </c>
      <c r="CK25" s="746">
        <f>-Fin!CK90</f>
        <v>0</v>
      </c>
      <c r="CL25" s="746">
        <f>-Fin!CL90</f>
        <v>0</v>
      </c>
      <c r="CM25" s="746">
        <f>-Fin!CM90</f>
        <v>0</v>
      </c>
      <c r="CN25" s="746">
        <f>-Fin!CN90</f>
        <v>0</v>
      </c>
      <c r="CO25" s="746">
        <f>-Fin!CO90</f>
        <v>0</v>
      </c>
      <c r="CP25" s="746">
        <f>-Fin!CP90</f>
        <v>0</v>
      </c>
      <c r="CQ25" s="746">
        <f>-Fin!CQ90</f>
        <v>0</v>
      </c>
      <c r="CR25" s="746">
        <f>-Fin!CR90</f>
        <v>0</v>
      </c>
      <c r="CS25" s="746">
        <f>-Fin!CS90</f>
        <v>0</v>
      </c>
      <c r="CT25" s="746">
        <f>-Fin!CT90</f>
        <v>0</v>
      </c>
      <c r="CU25" s="746">
        <f>-Fin!CU90</f>
        <v>0</v>
      </c>
      <c r="CV25" s="746">
        <f>-Fin!CV90</f>
        <v>0</v>
      </c>
      <c r="CW25" s="746">
        <f>-Fin!CW90</f>
        <v>0</v>
      </c>
      <c r="CX25" s="746">
        <f>-Fin!CX90</f>
        <v>0</v>
      </c>
      <c r="CY25" s="746">
        <f>-Fin!CY90</f>
        <v>0</v>
      </c>
      <c r="CZ25" s="746">
        <f>-Fin!CZ90</f>
        <v>0</v>
      </c>
      <c r="DA25" s="746">
        <f>-Fin!DA90</f>
        <v>0</v>
      </c>
      <c r="DB25" s="746">
        <f>-Fin!DB90</f>
        <v>0</v>
      </c>
      <c r="DC25" s="746">
        <f>-Fin!DC90</f>
        <v>0</v>
      </c>
      <c r="DD25" s="746">
        <f>-Fin!DD90</f>
        <v>0</v>
      </c>
      <c r="DE25" s="746">
        <f>-Fin!DE90</f>
        <v>0</v>
      </c>
      <c r="DF25" s="746">
        <f>-Fin!DF90</f>
        <v>0</v>
      </c>
      <c r="DG25" s="746">
        <f>-Fin!DG90</f>
        <v>0</v>
      </c>
      <c r="DH25" s="746">
        <f>-Fin!DH90</f>
        <v>0</v>
      </c>
      <c r="DI25" s="746">
        <f>-Fin!DI90</f>
        <v>0</v>
      </c>
      <c r="DJ25" s="746">
        <f>-Fin!DJ90</f>
        <v>0</v>
      </c>
      <c r="DK25" s="746">
        <f>-Fin!DK90</f>
        <v>0</v>
      </c>
      <c r="DL25" s="746">
        <f>-Fin!DL90</f>
        <v>0</v>
      </c>
      <c r="DM25" s="746">
        <f>-Fin!DM90</f>
        <v>0</v>
      </c>
      <c r="DN25" s="746">
        <f>-Fin!DN90</f>
        <v>0</v>
      </c>
      <c r="DO25" s="746">
        <f>-Fin!DO90</f>
        <v>0</v>
      </c>
      <c r="DP25" s="746">
        <f>-Fin!DP90</f>
        <v>0</v>
      </c>
      <c r="DQ25" s="16"/>
    </row>
    <row r="26" spans="1:121" x14ac:dyDescent="0.2">
      <c r="A26" s="42"/>
      <c r="B26" s="42"/>
      <c r="C26" s="42" t="s">
        <v>84</v>
      </c>
      <c r="D26" s="42"/>
      <c r="E26" s="42"/>
      <c r="F26" s="42"/>
      <c r="G26" s="42"/>
      <c r="H26" s="42"/>
      <c r="I26" s="42"/>
      <c r="J26" s="42"/>
      <c r="K26" s="662" t="s">
        <v>63</v>
      </c>
      <c r="L26" s="42"/>
      <c r="M26" s="42"/>
      <c r="N26" s="746">
        <f t="shared" si="20"/>
        <v>-927992.88370846189</v>
      </c>
      <c r="O26" s="16"/>
      <c r="P26" s="16"/>
      <c r="Q26" s="16"/>
      <c r="R26" s="16"/>
      <c r="S26" s="746">
        <f>-Fin!S129</f>
        <v>-44111.109954011299</v>
      </c>
      <c r="T26" s="746">
        <f>-Fin!T129</f>
        <v>-45992.237501333198</v>
      </c>
      <c r="U26" s="746">
        <f>-Fin!U129</f>
        <v>-47576.61271620301</v>
      </c>
      <c r="V26" s="746">
        <f>-Fin!V129</f>
        <v>-47943.17364064946</v>
      </c>
      <c r="W26" s="746">
        <f>-Fin!W129</f>
        <v>-47895.124546619118</v>
      </c>
      <c r="X26" s="746">
        <f>-Fin!X129</f>
        <v>-47826.819624934134</v>
      </c>
      <c r="Y26" s="746">
        <f>-Fin!Y129</f>
        <v>-47736.079580349106</v>
      </c>
      <c r="Z26" s="746">
        <f>-Fin!Z129</f>
        <v>-47534.549749809725</v>
      </c>
      <c r="AA26" s="746">
        <f>-Fin!AA129</f>
        <v>-46699.37375012898</v>
      </c>
      <c r="AB26" s="746">
        <f>-Fin!AB129</f>
        <v>-45791.495713235752</v>
      </c>
      <c r="AC26" s="746">
        <f>-Fin!AC129</f>
        <v>-44751.976373325175</v>
      </c>
      <c r="AD26" s="746">
        <f>-Fin!AD129</f>
        <v>-43566.73003277299</v>
      </c>
      <c r="AE26" s="746">
        <f>-Fin!AE129</f>
        <v>-42212.819742673069</v>
      </c>
      <c r="AF26" s="746">
        <f>-Fin!AF129</f>
        <v>-40641.356706786843</v>
      </c>
      <c r="AG26" s="746">
        <f>-Fin!AG129</f>
        <v>-38980.58399094647</v>
      </c>
      <c r="AH26" s="746">
        <f>-Fin!AH129</f>
        <v>-37233.077298894154</v>
      </c>
      <c r="AI26" s="746">
        <f>-Fin!AI129</f>
        <v>-35395.031701524174</v>
      </c>
      <c r="AJ26" s="746">
        <f>-Fin!AJ129</f>
        <v>-33409.799583049651</v>
      </c>
      <c r="AK26" s="746">
        <f>-Fin!AK129</f>
        <v>-30904.14743437713</v>
      </c>
      <c r="AL26" s="746">
        <f>-Fin!AL129</f>
        <v>-27924.795030521207</v>
      </c>
      <c r="AM26" s="746">
        <f>-Fin!AM129</f>
        <v>-24822.794875707921</v>
      </c>
      <c r="AN26" s="746">
        <f>-Fin!AN129</f>
        <v>-21380.651580051126</v>
      </c>
      <c r="AO26" s="746">
        <f>-Fin!AO129</f>
        <v>-16378.327388164664</v>
      </c>
      <c r="AP26" s="746">
        <f>-Fin!AP129</f>
        <v>-11865.984284098999</v>
      </c>
      <c r="AQ26" s="746">
        <f>-Fin!AQ129</f>
        <v>-6798.0230819313456</v>
      </c>
      <c r="AR26" s="746">
        <f>-Fin!AR129</f>
        <v>-2620.2078263631342</v>
      </c>
      <c r="AS26" s="746">
        <f>-Fin!AS129</f>
        <v>0</v>
      </c>
      <c r="AT26" s="746">
        <f>-Fin!AT129</f>
        <v>0</v>
      </c>
      <c r="AU26" s="746">
        <f>-Fin!AU129</f>
        <v>0</v>
      </c>
      <c r="AV26" s="746">
        <f>-Fin!AV129</f>
        <v>0</v>
      </c>
      <c r="AW26" s="746">
        <f>-Fin!AW129</f>
        <v>0</v>
      </c>
      <c r="AX26" s="746">
        <f>-Fin!AX129</f>
        <v>0</v>
      </c>
      <c r="AY26" s="746">
        <f>-Fin!AY129</f>
        <v>0</v>
      </c>
      <c r="AZ26" s="746">
        <f>-Fin!AZ129</f>
        <v>0</v>
      </c>
      <c r="BA26" s="746">
        <f>-Fin!BA129</f>
        <v>0</v>
      </c>
      <c r="BB26" s="746">
        <f>-Fin!BB129</f>
        <v>0</v>
      </c>
      <c r="BC26" s="746">
        <f>-Fin!BC129</f>
        <v>0</v>
      </c>
      <c r="BD26" s="746">
        <f>-Fin!BD129</f>
        <v>0</v>
      </c>
      <c r="BE26" s="746">
        <f>-Fin!BE129</f>
        <v>0</v>
      </c>
      <c r="BF26" s="746">
        <f>-Fin!BF129</f>
        <v>0</v>
      </c>
      <c r="BG26" s="746">
        <f>-Fin!BG129</f>
        <v>0</v>
      </c>
      <c r="BH26" s="746">
        <f>-Fin!BH129</f>
        <v>0</v>
      </c>
      <c r="BI26" s="746">
        <f>-Fin!BI129</f>
        <v>0</v>
      </c>
      <c r="BJ26" s="746">
        <f>-Fin!BJ129</f>
        <v>0</v>
      </c>
      <c r="BK26" s="746">
        <f>-Fin!BK129</f>
        <v>0</v>
      </c>
      <c r="BL26" s="746">
        <f>-Fin!BL129</f>
        <v>0</v>
      </c>
      <c r="BM26" s="746">
        <f>-Fin!BM129</f>
        <v>0</v>
      </c>
      <c r="BN26" s="746">
        <f>-Fin!BN129</f>
        <v>0</v>
      </c>
      <c r="BO26" s="746">
        <f>-Fin!BO129</f>
        <v>0</v>
      </c>
      <c r="BP26" s="746">
        <f>-Fin!BP129</f>
        <v>0</v>
      </c>
      <c r="BQ26" s="746">
        <f>-Fin!BQ129</f>
        <v>0</v>
      </c>
      <c r="BR26" s="746">
        <f>-Fin!BR129</f>
        <v>0</v>
      </c>
      <c r="BS26" s="746">
        <f>-Fin!BS129</f>
        <v>0</v>
      </c>
      <c r="BT26" s="746">
        <f>-Fin!BT129</f>
        <v>0</v>
      </c>
      <c r="BU26" s="746">
        <f>-Fin!BU129</f>
        <v>0</v>
      </c>
      <c r="BV26" s="746">
        <f>-Fin!BV129</f>
        <v>0</v>
      </c>
      <c r="BW26" s="746">
        <f>-Fin!BW129</f>
        <v>0</v>
      </c>
      <c r="BX26" s="746">
        <f>-Fin!BX129</f>
        <v>0</v>
      </c>
      <c r="BY26" s="746">
        <f>-Fin!BY129</f>
        <v>0</v>
      </c>
      <c r="BZ26" s="746">
        <f>-Fin!BZ129</f>
        <v>0</v>
      </c>
      <c r="CA26" s="746">
        <f>-Fin!CA129</f>
        <v>0</v>
      </c>
      <c r="CB26" s="746">
        <f>-Fin!CB129</f>
        <v>0</v>
      </c>
      <c r="CC26" s="746">
        <f>-Fin!CC129</f>
        <v>0</v>
      </c>
      <c r="CD26" s="746">
        <f>-Fin!CD129</f>
        <v>0</v>
      </c>
      <c r="CE26" s="746">
        <f>-Fin!CE129</f>
        <v>0</v>
      </c>
      <c r="CF26" s="746">
        <f>-Fin!CF129</f>
        <v>0</v>
      </c>
      <c r="CG26" s="746">
        <f>-Fin!CG129</f>
        <v>0</v>
      </c>
      <c r="CH26" s="746">
        <f>-Fin!CH129</f>
        <v>0</v>
      </c>
      <c r="CI26" s="746">
        <f>-Fin!CI129</f>
        <v>0</v>
      </c>
      <c r="CJ26" s="746">
        <f>-Fin!CJ129</f>
        <v>0</v>
      </c>
      <c r="CK26" s="746">
        <f>-Fin!CK129</f>
        <v>0</v>
      </c>
      <c r="CL26" s="746">
        <f>-Fin!CL129</f>
        <v>0</v>
      </c>
      <c r="CM26" s="746">
        <f>-Fin!CM129</f>
        <v>0</v>
      </c>
      <c r="CN26" s="746">
        <f>-Fin!CN129</f>
        <v>0</v>
      </c>
      <c r="CO26" s="746">
        <f>-Fin!CO129</f>
        <v>0</v>
      </c>
      <c r="CP26" s="746">
        <f>-Fin!CP129</f>
        <v>0</v>
      </c>
      <c r="CQ26" s="746">
        <f>-Fin!CQ129</f>
        <v>0</v>
      </c>
      <c r="CR26" s="746">
        <f>-Fin!CR129</f>
        <v>0</v>
      </c>
      <c r="CS26" s="746">
        <f>-Fin!CS129</f>
        <v>0</v>
      </c>
      <c r="CT26" s="746">
        <f>-Fin!CT129</f>
        <v>0</v>
      </c>
      <c r="CU26" s="746">
        <f>-Fin!CU129</f>
        <v>0</v>
      </c>
      <c r="CV26" s="746">
        <f>-Fin!CV129</f>
        <v>0</v>
      </c>
      <c r="CW26" s="746">
        <f>-Fin!CW129</f>
        <v>0</v>
      </c>
      <c r="CX26" s="746">
        <f>-Fin!CX129</f>
        <v>0</v>
      </c>
      <c r="CY26" s="746">
        <f>-Fin!CY129</f>
        <v>0</v>
      </c>
      <c r="CZ26" s="746">
        <f>-Fin!CZ129</f>
        <v>0</v>
      </c>
      <c r="DA26" s="746">
        <f>-Fin!DA129</f>
        <v>0</v>
      </c>
      <c r="DB26" s="746">
        <f>-Fin!DB129</f>
        <v>0</v>
      </c>
      <c r="DC26" s="746">
        <f>-Fin!DC129</f>
        <v>0</v>
      </c>
      <c r="DD26" s="746">
        <f>-Fin!DD129</f>
        <v>0</v>
      </c>
      <c r="DE26" s="746">
        <f>-Fin!DE129</f>
        <v>0</v>
      </c>
      <c r="DF26" s="746">
        <f>-Fin!DF129</f>
        <v>0</v>
      </c>
      <c r="DG26" s="746">
        <f>-Fin!DG129</f>
        <v>0</v>
      </c>
      <c r="DH26" s="746">
        <f>-Fin!DH129</f>
        <v>0</v>
      </c>
      <c r="DI26" s="746">
        <f>-Fin!DI129</f>
        <v>0</v>
      </c>
      <c r="DJ26" s="746">
        <f>-Fin!DJ129</f>
        <v>0</v>
      </c>
      <c r="DK26" s="746">
        <f>-Fin!DK129</f>
        <v>0</v>
      </c>
      <c r="DL26" s="746">
        <f>-Fin!DL129</f>
        <v>0</v>
      </c>
      <c r="DM26" s="746">
        <f>-Fin!DM129</f>
        <v>0</v>
      </c>
      <c r="DN26" s="746">
        <f>-Fin!DN129</f>
        <v>0</v>
      </c>
      <c r="DO26" s="746">
        <f>-Fin!DO129</f>
        <v>0</v>
      </c>
      <c r="DP26" s="746">
        <f>-Fin!DP129</f>
        <v>0</v>
      </c>
      <c r="DQ26" s="16"/>
    </row>
    <row r="27" spans="1:121" x14ac:dyDescent="0.2">
      <c r="A27" s="42"/>
      <c r="B27" s="42"/>
      <c r="C27" s="42" t="s">
        <v>85</v>
      </c>
      <c r="D27" s="42"/>
      <c r="E27" s="42"/>
      <c r="F27" s="42"/>
      <c r="G27" s="42"/>
      <c r="H27" s="42"/>
      <c r="I27" s="42"/>
      <c r="J27" s="42"/>
      <c r="K27" s="662" t="s">
        <v>63</v>
      </c>
      <c r="L27" s="42"/>
      <c r="M27" s="42"/>
      <c r="N27" s="746">
        <f t="shared" si="20"/>
        <v>-85775.84291604691</v>
      </c>
      <c r="O27" s="16"/>
      <c r="P27" s="16"/>
      <c r="Q27" s="16"/>
      <c r="R27" s="16"/>
      <c r="S27" s="746">
        <f>-(Fin!S63*Oper!S12+SUM(Fin!S60:S62)) * CF!S13</f>
        <v>0</v>
      </c>
      <c r="T27" s="746">
        <f>-(Fin!T63*Oper!T12+SUM(Fin!T60:T62)) * CF!T13</f>
        <v>-185.57599601629585</v>
      </c>
      <c r="U27" s="746">
        <f>-(Fin!U63*Oper!U12+SUM(Fin!U60:U62)) * CF!U13</f>
        <v>-8234.6643871878387</v>
      </c>
      <c r="V27" s="746">
        <f>-(Fin!V63*Oper!V12+SUM(Fin!V60:V62)) * CF!V13</f>
        <v>-421.57731551623601</v>
      </c>
      <c r="W27" s="746">
        <f>-(Fin!W63*Oper!W12+SUM(Fin!W60:W62)) * CF!W13</f>
        <v>-421.67749218718967</v>
      </c>
      <c r="X27" s="746">
        <f>-(Fin!X63*Oper!X12+SUM(Fin!X60:X62)) * CF!X13</f>
        <v>-419.70912138295796</v>
      </c>
      <c r="Y27" s="746">
        <f>-(Fin!Y63*Oper!Y12+SUM(Fin!Y60:Y62)) * CF!Y13</f>
        <v>-414.95456311591295</v>
      </c>
      <c r="Z27" s="746">
        <f>-(Fin!Z63*Oper!Z12+SUM(Fin!Z60:Z62)) * CF!Z13</f>
        <v>-602.10684011685805</v>
      </c>
      <c r="AA27" s="746">
        <f>-(Fin!AA63*Oper!AA12+SUM(Fin!AA60:AA62)) * CF!AA13</f>
        <v>-598.61529966201601</v>
      </c>
      <c r="AB27" s="746">
        <f>-(Fin!AB63*Oper!AB12+SUM(Fin!AB60:AB62)) * CF!AB13</f>
        <v>-606.41633303187086</v>
      </c>
      <c r="AC27" s="746">
        <f>-(Fin!AC63*Oper!AC12+SUM(Fin!AC60:AC62)) * CF!AC13</f>
        <v>-621.09003702900895</v>
      </c>
      <c r="AD27" s="746">
        <f>-(Fin!AD63*Oper!AD12+SUM(Fin!AD60:AD62)) * CF!AD13</f>
        <v>-642.78812890495203</v>
      </c>
      <c r="AE27" s="746">
        <f>-(Fin!AE63*Oper!AE12+SUM(Fin!AE60:AE62)) * CF!AE13</f>
        <v>-11810.517242795093</v>
      </c>
      <c r="AF27" s="746">
        <f>-(Fin!AF63*Oper!AF12+SUM(Fin!AF60:AF62)) * CF!AF13</f>
        <v>-1198.2752951762759</v>
      </c>
      <c r="AG27" s="746">
        <f>-(Fin!AG63*Oper!AG12+SUM(Fin!AG60:AG62)) * CF!AG13</f>
        <v>-1206.1511923977835</v>
      </c>
      <c r="AH27" s="746">
        <f>-(Fin!AH63*Oper!AH12+SUM(Fin!AH60:AH62)) * CF!AH13</f>
        <v>-1207.3142519747826</v>
      </c>
      <c r="AI27" s="746">
        <f>-(Fin!AI63*Oper!AI12+SUM(Fin!AI60:AI62)) * CF!AI13</f>
        <v>-1198.9752432750104</v>
      </c>
      <c r="AJ27" s="746">
        <f>-(Fin!AJ63*Oper!AJ12+SUM(Fin!AJ60:AJ62)) * CF!AJ13</f>
        <v>-1297.3399394924027</v>
      </c>
      <c r="AK27" s="746">
        <f>-(Fin!AK63*Oper!AK12+SUM(Fin!AK60:AK62)) * CF!AK13</f>
        <v>-1377.2516760372655</v>
      </c>
      <c r="AL27" s="746">
        <f>-(Fin!AL63*Oper!AL12+SUM(Fin!AL60:AL62)) * CF!AL13</f>
        <v>-1316.1862769306522</v>
      </c>
      <c r="AM27" s="746">
        <f>-(Fin!AM63*Oper!AM12+SUM(Fin!AM60:AM62)) * CF!AM13</f>
        <v>-1290.0601840879945</v>
      </c>
      <c r="AN27" s="746">
        <f>-(Fin!AN63*Oper!AN12+SUM(Fin!AN60:AN62)) * CF!AN13</f>
        <v>-1768.3088669642812</v>
      </c>
      <c r="AO27" s="746">
        <f>-(Fin!AO63*Oper!AO12+SUM(Fin!AO60:AO62)) * CF!AO13</f>
        <v>-21625.94321194138</v>
      </c>
      <c r="AP27" s="746">
        <f>-(Fin!AP63*Oper!AP12+SUM(Fin!AP60:AP62)) * CF!AP13</f>
        <v>-2279.9650346316016</v>
      </c>
      <c r="AQ27" s="746">
        <f>-(Fin!AQ63*Oper!AQ12+SUM(Fin!AQ60:AQ62)) * CF!AQ13</f>
        <v>-2020.5155328239105</v>
      </c>
      <c r="AR27" s="746">
        <f>-(Fin!AR63*Oper!AR12+SUM(Fin!AR60:AR62)) * CF!AR13</f>
        <v>-1647.5276875554664</v>
      </c>
      <c r="AS27" s="746">
        <f>-(Fin!AS63*Oper!AS12+SUM(Fin!AS60:AS62)) * CF!AS13</f>
        <v>-571.53909421827882</v>
      </c>
      <c r="AT27" s="746">
        <f>-(Fin!AT63*Oper!AT12+SUM(Fin!AT60:AT62)) * CF!AT13</f>
        <v>-535.129494132118</v>
      </c>
      <c r="AU27" s="746">
        <f>-(Fin!AU63*Oper!AU12+SUM(Fin!AU60:AU62)) * CF!AU13</f>
        <v>-483.6572627455169</v>
      </c>
      <c r="AV27" s="746">
        <f>-(Fin!AV63*Oper!AV12+SUM(Fin!AV60:AV62)) * CF!AV13</f>
        <v>-411.23912903678615</v>
      </c>
      <c r="AW27" s="746">
        <f>-(Fin!AW63*Oper!AW12+SUM(Fin!AW60:AW62)) * CF!AW13</f>
        <v>-340.15854156231063</v>
      </c>
      <c r="AX27" s="746">
        <f>-(Fin!AX63*Oper!AX12+SUM(Fin!AX60:AX62)) * CF!AX13</f>
        <v>-270.39502631410579</v>
      </c>
      <c r="AY27" s="746">
        <f>-(Fin!AY63*Oper!AY12+SUM(Fin!AY60:AY62)) * CF!AY13</f>
        <v>-17961.866278762696</v>
      </c>
      <c r="AZ27" s="746">
        <f>-(Fin!AZ63*Oper!AZ12+SUM(Fin!AZ60:AZ62)) * CF!AZ13</f>
        <v>-124.03715987773975</v>
      </c>
      <c r="BA27" s="746">
        <f>-(Fin!BA63*Oper!BA12+SUM(Fin!BA60:BA62)) * CF!BA13</f>
        <v>-126.89001455492776</v>
      </c>
      <c r="BB27" s="746">
        <f>-(Fin!BB63*Oper!BB12+SUM(Fin!BB60:BB62)) * CF!BB13</f>
        <v>-129.8084848896911</v>
      </c>
      <c r="BC27" s="746">
        <f>-(Fin!BC63*Oper!BC12+SUM(Fin!BC60:BC62)) * CF!BC13</f>
        <v>-132.79408004215398</v>
      </c>
      <c r="BD27" s="746">
        <f>-(Fin!BD63*Oper!BD12+SUM(Fin!BD60:BD62)) * CF!BD13</f>
        <v>-135.84834388312353</v>
      </c>
      <c r="BE27" s="746">
        <f>-(Fin!BE63*Oper!BE12+SUM(Fin!BE60:BE62)) * CF!BE13</f>
        <v>-138.97285579243535</v>
      </c>
      <c r="BF27" s="746">
        <f>-(Fin!BF63*Oper!BF12+SUM(Fin!BF60:BF62)) * CF!BF13</f>
        <v>0</v>
      </c>
      <c r="BG27" s="746">
        <f>-(Fin!BG63*Oper!BG12+SUM(Fin!BG60:BG62)) * CF!BG13</f>
        <v>0</v>
      </c>
      <c r="BH27" s="746">
        <f>-(Fin!BH63*Oper!BH12+SUM(Fin!BH60:BH62)) * CF!BH13</f>
        <v>0</v>
      </c>
      <c r="BI27" s="746">
        <f>-(Fin!BI63*Oper!BI12+SUM(Fin!BI60:BI62)) * CF!BI13</f>
        <v>0</v>
      </c>
      <c r="BJ27" s="746">
        <f>-(Fin!BJ63*Oper!BJ12+SUM(Fin!BJ60:BJ62)) * CF!BJ13</f>
        <v>0</v>
      </c>
      <c r="BK27" s="746">
        <f>-(Fin!BK63*Oper!BK12+SUM(Fin!BK60:BK62)) * CF!BK13</f>
        <v>0</v>
      </c>
      <c r="BL27" s="746">
        <f>-(Fin!BL63*Oper!BL12+SUM(Fin!BL60:BL62)) * CF!BL13</f>
        <v>0</v>
      </c>
      <c r="BM27" s="746">
        <f>-(Fin!BM63*Oper!BM12+SUM(Fin!BM60:BM62)) * CF!BM13</f>
        <v>0</v>
      </c>
      <c r="BN27" s="746">
        <f>-(Fin!BN63*Oper!BN12+SUM(Fin!BN60:BN62)) * CF!BN13</f>
        <v>0</v>
      </c>
      <c r="BO27" s="746">
        <f>-(Fin!BO63*Oper!BO12+SUM(Fin!BO60:BO62)) * CF!BO13</f>
        <v>0</v>
      </c>
      <c r="BP27" s="746">
        <f>-(Fin!BP63*Oper!BP12+SUM(Fin!BP60:BP62)) * CF!BP13</f>
        <v>0</v>
      </c>
      <c r="BQ27" s="746">
        <f>-(Fin!BQ63*Oper!BQ12+SUM(Fin!BQ60:BQ62)) * CF!BQ13</f>
        <v>0</v>
      </c>
      <c r="BR27" s="746">
        <f>-(Fin!BR63*Oper!BR12+SUM(Fin!BR60:BR62)) * CF!BR13</f>
        <v>0</v>
      </c>
      <c r="BS27" s="746">
        <f>-(Fin!BS63*Oper!BS12+SUM(Fin!BS60:BS62)) * CF!BS13</f>
        <v>0</v>
      </c>
      <c r="BT27" s="746">
        <f>-(Fin!BT63*Oper!BT12+SUM(Fin!BT60:BT62)) * CF!BT13</f>
        <v>0</v>
      </c>
      <c r="BU27" s="746">
        <f>-(Fin!BU63*Oper!BU12+SUM(Fin!BU60:BU62)) * CF!BU13</f>
        <v>0</v>
      </c>
      <c r="BV27" s="746">
        <f>-(Fin!BV63*Oper!BV12+SUM(Fin!BV60:BV62)) * CF!BV13</f>
        <v>0</v>
      </c>
      <c r="BW27" s="746">
        <f>-(Fin!BW63*Oper!BW12+SUM(Fin!BW60:BW62)) * CF!BW13</f>
        <v>0</v>
      </c>
      <c r="BX27" s="746">
        <f>-(Fin!BX63*Oper!BX12+SUM(Fin!BX60:BX62)) * CF!BX13</f>
        <v>0</v>
      </c>
      <c r="BY27" s="746">
        <f>-(Fin!BY63*Oper!BY12+SUM(Fin!BY60:BY62)) * CF!BY13</f>
        <v>0</v>
      </c>
      <c r="BZ27" s="746">
        <f>-(Fin!BZ63*Oper!BZ12+SUM(Fin!BZ60:BZ62)) * CF!BZ13</f>
        <v>0</v>
      </c>
      <c r="CA27" s="746">
        <f>-(Fin!CA63*Oper!CA12+SUM(Fin!CA60:CA62)) * CF!CA13</f>
        <v>0</v>
      </c>
      <c r="CB27" s="746">
        <f>-(Fin!CB63*Oper!CB12+SUM(Fin!CB60:CB62)) * CF!CB13</f>
        <v>0</v>
      </c>
      <c r="CC27" s="746">
        <f>-(Fin!CC63*Oper!CC12+SUM(Fin!CC60:CC62)) * CF!CC13</f>
        <v>0</v>
      </c>
      <c r="CD27" s="746">
        <f>-(Fin!CD63*Oper!CD12+SUM(Fin!CD60:CD62)) * CF!CD13</f>
        <v>0</v>
      </c>
      <c r="CE27" s="746">
        <f>-(Fin!CE63*Oper!CE12+SUM(Fin!CE60:CE62)) * CF!CE13</f>
        <v>0</v>
      </c>
      <c r="CF27" s="746">
        <f>-(Fin!CF63*Oper!CF12+SUM(Fin!CF60:CF62)) * CF!CF13</f>
        <v>0</v>
      </c>
      <c r="CG27" s="746">
        <f>-(Fin!CG63*Oper!CG12+SUM(Fin!CG60:CG62)) * CF!CG13</f>
        <v>0</v>
      </c>
      <c r="CH27" s="746">
        <f>-(Fin!CH63*Oper!CH12+SUM(Fin!CH60:CH62)) * CF!CH13</f>
        <v>0</v>
      </c>
      <c r="CI27" s="746">
        <f>-(Fin!CI63*Oper!CI12+SUM(Fin!CI60:CI62)) * CF!CI13</f>
        <v>0</v>
      </c>
      <c r="CJ27" s="746">
        <f>-(Fin!CJ63*Oper!CJ12+SUM(Fin!CJ60:CJ62)) * CF!CJ13</f>
        <v>0</v>
      </c>
      <c r="CK27" s="746">
        <f>-(Fin!CK63*Oper!CK12+SUM(Fin!CK60:CK62)) * CF!CK13</f>
        <v>0</v>
      </c>
      <c r="CL27" s="746">
        <f>-(Fin!CL63*Oper!CL12+SUM(Fin!CL60:CL62)) * CF!CL13</f>
        <v>0</v>
      </c>
      <c r="CM27" s="746">
        <f>-(Fin!CM63*Oper!CM12+SUM(Fin!CM60:CM62)) * CF!CM13</f>
        <v>0</v>
      </c>
      <c r="CN27" s="746">
        <f>-(Fin!CN63*Oper!CN12+SUM(Fin!CN60:CN62)) * CF!CN13</f>
        <v>0</v>
      </c>
      <c r="CO27" s="746">
        <f>-(Fin!CO63*Oper!CO12+SUM(Fin!CO60:CO62)) * CF!CO13</f>
        <v>0</v>
      </c>
      <c r="CP27" s="746">
        <f>-(Fin!CP63*Oper!CP12+SUM(Fin!CP60:CP62)) * CF!CP13</f>
        <v>0</v>
      </c>
      <c r="CQ27" s="746">
        <f>-(Fin!CQ63*Oper!CQ12+SUM(Fin!CQ60:CQ62)) * CF!CQ13</f>
        <v>0</v>
      </c>
      <c r="CR27" s="746">
        <f>-(Fin!CR63*Oper!CR12+SUM(Fin!CR60:CR62)) * CF!CR13</f>
        <v>0</v>
      </c>
      <c r="CS27" s="746">
        <f>-(Fin!CS63*Oper!CS12+SUM(Fin!CS60:CS62)) * CF!CS13</f>
        <v>0</v>
      </c>
      <c r="CT27" s="746">
        <f>-(Fin!CT63*Oper!CT12+SUM(Fin!CT60:CT62)) * CF!CT13</f>
        <v>0</v>
      </c>
      <c r="CU27" s="746">
        <f>-(Fin!CU63*Oper!CU12+SUM(Fin!CU60:CU62)) * CF!CU13</f>
        <v>0</v>
      </c>
      <c r="CV27" s="746">
        <f>-(Fin!CV63*Oper!CV12+SUM(Fin!CV60:CV62)) * CF!CV13</f>
        <v>0</v>
      </c>
      <c r="CW27" s="746">
        <f>-(Fin!CW63*Oper!CW12+SUM(Fin!CW60:CW62)) * CF!CW13</f>
        <v>0</v>
      </c>
      <c r="CX27" s="746">
        <f>-(Fin!CX63*Oper!CX12+SUM(Fin!CX60:CX62)) * CF!CX13</f>
        <v>0</v>
      </c>
      <c r="CY27" s="746">
        <f>-(Fin!CY63*Oper!CY12+SUM(Fin!CY60:CY62)) * CF!CY13</f>
        <v>0</v>
      </c>
      <c r="CZ27" s="746">
        <f>-(Fin!CZ63*Oper!CZ12+SUM(Fin!CZ60:CZ62)) * CF!CZ13</f>
        <v>0</v>
      </c>
      <c r="DA27" s="746">
        <f>-(Fin!DA63*Oper!DA12+SUM(Fin!DA60:DA62)) * CF!DA13</f>
        <v>0</v>
      </c>
      <c r="DB27" s="746">
        <f>-(Fin!DB63*Oper!DB12+SUM(Fin!DB60:DB62)) * CF!DB13</f>
        <v>0</v>
      </c>
      <c r="DC27" s="746">
        <f>-(Fin!DC63*Oper!DC12+SUM(Fin!DC60:DC62)) * CF!DC13</f>
        <v>0</v>
      </c>
      <c r="DD27" s="746">
        <f>-(Fin!DD63*Oper!DD12+SUM(Fin!DD60:DD62)) * CF!DD13</f>
        <v>0</v>
      </c>
      <c r="DE27" s="746">
        <f>-(Fin!DE63*Oper!DE12+SUM(Fin!DE60:DE62)) * CF!DE13</f>
        <v>0</v>
      </c>
      <c r="DF27" s="746">
        <f>-(Fin!DF63*Oper!DF12+SUM(Fin!DF60:DF62)) * CF!DF13</f>
        <v>0</v>
      </c>
      <c r="DG27" s="746">
        <f>-(Fin!DG63*Oper!DG12+SUM(Fin!DG60:DG62)) * CF!DG13</f>
        <v>0</v>
      </c>
      <c r="DH27" s="746">
        <f>-(Fin!DH63*Oper!DH12+SUM(Fin!DH60:DH62)) * CF!DH13</f>
        <v>0</v>
      </c>
      <c r="DI27" s="746">
        <f>-(Fin!DI63*Oper!DI12+SUM(Fin!DI60:DI62)) * CF!DI13</f>
        <v>0</v>
      </c>
      <c r="DJ27" s="746">
        <f>-(Fin!DJ63*Oper!DJ12+SUM(Fin!DJ60:DJ62)) * CF!DJ13</f>
        <v>0</v>
      </c>
      <c r="DK27" s="746">
        <f>-(Fin!DK63*Oper!DK12+SUM(Fin!DK60:DK62)) * CF!DK13</f>
        <v>0</v>
      </c>
      <c r="DL27" s="746">
        <f>-(Fin!DL63*Oper!DL12+SUM(Fin!DL60:DL62)) * CF!DL13</f>
        <v>0</v>
      </c>
      <c r="DM27" s="746">
        <f>-(Fin!DM63*Oper!DM12+SUM(Fin!DM60:DM62)) * CF!DM13</f>
        <v>0</v>
      </c>
      <c r="DN27" s="746">
        <f>-(Fin!DN63*Oper!DN12+SUM(Fin!DN60:DN62)) * CF!DN13</f>
        <v>0</v>
      </c>
      <c r="DO27" s="746">
        <f>-(Fin!DO63*Oper!DO12+SUM(Fin!DO60:DO62)) * CF!DO13</f>
        <v>0</v>
      </c>
      <c r="DP27" s="746">
        <f>-(Fin!DP63*Oper!DP12+SUM(Fin!DP60:DP62)) * CF!DP13</f>
        <v>0</v>
      </c>
      <c r="DQ27" s="16"/>
    </row>
    <row r="28" spans="1:121" x14ac:dyDescent="0.2">
      <c r="A28" s="42"/>
      <c r="B28" s="42"/>
      <c r="C28" s="27" t="s">
        <v>73</v>
      </c>
      <c r="D28" s="27"/>
      <c r="E28" s="27"/>
      <c r="F28" s="27"/>
      <c r="G28" s="27"/>
      <c r="H28" s="27"/>
      <c r="I28" s="27"/>
      <c r="J28" s="27"/>
      <c r="K28" s="661" t="s">
        <v>63</v>
      </c>
      <c r="L28" s="27"/>
      <c r="M28" s="27"/>
      <c r="N28" s="754">
        <f t="shared" si="20"/>
        <v>313910.83358659851</v>
      </c>
      <c r="O28" s="15"/>
      <c r="P28" s="15"/>
      <c r="Q28" s="15"/>
      <c r="R28" s="552"/>
      <c r="S28" s="756">
        <f>+CF!S44</f>
        <v>0</v>
      </c>
      <c r="T28" s="756">
        <f>+CF!T44</f>
        <v>2692.085174796453</v>
      </c>
      <c r="U28" s="756">
        <f>+CF!U44</f>
        <v>3887.4732955742647</v>
      </c>
      <c r="V28" s="756">
        <f>+CF!V44</f>
        <v>1368.9413706881614</v>
      </c>
      <c r="W28" s="756">
        <f>+CF!W44</f>
        <v>1585.1746377621182</v>
      </c>
      <c r="X28" s="756">
        <f>+CF!X44</f>
        <v>1826.1460309171671</v>
      </c>
      <c r="Y28" s="756">
        <f>+CF!Y44</f>
        <v>2091.0309584081278</v>
      </c>
      <c r="Z28" s="756">
        <f>+CF!Z44</f>
        <v>2234.8612616227101</v>
      </c>
      <c r="AA28" s="756">
        <f>+CF!AA44</f>
        <v>2483.3469456730418</v>
      </c>
      <c r="AB28" s="756">
        <f>+CF!AB44</f>
        <v>2701.6488251499013</v>
      </c>
      <c r="AC28" s="756">
        <f>+CF!AC44</f>
        <v>2954.0066602775159</v>
      </c>
      <c r="AD28" s="756">
        <f>+CF!AD44</f>
        <v>3105.9081402819047</v>
      </c>
      <c r="AE28" s="756">
        <f>+CF!AE44</f>
        <v>3356.848176385216</v>
      </c>
      <c r="AF28" s="756">
        <f>+CF!AF44</f>
        <v>3734.4677636830684</v>
      </c>
      <c r="AG28" s="756">
        <f>+CF!AG44</f>
        <v>4031.6091928702144</v>
      </c>
      <c r="AH28" s="756">
        <f>+CF!AH44</f>
        <v>4407.9977848620492</v>
      </c>
      <c r="AI28" s="756">
        <f>+CF!AI44</f>
        <v>4834.9837245341078</v>
      </c>
      <c r="AJ28" s="756">
        <f>+CF!AJ44</f>
        <v>5183.2973913445458</v>
      </c>
      <c r="AK28" s="756">
        <f>+CF!AK44</f>
        <v>5397.7403829528903</v>
      </c>
      <c r="AL28" s="756">
        <f>+CF!AL44</f>
        <v>5152.2009753896455</v>
      </c>
      <c r="AM28" s="756">
        <f>+CF!AM44</f>
        <v>5153.3683819462549</v>
      </c>
      <c r="AN28" s="756">
        <f>+CF!AN44</f>
        <v>5579.4166041562667</v>
      </c>
      <c r="AO28" s="756">
        <f>+CF!AO44</f>
        <v>5604.3686889780784</v>
      </c>
      <c r="AP28" s="756">
        <f>+CF!AP44</f>
        <v>6498.0922850655752</v>
      </c>
      <c r="AQ28" s="756">
        <f>+CF!AQ44</f>
        <v>6693.7903799019577</v>
      </c>
      <c r="AR28" s="756">
        <f>+CF!AR44</f>
        <v>6953.5617772199748</v>
      </c>
      <c r="AS28" s="756">
        <f>+CF!AS44</f>
        <v>7273.9631759357089</v>
      </c>
      <c r="AT28" s="756">
        <f>+CF!AT44</f>
        <v>7703.6355831298733</v>
      </c>
      <c r="AU28" s="756">
        <f>+CF!AU44</f>
        <v>9674.9728346018928</v>
      </c>
      <c r="AV28" s="756">
        <f>+CF!AV44</f>
        <v>11195.996218899842</v>
      </c>
      <c r="AW28" s="756">
        <f>+CF!AW44</f>
        <v>11354.32538880326</v>
      </c>
      <c r="AX28" s="756">
        <f>+CF!AX44</f>
        <v>11665.94387593715</v>
      </c>
      <c r="AY28" s="756">
        <f>+CF!AY44</f>
        <v>12185.596123718682</v>
      </c>
      <c r="AZ28" s="756">
        <f>+CF!AZ44</f>
        <v>12785.168145198666</v>
      </c>
      <c r="BA28" s="756">
        <f>+CF!BA44</f>
        <v>13265.638165528426</v>
      </c>
      <c r="BB28" s="756">
        <f>+CF!BB44</f>
        <v>13776.034553174752</v>
      </c>
      <c r="BC28" s="756">
        <f>+CF!BC44</f>
        <v>14330.629817677251</v>
      </c>
      <c r="BD28" s="756">
        <f>+CF!BD44</f>
        <v>14932.713615848705</v>
      </c>
      <c r="BE28" s="756">
        <f>+CF!BE44</f>
        <v>12981.616243807486</v>
      </c>
      <c r="BF28" s="756">
        <f>+CF!BF44</f>
        <v>13266.074581726716</v>
      </c>
      <c r="BG28" s="756">
        <f>+CF!BG44</f>
        <v>13209.619932323629</v>
      </c>
      <c r="BH28" s="756">
        <f>+CF!BH44</f>
        <v>13148.974364401478</v>
      </c>
      <c r="BI28" s="756">
        <f>+CF!BI44</f>
        <v>13042.999778069923</v>
      </c>
      <c r="BJ28" s="756">
        <f>+CF!BJ44</f>
        <v>8604.564377373923</v>
      </c>
      <c r="BK28" s="754">
        <f>+CF!BK44</f>
        <v>0</v>
      </c>
      <c r="BL28" s="754">
        <f>+CF!BL44</f>
        <v>0</v>
      </c>
      <c r="BM28" s="754">
        <f>+CF!BM44</f>
        <v>0</v>
      </c>
      <c r="BN28" s="754">
        <f>+CF!BN44</f>
        <v>0</v>
      </c>
      <c r="BO28" s="754">
        <f>+CF!BO44</f>
        <v>0</v>
      </c>
      <c r="BP28" s="754">
        <f>+CF!BP44</f>
        <v>0</v>
      </c>
      <c r="BQ28" s="754">
        <f>+CF!BQ44</f>
        <v>0</v>
      </c>
      <c r="BR28" s="754">
        <f>+CF!BR44</f>
        <v>0</v>
      </c>
      <c r="BS28" s="754">
        <f>+CF!BS44</f>
        <v>0</v>
      </c>
      <c r="BT28" s="754">
        <f>+CF!BT44</f>
        <v>0</v>
      </c>
      <c r="BU28" s="754">
        <f>+CF!BU44</f>
        <v>0</v>
      </c>
      <c r="BV28" s="754">
        <f>+CF!BV44</f>
        <v>0</v>
      </c>
      <c r="BW28" s="754">
        <f>+CF!BW44</f>
        <v>0</v>
      </c>
      <c r="BX28" s="754">
        <f>+CF!BX44</f>
        <v>0</v>
      </c>
      <c r="BY28" s="754">
        <f>+CF!BY44</f>
        <v>0</v>
      </c>
      <c r="BZ28" s="754">
        <f>+CF!BZ44</f>
        <v>0</v>
      </c>
      <c r="CA28" s="754">
        <f>+CF!CA44</f>
        <v>0</v>
      </c>
      <c r="CB28" s="754">
        <f>+CF!CB44</f>
        <v>0</v>
      </c>
      <c r="CC28" s="754">
        <f>+CF!CC44</f>
        <v>0</v>
      </c>
      <c r="CD28" s="754">
        <f>+CF!CD44</f>
        <v>0</v>
      </c>
      <c r="CE28" s="754">
        <f>+CF!CE44</f>
        <v>0</v>
      </c>
      <c r="CF28" s="754">
        <f>+CF!CF44</f>
        <v>0</v>
      </c>
      <c r="CG28" s="754">
        <f>+CF!CG44</f>
        <v>0</v>
      </c>
      <c r="CH28" s="754">
        <f>+CF!CH44</f>
        <v>0</v>
      </c>
      <c r="CI28" s="754">
        <f>+CF!CI44</f>
        <v>0</v>
      </c>
      <c r="CJ28" s="754">
        <f>+CF!CJ44</f>
        <v>0</v>
      </c>
      <c r="CK28" s="754">
        <f>+CF!CK44</f>
        <v>0</v>
      </c>
      <c r="CL28" s="754">
        <f>+CF!CL44</f>
        <v>0</v>
      </c>
      <c r="CM28" s="754">
        <f>+CF!CM44</f>
        <v>0</v>
      </c>
      <c r="CN28" s="754">
        <f>+CF!CN44</f>
        <v>0</v>
      </c>
      <c r="CO28" s="754">
        <f>+CF!CO44</f>
        <v>0</v>
      </c>
      <c r="CP28" s="754">
        <f>+CF!CP44</f>
        <v>0</v>
      </c>
      <c r="CQ28" s="754">
        <f>+CF!CQ44</f>
        <v>0</v>
      </c>
      <c r="CR28" s="754">
        <f>+CF!CR44</f>
        <v>0</v>
      </c>
      <c r="CS28" s="754">
        <f>+CF!CS44</f>
        <v>0</v>
      </c>
      <c r="CT28" s="754">
        <f>+CF!CT44</f>
        <v>0</v>
      </c>
      <c r="CU28" s="754">
        <f>+CF!CU44</f>
        <v>0</v>
      </c>
      <c r="CV28" s="754">
        <f>+CF!CV44</f>
        <v>0</v>
      </c>
      <c r="CW28" s="754">
        <f>+CF!CW44</f>
        <v>0</v>
      </c>
      <c r="CX28" s="754">
        <f>+CF!CX44</f>
        <v>0</v>
      </c>
      <c r="CY28" s="754">
        <f>+CF!CY44</f>
        <v>0</v>
      </c>
      <c r="CZ28" s="754">
        <f>+CF!CZ44</f>
        <v>0</v>
      </c>
      <c r="DA28" s="754">
        <f>+CF!DA44</f>
        <v>0</v>
      </c>
      <c r="DB28" s="754">
        <f>+CF!DB44</f>
        <v>0</v>
      </c>
      <c r="DC28" s="754">
        <f>+CF!DC44</f>
        <v>0</v>
      </c>
      <c r="DD28" s="754">
        <f>+CF!DD44</f>
        <v>0</v>
      </c>
      <c r="DE28" s="754">
        <f>+CF!DE44</f>
        <v>0</v>
      </c>
      <c r="DF28" s="754">
        <f>+CF!DF44</f>
        <v>0</v>
      </c>
      <c r="DG28" s="754">
        <f>+CF!DG44</f>
        <v>0</v>
      </c>
      <c r="DH28" s="754">
        <f>+CF!DH44</f>
        <v>0</v>
      </c>
      <c r="DI28" s="754">
        <f>+CF!DI44</f>
        <v>0</v>
      </c>
      <c r="DJ28" s="754">
        <f>+CF!DJ44</f>
        <v>0</v>
      </c>
      <c r="DK28" s="754">
        <f>+CF!DK44</f>
        <v>0</v>
      </c>
      <c r="DL28" s="754">
        <f>+CF!DL44</f>
        <v>0</v>
      </c>
      <c r="DM28" s="754">
        <f>+CF!DM44</f>
        <v>0</v>
      </c>
      <c r="DN28" s="754">
        <f>+CF!DN44</f>
        <v>0</v>
      </c>
      <c r="DO28" s="754">
        <f>+CF!DO44</f>
        <v>0</v>
      </c>
      <c r="DP28" s="754">
        <f>+CF!DP44</f>
        <v>0</v>
      </c>
      <c r="DQ28" s="16"/>
    </row>
    <row r="29" spans="1:121" x14ac:dyDescent="0.2">
      <c r="A29" s="42"/>
      <c r="B29" s="42"/>
      <c r="C29" s="13" t="s">
        <v>86</v>
      </c>
      <c r="D29" s="13"/>
      <c r="E29" s="13"/>
      <c r="F29" s="13"/>
      <c r="G29" s="13"/>
      <c r="H29" s="13"/>
      <c r="I29" s="13"/>
      <c r="J29" s="31"/>
      <c r="K29" s="660" t="s">
        <v>63</v>
      </c>
      <c r="L29" s="31"/>
      <c r="M29" s="31"/>
      <c r="N29" s="755">
        <f t="shared" ca="1" si="20"/>
        <v>29680629.404969387</v>
      </c>
      <c r="O29" s="31"/>
      <c r="P29" s="13"/>
      <c r="Q29" s="31"/>
      <c r="R29" s="31"/>
      <c r="S29" s="755">
        <f t="shared" ref="S29:AV29" ca="1" si="21">SUM(S22:S28)</f>
        <v>-126864.6916828058</v>
      </c>
      <c r="T29" s="755">
        <f t="shared" ca="1" si="21"/>
        <v>-111083.58320348187</v>
      </c>
      <c r="U29" s="755">
        <f t="shared" ca="1" si="21"/>
        <v>-96285.054607302372</v>
      </c>
      <c r="V29" s="755">
        <f t="shared" ca="1" si="21"/>
        <v>-65465.150724087347</v>
      </c>
      <c r="W29" s="755">
        <f t="shared" ca="1" si="21"/>
        <v>-53265.093597527513</v>
      </c>
      <c r="X29" s="755">
        <f t="shared" ca="1" si="21"/>
        <v>-40161.606252594705</v>
      </c>
      <c r="Y29" s="755">
        <f t="shared" ca="1" si="21"/>
        <v>-26194.748324268548</v>
      </c>
      <c r="Z29" s="755">
        <f t="shared" ca="1" si="21"/>
        <v>-11513.321862758021</v>
      </c>
      <c r="AA29" s="755">
        <f t="shared" ca="1" si="21"/>
        <v>4341.148676093263</v>
      </c>
      <c r="AB29" s="755">
        <f t="shared" ca="1" si="21"/>
        <v>22477.959646005278</v>
      </c>
      <c r="AC29" s="755">
        <f t="shared" ca="1" si="21"/>
        <v>42197.551803761926</v>
      </c>
      <c r="AD29" s="755">
        <f t="shared" ca="1" si="21"/>
        <v>63792.48051472316</v>
      </c>
      <c r="AE29" s="755">
        <f t="shared" ca="1" si="21"/>
        <v>76120.333552526427</v>
      </c>
      <c r="AF29" s="755">
        <f t="shared" ca="1" si="21"/>
        <v>112429.46354707346</v>
      </c>
      <c r="AG29" s="755">
        <f t="shared" ca="1" si="21"/>
        <v>218805.80418038354</v>
      </c>
      <c r="AH29" s="755">
        <f t="shared" ca="1" si="21"/>
        <v>296873.19584577536</v>
      </c>
      <c r="AI29" s="755">
        <f t="shared" ca="1" si="21"/>
        <v>323331.70970626082</v>
      </c>
      <c r="AJ29" s="755">
        <f t="shared" ca="1" si="21"/>
        <v>350273.88768597448</v>
      </c>
      <c r="AK29" s="755">
        <f t="shared" ca="1" si="21"/>
        <v>377343.98630546109</v>
      </c>
      <c r="AL29" s="755">
        <f t="shared" ca="1" si="21"/>
        <v>409278.77140563825</v>
      </c>
      <c r="AM29" s="755">
        <f t="shared" ca="1" si="21"/>
        <v>444864.39735362574</v>
      </c>
      <c r="AN29" s="755">
        <f t="shared" ca="1" si="21"/>
        <v>483545.21108296426</v>
      </c>
      <c r="AO29" s="755">
        <f t="shared" ca="1" si="21"/>
        <v>505659.27825173421</v>
      </c>
      <c r="AP29" s="755">
        <f t="shared" ca="1" si="21"/>
        <v>571605.27849205723</v>
      </c>
      <c r="AQ29" s="755">
        <f t="shared" ca="1" si="21"/>
        <v>615627.71030145325</v>
      </c>
      <c r="AR29" s="755">
        <f t="shared" ca="1" si="21"/>
        <v>662843.31196346995</v>
      </c>
      <c r="AS29" s="755">
        <f t="shared" ca="1" si="21"/>
        <v>713895.945140247</v>
      </c>
      <c r="AT29" s="755">
        <f t="shared" ca="1" si="21"/>
        <v>767632.83021451242</v>
      </c>
      <c r="AU29" s="755">
        <f t="shared" ca="1" si="21"/>
        <v>826640.42541778216</v>
      </c>
      <c r="AV29" s="755">
        <f t="shared" ca="1" si="21"/>
        <v>890395.96494412539</v>
      </c>
      <c r="AW29" s="755">
        <f t="shared" ref="AW29:CB29" ca="1" si="22">SUM(AW22:AW28)</f>
        <v>959668.71027531568</v>
      </c>
      <c r="AX29" s="755">
        <f t="shared" ca="1" si="22"/>
        <v>1034159.4582526676</v>
      </c>
      <c r="AY29" s="755">
        <f t="shared" ca="1" si="22"/>
        <v>1095947.5928891273</v>
      </c>
      <c r="AZ29" s="755">
        <f t="shared" ca="1" si="22"/>
        <v>1199550.8122242533</v>
      </c>
      <c r="BA29" s="755">
        <f t="shared" ca="1" si="22"/>
        <v>1293346.2630323737</v>
      </c>
      <c r="BB29" s="755">
        <f t="shared" ca="1" si="22"/>
        <v>1392609.6342258609</v>
      </c>
      <c r="BC29" s="755">
        <f t="shared" ca="1" si="22"/>
        <v>1497429.4938423368</v>
      </c>
      <c r="BD29" s="755">
        <f t="shared" ca="1" si="22"/>
        <v>1608449.3068677415</v>
      </c>
      <c r="BE29" s="755">
        <f t="shared" ca="1" si="22"/>
        <v>1721716.8055873066</v>
      </c>
      <c r="BF29" s="755">
        <f t="shared" ca="1" si="22"/>
        <v>1860273.5682074323</v>
      </c>
      <c r="BG29" s="755">
        <f t="shared" ca="1" si="22"/>
        <v>2003242.0186538473</v>
      </c>
      <c r="BH29" s="755">
        <f t="shared" ca="1" si="22"/>
        <v>2157246.1123118214</v>
      </c>
      <c r="BI29" s="755">
        <f t="shared" ca="1" si="22"/>
        <v>2323118.8383816951</v>
      </c>
      <c r="BJ29" s="755">
        <f t="shared" ca="1" si="22"/>
        <v>1284727.3944407834</v>
      </c>
      <c r="BK29" s="755">
        <f t="shared" si="22"/>
        <v>0</v>
      </c>
      <c r="BL29" s="755">
        <f t="shared" si="22"/>
        <v>0</v>
      </c>
      <c r="BM29" s="755">
        <f t="shared" si="22"/>
        <v>0</v>
      </c>
      <c r="BN29" s="755">
        <f t="shared" si="22"/>
        <v>0</v>
      </c>
      <c r="BO29" s="755">
        <f t="shared" si="22"/>
        <v>0</v>
      </c>
      <c r="BP29" s="755">
        <f t="shared" si="22"/>
        <v>0</v>
      </c>
      <c r="BQ29" s="755">
        <f t="shared" si="22"/>
        <v>0</v>
      </c>
      <c r="BR29" s="755">
        <f t="shared" si="22"/>
        <v>0</v>
      </c>
      <c r="BS29" s="755">
        <f t="shared" si="22"/>
        <v>0</v>
      </c>
      <c r="BT29" s="755">
        <f t="shared" si="22"/>
        <v>0</v>
      </c>
      <c r="BU29" s="755">
        <f t="shared" si="22"/>
        <v>0</v>
      </c>
      <c r="BV29" s="755">
        <f t="shared" si="22"/>
        <v>0</v>
      </c>
      <c r="BW29" s="755">
        <f t="shared" si="22"/>
        <v>0</v>
      </c>
      <c r="BX29" s="755">
        <f t="shared" si="22"/>
        <v>0</v>
      </c>
      <c r="BY29" s="755">
        <f t="shared" si="22"/>
        <v>0</v>
      </c>
      <c r="BZ29" s="755">
        <f t="shared" si="22"/>
        <v>0</v>
      </c>
      <c r="CA29" s="755">
        <f t="shared" si="22"/>
        <v>0</v>
      </c>
      <c r="CB29" s="755">
        <f t="shared" si="22"/>
        <v>0</v>
      </c>
      <c r="CC29" s="755">
        <f t="shared" ref="CC29:DH29" si="23">SUM(CC22:CC28)</f>
        <v>0</v>
      </c>
      <c r="CD29" s="755">
        <f t="shared" si="23"/>
        <v>0</v>
      </c>
      <c r="CE29" s="755">
        <f t="shared" si="23"/>
        <v>0</v>
      </c>
      <c r="CF29" s="755">
        <f t="shared" si="23"/>
        <v>0</v>
      </c>
      <c r="CG29" s="755">
        <f t="shared" si="23"/>
        <v>0</v>
      </c>
      <c r="CH29" s="755">
        <f t="shared" si="23"/>
        <v>0</v>
      </c>
      <c r="CI29" s="755">
        <f t="shared" si="23"/>
        <v>0</v>
      </c>
      <c r="CJ29" s="755">
        <f t="shared" si="23"/>
        <v>0</v>
      </c>
      <c r="CK29" s="755">
        <f t="shared" si="23"/>
        <v>0</v>
      </c>
      <c r="CL29" s="755">
        <f t="shared" si="23"/>
        <v>0</v>
      </c>
      <c r="CM29" s="755">
        <f t="shared" si="23"/>
        <v>0</v>
      </c>
      <c r="CN29" s="755">
        <f t="shared" si="23"/>
        <v>0</v>
      </c>
      <c r="CO29" s="755">
        <f t="shared" si="23"/>
        <v>0</v>
      </c>
      <c r="CP29" s="755">
        <f t="shared" si="23"/>
        <v>0</v>
      </c>
      <c r="CQ29" s="755">
        <f t="shared" si="23"/>
        <v>0</v>
      </c>
      <c r="CR29" s="755">
        <f t="shared" si="23"/>
        <v>0</v>
      </c>
      <c r="CS29" s="755">
        <f t="shared" si="23"/>
        <v>0</v>
      </c>
      <c r="CT29" s="755">
        <f t="shared" si="23"/>
        <v>0</v>
      </c>
      <c r="CU29" s="755">
        <f t="shared" si="23"/>
        <v>0</v>
      </c>
      <c r="CV29" s="755">
        <f t="shared" si="23"/>
        <v>0</v>
      </c>
      <c r="CW29" s="755">
        <f t="shared" si="23"/>
        <v>0</v>
      </c>
      <c r="CX29" s="755">
        <f t="shared" si="23"/>
        <v>0</v>
      </c>
      <c r="CY29" s="755">
        <f t="shared" si="23"/>
        <v>0</v>
      </c>
      <c r="CZ29" s="755">
        <f t="shared" si="23"/>
        <v>0</v>
      </c>
      <c r="DA29" s="755">
        <f t="shared" si="23"/>
        <v>0</v>
      </c>
      <c r="DB29" s="755">
        <f t="shared" si="23"/>
        <v>0</v>
      </c>
      <c r="DC29" s="755">
        <f t="shared" si="23"/>
        <v>0</v>
      </c>
      <c r="DD29" s="755">
        <f t="shared" si="23"/>
        <v>0</v>
      </c>
      <c r="DE29" s="755">
        <f t="shared" si="23"/>
        <v>0</v>
      </c>
      <c r="DF29" s="755">
        <f t="shared" si="23"/>
        <v>0</v>
      </c>
      <c r="DG29" s="755">
        <f t="shared" si="23"/>
        <v>0</v>
      </c>
      <c r="DH29" s="755">
        <f t="shared" si="23"/>
        <v>0</v>
      </c>
      <c r="DI29" s="755">
        <f t="shared" ref="DI29:DP29" si="24">SUM(DI22:DI28)</f>
        <v>0</v>
      </c>
      <c r="DJ29" s="755">
        <f t="shared" si="24"/>
        <v>0</v>
      </c>
      <c r="DK29" s="755">
        <f t="shared" si="24"/>
        <v>0</v>
      </c>
      <c r="DL29" s="755">
        <f t="shared" si="24"/>
        <v>0</v>
      </c>
      <c r="DM29" s="755">
        <f t="shared" si="24"/>
        <v>0</v>
      </c>
      <c r="DN29" s="755">
        <f t="shared" si="24"/>
        <v>0</v>
      </c>
      <c r="DO29" s="755">
        <f t="shared" si="24"/>
        <v>0</v>
      </c>
      <c r="DP29" s="755">
        <f t="shared" si="24"/>
        <v>0</v>
      </c>
      <c r="DQ29" s="16"/>
    </row>
    <row r="30" spans="1:121" x14ac:dyDescent="0.2">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16"/>
    </row>
    <row r="31" spans="1:121" x14ac:dyDescent="0.2">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16"/>
    </row>
    <row r="32" spans="1:121" x14ac:dyDescent="0.2">
      <c r="C32" s="32" t="s">
        <v>87</v>
      </c>
      <c r="D32" s="32"/>
      <c r="E32" s="32"/>
      <c r="F32" s="32"/>
      <c r="G32" s="32"/>
      <c r="H32" s="32"/>
      <c r="I32" s="32"/>
      <c r="J32" s="32"/>
      <c r="K32" s="639" t="s">
        <v>63</v>
      </c>
      <c r="L32" s="33"/>
      <c r="M32" s="33"/>
      <c r="N32" s="745">
        <f ca="1">SUM(Q32:DQ32)</f>
        <v>29680629.404969387</v>
      </c>
      <c r="O32" s="32"/>
      <c r="P32" s="32"/>
      <c r="Q32" s="173"/>
      <c r="R32" s="753">
        <f>+Inputs!$L$244</f>
        <v>0</v>
      </c>
      <c r="S32" s="745">
        <f t="shared" ref="S32:AW32" ca="1" si="25">+S29</f>
        <v>-126864.6916828058</v>
      </c>
      <c r="T32" s="745">
        <f t="shared" ca="1" si="25"/>
        <v>-111083.58320348187</v>
      </c>
      <c r="U32" s="745">
        <f t="shared" ca="1" si="25"/>
        <v>-96285.054607302372</v>
      </c>
      <c r="V32" s="745">
        <f t="shared" ca="1" si="25"/>
        <v>-65465.150724087347</v>
      </c>
      <c r="W32" s="745">
        <f t="shared" ca="1" si="25"/>
        <v>-53265.093597527513</v>
      </c>
      <c r="X32" s="745">
        <f t="shared" ca="1" si="25"/>
        <v>-40161.606252594705</v>
      </c>
      <c r="Y32" s="745">
        <f t="shared" ca="1" si="25"/>
        <v>-26194.748324268548</v>
      </c>
      <c r="Z32" s="745">
        <f t="shared" ca="1" si="25"/>
        <v>-11513.321862758021</v>
      </c>
      <c r="AA32" s="745">
        <f t="shared" ca="1" si="25"/>
        <v>4341.148676093263</v>
      </c>
      <c r="AB32" s="745">
        <f t="shared" ca="1" si="25"/>
        <v>22477.959646005278</v>
      </c>
      <c r="AC32" s="745">
        <f t="shared" ca="1" si="25"/>
        <v>42197.551803761926</v>
      </c>
      <c r="AD32" s="745">
        <f t="shared" ca="1" si="25"/>
        <v>63792.48051472316</v>
      </c>
      <c r="AE32" s="745">
        <f t="shared" ca="1" si="25"/>
        <v>76120.333552526427</v>
      </c>
      <c r="AF32" s="745">
        <f t="shared" ca="1" si="25"/>
        <v>112429.46354707346</v>
      </c>
      <c r="AG32" s="745">
        <f t="shared" ca="1" si="25"/>
        <v>218805.80418038354</v>
      </c>
      <c r="AH32" s="745">
        <f t="shared" ca="1" si="25"/>
        <v>296873.19584577536</v>
      </c>
      <c r="AI32" s="745">
        <f t="shared" ca="1" si="25"/>
        <v>323331.70970626082</v>
      </c>
      <c r="AJ32" s="745">
        <f t="shared" ca="1" si="25"/>
        <v>350273.88768597448</v>
      </c>
      <c r="AK32" s="745">
        <f t="shared" ca="1" si="25"/>
        <v>377343.98630546109</v>
      </c>
      <c r="AL32" s="745">
        <f t="shared" ca="1" si="25"/>
        <v>409278.77140563825</v>
      </c>
      <c r="AM32" s="745">
        <f t="shared" ca="1" si="25"/>
        <v>444864.39735362574</v>
      </c>
      <c r="AN32" s="745">
        <f t="shared" ca="1" si="25"/>
        <v>483545.21108296426</v>
      </c>
      <c r="AO32" s="745">
        <f t="shared" ca="1" si="25"/>
        <v>505659.27825173421</v>
      </c>
      <c r="AP32" s="745">
        <f t="shared" ca="1" si="25"/>
        <v>571605.27849205723</v>
      </c>
      <c r="AQ32" s="745">
        <f t="shared" ca="1" si="25"/>
        <v>615627.71030145325</v>
      </c>
      <c r="AR32" s="745">
        <f t="shared" ca="1" si="25"/>
        <v>662843.31196346995</v>
      </c>
      <c r="AS32" s="745">
        <f t="shared" ca="1" si="25"/>
        <v>713895.945140247</v>
      </c>
      <c r="AT32" s="745">
        <f t="shared" ca="1" si="25"/>
        <v>767632.83021451242</v>
      </c>
      <c r="AU32" s="745">
        <f t="shared" ca="1" si="25"/>
        <v>826640.42541778216</v>
      </c>
      <c r="AV32" s="745">
        <f t="shared" ca="1" si="25"/>
        <v>890395.96494412539</v>
      </c>
      <c r="AW32" s="745">
        <f t="shared" ca="1" si="25"/>
        <v>959668.71027531568</v>
      </c>
      <c r="AX32" s="745">
        <f t="shared" ref="AX32:CC32" ca="1" si="26">+AX29</f>
        <v>1034159.4582526676</v>
      </c>
      <c r="AY32" s="745">
        <f t="shared" ca="1" si="26"/>
        <v>1095947.5928891273</v>
      </c>
      <c r="AZ32" s="745">
        <f t="shared" ca="1" si="26"/>
        <v>1199550.8122242533</v>
      </c>
      <c r="BA32" s="745">
        <f t="shared" ca="1" si="26"/>
        <v>1293346.2630323737</v>
      </c>
      <c r="BB32" s="745">
        <f t="shared" ca="1" si="26"/>
        <v>1392609.6342258609</v>
      </c>
      <c r="BC32" s="745">
        <f t="shared" ca="1" si="26"/>
        <v>1497429.4938423368</v>
      </c>
      <c r="BD32" s="745">
        <f t="shared" ca="1" si="26"/>
        <v>1608449.3068677415</v>
      </c>
      <c r="BE32" s="745">
        <f t="shared" ca="1" si="26"/>
        <v>1721716.8055873066</v>
      </c>
      <c r="BF32" s="745">
        <f t="shared" ca="1" si="26"/>
        <v>1860273.5682074323</v>
      </c>
      <c r="BG32" s="745">
        <f t="shared" ca="1" si="26"/>
        <v>2003242.0186538473</v>
      </c>
      <c r="BH32" s="745">
        <f t="shared" ca="1" si="26"/>
        <v>2157246.1123118214</v>
      </c>
      <c r="BI32" s="745">
        <f t="shared" ca="1" si="26"/>
        <v>2323118.8383816951</v>
      </c>
      <c r="BJ32" s="745">
        <f t="shared" ca="1" si="26"/>
        <v>1284727.3944407834</v>
      </c>
      <c r="BK32" s="745">
        <f t="shared" si="26"/>
        <v>0</v>
      </c>
      <c r="BL32" s="745">
        <f t="shared" si="26"/>
        <v>0</v>
      </c>
      <c r="BM32" s="745">
        <f t="shared" si="26"/>
        <v>0</v>
      </c>
      <c r="BN32" s="745">
        <f t="shared" si="26"/>
        <v>0</v>
      </c>
      <c r="BO32" s="745">
        <f t="shared" si="26"/>
        <v>0</v>
      </c>
      <c r="BP32" s="745">
        <f t="shared" si="26"/>
        <v>0</v>
      </c>
      <c r="BQ32" s="745">
        <f t="shared" si="26"/>
        <v>0</v>
      </c>
      <c r="BR32" s="745">
        <f t="shared" si="26"/>
        <v>0</v>
      </c>
      <c r="BS32" s="745">
        <f t="shared" si="26"/>
        <v>0</v>
      </c>
      <c r="BT32" s="745">
        <f t="shared" si="26"/>
        <v>0</v>
      </c>
      <c r="BU32" s="745">
        <f t="shared" si="26"/>
        <v>0</v>
      </c>
      <c r="BV32" s="745">
        <f t="shared" si="26"/>
        <v>0</v>
      </c>
      <c r="BW32" s="745">
        <f t="shared" si="26"/>
        <v>0</v>
      </c>
      <c r="BX32" s="745">
        <f t="shared" si="26"/>
        <v>0</v>
      </c>
      <c r="BY32" s="745">
        <f t="shared" si="26"/>
        <v>0</v>
      </c>
      <c r="BZ32" s="745">
        <f t="shared" si="26"/>
        <v>0</v>
      </c>
      <c r="CA32" s="745">
        <f t="shared" si="26"/>
        <v>0</v>
      </c>
      <c r="CB32" s="745">
        <f t="shared" si="26"/>
        <v>0</v>
      </c>
      <c r="CC32" s="745">
        <f t="shared" si="26"/>
        <v>0</v>
      </c>
      <c r="CD32" s="745">
        <f t="shared" ref="CD32:DI32" si="27">+CD29</f>
        <v>0</v>
      </c>
      <c r="CE32" s="745">
        <f t="shared" si="27"/>
        <v>0</v>
      </c>
      <c r="CF32" s="745">
        <f t="shared" si="27"/>
        <v>0</v>
      </c>
      <c r="CG32" s="745">
        <f t="shared" si="27"/>
        <v>0</v>
      </c>
      <c r="CH32" s="745">
        <f t="shared" si="27"/>
        <v>0</v>
      </c>
      <c r="CI32" s="745">
        <f t="shared" si="27"/>
        <v>0</v>
      </c>
      <c r="CJ32" s="745">
        <f t="shared" si="27"/>
        <v>0</v>
      </c>
      <c r="CK32" s="745">
        <f t="shared" si="27"/>
        <v>0</v>
      </c>
      <c r="CL32" s="745">
        <f t="shared" si="27"/>
        <v>0</v>
      </c>
      <c r="CM32" s="745">
        <f t="shared" si="27"/>
        <v>0</v>
      </c>
      <c r="CN32" s="745">
        <f t="shared" si="27"/>
        <v>0</v>
      </c>
      <c r="CO32" s="745">
        <f t="shared" si="27"/>
        <v>0</v>
      </c>
      <c r="CP32" s="745">
        <f t="shared" si="27"/>
        <v>0</v>
      </c>
      <c r="CQ32" s="745">
        <f t="shared" si="27"/>
        <v>0</v>
      </c>
      <c r="CR32" s="745">
        <f t="shared" si="27"/>
        <v>0</v>
      </c>
      <c r="CS32" s="745">
        <f t="shared" si="27"/>
        <v>0</v>
      </c>
      <c r="CT32" s="745">
        <f t="shared" si="27"/>
        <v>0</v>
      </c>
      <c r="CU32" s="745">
        <f t="shared" si="27"/>
        <v>0</v>
      </c>
      <c r="CV32" s="745">
        <f t="shared" si="27"/>
        <v>0</v>
      </c>
      <c r="CW32" s="745">
        <f t="shared" si="27"/>
        <v>0</v>
      </c>
      <c r="CX32" s="745">
        <f t="shared" si="27"/>
        <v>0</v>
      </c>
      <c r="CY32" s="745">
        <f t="shared" si="27"/>
        <v>0</v>
      </c>
      <c r="CZ32" s="745">
        <f t="shared" si="27"/>
        <v>0</v>
      </c>
      <c r="DA32" s="745">
        <f t="shared" si="27"/>
        <v>0</v>
      </c>
      <c r="DB32" s="745">
        <f t="shared" si="27"/>
        <v>0</v>
      </c>
      <c r="DC32" s="745">
        <f t="shared" si="27"/>
        <v>0</v>
      </c>
      <c r="DD32" s="745">
        <f t="shared" si="27"/>
        <v>0</v>
      </c>
      <c r="DE32" s="745">
        <f t="shared" si="27"/>
        <v>0</v>
      </c>
      <c r="DF32" s="745">
        <f t="shared" si="27"/>
        <v>0</v>
      </c>
      <c r="DG32" s="745">
        <f t="shared" si="27"/>
        <v>0</v>
      </c>
      <c r="DH32" s="745">
        <f t="shared" si="27"/>
        <v>0</v>
      </c>
      <c r="DI32" s="745">
        <f t="shared" si="27"/>
        <v>0</v>
      </c>
      <c r="DJ32" s="745">
        <f t="shared" ref="DJ32:DP32" si="28">+DJ29</f>
        <v>0</v>
      </c>
      <c r="DK32" s="745">
        <f t="shared" si="28"/>
        <v>0</v>
      </c>
      <c r="DL32" s="745">
        <f t="shared" si="28"/>
        <v>0</v>
      </c>
      <c r="DM32" s="745">
        <f t="shared" si="28"/>
        <v>0</v>
      </c>
      <c r="DN32" s="745">
        <f t="shared" si="28"/>
        <v>0</v>
      </c>
      <c r="DO32" s="745">
        <f t="shared" si="28"/>
        <v>0</v>
      </c>
      <c r="DP32" s="745">
        <f t="shared" si="28"/>
        <v>0</v>
      </c>
      <c r="DQ32" s="16"/>
    </row>
    <row r="33" spans="1:125" x14ac:dyDescent="0.2">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16"/>
    </row>
    <row r="34" spans="1:125" x14ac:dyDescent="0.2">
      <c r="DQ34" s="42"/>
    </row>
    <row r="35" spans="1:125" s="124" customFormat="1" ht="15.75" x14ac:dyDescent="0.25">
      <c r="A35" s="120"/>
      <c r="B35" s="120" t="s">
        <v>34</v>
      </c>
      <c r="C35" s="120"/>
      <c r="D35" s="120"/>
      <c r="E35" s="120"/>
      <c r="F35" s="120"/>
      <c r="G35" s="120"/>
      <c r="H35" s="120"/>
      <c r="I35" s="120"/>
      <c r="J35" s="120"/>
      <c r="K35" s="562"/>
      <c r="L35" s="120"/>
      <c r="M35" s="120"/>
      <c r="N35" s="120"/>
      <c r="O35" s="121"/>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3"/>
      <c r="DQ35" s="122"/>
      <c r="DR35" s="122"/>
      <c r="DS35" s="122"/>
      <c r="DT35" s="122"/>
      <c r="DU35" s="122"/>
    </row>
    <row r="36" spans="1:125" x14ac:dyDescent="0.2">
      <c r="DQ36" s="42"/>
    </row>
    <row r="37" spans="1:125" x14ac:dyDescent="0.2">
      <c r="DQ37" s="42"/>
    </row>
    <row r="38" spans="1:125" x14ac:dyDescent="0.2">
      <c r="C38" s="28" t="s">
        <v>90</v>
      </c>
      <c r="D38" s="28"/>
      <c r="E38" s="28"/>
      <c r="F38" s="28"/>
      <c r="G38" s="28"/>
      <c r="H38" s="28"/>
      <c r="I38" s="28"/>
      <c r="J38" s="28"/>
      <c r="K38" s="663" t="s">
        <v>63</v>
      </c>
      <c r="L38" s="28"/>
      <c r="M38" s="28"/>
      <c r="N38" s="28"/>
      <c r="O38" s="28"/>
      <c r="P38" s="28"/>
      <c r="Q38" s="28"/>
      <c r="R38" s="29">
        <f t="shared" ref="R38" si="29">SUM(R39:R44)</f>
        <v>135988.20498000001</v>
      </c>
      <c r="S38" s="29">
        <f t="shared" ref="S38:AV38" si="30">SUM(S39:S44)</f>
        <v>182077.41039548296</v>
      </c>
      <c r="T38" s="29">
        <f t="shared" si="30"/>
        <v>248613.42526266509</v>
      </c>
      <c r="U38" s="29">
        <f t="shared" si="30"/>
        <v>51629.958893605508</v>
      </c>
      <c r="V38" s="29">
        <f t="shared" si="30"/>
        <v>58341.257397712077</v>
      </c>
      <c r="W38" s="29">
        <f t="shared" si="30"/>
        <v>63565.124474247306</v>
      </c>
      <c r="X38" s="29">
        <f t="shared" si="30"/>
        <v>66812.981299622217</v>
      </c>
      <c r="Y38" s="29">
        <f t="shared" si="30"/>
        <v>69468.977305278022</v>
      </c>
      <c r="Z38" s="29">
        <f t="shared" si="30"/>
        <v>71501.33926555721</v>
      </c>
      <c r="AA38" s="29">
        <f t="shared" si="30"/>
        <v>71387.913666163106</v>
      </c>
      <c r="AB38" s="29">
        <f t="shared" si="30"/>
        <v>71963.829222018467</v>
      </c>
      <c r="AC38" s="29">
        <f t="shared" si="30"/>
        <v>73625.803274930993</v>
      </c>
      <c r="AD38" s="29">
        <f t="shared" si="30"/>
        <v>77418.529934440172</v>
      </c>
      <c r="AE38" s="29">
        <f t="shared" si="30"/>
        <v>84268.455977906298</v>
      </c>
      <c r="AF38" s="29">
        <f t="shared" si="30"/>
        <v>95418.265925564177</v>
      </c>
      <c r="AG38" s="29">
        <f t="shared" si="30"/>
        <v>107057.44102370123</v>
      </c>
      <c r="AH38" s="29">
        <f t="shared" si="30"/>
        <v>117096.03379802081</v>
      </c>
      <c r="AI38" s="29">
        <f t="shared" si="30"/>
        <v>123150.76327456963</v>
      </c>
      <c r="AJ38" s="29">
        <f t="shared" si="30"/>
        <v>122920.15182203976</v>
      </c>
      <c r="AK38" s="29">
        <f t="shared" si="30"/>
        <v>112441.50541142041</v>
      </c>
      <c r="AL38" s="29">
        <f t="shared" si="30"/>
        <v>107173.77003248503</v>
      </c>
      <c r="AM38" s="29">
        <f t="shared" si="30"/>
        <v>106611.87102394519</v>
      </c>
      <c r="AN38" s="29">
        <f t="shared" si="30"/>
        <v>105454.52069604422</v>
      </c>
      <c r="AO38" s="29">
        <f t="shared" si="30"/>
        <v>134791.35165818289</v>
      </c>
      <c r="AP38" s="29">
        <f t="shared" si="30"/>
        <v>138637.46220917604</v>
      </c>
      <c r="AQ38" s="29">
        <f t="shared" si="30"/>
        <v>142137.06097867887</v>
      </c>
      <c r="AR38" s="29">
        <f t="shared" si="30"/>
        <v>145004.67290179656</v>
      </c>
      <c r="AS38" s="29">
        <f t="shared" si="30"/>
        <v>152478.9002837138</v>
      </c>
      <c r="AT38" s="29">
        <f t="shared" si="30"/>
        <v>233542.05277205052</v>
      </c>
      <c r="AU38" s="29">
        <f t="shared" si="30"/>
        <v>307221.76537495526</v>
      </c>
      <c r="AV38" s="29">
        <f t="shared" si="30"/>
        <v>307711.02586047497</v>
      </c>
      <c r="AW38" s="29">
        <f t="shared" ref="AW38:CB38" si="31">SUM(AW39:AW44)</f>
        <v>308561.00409774674</v>
      </c>
      <c r="AX38" s="29">
        <f t="shared" si="31"/>
        <v>319081.08898198348</v>
      </c>
      <c r="AY38" s="29">
        <f t="shared" si="31"/>
        <v>332885.87116465287</v>
      </c>
      <c r="AZ38" s="29">
        <f t="shared" si="31"/>
        <v>339325.83641610789</v>
      </c>
      <c r="BA38" s="29">
        <f t="shared" si="31"/>
        <v>346314.26733041677</v>
      </c>
      <c r="BB38" s="29">
        <f t="shared" si="31"/>
        <v>354519.88622876472</v>
      </c>
      <c r="BC38" s="29">
        <f t="shared" si="31"/>
        <v>364050.78119240678</v>
      </c>
      <c r="BD38" s="29">
        <f t="shared" si="31"/>
        <v>240017.83460955476</v>
      </c>
      <c r="BE38" s="29">
        <f t="shared" si="31"/>
        <v>227705.37082710947</v>
      </c>
      <c r="BF38" s="29">
        <f t="shared" si="31"/>
        <v>193331.7224954413</v>
      </c>
      <c r="BG38" s="29">
        <f t="shared" si="31"/>
        <v>154259.87030214834</v>
      </c>
      <c r="BH38" s="29">
        <f t="shared" si="31"/>
        <v>109847.66188352437</v>
      </c>
      <c r="BI38" s="29">
        <f t="shared" si="31"/>
        <v>59365.175236580049</v>
      </c>
      <c r="BJ38" s="29">
        <f t="shared" si="31"/>
        <v>-133568.75352641862</v>
      </c>
      <c r="BK38" s="29">
        <f t="shared" si="31"/>
        <v>0</v>
      </c>
      <c r="BL38" s="29">
        <f t="shared" si="31"/>
        <v>0</v>
      </c>
      <c r="BM38" s="29">
        <f t="shared" si="31"/>
        <v>0</v>
      </c>
      <c r="BN38" s="29">
        <f t="shared" si="31"/>
        <v>0</v>
      </c>
      <c r="BO38" s="29">
        <f t="shared" si="31"/>
        <v>0</v>
      </c>
      <c r="BP38" s="29">
        <f t="shared" si="31"/>
        <v>0</v>
      </c>
      <c r="BQ38" s="29">
        <f t="shared" si="31"/>
        <v>0</v>
      </c>
      <c r="BR38" s="29">
        <f t="shared" si="31"/>
        <v>0</v>
      </c>
      <c r="BS38" s="29">
        <f t="shared" si="31"/>
        <v>0</v>
      </c>
      <c r="BT38" s="29">
        <f t="shared" si="31"/>
        <v>0</v>
      </c>
      <c r="BU38" s="29">
        <f t="shared" si="31"/>
        <v>0</v>
      </c>
      <c r="BV38" s="29">
        <f t="shared" si="31"/>
        <v>0</v>
      </c>
      <c r="BW38" s="29">
        <f t="shared" si="31"/>
        <v>0</v>
      </c>
      <c r="BX38" s="29">
        <f t="shared" si="31"/>
        <v>0</v>
      </c>
      <c r="BY38" s="29">
        <f t="shared" si="31"/>
        <v>0</v>
      </c>
      <c r="BZ38" s="29">
        <f t="shared" si="31"/>
        <v>0</v>
      </c>
      <c r="CA38" s="29">
        <f t="shared" si="31"/>
        <v>0</v>
      </c>
      <c r="CB38" s="29">
        <f t="shared" si="31"/>
        <v>0</v>
      </c>
      <c r="CC38" s="29">
        <f t="shared" ref="CC38:DH38" si="32">SUM(CC39:CC44)</f>
        <v>0</v>
      </c>
      <c r="CD38" s="29">
        <f t="shared" si="32"/>
        <v>0</v>
      </c>
      <c r="CE38" s="29">
        <f t="shared" si="32"/>
        <v>0</v>
      </c>
      <c r="CF38" s="29">
        <f t="shared" si="32"/>
        <v>0</v>
      </c>
      <c r="CG38" s="29">
        <f t="shared" si="32"/>
        <v>0</v>
      </c>
      <c r="CH38" s="29">
        <f t="shared" si="32"/>
        <v>0</v>
      </c>
      <c r="CI38" s="29">
        <f t="shared" si="32"/>
        <v>0</v>
      </c>
      <c r="CJ38" s="29">
        <f t="shared" si="32"/>
        <v>0</v>
      </c>
      <c r="CK38" s="29">
        <f t="shared" si="32"/>
        <v>0</v>
      </c>
      <c r="CL38" s="29">
        <f t="shared" si="32"/>
        <v>0</v>
      </c>
      <c r="CM38" s="29">
        <f t="shared" si="32"/>
        <v>0</v>
      </c>
      <c r="CN38" s="29">
        <f t="shared" si="32"/>
        <v>0</v>
      </c>
      <c r="CO38" s="29">
        <f t="shared" si="32"/>
        <v>0</v>
      </c>
      <c r="CP38" s="29">
        <f t="shared" si="32"/>
        <v>0</v>
      </c>
      <c r="CQ38" s="29">
        <f t="shared" si="32"/>
        <v>0</v>
      </c>
      <c r="CR38" s="29">
        <f t="shared" si="32"/>
        <v>0</v>
      </c>
      <c r="CS38" s="29">
        <f t="shared" si="32"/>
        <v>0</v>
      </c>
      <c r="CT38" s="29">
        <f t="shared" si="32"/>
        <v>0</v>
      </c>
      <c r="CU38" s="29">
        <f t="shared" si="32"/>
        <v>0</v>
      </c>
      <c r="CV38" s="29">
        <f t="shared" si="32"/>
        <v>0</v>
      </c>
      <c r="CW38" s="29">
        <f t="shared" si="32"/>
        <v>0</v>
      </c>
      <c r="CX38" s="29">
        <f t="shared" si="32"/>
        <v>0</v>
      </c>
      <c r="CY38" s="29">
        <f t="shared" si="32"/>
        <v>0</v>
      </c>
      <c r="CZ38" s="29">
        <f t="shared" si="32"/>
        <v>0</v>
      </c>
      <c r="DA38" s="29">
        <f t="shared" si="32"/>
        <v>0</v>
      </c>
      <c r="DB38" s="29">
        <f t="shared" si="32"/>
        <v>0</v>
      </c>
      <c r="DC38" s="29">
        <f t="shared" si="32"/>
        <v>0</v>
      </c>
      <c r="DD38" s="29">
        <f t="shared" si="32"/>
        <v>0</v>
      </c>
      <c r="DE38" s="29">
        <f t="shared" si="32"/>
        <v>0</v>
      </c>
      <c r="DF38" s="29">
        <f t="shared" si="32"/>
        <v>0</v>
      </c>
      <c r="DG38" s="29">
        <f t="shared" si="32"/>
        <v>0</v>
      </c>
      <c r="DH38" s="29">
        <f t="shared" si="32"/>
        <v>0</v>
      </c>
      <c r="DI38" s="29">
        <f t="shared" ref="DI38:DP38" si="33">SUM(DI39:DI44)</f>
        <v>0</v>
      </c>
      <c r="DJ38" s="29">
        <f t="shared" si="33"/>
        <v>0</v>
      </c>
      <c r="DK38" s="29">
        <f t="shared" si="33"/>
        <v>0</v>
      </c>
      <c r="DL38" s="29">
        <f t="shared" si="33"/>
        <v>0</v>
      </c>
      <c r="DM38" s="29">
        <f t="shared" si="33"/>
        <v>0</v>
      </c>
      <c r="DN38" s="29">
        <f t="shared" si="33"/>
        <v>0</v>
      </c>
      <c r="DO38" s="29">
        <f t="shared" si="33"/>
        <v>0</v>
      </c>
      <c r="DP38" s="29">
        <f t="shared" si="33"/>
        <v>0</v>
      </c>
      <c r="DQ38" s="16"/>
    </row>
    <row r="39" spans="1:125" x14ac:dyDescent="0.2">
      <c r="C39" s="34" t="s">
        <v>33</v>
      </c>
      <c r="K39" s="144" t="s">
        <v>63</v>
      </c>
      <c r="R39" s="751">
        <f>Inputs!$L$215</f>
        <v>20000</v>
      </c>
      <c r="S39" s="63">
        <f>+R39 - CF!S48</f>
        <v>20000</v>
      </c>
      <c r="T39" s="63">
        <f>+S39 - CF!T48</f>
        <v>20000</v>
      </c>
      <c r="U39" s="63">
        <f>+T39 - CF!U48</f>
        <v>9878.1060939583367</v>
      </c>
      <c r="V39" s="63">
        <f>+U39 - CF!V48</f>
        <v>12616.097558921861</v>
      </c>
      <c r="W39" s="63">
        <f>+V39 - CF!W48</f>
        <v>15653.182921797337</v>
      </c>
      <c r="X39" s="63">
        <f>+W39 - CF!X48</f>
        <v>18496.88491650908</v>
      </c>
      <c r="Y39" s="63">
        <f>+X39 - CF!Y48</f>
        <v>20565.408951782316</v>
      </c>
      <c r="Z39" s="63">
        <f>+Y39 - CF!Z48</f>
        <v>21159.016610952393</v>
      </c>
      <c r="AA39" s="63">
        <f>+Z39 - CF!AA48</f>
        <v>19423.781875152086</v>
      </c>
      <c r="AB39" s="63">
        <f>+AA39 - CF!AB48</f>
        <v>18196.305968984969</v>
      </c>
      <c r="AC39" s="63">
        <f>+AB39 - CF!AC48</f>
        <v>18052.281591187533</v>
      </c>
      <c r="AD39" s="63">
        <f>+AC39 - CF!AD48</f>
        <v>19739.893757320926</v>
      </c>
      <c r="AE39" s="63">
        <f>+AD39 - CF!AE48</f>
        <v>24243.865008533932</v>
      </c>
      <c r="AF39" s="63">
        <f>+AE39 - CF!AF48</f>
        <v>32872.075977334389</v>
      </c>
      <c r="AG39" s="63">
        <f>+AF39 - CF!AG48</f>
        <v>41973.934033036086</v>
      </c>
      <c r="AH39" s="63">
        <f>+AG39 - CF!AH48</f>
        <v>49094.509709044716</v>
      </c>
      <c r="AI39" s="63">
        <f>+AH39 - CF!AI48</f>
        <v>51752.984463308487</v>
      </c>
      <c r="AJ39" s="63">
        <f>+AI39 - CF!AJ48</f>
        <v>47159.463581367825</v>
      </c>
      <c r="AK39" s="63">
        <f>+AJ39 - CF!AK48</f>
        <v>31919.541379036604</v>
      </c>
      <c r="AL39" s="63">
        <f>+AK39 - CF!AL48</f>
        <v>21991.531697785067</v>
      </c>
      <c r="AM39" s="63">
        <f>+AL39 - CF!AM48</f>
        <v>16325.518905281609</v>
      </c>
      <c r="AN39" s="63">
        <f>+AM39 - CF!AN48</f>
        <v>14470.359891956416</v>
      </c>
      <c r="AO39" s="63">
        <f>+AN39 - CF!AO48</f>
        <v>16481.184737764808</v>
      </c>
      <c r="AP39" s="63">
        <f>+AO39 - CF!AP48</f>
        <v>22896.100451764207</v>
      </c>
      <c r="AQ39" s="63">
        <f>+AP39 - CF!AQ48</f>
        <v>30665.730209618927</v>
      </c>
      <c r="AR39" s="63">
        <f>+AQ39 - CF!AR48</f>
        <v>38813.995251982633</v>
      </c>
      <c r="AS39" s="63">
        <f>+AR39 - CF!AS48</f>
        <v>46010.550278753377</v>
      </c>
      <c r="AT39" s="63">
        <f>+AS39 - CF!AT48</f>
        <v>50432.455875650994</v>
      </c>
      <c r="AU39" s="63">
        <f>+AT39 - CF!AU48</f>
        <v>49572.017634016469</v>
      </c>
      <c r="AV39" s="63">
        <f>+AU39 - CF!AV48</f>
        <v>49078.557792993728</v>
      </c>
      <c r="AW39" s="63">
        <f>+AV39 - CF!AW48</f>
        <v>49457.653113859822</v>
      </c>
      <c r="AX39" s="63">
        <f>+AW39 - CF!AX48</f>
        <v>51267.429626476769</v>
      </c>
      <c r="AY39" s="63">
        <f>+AX39 - CF!AY48</f>
        <v>55124.977731993538</v>
      </c>
      <c r="AZ39" s="63">
        <f>+AY39 - CF!AZ48</f>
        <v>61713.531747568784</v>
      </c>
      <c r="BA39" s="63">
        <f>+AZ39 - CF!BA48</f>
        <v>69167.390896627199</v>
      </c>
      <c r="BB39" s="63">
        <f>+BA39 - CF!BB48</f>
        <v>77704.401350689863</v>
      </c>
      <c r="BC39" s="63">
        <f>+BB39 - CF!BC48</f>
        <v>87584.085926721658</v>
      </c>
      <c r="BD39" s="63">
        <f>+BC39 - CF!BD48</f>
        <v>99114.762919822184</v>
      </c>
      <c r="BE39" s="63">
        <f>+BD39 - CF!BE48</f>
        <v>0</v>
      </c>
      <c r="BF39" s="63">
        <f>+BE39 - CF!BF48</f>
        <v>0</v>
      </c>
      <c r="BG39" s="63">
        <f>+BF39 - CF!BG48</f>
        <v>0</v>
      </c>
      <c r="BH39" s="63">
        <f>+BG39 - CF!BH48</f>
        <v>0</v>
      </c>
      <c r="BI39" s="63">
        <f>+BH39 - CF!BI48</f>
        <v>0</v>
      </c>
      <c r="BJ39" s="63">
        <f>+BI39 - CF!BJ48</f>
        <v>0</v>
      </c>
      <c r="BK39" s="63">
        <f>+BJ39 - CF!BK48</f>
        <v>0</v>
      </c>
      <c r="BL39" s="63">
        <f>+BK39 - CF!BL48</f>
        <v>0</v>
      </c>
      <c r="BM39" s="63">
        <f>+BL39 - CF!BM48</f>
        <v>0</v>
      </c>
      <c r="BN39" s="63">
        <f>+BM39 - CF!BN48</f>
        <v>0</v>
      </c>
      <c r="BO39" s="63">
        <f>+BN39 - CF!BO48</f>
        <v>0</v>
      </c>
      <c r="BP39" s="63">
        <f>+BO39 - CF!BP48</f>
        <v>0</v>
      </c>
      <c r="BQ39" s="63">
        <f>+BP39 - CF!BQ48</f>
        <v>0</v>
      </c>
      <c r="BR39" s="63">
        <f>+BQ39 - CF!BR48</f>
        <v>0</v>
      </c>
      <c r="BS39" s="63">
        <f>+BR39 - CF!BS48</f>
        <v>0</v>
      </c>
      <c r="BT39" s="63">
        <f>+BS39 - CF!BT48</f>
        <v>0</v>
      </c>
      <c r="BU39" s="63">
        <f>+BT39 - CF!BU48</f>
        <v>0</v>
      </c>
      <c r="BV39" s="63">
        <f>+BU39 - CF!BV48</f>
        <v>0</v>
      </c>
      <c r="BW39" s="63">
        <f>+BV39 - CF!BW48</f>
        <v>0</v>
      </c>
      <c r="BX39" s="63">
        <f>+BW39 - CF!BX48</f>
        <v>0</v>
      </c>
      <c r="BY39" s="63">
        <f>+BX39 - CF!BY48</f>
        <v>0</v>
      </c>
      <c r="BZ39" s="63">
        <f>+BY39 - CF!BZ48</f>
        <v>0</v>
      </c>
      <c r="CA39" s="63">
        <f>+BZ39 - CF!CA48</f>
        <v>0</v>
      </c>
      <c r="CB39" s="63">
        <f>+CA39 - CF!CB48</f>
        <v>0</v>
      </c>
      <c r="CC39" s="63">
        <f>+CB39 - CF!CC48</f>
        <v>0</v>
      </c>
      <c r="CD39" s="63">
        <f>+CC39 - CF!CD48</f>
        <v>0</v>
      </c>
      <c r="CE39" s="63">
        <f>+CD39 - CF!CE48</f>
        <v>0</v>
      </c>
      <c r="CF39" s="63">
        <f>+CE39 - CF!CF48</f>
        <v>0</v>
      </c>
      <c r="CG39" s="63">
        <f>+CF39 - CF!CG48</f>
        <v>0</v>
      </c>
      <c r="CH39" s="63">
        <f>+CG39 - CF!CH48</f>
        <v>0</v>
      </c>
      <c r="CI39" s="63">
        <f>+CH39 - CF!CI48</f>
        <v>0</v>
      </c>
      <c r="CJ39" s="63">
        <f>+CI39 - CF!CJ48</f>
        <v>0</v>
      </c>
      <c r="CK39" s="63">
        <f>+CJ39 - CF!CK48</f>
        <v>0</v>
      </c>
      <c r="CL39" s="63">
        <f>+CK39 - CF!CL48</f>
        <v>0</v>
      </c>
      <c r="CM39" s="63">
        <f>+CL39 - CF!CM48</f>
        <v>0</v>
      </c>
      <c r="CN39" s="63">
        <f>+CM39 - CF!CN48</f>
        <v>0</v>
      </c>
      <c r="CO39" s="63">
        <f>+CN39 - CF!CO48</f>
        <v>0</v>
      </c>
      <c r="CP39" s="63">
        <f>+CO39 - CF!CP48</f>
        <v>0</v>
      </c>
      <c r="CQ39" s="63">
        <f>+CP39 - CF!CQ48</f>
        <v>0</v>
      </c>
      <c r="CR39" s="63">
        <f>+CQ39 - CF!CR48</f>
        <v>0</v>
      </c>
      <c r="CS39" s="63">
        <f>+CR39 - CF!CS48</f>
        <v>0</v>
      </c>
      <c r="CT39" s="63">
        <f>+CS39 - CF!CT48</f>
        <v>0</v>
      </c>
      <c r="CU39" s="63">
        <f>+CT39 - CF!CU48</f>
        <v>0</v>
      </c>
      <c r="CV39" s="63">
        <f>+CU39 - CF!CV48</f>
        <v>0</v>
      </c>
      <c r="CW39" s="63">
        <f>+CV39 - CF!CW48</f>
        <v>0</v>
      </c>
      <c r="CX39" s="63">
        <f>+CW39 - CF!CX48</f>
        <v>0</v>
      </c>
      <c r="CY39" s="63">
        <f>+CX39 - CF!CY48</f>
        <v>0</v>
      </c>
      <c r="CZ39" s="63">
        <f>+CY39 - CF!CZ48</f>
        <v>0</v>
      </c>
      <c r="DA39" s="63">
        <f>+CZ39 - CF!DA48</f>
        <v>0</v>
      </c>
      <c r="DB39" s="63">
        <f>+DA39 - CF!DB48</f>
        <v>0</v>
      </c>
      <c r="DC39" s="63">
        <f>+DB39 - CF!DC48</f>
        <v>0</v>
      </c>
      <c r="DD39" s="63">
        <f>+DC39 - CF!DD48</f>
        <v>0</v>
      </c>
      <c r="DE39" s="63">
        <f>+DD39 - CF!DE48</f>
        <v>0</v>
      </c>
      <c r="DF39" s="63">
        <f>+DE39 - CF!DF48</f>
        <v>0</v>
      </c>
      <c r="DG39" s="63">
        <f>+DF39 - CF!DG48</f>
        <v>0</v>
      </c>
      <c r="DH39" s="63">
        <f>+DG39 - CF!DH48</f>
        <v>0</v>
      </c>
      <c r="DI39" s="63">
        <f>+DH39 - CF!DI48</f>
        <v>0</v>
      </c>
      <c r="DJ39" s="63">
        <f>+DI39 - CF!DJ48</f>
        <v>0</v>
      </c>
      <c r="DK39" s="63">
        <f>+DJ39 - CF!DK48</f>
        <v>0</v>
      </c>
      <c r="DL39" s="63">
        <f>+DK39 - CF!DL48</f>
        <v>0</v>
      </c>
      <c r="DM39" s="63">
        <f>+DL39 - CF!DM48</f>
        <v>0</v>
      </c>
      <c r="DN39" s="63">
        <f>+DM39 - CF!DN48</f>
        <v>0</v>
      </c>
      <c r="DO39" s="63">
        <f>+DN39 - CF!DO48</f>
        <v>0</v>
      </c>
      <c r="DP39" s="63">
        <f>+DO39 - CF!DP48</f>
        <v>0</v>
      </c>
      <c r="DQ39" s="16"/>
    </row>
    <row r="40" spans="1:125" x14ac:dyDescent="0.2">
      <c r="C40" s="34" t="s">
        <v>43</v>
      </c>
      <c r="K40" s="144" t="s">
        <v>63</v>
      </c>
      <c r="R40" s="751">
        <f>Inputs!$L$216</f>
        <v>61500</v>
      </c>
      <c r="S40" s="63">
        <f>+R40 - CF!S49</f>
        <v>61500</v>
      </c>
      <c r="T40" s="63">
        <f>+S40 - CF!T49</f>
        <v>61500</v>
      </c>
      <c r="U40" s="63">
        <f>+T40 - CF!U49</f>
        <v>39769.130469647171</v>
      </c>
      <c r="V40" s="63">
        <f>+U40 - CF!V49</f>
        <v>43742.437508790208</v>
      </c>
      <c r="W40" s="63">
        <f>+V40 - CF!W49</f>
        <v>45929.219222449974</v>
      </c>
      <c r="X40" s="63">
        <f>+W40 - CF!X49</f>
        <v>46333.374053113141</v>
      </c>
      <c r="Y40" s="63">
        <f>+X40 - CF!Y49</f>
        <v>46920.846023495702</v>
      </c>
      <c r="Z40" s="63">
        <f>+Y40 - CF!Z49</f>
        <v>48359.600324604813</v>
      </c>
      <c r="AA40" s="63">
        <f>+Z40 - CF!AA49</f>
        <v>49981.409461011019</v>
      </c>
      <c r="AB40" s="63">
        <f>+AA40 - CF!AB49</f>
        <v>51784.800923033494</v>
      </c>
      <c r="AC40" s="63">
        <f>+AB40 - CF!AC49</f>
        <v>53590.79935374346</v>
      </c>
      <c r="AD40" s="63">
        <f>+AC40 - CF!AD49</f>
        <v>55695.913847119249</v>
      </c>
      <c r="AE40" s="63">
        <f>+AD40 - CF!AE49</f>
        <v>58041.868639372362</v>
      </c>
      <c r="AF40" s="63">
        <f>+AE40 - CF!AF49</f>
        <v>60563.467618229792</v>
      </c>
      <c r="AG40" s="63">
        <f>+AF40 - CF!AG49</f>
        <v>63100.784660665151</v>
      </c>
      <c r="AH40" s="63">
        <f>+AG40 - CF!AH49</f>
        <v>66018.801758976086</v>
      </c>
      <c r="AI40" s="63">
        <f>+AH40 - CF!AI49</f>
        <v>69415.056481261141</v>
      </c>
      <c r="AJ40" s="63">
        <f>+AI40 - CF!AJ49</f>
        <v>73777.965910671934</v>
      </c>
      <c r="AK40" s="63">
        <f>+AJ40 - CF!AK49</f>
        <v>78539.241702383806</v>
      </c>
      <c r="AL40" s="63">
        <f>+AK40 - CF!AL49</f>
        <v>83199.516004699966</v>
      </c>
      <c r="AM40" s="63">
        <f>+AL40 - CF!AM49</f>
        <v>88303.629788663573</v>
      </c>
      <c r="AN40" s="63">
        <f>+AM40 - CF!AN49</f>
        <v>89001.438474087801</v>
      </c>
      <c r="AO40" s="63">
        <f>+AN40 - CF!AO49</f>
        <v>116327.44459041808</v>
      </c>
      <c r="AP40" s="63">
        <f>+AO40 - CF!AP49</f>
        <v>113758.63942741184</v>
      </c>
      <c r="AQ40" s="63">
        <f>+AP40 - CF!AQ49</f>
        <v>109488.60843905996</v>
      </c>
      <c r="AR40" s="63">
        <f>+AQ40 - CF!AR49</f>
        <v>104207.95531981395</v>
      </c>
      <c r="AS40" s="63">
        <f>+AR40 - CF!AS49</f>
        <v>104485.62767496044</v>
      </c>
      <c r="AT40" s="63">
        <f>+AS40 - CF!AT49</f>
        <v>181126.87456639955</v>
      </c>
      <c r="AU40" s="63">
        <f>+AT40 - CF!AU49</f>
        <v>255667.02541093878</v>
      </c>
      <c r="AV40" s="63">
        <f>+AU40 - CF!AV49</f>
        <v>256649.74573748122</v>
      </c>
      <c r="AW40" s="63">
        <f>+AV40 - CF!AW49</f>
        <v>257120.6286538869</v>
      </c>
      <c r="AX40" s="63">
        <f>+AW40 - CF!AX49</f>
        <v>265830.93702550669</v>
      </c>
      <c r="AY40" s="63">
        <f>+AX40 - CF!AY49</f>
        <v>275778.17110265931</v>
      </c>
      <c r="AZ40" s="63">
        <f>+AY40 - CF!AZ49</f>
        <v>275629.58233853907</v>
      </c>
      <c r="BA40" s="63">
        <f>+AZ40 - CF!BA49</f>
        <v>275164.15410378954</v>
      </c>
      <c r="BB40" s="63">
        <f>+BA40 - CF!BB49</f>
        <v>274832.76254807482</v>
      </c>
      <c r="BC40" s="63">
        <f>+BB40 - CF!BC49</f>
        <v>274483.97293568513</v>
      </c>
      <c r="BD40" s="63">
        <f>+BC40 - CF!BD49</f>
        <v>138920.34935973259</v>
      </c>
      <c r="BE40" s="63">
        <f>+BD40 - CF!BE49</f>
        <v>0</v>
      </c>
      <c r="BF40" s="63">
        <f>+BE40 - CF!BF49</f>
        <v>0</v>
      </c>
      <c r="BG40" s="63">
        <f>+BF40 - CF!BG49</f>
        <v>0</v>
      </c>
      <c r="BH40" s="63">
        <f>+BG40 - CF!BH49</f>
        <v>0</v>
      </c>
      <c r="BI40" s="63">
        <f>+BH40 - CF!BI49</f>
        <v>0</v>
      </c>
      <c r="BJ40" s="63">
        <f>+BI40 - CF!BJ49</f>
        <v>0</v>
      </c>
      <c r="BK40" s="63">
        <f>+BJ40 - CF!BK49</f>
        <v>0</v>
      </c>
      <c r="BL40" s="63">
        <f>+BK40 - CF!BL49</f>
        <v>0</v>
      </c>
      <c r="BM40" s="63">
        <f>+BL40 - CF!BM49</f>
        <v>0</v>
      </c>
      <c r="BN40" s="63">
        <f>+BM40 - CF!BN49</f>
        <v>0</v>
      </c>
      <c r="BO40" s="63">
        <f>+BN40 - CF!BO49</f>
        <v>0</v>
      </c>
      <c r="BP40" s="63">
        <f>+BO40 - CF!BP49</f>
        <v>0</v>
      </c>
      <c r="BQ40" s="63">
        <f>+BP40 - CF!BQ49</f>
        <v>0</v>
      </c>
      <c r="BR40" s="63">
        <f>+BQ40 - CF!BR49</f>
        <v>0</v>
      </c>
      <c r="BS40" s="63">
        <f>+BR40 - CF!BS49</f>
        <v>0</v>
      </c>
      <c r="BT40" s="63">
        <f>+BS40 - CF!BT49</f>
        <v>0</v>
      </c>
      <c r="BU40" s="63">
        <f>+BT40 - CF!BU49</f>
        <v>0</v>
      </c>
      <c r="BV40" s="63">
        <f>+BU40 - CF!BV49</f>
        <v>0</v>
      </c>
      <c r="BW40" s="63">
        <f>+BV40 - CF!BW49</f>
        <v>0</v>
      </c>
      <c r="BX40" s="63">
        <f>+BW40 - CF!BX49</f>
        <v>0</v>
      </c>
      <c r="BY40" s="63">
        <f>+BX40 - CF!BY49</f>
        <v>0</v>
      </c>
      <c r="BZ40" s="63">
        <f>+BY40 - CF!BZ49</f>
        <v>0</v>
      </c>
      <c r="CA40" s="63">
        <f>+BZ40 - CF!CA49</f>
        <v>0</v>
      </c>
      <c r="CB40" s="63">
        <f>+CA40 - CF!CB49</f>
        <v>0</v>
      </c>
      <c r="CC40" s="63">
        <f>+CB40 - CF!CC49</f>
        <v>0</v>
      </c>
      <c r="CD40" s="63">
        <f>+CC40 - CF!CD49</f>
        <v>0</v>
      </c>
      <c r="CE40" s="63">
        <f>+CD40 - CF!CE49</f>
        <v>0</v>
      </c>
      <c r="CF40" s="63">
        <f>+CE40 - CF!CF49</f>
        <v>0</v>
      </c>
      <c r="CG40" s="63">
        <f>+CF40 - CF!CG49</f>
        <v>0</v>
      </c>
      <c r="CH40" s="63">
        <f>+CG40 - CF!CH49</f>
        <v>0</v>
      </c>
      <c r="CI40" s="63">
        <f>+CH40 - CF!CI49</f>
        <v>0</v>
      </c>
      <c r="CJ40" s="63">
        <f>+CI40 - CF!CJ49</f>
        <v>0</v>
      </c>
      <c r="CK40" s="63">
        <f>+CJ40 - CF!CK49</f>
        <v>0</v>
      </c>
      <c r="CL40" s="63">
        <f>+CK40 - CF!CL49</f>
        <v>0</v>
      </c>
      <c r="CM40" s="63">
        <f>+CL40 - CF!CM49</f>
        <v>0</v>
      </c>
      <c r="CN40" s="63">
        <f>+CM40 - CF!CN49</f>
        <v>0</v>
      </c>
      <c r="CO40" s="63">
        <f>+CN40 - CF!CO49</f>
        <v>0</v>
      </c>
      <c r="CP40" s="63">
        <f>+CO40 - CF!CP49</f>
        <v>0</v>
      </c>
      <c r="CQ40" s="63">
        <f>+CP40 - CF!CQ49</f>
        <v>0</v>
      </c>
      <c r="CR40" s="63">
        <f>+CQ40 - CF!CR49</f>
        <v>0</v>
      </c>
      <c r="CS40" s="63">
        <f>+CR40 - CF!CS49</f>
        <v>0</v>
      </c>
      <c r="CT40" s="63">
        <f>+CS40 - CF!CT49</f>
        <v>0</v>
      </c>
      <c r="CU40" s="63">
        <f>+CT40 - CF!CU49</f>
        <v>0</v>
      </c>
      <c r="CV40" s="63">
        <f>+CU40 - CF!CV49</f>
        <v>0</v>
      </c>
      <c r="CW40" s="63">
        <f>+CV40 - CF!CW49</f>
        <v>0</v>
      </c>
      <c r="CX40" s="63">
        <f>+CW40 - CF!CX49</f>
        <v>0</v>
      </c>
      <c r="CY40" s="63">
        <f>+CX40 - CF!CY49</f>
        <v>0</v>
      </c>
      <c r="CZ40" s="63">
        <f>+CY40 - CF!CZ49</f>
        <v>0</v>
      </c>
      <c r="DA40" s="63">
        <f>+CZ40 - CF!DA49</f>
        <v>0</v>
      </c>
      <c r="DB40" s="63">
        <f>+DA40 - CF!DB49</f>
        <v>0</v>
      </c>
      <c r="DC40" s="63">
        <f>+DB40 - CF!DC49</f>
        <v>0</v>
      </c>
      <c r="DD40" s="63">
        <f>+DC40 - CF!DD49</f>
        <v>0</v>
      </c>
      <c r="DE40" s="63">
        <f>+DD40 - CF!DE49</f>
        <v>0</v>
      </c>
      <c r="DF40" s="63">
        <f>+DE40 - CF!DF49</f>
        <v>0</v>
      </c>
      <c r="DG40" s="63">
        <f>+DF40 - CF!DG49</f>
        <v>0</v>
      </c>
      <c r="DH40" s="63">
        <f>+DG40 - CF!DH49</f>
        <v>0</v>
      </c>
      <c r="DI40" s="63">
        <f>+DH40 - CF!DI49</f>
        <v>0</v>
      </c>
      <c r="DJ40" s="63">
        <f>+DI40 - CF!DJ49</f>
        <v>0</v>
      </c>
      <c r="DK40" s="63">
        <f>+DJ40 - CF!DK49</f>
        <v>0</v>
      </c>
      <c r="DL40" s="63">
        <f>+DK40 - CF!DL49</f>
        <v>0</v>
      </c>
      <c r="DM40" s="63">
        <f>+DL40 - CF!DM49</f>
        <v>0</v>
      </c>
      <c r="DN40" s="63">
        <f>+DM40 - CF!DN49</f>
        <v>0</v>
      </c>
      <c r="DO40" s="63">
        <f>+DN40 - CF!DO49</f>
        <v>0</v>
      </c>
      <c r="DP40" s="63">
        <f>+DO40 - CF!DP49</f>
        <v>0</v>
      </c>
      <c r="DQ40" s="16"/>
    </row>
    <row r="41" spans="1:125" x14ac:dyDescent="0.2">
      <c r="C41" s="85" t="s">
        <v>314</v>
      </c>
      <c r="K41" s="144" t="s">
        <v>63</v>
      </c>
      <c r="R41" s="751">
        <f>Inputs!$L$217</f>
        <v>1982.7223300000005</v>
      </c>
      <c r="S41" s="63">
        <f>+R41 - CF!S33</f>
        <v>1982.7223300000005</v>
      </c>
      <c r="T41" s="63">
        <f>+S41 - CF!T33</f>
        <v>1982.7223300000005</v>
      </c>
      <c r="U41" s="63">
        <f>+T41 - CF!U33</f>
        <v>1982.7223300000005</v>
      </c>
      <c r="V41" s="63">
        <f>+U41 - CF!V33</f>
        <v>1982.7223300000005</v>
      </c>
      <c r="W41" s="63">
        <f>+V41 - CF!W33</f>
        <v>1982.7223300000005</v>
      </c>
      <c r="X41" s="63">
        <f>+W41 - CF!X33</f>
        <v>1982.7223300000005</v>
      </c>
      <c r="Y41" s="63">
        <f>+X41 - CF!Y33</f>
        <v>1982.7223300000005</v>
      </c>
      <c r="Z41" s="63">
        <f>+Y41 - CF!Z33</f>
        <v>1982.7223300000005</v>
      </c>
      <c r="AA41" s="63">
        <f>+Z41 - CF!AA33</f>
        <v>1982.7223300000005</v>
      </c>
      <c r="AB41" s="63">
        <f>+AA41 - CF!AB33</f>
        <v>1982.7223300000005</v>
      </c>
      <c r="AC41" s="63">
        <f>+AB41 - CF!AC33</f>
        <v>1982.7223300000005</v>
      </c>
      <c r="AD41" s="63">
        <f>+AC41 - CF!AD33</f>
        <v>1982.7223300000005</v>
      </c>
      <c r="AE41" s="63">
        <f>+AD41 - CF!AE33</f>
        <v>1982.7223300000005</v>
      </c>
      <c r="AF41" s="63">
        <f>+AE41 - CF!AF33</f>
        <v>1982.7223300000005</v>
      </c>
      <c r="AG41" s="63">
        <f>+AF41 - CF!AG33</f>
        <v>1982.7223300000005</v>
      </c>
      <c r="AH41" s="63">
        <f>+AG41 - CF!AH33</f>
        <v>1982.7223300000005</v>
      </c>
      <c r="AI41" s="63">
        <f>+AH41 - CF!AI33</f>
        <v>1982.7223300000005</v>
      </c>
      <c r="AJ41" s="63">
        <f>+AI41 - CF!AJ33</f>
        <v>1982.7223300000005</v>
      </c>
      <c r="AK41" s="63">
        <f>+AJ41 - CF!AK33</f>
        <v>1982.7223300000005</v>
      </c>
      <c r="AL41" s="63">
        <f>+AK41 - CF!AL33</f>
        <v>1982.7223300000005</v>
      </c>
      <c r="AM41" s="63">
        <f>+AL41 - CF!AM33</f>
        <v>1982.7223300000005</v>
      </c>
      <c r="AN41" s="63">
        <f>+AM41 - CF!AN33</f>
        <v>1982.7223300000005</v>
      </c>
      <c r="AO41" s="63">
        <f>+AN41 - CF!AO33</f>
        <v>1982.7223300000005</v>
      </c>
      <c r="AP41" s="63">
        <f>+AO41 - CF!AP33</f>
        <v>1982.7223300000005</v>
      </c>
      <c r="AQ41" s="63">
        <f>+AP41 - CF!AQ33</f>
        <v>1982.7223300000005</v>
      </c>
      <c r="AR41" s="63">
        <f>+AQ41 - CF!AR33</f>
        <v>1982.7223300000005</v>
      </c>
      <c r="AS41" s="63">
        <f>+AR41 - CF!AS33</f>
        <v>1982.7223300000005</v>
      </c>
      <c r="AT41" s="63">
        <f>+AS41 - CF!AT33</f>
        <v>1982.7223300000005</v>
      </c>
      <c r="AU41" s="63">
        <f>+AT41 - CF!AU33</f>
        <v>1982.7223300000005</v>
      </c>
      <c r="AV41" s="63">
        <f>+AU41 - CF!AV33</f>
        <v>1982.7223300000005</v>
      </c>
      <c r="AW41" s="63">
        <f>+AV41 - CF!AW33</f>
        <v>1982.7223300000005</v>
      </c>
      <c r="AX41" s="63">
        <f>+AW41 - CF!AX33</f>
        <v>1982.7223300000005</v>
      </c>
      <c r="AY41" s="63">
        <f>+AX41 - CF!AY33</f>
        <v>1982.7223300000005</v>
      </c>
      <c r="AZ41" s="63">
        <f>+AY41 - CF!AZ33</f>
        <v>1982.7223300000005</v>
      </c>
      <c r="BA41" s="63">
        <f>+AZ41 - CF!BA33</f>
        <v>1982.7223300000005</v>
      </c>
      <c r="BB41" s="63">
        <f>+BA41 - CF!BB33</f>
        <v>1982.7223300000005</v>
      </c>
      <c r="BC41" s="63">
        <f>+BB41 - CF!BC33</f>
        <v>1982.7223300000005</v>
      </c>
      <c r="BD41" s="63">
        <f>+BC41 - CF!BD33</f>
        <v>1982.7223300000005</v>
      </c>
      <c r="BE41" s="63">
        <f>+BD41 - CF!BE33</f>
        <v>1982.7223300000005</v>
      </c>
      <c r="BF41" s="63">
        <f>+BE41 - CF!BF33</f>
        <v>1982.7223300000005</v>
      </c>
      <c r="BG41" s="63">
        <f>+BF41 - CF!BG33</f>
        <v>1982.7223300000005</v>
      </c>
      <c r="BH41" s="63">
        <f>+BG41 - CF!BH33</f>
        <v>1982.7223300000005</v>
      </c>
      <c r="BI41" s="63">
        <f>+BH41 - CF!BI33</f>
        <v>1982.7223300000005</v>
      </c>
      <c r="BJ41" s="63">
        <f>+BI41 - CF!BJ33</f>
        <v>0</v>
      </c>
      <c r="BK41" s="63">
        <f>+BJ41 - CF!BK33</f>
        <v>0</v>
      </c>
      <c r="BL41" s="63">
        <f>+BK41 - CF!BL33</f>
        <v>0</v>
      </c>
      <c r="BM41" s="63">
        <f>+BL41 - CF!BM33</f>
        <v>0</v>
      </c>
      <c r="BN41" s="63">
        <f>+BM41 - CF!BN33</f>
        <v>0</v>
      </c>
      <c r="BO41" s="63">
        <f>+BN41 - CF!BO33</f>
        <v>0</v>
      </c>
      <c r="BP41" s="63">
        <f>+BO41 - CF!BP33</f>
        <v>0</v>
      </c>
      <c r="BQ41" s="63">
        <f>+BP41 - CF!BQ33</f>
        <v>0</v>
      </c>
      <c r="BR41" s="63">
        <f>+BQ41 - CF!BR33</f>
        <v>0</v>
      </c>
      <c r="BS41" s="63">
        <f>+BR41 - CF!BS33</f>
        <v>0</v>
      </c>
      <c r="BT41" s="63">
        <f>+BS41 - CF!BT33</f>
        <v>0</v>
      </c>
      <c r="BU41" s="63">
        <f>+BT41 - CF!BU33</f>
        <v>0</v>
      </c>
      <c r="BV41" s="63">
        <f>+BU41 - CF!BV33</f>
        <v>0</v>
      </c>
      <c r="BW41" s="63">
        <f>+BV41 - CF!BW33</f>
        <v>0</v>
      </c>
      <c r="BX41" s="63">
        <f>+BW41 - CF!BX33</f>
        <v>0</v>
      </c>
      <c r="BY41" s="63">
        <f>+BX41 - CF!BY33</f>
        <v>0</v>
      </c>
      <c r="BZ41" s="63">
        <f>+BY41 - CF!BZ33</f>
        <v>0</v>
      </c>
      <c r="CA41" s="63">
        <f>+BZ41 - CF!CA33</f>
        <v>0</v>
      </c>
      <c r="CB41" s="63">
        <f>+CA41 - CF!CB33</f>
        <v>0</v>
      </c>
      <c r="CC41" s="63">
        <f>+CB41 - CF!CC33</f>
        <v>0</v>
      </c>
      <c r="CD41" s="63">
        <f>+CC41 - CF!CD33</f>
        <v>0</v>
      </c>
      <c r="CE41" s="63">
        <f>+CD41 - CF!CE33</f>
        <v>0</v>
      </c>
      <c r="CF41" s="63">
        <f>+CE41 - CF!CF33</f>
        <v>0</v>
      </c>
      <c r="CG41" s="63">
        <f>+CF41 - CF!CG33</f>
        <v>0</v>
      </c>
      <c r="CH41" s="63">
        <f>+CG41 - CF!CH33</f>
        <v>0</v>
      </c>
      <c r="CI41" s="63">
        <f>+CH41 - CF!CI33</f>
        <v>0</v>
      </c>
      <c r="CJ41" s="63">
        <f>+CI41 - CF!CJ33</f>
        <v>0</v>
      </c>
      <c r="CK41" s="63">
        <f>+CJ41 - CF!CK33</f>
        <v>0</v>
      </c>
      <c r="CL41" s="63">
        <f>+CK41 - CF!CL33</f>
        <v>0</v>
      </c>
      <c r="CM41" s="63">
        <f>+CL41 - CF!CM33</f>
        <v>0</v>
      </c>
      <c r="CN41" s="63">
        <f>+CM41 - CF!CN33</f>
        <v>0</v>
      </c>
      <c r="CO41" s="63">
        <f>+CN41 - CF!CO33</f>
        <v>0</v>
      </c>
      <c r="CP41" s="63">
        <f>+CO41 - CF!CP33</f>
        <v>0</v>
      </c>
      <c r="CQ41" s="63">
        <f>+CP41 - CF!CQ33</f>
        <v>0</v>
      </c>
      <c r="CR41" s="63">
        <f>+CQ41 - CF!CR33</f>
        <v>0</v>
      </c>
      <c r="CS41" s="63">
        <f>+CR41 - CF!CS33</f>
        <v>0</v>
      </c>
      <c r="CT41" s="63">
        <f>+CS41 - CF!CT33</f>
        <v>0</v>
      </c>
      <c r="CU41" s="63">
        <f>+CT41 - CF!CU33</f>
        <v>0</v>
      </c>
      <c r="CV41" s="63">
        <f>+CU41 - CF!CV33</f>
        <v>0</v>
      </c>
      <c r="CW41" s="63">
        <f>+CV41 - CF!CW33</f>
        <v>0</v>
      </c>
      <c r="CX41" s="63">
        <f>+CW41 - CF!CX33</f>
        <v>0</v>
      </c>
      <c r="CY41" s="63">
        <f>+CX41 - CF!CY33</f>
        <v>0</v>
      </c>
      <c r="CZ41" s="63">
        <f>+CY41 - CF!CZ33</f>
        <v>0</v>
      </c>
      <c r="DA41" s="63">
        <f>+CZ41 - CF!DA33</f>
        <v>0</v>
      </c>
      <c r="DB41" s="63">
        <f>+DA41 - CF!DB33</f>
        <v>0</v>
      </c>
      <c r="DC41" s="63">
        <f>+DB41 - CF!DC33</f>
        <v>0</v>
      </c>
      <c r="DD41" s="63">
        <f>+DC41 - CF!DD33</f>
        <v>0</v>
      </c>
      <c r="DE41" s="63">
        <f>+DD41 - CF!DE33</f>
        <v>0</v>
      </c>
      <c r="DF41" s="63">
        <f>+DE41 - CF!DF33</f>
        <v>0</v>
      </c>
      <c r="DG41" s="63">
        <f>+DF41 - CF!DG33</f>
        <v>0</v>
      </c>
      <c r="DH41" s="63">
        <f>+DG41 - CF!DH33</f>
        <v>0</v>
      </c>
      <c r="DI41" s="63">
        <f>+DH41 - CF!DI33</f>
        <v>0</v>
      </c>
      <c r="DJ41" s="63">
        <f>+DI41 - CF!DJ33</f>
        <v>0</v>
      </c>
      <c r="DK41" s="63">
        <f>+DJ41 - CF!DK33</f>
        <v>0</v>
      </c>
      <c r="DL41" s="63">
        <f>+DK41 - CF!DL33</f>
        <v>0</v>
      </c>
      <c r="DM41" s="63">
        <f>+DL41 - CF!DM33</f>
        <v>0</v>
      </c>
      <c r="DN41" s="63">
        <f>+DM41 - CF!DN33</f>
        <v>0</v>
      </c>
      <c r="DO41" s="63">
        <f>+DN41 - CF!DO33</f>
        <v>0</v>
      </c>
      <c r="DP41" s="63">
        <f>+DO41 - CF!DP33</f>
        <v>0</v>
      </c>
      <c r="DQ41" s="16"/>
    </row>
    <row r="42" spans="1:125" x14ac:dyDescent="0.2">
      <c r="C42" s="85" t="s">
        <v>318</v>
      </c>
      <c r="K42" s="144" t="s">
        <v>63</v>
      </c>
      <c r="R42" s="752">
        <f>Inputs!$L$218</f>
        <v>0</v>
      </c>
      <c r="S42" s="71">
        <f>+(R42 - CF!S30) * CF!S12</f>
        <v>0</v>
      </c>
      <c r="T42" s="71">
        <f>+(S42 - CF!T30) * CF!T12</f>
        <v>0</v>
      </c>
      <c r="U42" s="71">
        <f>+(T42 - CF!U30) * CF!U12</f>
        <v>0</v>
      </c>
      <c r="V42" s="71">
        <f>+(U42 - CF!V30) * CF!V12</f>
        <v>0</v>
      </c>
      <c r="W42" s="71">
        <f>+(V42 - CF!W30) * CF!W12</f>
        <v>0</v>
      </c>
      <c r="X42" s="71">
        <f>+(W42 - CF!X30) * CF!X12</f>
        <v>0</v>
      </c>
      <c r="Y42" s="71">
        <f>+(X42 - CF!Y30) * CF!Y12</f>
        <v>0</v>
      </c>
      <c r="Z42" s="71">
        <f>+(Y42 - CF!Z30) * CF!Z12</f>
        <v>0</v>
      </c>
      <c r="AA42" s="71">
        <f>+(Z42 - CF!AA30) * CF!AA12</f>
        <v>0</v>
      </c>
      <c r="AB42" s="71">
        <f>+(AA42 - CF!AB30) * CF!AB12</f>
        <v>0</v>
      </c>
      <c r="AC42" s="71">
        <f>+(AB42 - CF!AC30) * CF!AC12</f>
        <v>0</v>
      </c>
      <c r="AD42" s="71">
        <f>+(AC42 - CF!AD30) * CF!AD12</f>
        <v>0</v>
      </c>
      <c r="AE42" s="71">
        <f>+(AD42 - CF!AE30) * CF!AE12</f>
        <v>0</v>
      </c>
      <c r="AF42" s="71">
        <f>+(AE42 - CF!AF30) * CF!AF12</f>
        <v>0</v>
      </c>
      <c r="AG42" s="71">
        <f>+(AF42 - CF!AG30) * CF!AG12</f>
        <v>0</v>
      </c>
      <c r="AH42" s="71">
        <f>+(AG42 - CF!AH30) * CF!AH12</f>
        <v>0</v>
      </c>
      <c r="AI42" s="71">
        <f>+(AH42 - CF!AI30) * CF!AI12</f>
        <v>0</v>
      </c>
      <c r="AJ42" s="71">
        <f>+(AI42 - CF!AJ30) * CF!AJ12</f>
        <v>0</v>
      </c>
      <c r="AK42" s="71">
        <f>+(AJ42 - CF!AK30) * CF!AK12</f>
        <v>0</v>
      </c>
      <c r="AL42" s="71">
        <f>+(AK42 - CF!AL30) * CF!AL12</f>
        <v>0</v>
      </c>
      <c r="AM42" s="71">
        <f>+(AL42 - CF!AM30) * CF!AM12</f>
        <v>0</v>
      </c>
      <c r="AN42" s="71">
        <f>+(AM42 - CF!AN30) * CF!AN12</f>
        <v>0</v>
      </c>
      <c r="AO42" s="71">
        <f>+(AN42 - CF!AO30) * CF!AO12</f>
        <v>0</v>
      </c>
      <c r="AP42" s="71">
        <f>+(AO42 - CF!AP30) * CF!AP12</f>
        <v>0</v>
      </c>
      <c r="AQ42" s="71">
        <f>+(AP42 - CF!AQ30) * CF!AQ12</f>
        <v>0</v>
      </c>
      <c r="AR42" s="71">
        <f>+(AQ42 - CF!AR30) * CF!AR12</f>
        <v>0</v>
      </c>
      <c r="AS42" s="71">
        <f>+(AR42 - CF!AS30) * CF!AS12</f>
        <v>0</v>
      </c>
      <c r="AT42" s="71">
        <f>+(AS42 - CF!AT30) * CF!AT12</f>
        <v>0</v>
      </c>
      <c r="AU42" s="71">
        <f>+(AT42 - CF!AU30) * CF!AU12</f>
        <v>0</v>
      </c>
      <c r="AV42" s="71">
        <f>+(AU42 - CF!AV30) * CF!AV12</f>
        <v>0</v>
      </c>
      <c r="AW42" s="71">
        <f>+(AV42 - CF!AW30) * CF!AW12</f>
        <v>0</v>
      </c>
      <c r="AX42" s="71">
        <f>+(AW42 - CF!AX30) * CF!AX12</f>
        <v>0</v>
      </c>
      <c r="AY42" s="71">
        <f>+(AX42 - CF!AY30) * CF!AY12</f>
        <v>0</v>
      </c>
      <c r="AZ42" s="71">
        <f>+(AY42 - CF!AZ30) * CF!AZ12</f>
        <v>0</v>
      </c>
      <c r="BA42" s="71">
        <f>+(AZ42 - CF!BA30) * CF!BA12</f>
        <v>0</v>
      </c>
      <c r="BB42" s="71">
        <f>+(BA42 - CF!BB30) * CF!BB12</f>
        <v>0</v>
      </c>
      <c r="BC42" s="71">
        <f>+(BB42 - CF!BC30) * CF!BC12</f>
        <v>0</v>
      </c>
      <c r="BD42" s="71">
        <f>+(BC42 - CF!BD30) * CF!BD12</f>
        <v>0</v>
      </c>
      <c r="BE42" s="71">
        <f>+(BD42 - CF!BE30) * CF!BE12</f>
        <v>225722.64849710948</v>
      </c>
      <c r="BF42" s="71">
        <f>+(BE42 - CF!BF30) * CF!BF12</f>
        <v>191349.00016544131</v>
      </c>
      <c r="BG42" s="71">
        <f>+(BF42 - CF!BG30) * CF!BG12</f>
        <v>152277.14797214835</v>
      </c>
      <c r="BH42" s="71">
        <f>+(BG42 - CF!BH30) * CF!BH12</f>
        <v>107864.93955352437</v>
      </c>
      <c r="BI42" s="71">
        <f>+(BH42 - CF!BI30) * CF!BI12</f>
        <v>57382.452906580053</v>
      </c>
      <c r="BJ42" s="71">
        <f>+(BI42 - CF!BJ30) * CF!BJ12</f>
        <v>-133568.75352641862</v>
      </c>
      <c r="BK42" s="71">
        <f>+(BJ42 - CF!BK30) * CF!BK12</f>
        <v>0</v>
      </c>
      <c r="BL42" s="71">
        <f>+(BK42 - CF!BL30) * CF!BL12</f>
        <v>0</v>
      </c>
      <c r="BM42" s="71">
        <f>+(BL42 - CF!BM30) * CF!BM12</f>
        <v>0</v>
      </c>
      <c r="BN42" s="71">
        <f>+(BM42 - CF!BN30) * CF!BN12</f>
        <v>0</v>
      </c>
      <c r="BO42" s="71">
        <f>+(BN42 - CF!BO30) * CF!BO12</f>
        <v>0</v>
      </c>
      <c r="BP42" s="71">
        <f>+(BO42 - CF!BP30) * CF!BP12</f>
        <v>0</v>
      </c>
      <c r="BQ42" s="71">
        <f>+(BP42 - CF!BQ30) * CF!BQ12</f>
        <v>0</v>
      </c>
      <c r="BR42" s="71">
        <f>+(BQ42 - CF!BR30) * CF!BR12</f>
        <v>0</v>
      </c>
      <c r="BS42" s="71">
        <f>+(BR42 - CF!BS30) * CF!BS12</f>
        <v>0</v>
      </c>
      <c r="BT42" s="71">
        <f>+(BS42 - CF!BT30) * CF!BT12</f>
        <v>0</v>
      </c>
      <c r="BU42" s="71">
        <f>+(BT42 - CF!BU30) * CF!BU12</f>
        <v>0</v>
      </c>
      <c r="BV42" s="71">
        <f>+(BU42 - CF!BV30) * CF!BV12</f>
        <v>0</v>
      </c>
      <c r="BW42" s="71">
        <f>+(BV42 - CF!BW30) * CF!BW12</f>
        <v>0</v>
      </c>
      <c r="BX42" s="71">
        <f>+(BW42 - CF!BX30) * CF!BX12</f>
        <v>0</v>
      </c>
      <c r="BY42" s="71">
        <f>+(BX42 - CF!BY30) * CF!BY12</f>
        <v>0</v>
      </c>
      <c r="BZ42" s="71">
        <f>+(BY42 - CF!BZ30) * CF!BZ12</f>
        <v>0</v>
      </c>
      <c r="CA42" s="71">
        <f>+(BZ42 - CF!CA30) * CF!CA12</f>
        <v>0</v>
      </c>
      <c r="CB42" s="71">
        <f>+(CA42 - CF!CB30) * CF!CB12</f>
        <v>0</v>
      </c>
      <c r="CC42" s="71">
        <f>+(CB42 - CF!CC30) * CF!CC12</f>
        <v>0</v>
      </c>
      <c r="CD42" s="71">
        <f>+(CC42 - CF!CD30) * CF!CD12</f>
        <v>0</v>
      </c>
      <c r="CE42" s="71">
        <f>+(CD42 - CF!CE30) * CF!CE12</f>
        <v>0</v>
      </c>
      <c r="CF42" s="71">
        <f>+(CE42 - CF!CF30) * CF!CF12</f>
        <v>0</v>
      </c>
      <c r="CG42" s="71">
        <f>+(CF42 - CF!CG30) * CF!CG12</f>
        <v>0</v>
      </c>
      <c r="CH42" s="71">
        <f>+(CG42 - CF!CH30) * CF!CH12</f>
        <v>0</v>
      </c>
      <c r="CI42" s="71">
        <f>+(CH42 - CF!CI30) * CF!CI12</f>
        <v>0</v>
      </c>
      <c r="CJ42" s="71">
        <f>+(CI42 - CF!CJ30) * CF!CJ12</f>
        <v>0</v>
      </c>
      <c r="CK42" s="71">
        <f>+(CJ42 - CF!CK30) * CF!CK12</f>
        <v>0</v>
      </c>
      <c r="CL42" s="71">
        <f>+(CK42 - CF!CL30) * CF!CL12</f>
        <v>0</v>
      </c>
      <c r="CM42" s="71">
        <f>+(CL42 - CF!CM30) * CF!CM12</f>
        <v>0</v>
      </c>
      <c r="CN42" s="71">
        <f>+(CM42 - CF!CN30) * CF!CN12</f>
        <v>0</v>
      </c>
      <c r="CO42" s="71">
        <f>+(CN42 - CF!CO30) * CF!CO12</f>
        <v>0</v>
      </c>
      <c r="CP42" s="71">
        <f>+(CO42 - CF!CP30) * CF!CP12</f>
        <v>0</v>
      </c>
      <c r="CQ42" s="71">
        <f>+(CP42 - CF!CQ30) * CF!CQ12</f>
        <v>0</v>
      </c>
      <c r="CR42" s="71">
        <f>+(CQ42 - CF!CR30) * CF!CR12</f>
        <v>0</v>
      </c>
      <c r="CS42" s="71">
        <f>+(CR42 - CF!CS30) * CF!CS12</f>
        <v>0</v>
      </c>
      <c r="CT42" s="71">
        <f>+(CS42 - CF!CT30) * CF!CT12</f>
        <v>0</v>
      </c>
      <c r="CU42" s="71">
        <f>+(CT42 - CF!CU30) * CF!CU12</f>
        <v>0</v>
      </c>
      <c r="CV42" s="71">
        <f>+(CU42 - CF!CV30) * CF!CV12</f>
        <v>0</v>
      </c>
      <c r="CW42" s="71">
        <f>+(CV42 - CF!CW30) * CF!CW12</f>
        <v>0</v>
      </c>
      <c r="CX42" s="71">
        <f>+(CW42 - CF!CX30) * CF!CX12</f>
        <v>0</v>
      </c>
      <c r="CY42" s="71">
        <f>+(CX42 - CF!CY30) * CF!CY12</f>
        <v>0</v>
      </c>
      <c r="CZ42" s="71">
        <f>+(CY42 - CF!CZ30) * CF!CZ12</f>
        <v>0</v>
      </c>
      <c r="DA42" s="71">
        <f>+(CZ42 - CF!DA30) * CF!DA12</f>
        <v>0</v>
      </c>
      <c r="DB42" s="71">
        <f>+(DA42 - CF!DB30) * CF!DB12</f>
        <v>0</v>
      </c>
      <c r="DC42" s="71">
        <f>+(DB42 - CF!DC30) * CF!DC12</f>
        <v>0</v>
      </c>
      <c r="DD42" s="71">
        <f>+(DC42 - CF!DD30) * CF!DD12</f>
        <v>0</v>
      </c>
      <c r="DE42" s="71">
        <f>+(DD42 - CF!DE30) * CF!DE12</f>
        <v>0</v>
      </c>
      <c r="DF42" s="71">
        <f>+(DE42 - CF!DF30) * CF!DF12</f>
        <v>0</v>
      </c>
      <c r="DG42" s="71">
        <f>+(DF42 - CF!DG30) * CF!DG12</f>
        <v>0</v>
      </c>
      <c r="DH42" s="71">
        <f>+(DG42 - CF!DH30) * CF!DH12</f>
        <v>0</v>
      </c>
      <c r="DI42" s="71">
        <f>+(DH42 - CF!DI30) * CF!DI12</f>
        <v>0</v>
      </c>
      <c r="DJ42" s="71">
        <f>+(DI42 - CF!DJ30) * CF!DJ12</f>
        <v>0</v>
      </c>
      <c r="DK42" s="71">
        <f>+(DJ42 - CF!DK30) * CF!DK12</f>
        <v>0</v>
      </c>
      <c r="DL42" s="71">
        <f>+(DK42 - CF!DL30) * CF!DL12</f>
        <v>0</v>
      </c>
      <c r="DM42" s="71">
        <f>+(DL42 - CF!DM30) * CF!DM12</f>
        <v>0</v>
      </c>
      <c r="DN42" s="71">
        <f>+(DM42 - CF!DN30) * CF!DN12</f>
        <v>0</v>
      </c>
      <c r="DO42" s="71">
        <f>+(DN42 - CF!DO30) * CF!DO12</f>
        <v>0</v>
      </c>
      <c r="DP42" s="71">
        <f>+(DO42 - CF!DP30) * CF!DP12</f>
        <v>0</v>
      </c>
      <c r="DQ42" s="16"/>
    </row>
    <row r="43" spans="1:125" x14ac:dyDescent="0.2">
      <c r="C43" s="34" t="s">
        <v>75</v>
      </c>
      <c r="K43" s="144" t="s">
        <v>63</v>
      </c>
      <c r="O43" s="63"/>
      <c r="P43" s="63"/>
      <c r="Q43" s="63"/>
      <c r="R43" s="751">
        <f>Inputs!$L$219</f>
        <v>52505.482650000005</v>
      </c>
      <c r="S43" s="63">
        <f>+R43 - CF!S50</f>
        <v>98594.688065482944</v>
      </c>
      <c r="T43" s="63">
        <f>+S43 - CF!T50</f>
        <v>165130.7029326651</v>
      </c>
      <c r="U43" s="63">
        <f>+T43 - CF!U50</f>
        <v>0</v>
      </c>
      <c r="V43" s="63">
        <f>+U43 - CF!V50</f>
        <v>0</v>
      </c>
      <c r="W43" s="63">
        <f>+V43 - CF!W50</f>
        <v>0</v>
      </c>
      <c r="X43" s="63">
        <f>+W43 - CF!X50</f>
        <v>0</v>
      </c>
      <c r="Y43" s="63">
        <f>+X43 - CF!Y50</f>
        <v>0</v>
      </c>
      <c r="Z43" s="63">
        <f>+Y43 - CF!Z50</f>
        <v>0</v>
      </c>
      <c r="AA43" s="63">
        <f>+Z43 - CF!AA50</f>
        <v>0</v>
      </c>
      <c r="AB43" s="63">
        <f>+AA43 - CF!AB50</f>
        <v>0</v>
      </c>
      <c r="AC43" s="63">
        <f>+AB43 - CF!AC50</f>
        <v>0</v>
      </c>
      <c r="AD43" s="63">
        <f>+AC43 - CF!AD50</f>
        <v>0</v>
      </c>
      <c r="AE43" s="63">
        <f>+AD43 - CF!AE50</f>
        <v>0</v>
      </c>
      <c r="AF43" s="63">
        <f>+AE43 - CF!AF50</f>
        <v>0</v>
      </c>
      <c r="AG43" s="63">
        <f>+AF43 - CF!AG50</f>
        <v>0</v>
      </c>
      <c r="AH43" s="63">
        <f>+AG43 - CF!AH50</f>
        <v>0</v>
      </c>
      <c r="AI43" s="63">
        <f>+AH43 - CF!AI50</f>
        <v>0</v>
      </c>
      <c r="AJ43" s="63">
        <f>+AI43 - CF!AJ50</f>
        <v>0</v>
      </c>
      <c r="AK43" s="63">
        <f>+AJ43 - CF!AK50</f>
        <v>0</v>
      </c>
      <c r="AL43" s="63">
        <f>+AK43 - CF!AL50</f>
        <v>0</v>
      </c>
      <c r="AM43" s="63">
        <f>+AL43 - CF!AM50</f>
        <v>0</v>
      </c>
      <c r="AN43" s="63">
        <f>+AM43 - CF!AN50</f>
        <v>0</v>
      </c>
      <c r="AO43" s="63">
        <f>+AN43 - CF!AO50</f>
        <v>0</v>
      </c>
      <c r="AP43" s="63">
        <f>+AO43 - CF!AP50</f>
        <v>0</v>
      </c>
      <c r="AQ43" s="63">
        <f>+AP43 - CF!AQ50</f>
        <v>0</v>
      </c>
      <c r="AR43" s="63">
        <f>+AQ43 - CF!AR50</f>
        <v>0</v>
      </c>
      <c r="AS43" s="63">
        <f>+AR43 - CF!AS50</f>
        <v>0</v>
      </c>
      <c r="AT43" s="63">
        <f>+AS43 - CF!AT50</f>
        <v>0</v>
      </c>
      <c r="AU43" s="63">
        <f>+AT43 - CF!AU50</f>
        <v>0</v>
      </c>
      <c r="AV43" s="63">
        <f>+AU43 - CF!AV50</f>
        <v>0</v>
      </c>
      <c r="AW43" s="63">
        <f>+AV43 - CF!AW50</f>
        <v>0</v>
      </c>
      <c r="AX43" s="63">
        <f>+AW43 - CF!AX50</f>
        <v>0</v>
      </c>
      <c r="AY43" s="63">
        <f>+AX43 - CF!AY50</f>
        <v>0</v>
      </c>
      <c r="AZ43" s="63">
        <f>+AY43 - CF!AZ50</f>
        <v>0</v>
      </c>
      <c r="BA43" s="63">
        <f>+AZ43 - CF!BA50</f>
        <v>0</v>
      </c>
      <c r="BB43" s="63">
        <f>+BA43 - CF!BB50</f>
        <v>0</v>
      </c>
      <c r="BC43" s="63">
        <f>+BB43 - CF!BC50</f>
        <v>0</v>
      </c>
      <c r="BD43" s="63">
        <f>+BC43 - CF!BD50</f>
        <v>0</v>
      </c>
      <c r="BE43" s="63">
        <f>+BD43 - CF!BE50</f>
        <v>0</v>
      </c>
      <c r="BF43" s="63">
        <f>+BE43 - CF!BF50</f>
        <v>0</v>
      </c>
      <c r="BG43" s="63">
        <f>+BF43 - CF!BG50</f>
        <v>0</v>
      </c>
      <c r="BH43" s="63">
        <f>+BG43 - CF!BH50</f>
        <v>0</v>
      </c>
      <c r="BI43" s="63">
        <f>+BH43 - CF!BI50</f>
        <v>0</v>
      </c>
      <c r="BJ43" s="63">
        <f>+BI43 - CF!BJ50</f>
        <v>0</v>
      </c>
      <c r="BK43" s="63">
        <f>+BJ43 - CF!BK50</f>
        <v>0</v>
      </c>
      <c r="BL43" s="63">
        <f>+BK43 - CF!BL50</f>
        <v>0</v>
      </c>
      <c r="BM43" s="63">
        <f>+BL43 - CF!BM50</f>
        <v>0</v>
      </c>
      <c r="BN43" s="63">
        <f>+BM43 - CF!BN50</f>
        <v>0</v>
      </c>
      <c r="BO43" s="63">
        <f>+BN43 - CF!BO50</f>
        <v>0</v>
      </c>
      <c r="BP43" s="63">
        <f>+BO43 - CF!BP50</f>
        <v>0</v>
      </c>
      <c r="BQ43" s="63">
        <f>+BP43 - CF!BQ50</f>
        <v>0</v>
      </c>
      <c r="BR43" s="63">
        <f>+BQ43 - CF!BR50</f>
        <v>0</v>
      </c>
      <c r="BS43" s="63">
        <f>+BR43 - CF!BS50</f>
        <v>0</v>
      </c>
      <c r="BT43" s="63">
        <f>+BS43 - CF!BT50</f>
        <v>0</v>
      </c>
      <c r="BU43" s="63">
        <f>+BT43 - CF!BU50</f>
        <v>0</v>
      </c>
      <c r="BV43" s="63">
        <f>+BU43 - CF!BV50</f>
        <v>0</v>
      </c>
      <c r="BW43" s="63">
        <f>+BV43 - CF!BW50</f>
        <v>0</v>
      </c>
      <c r="BX43" s="63">
        <f>+BW43 - CF!BX50</f>
        <v>0</v>
      </c>
      <c r="BY43" s="63">
        <f>+BX43 - CF!BY50</f>
        <v>0</v>
      </c>
      <c r="BZ43" s="63">
        <f>+BY43 - CF!BZ50</f>
        <v>0</v>
      </c>
      <c r="CA43" s="63">
        <f>+BZ43 - CF!CA50</f>
        <v>0</v>
      </c>
      <c r="CB43" s="63">
        <f>+CA43 - CF!CB50</f>
        <v>0</v>
      </c>
      <c r="CC43" s="63">
        <f>+CB43 - CF!CC50</f>
        <v>0</v>
      </c>
      <c r="CD43" s="63">
        <f>+CC43 - CF!CD50</f>
        <v>0</v>
      </c>
      <c r="CE43" s="63">
        <f>+CD43 - CF!CE50</f>
        <v>0</v>
      </c>
      <c r="CF43" s="63">
        <f>+CE43 - CF!CF50</f>
        <v>0</v>
      </c>
      <c r="CG43" s="63">
        <f>+CF43 - CF!CG50</f>
        <v>0</v>
      </c>
      <c r="CH43" s="63">
        <f>+CG43 - CF!CH50</f>
        <v>0</v>
      </c>
      <c r="CI43" s="63">
        <f>+CH43 - CF!CI50</f>
        <v>0</v>
      </c>
      <c r="CJ43" s="63">
        <f>+CI43 - CF!CJ50</f>
        <v>0</v>
      </c>
      <c r="CK43" s="63">
        <f>+CJ43 - CF!CK50</f>
        <v>0</v>
      </c>
      <c r="CL43" s="63">
        <f>+CK43 - CF!CL50</f>
        <v>0</v>
      </c>
      <c r="CM43" s="63">
        <f>+CL43 - CF!CM50</f>
        <v>0</v>
      </c>
      <c r="CN43" s="63">
        <f>+CM43 - CF!CN50</f>
        <v>0</v>
      </c>
      <c r="CO43" s="63">
        <f>+CN43 - CF!CO50</f>
        <v>0</v>
      </c>
      <c r="CP43" s="63">
        <f>+CO43 - CF!CP50</f>
        <v>0</v>
      </c>
      <c r="CQ43" s="63">
        <f>+CP43 - CF!CQ50</f>
        <v>0</v>
      </c>
      <c r="CR43" s="63">
        <f>+CQ43 - CF!CR50</f>
        <v>0</v>
      </c>
      <c r="CS43" s="63">
        <f>+CR43 - CF!CS50</f>
        <v>0</v>
      </c>
      <c r="CT43" s="63">
        <f>+CS43 - CF!CT50</f>
        <v>0</v>
      </c>
      <c r="CU43" s="63">
        <f>+CT43 - CF!CU50</f>
        <v>0</v>
      </c>
      <c r="CV43" s="63">
        <f>+CU43 - CF!CV50</f>
        <v>0</v>
      </c>
      <c r="CW43" s="63">
        <f>+CV43 - CF!CW50</f>
        <v>0</v>
      </c>
      <c r="CX43" s="63">
        <f>+CW43 - CF!CX50</f>
        <v>0</v>
      </c>
      <c r="CY43" s="63">
        <f>+CX43 - CF!CY50</f>
        <v>0</v>
      </c>
      <c r="CZ43" s="63">
        <f>+CY43 - CF!CZ50</f>
        <v>0</v>
      </c>
      <c r="DA43" s="63">
        <f>+CZ43 - CF!DA50</f>
        <v>0</v>
      </c>
      <c r="DB43" s="63">
        <f>+DA43 - CF!DB50</f>
        <v>0</v>
      </c>
      <c r="DC43" s="63">
        <f>+DB43 - CF!DC50</f>
        <v>0</v>
      </c>
      <c r="DD43" s="63">
        <f>+DC43 - CF!DD50</f>
        <v>0</v>
      </c>
      <c r="DE43" s="63">
        <f>+DD43 - CF!DE50</f>
        <v>0</v>
      </c>
      <c r="DF43" s="63">
        <f>+DE43 - CF!DF50</f>
        <v>0</v>
      </c>
      <c r="DG43" s="63">
        <f>+DF43 - CF!DG50</f>
        <v>0</v>
      </c>
      <c r="DH43" s="63">
        <f>+DG43 - CF!DH50</f>
        <v>0</v>
      </c>
      <c r="DI43" s="63">
        <f>+DH43 - CF!DI50</f>
        <v>0</v>
      </c>
      <c r="DJ43" s="63">
        <f>+DI43 - CF!DJ50</f>
        <v>0</v>
      </c>
      <c r="DK43" s="63">
        <f>+DJ43 - CF!DK50</f>
        <v>0</v>
      </c>
      <c r="DL43" s="63">
        <f>+DK43 - CF!DL50</f>
        <v>0</v>
      </c>
      <c r="DM43" s="63">
        <f>+DL43 - CF!DM50</f>
        <v>0</v>
      </c>
      <c r="DN43" s="63">
        <f>+DM43 - CF!DN50</f>
        <v>0</v>
      </c>
      <c r="DO43" s="63">
        <f>+DN43 - CF!DO50</f>
        <v>0</v>
      </c>
      <c r="DP43" s="63">
        <f>+DO43 - CF!DP50</f>
        <v>0</v>
      </c>
      <c r="DQ43" s="16"/>
    </row>
    <row r="44" spans="1:125" x14ac:dyDescent="0.2">
      <c r="C44" s="34" t="s">
        <v>91</v>
      </c>
      <c r="K44" s="144" t="s">
        <v>63</v>
      </c>
      <c r="R44" s="751">
        <f>Inputs!$L$220</f>
        <v>0</v>
      </c>
      <c r="S44" s="63">
        <f>+CF!S55</f>
        <v>0</v>
      </c>
      <c r="T44" s="63">
        <f>+CF!T55</f>
        <v>0</v>
      </c>
      <c r="U44" s="63">
        <f>+CF!U55</f>
        <v>0</v>
      </c>
      <c r="V44" s="63">
        <f>+CF!V55</f>
        <v>0</v>
      </c>
      <c r="W44" s="63">
        <f>+CF!W55</f>
        <v>0</v>
      </c>
      <c r="X44" s="63">
        <f>+CF!X55</f>
        <v>0</v>
      </c>
      <c r="Y44" s="63">
        <f>+CF!Y55</f>
        <v>0</v>
      </c>
      <c r="Z44" s="63">
        <f>+CF!Z55</f>
        <v>0</v>
      </c>
      <c r="AA44" s="63">
        <f>+CF!AA55</f>
        <v>0</v>
      </c>
      <c r="AB44" s="63">
        <f>+CF!AB55</f>
        <v>0</v>
      </c>
      <c r="AC44" s="63">
        <f>+CF!AC55</f>
        <v>0</v>
      </c>
      <c r="AD44" s="63">
        <f>+CF!AD55</f>
        <v>0</v>
      </c>
      <c r="AE44" s="63">
        <f>+CF!AE55</f>
        <v>0</v>
      </c>
      <c r="AF44" s="63">
        <f>+CF!AF55</f>
        <v>0</v>
      </c>
      <c r="AG44" s="63">
        <f>+CF!AG55</f>
        <v>0</v>
      </c>
      <c r="AH44" s="63">
        <f>+CF!AH55</f>
        <v>0</v>
      </c>
      <c r="AI44" s="63">
        <f>+CF!AI55</f>
        <v>0</v>
      </c>
      <c r="AJ44" s="63">
        <f>+CF!AJ55</f>
        <v>0</v>
      </c>
      <c r="AK44" s="63">
        <f>+CF!AK55</f>
        <v>0</v>
      </c>
      <c r="AL44" s="63">
        <f>+CF!AL55</f>
        <v>0</v>
      </c>
      <c r="AM44" s="63">
        <f>+CF!AM55</f>
        <v>0</v>
      </c>
      <c r="AN44" s="63">
        <f>+CF!AN55</f>
        <v>0</v>
      </c>
      <c r="AO44" s="63">
        <f>+CF!AO55</f>
        <v>0</v>
      </c>
      <c r="AP44" s="63">
        <f>+CF!AP55</f>
        <v>0</v>
      </c>
      <c r="AQ44" s="63">
        <f>+CF!AQ55</f>
        <v>0</v>
      </c>
      <c r="AR44" s="63">
        <f>+CF!AR55</f>
        <v>0</v>
      </c>
      <c r="AS44" s="63">
        <f>+CF!AS55</f>
        <v>0</v>
      </c>
      <c r="AT44" s="63">
        <f>+CF!AT55</f>
        <v>0</v>
      </c>
      <c r="AU44" s="63">
        <f>+CF!AU55</f>
        <v>0</v>
      </c>
      <c r="AV44" s="63">
        <f>+CF!AV55</f>
        <v>0</v>
      </c>
      <c r="AW44" s="63">
        <f>+CF!AW55</f>
        <v>0</v>
      </c>
      <c r="AX44" s="63">
        <f>+CF!AX55</f>
        <v>0</v>
      </c>
      <c r="AY44" s="63">
        <f>+CF!AY55</f>
        <v>0</v>
      </c>
      <c r="AZ44" s="63">
        <f>+CF!AZ55</f>
        <v>0</v>
      </c>
      <c r="BA44" s="63">
        <f>+CF!BA55</f>
        <v>0</v>
      </c>
      <c r="BB44" s="63">
        <f>+CF!BB55</f>
        <v>0</v>
      </c>
      <c r="BC44" s="63">
        <f>+CF!BC55</f>
        <v>0</v>
      </c>
      <c r="BD44" s="63">
        <f>+CF!BD55</f>
        <v>0</v>
      </c>
      <c r="BE44" s="63">
        <f>+CF!BE55</f>
        <v>0</v>
      </c>
      <c r="BF44" s="63">
        <f>+CF!BF55</f>
        <v>0</v>
      </c>
      <c r="BG44" s="63">
        <f>+CF!BG55</f>
        <v>0</v>
      </c>
      <c r="BH44" s="63">
        <f>+CF!BH55</f>
        <v>0</v>
      </c>
      <c r="BI44" s="63">
        <f>+CF!BI55</f>
        <v>0</v>
      </c>
      <c r="BJ44" s="63">
        <f>+CF!BJ55</f>
        <v>0</v>
      </c>
      <c r="BK44" s="63">
        <f>+CF!BK55</f>
        <v>0</v>
      </c>
      <c r="BL44" s="63">
        <f>+CF!BL55</f>
        <v>0</v>
      </c>
      <c r="BM44" s="63">
        <f>+CF!BM55</f>
        <v>0</v>
      </c>
      <c r="BN44" s="63">
        <f>+CF!BN55</f>
        <v>0</v>
      </c>
      <c r="BO44" s="63">
        <f>+CF!BO55</f>
        <v>0</v>
      </c>
      <c r="BP44" s="63">
        <f>+CF!BP55</f>
        <v>0</v>
      </c>
      <c r="BQ44" s="63">
        <f>+CF!BQ55</f>
        <v>0</v>
      </c>
      <c r="BR44" s="63">
        <f>+CF!BR55</f>
        <v>0</v>
      </c>
      <c r="BS44" s="63">
        <f>+CF!BS55</f>
        <v>0</v>
      </c>
      <c r="BT44" s="63">
        <f>+CF!BT55</f>
        <v>0</v>
      </c>
      <c r="BU44" s="63">
        <f>+CF!BU55</f>
        <v>0</v>
      </c>
      <c r="BV44" s="63">
        <f>+CF!BV55</f>
        <v>0</v>
      </c>
      <c r="BW44" s="63">
        <f>+CF!BW55</f>
        <v>0</v>
      </c>
      <c r="BX44" s="63">
        <f>+CF!BX55</f>
        <v>0</v>
      </c>
      <c r="BY44" s="63">
        <f>+CF!BY55</f>
        <v>0</v>
      </c>
      <c r="BZ44" s="63">
        <f>+CF!BZ55</f>
        <v>0</v>
      </c>
      <c r="CA44" s="63">
        <f>+CF!CA55</f>
        <v>0</v>
      </c>
      <c r="CB44" s="63">
        <f>+CF!CB55</f>
        <v>0</v>
      </c>
      <c r="CC44" s="63">
        <f>+CF!CC55</f>
        <v>0</v>
      </c>
      <c r="CD44" s="63">
        <f>+CF!CD55</f>
        <v>0</v>
      </c>
      <c r="CE44" s="63">
        <f>+CF!CE55</f>
        <v>0</v>
      </c>
      <c r="CF44" s="63">
        <f>+CF!CF55</f>
        <v>0</v>
      </c>
      <c r="CG44" s="63">
        <f>+CF!CG55</f>
        <v>0</v>
      </c>
      <c r="CH44" s="63">
        <f>+CF!CH55</f>
        <v>0</v>
      </c>
      <c r="CI44" s="63">
        <f>+CF!CI55</f>
        <v>0</v>
      </c>
      <c r="CJ44" s="63">
        <f>+CF!CJ55</f>
        <v>0</v>
      </c>
      <c r="CK44" s="63">
        <f>+CF!CK55</f>
        <v>0</v>
      </c>
      <c r="CL44" s="63">
        <f>+CF!CL55</f>
        <v>0</v>
      </c>
      <c r="CM44" s="63">
        <f>+CF!CM55</f>
        <v>0</v>
      </c>
      <c r="CN44" s="63">
        <f>+CF!CN55</f>
        <v>0</v>
      </c>
      <c r="CO44" s="63">
        <f>+CF!CO55</f>
        <v>0</v>
      </c>
      <c r="CP44" s="63">
        <f>+CF!CP55</f>
        <v>0</v>
      </c>
      <c r="CQ44" s="63">
        <f>+CF!CQ55</f>
        <v>0</v>
      </c>
      <c r="CR44" s="63">
        <f>+CF!CR55</f>
        <v>0</v>
      </c>
      <c r="CS44" s="63">
        <f>+CF!CS55</f>
        <v>0</v>
      </c>
      <c r="CT44" s="63">
        <f>+CF!CT55</f>
        <v>0</v>
      </c>
      <c r="CU44" s="63">
        <f>+CF!CU55</f>
        <v>0</v>
      </c>
      <c r="CV44" s="63">
        <f>+CF!CV55</f>
        <v>0</v>
      </c>
      <c r="CW44" s="63">
        <f>+CF!CW55</f>
        <v>0</v>
      </c>
      <c r="CX44" s="63">
        <f>+CF!CX55</f>
        <v>0</v>
      </c>
      <c r="CY44" s="63">
        <f>+CF!CY55</f>
        <v>0</v>
      </c>
      <c r="CZ44" s="63">
        <f>+CF!CZ55</f>
        <v>0</v>
      </c>
      <c r="DA44" s="63">
        <f>+CF!DA55</f>
        <v>0</v>
      </c>
      <c r="DB44" s="63">
        <f>+CF!DB55</f>
        <v>0</v>
      </c>
      <c r="DC44" s="63">
        <f>+CF!DC55</f>
        <v>0</v>
      </c>
      <c r="DD44" s="63">
        <f>+CF!DD55</f>
        <v>0</v>
      </c>
      <c r="DE44" s="63">
        <f>+CF!DE55</f>
        <v>0</v>
      </c>
      <c r="DF44" s="63">
        <f>+CF!DF55</f>
        <v>0</v>
      </c>
      <c r="DG44" s="63">
        <f>+CF!DG55</f>
        <v>0</v>
      </c>
      <c r="DH44" s="63">
        <f>+CF!DH55</f>
        <v>0</v>
      </c>
      <c r="DI44" s="63">
        <f>+CF!DI55</f>
        <v>0</v>
      </c>
      <c r="DJ44" s="63">
        <f>+CF!DJ55</f>
        <v>0</v>
      </c>
      <c r="DK44" s="63">
        <f>+CF!DK55</f>
        <v>0</v>
      </c>
      <c r="DL44" s="63">
        <f>+CF!DL55</f>
        <v>0</v>
      </c>
      <c r="DM44" s="63">
        <f>+CF!DM55</f>
        <v>0</v>
      </c>
      <c r="DN44" s="63">
        <f>+CF!DN55</f>
        <v>0</v>
      </c>
      <c r="DO44" s="63">
        <f>+CF!DO55</f>
        <v>0</v>
      </c>
      <c r="DP44" s="63">
        <f>+CF!DP55</f>
        <v>0</v>
      </c>
      <c r="DQ44" s="16"/>
    </row>
    <row r="45" spans="1:125" x14ac:dyDescent="0.2">
      <c r="C45" s="167"/>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16"/>
    </row>
    <row r="46" spans="1:125" x14ac:dyDescent="0.2">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16"/>
    </row>
    <row r="47" spans="1:125" x14ac:dyDescent="0.2">
      <c r="C47" s="28" t="s">
        <v>92</v>
      </c>
      <c r="D47" s="28"/>
      <c r="E47" s="28"/>
      <c r="F47" s="28"/>
      <c r="G47" s="28"/>
      <c r="H47" s="28"/>
      <c r="I47" s="28"/>
      <c r="J47" s="28"/>
      <c r="K47" s="663" t="s">
        <v>63</v>
      </c>
      <c r="L47" s="28"/>
      <c r="M47" s="28"/>
      <c r="N47" s="28"/>
      <c r="O47" s="28"/>
      <c r="P47" s="28"/>
      <c r="Q47" s="28"/>
      <c r="R47" s="29">
        <f t="shared" ref="R47:AO47" si="34">SUM(R48:R48)</f>
        <v>1915503.307443745</v>
      </c>
      <c r="S47" s="29">
        <f t="shared" ca="1" si="34"/>
        <v>1786660.5202994675</v>
      </c>
      <c r="T47" s="29">
        <f t="shared" ca="1" si="34"/>
        <v>1655033.1597301369</v>
      </c>
      <c r="U47" s="29">
        <f t="shared" ca="1" si="34"/>
        <v>1521670.6769682483</v>
      </c>
      <c r="V47" s="29">
        <f t="shared" ca="1" si="34"/>
        <v>1387068.9244456636</v>
      </c>
      <c r="W47" s="29">
        <f t="shared" ca="1" si="34"/>
        <v>1252995.8495256924</v>
      </c>
      <c r="X47" s="29">
        <f t="shared" ca="1" si="34"/>
        <v>1119597.9898897386</v>
      </c>
      <c r="Y47" s="29">
        <f t="shared" ca="1" si="34"/>
        <v>987062.50020764151</v>
      </c>
      <c r="Z47" s="29">
        <f t="shared" ca="1" si="34"/>
        <v>855628.4102641436</v>
      </c>
      <c r="AA47" s="29">
        <f t="shared" ca="1" si="34"/>
        <v>725601.00358779903</v>
      </c>
      <c r="AB47" s="29">
        <f t="shared" ca="1" si="34"/>
        <v>594304.73829371016</v>
      </c>
      <c r="AC47" s="29">
        <f t="shared" ca="1" si="34"/>
        <v>461843.67250465334</v>
      </c>
      <c r="AD47" s="29">
        <f t="shared" ca="1" si="34"/>
        <v>328313.3306165071</v>
      </c>
      <c r="AE47" s="29">
        <f t="shared" ca="1" si="34"/>
        <v>193801.4031426548</v>
      </c>
      <c r="AF47" s="29">
        <f t="shared" ca="1" si="34"/>
        <v>58388.38916468402</v>
      </c>
      <c r="AG47" s="29">
        <f t="shared" ca="1" si="34"/>
        <v>7543.7883632894082</v>
      </c>
      <c r="AH47" s="29">
        <f t="shared" ca="1" si="34"/>
        <v>11990.592360173057</v>
      </c>
      <c r="AI47" s="29">
        <f t="shared" ca="1" si="34"/>
        <v>19877.496135936148</v>
      </c>
      <c r="AJ47" s="29">
        <f t="shared" ca="1" si="34"/>
        <v>32103.837522356022</v>
      </c>
      <c r="AK47" s="29">
        <f t="shared" ca="1" si="34"/>
        <v>50003.388127739447</v>
      </c>
      <c r="AL47" s="29">
        <f t="shared" ca="1" si="34"/>
        <v>58130.99059915277</v>
      </c>
      <c r="AM47" s="29">
        <f t="shared" ca="1" si="34"/>
        <v>59745.032840020678</v>
      </c>
      <c r="AN47" s="29">
        <f t="shared" ca="1" si="34"/>
        <v>57078.790822310111</v>
      </c>
      <c r="AO47" s="29">
        <f t="shared" ca="1" si="34"/>
        <v>51679.423026043223</v>
      </c>
      <c r="AP47" s="29">
        <f t="shared" ref="AP47:BU47" ca="1" si="35">SUM(AP48:AP48)</f>
        <v>44639.556763565321</v>
      </c>
      <c r="AQ47" s="29">
        <f t="shared" ca="1" si="35"/>
        <v>39336.911290460564</v>
      </c>
      <c r="AR47" s="29">
        <f t="shared" ca="1" si="35"/>
        <v>36179.545031575435</v>
      </c>
      <c r="AS47" s="29">
        <f t="shared" ca="1" si="35"/>
        <v>35756.331445432348</v>
      </c>
      <c r="AT47" s="29">
        <f t="shared" ca="1" si="35"/>
        <v>38905.533841868455</v>
      </c>
      <c r="AU47" s="29">
        <f t="shared" ca="1" si="35"/>
        <v>46810.219223183536</v>
      </c>
      <c r="AV47" s="29">
        <f t="shared" ca="1" si="35"/>
        <v>53516.666334871101</v>
      </c>
      <c r="AW47" s="29">
        <f t="shared" ca="1" si="35"/>
        <v>59183.652244125129</v>
      </c>
      <c r="AX47" s="29">
        <f t="shared" ca="1" si="35"/>
        <v>64016.477018413345</v>
      </c>
      <c r="AY47" s="29">
        <f t="shared" ca="1" si="35"/>
        <v>68283.691263574176</v>
      </c>
      <c r="AZ47" s="29">
        <f t="shared" ca="1" si="35"/>
        <v>72339.773961766638</v>
      </c>
      <c r="BA47" s="29">
        <f t="shared" ca="1" si="35"/>
        <v>79004.533601250252</v>
      </c>
      <c r="BB47" s="29">
        <f t="shared" ca="1" si="35"/>
        <v>87837.29412948509</v>
      </c>
      <c r="BC47" s="29">
        <f t="shared" ca="1" si="35"/>
        <v>98587.874567187682</v>
      </c>
      <c r="BD47" s="29">
        <f t="shared" ca="1" si="35"/>
        <v>111140.77656820306</v>
      </c>
      <c r="BE47" s="29">
        <f t="shared" ca="1" si="35"/>
        <v>125478.09510728579</v>
      </c>
      <c r="BF47" s="29">
        <f t="shared" ca="1" si="35"/>
        <v>142174.11164589867</v>
      </c>
      <c r="BG47" s="29">
        <f t="shared" ca="1" si="35"/>
        <v>161612.19279710023</v>
      </c>
      <c r="BH47" s="29">
        <f t="shared" ca="1" si="35"/>
        <v>184251.83846047489</v>
      </c>
      <c r="BI47" s="29">
        <f t="shared" ca="1" si="35"/>
        <v>210648.32588242865</v>
      </c>
      <c r="BJ47" s="29">
        <f t="shared" ca="1" si="35"/>
        <v>0</v>
      </c>
      <c r="BK47" s="29">
        <f t="shared" si="35"/>
        <v>0</v>
      </c>
      <c r="BL47" s="29">
        <f t="shared" si="35"/>
        <v>0</v>
      </c>
      <c r="BM47" s="29">
        <f t="shared" si="35"/>
        <v>0</v>
      </c>
      <c r="BN47" s="29">
        <f t="shared" si="35"/>
        <v>0</v>
      </c>
      <c r="BO47" s="29">
        <f t="shared" si="35"/>
        <v>0</v>
      </c>
      <c r="BP47" s="29">
        <f t="shared" si="35"/>
        <v>0</v>
      </c>
      <c r="BQ47" s="29">
        <f t="shared" si="35"/>
        <v>0</v>
      </c>
      <c r="BR47" s="29">
        <f t="shared" si="35"/>
        <v>0</v>
      </c>
      <c r="BS47" s="29">
        <f t="shared" si="35"/>
        <v>0</v>
      </c>
      <c r="BT47" s="29">
        <f t="shared" si="35"/>
        <v>0</v>
      </c>
      <c r="BU47" s="29">
        <f t="shared" si="35"/>
        <v>0</v>
      </c>
      <c r="BV47" s="29">
        <f t="shared" ref="BV47:DA47" si="36">SUM(BV48:BV48)</f>
        <v>0</v>
      </c>
      <c r="BW47" s="29">
        <f t="shared" si="36"/>
        <v>0</v>
      </c>
      <c r="BX47" s="29">
        <f t="shared" si="36"/>
        <v>0</v>
      </c>
      <c r="BY47" s="29">
        <f t="shared" si="36"/>
        <v>0</v>
      </c>
      <c r="BZ47" s="29">
        <f t="shared" si="36"/>
        <v>0</v>
      </c>
      <c r="CA47" s="29">
        <f t="shared" si="36"/>
        <v>0</v>
      </c>
      <c r="CB47" s="29">
        <f t="shared" si="36"/>
        <v>0</v>
      </c>
      <c r="CC47" s="29">
        <f t="shared" si="36"/>
        <v>0</v>
      </c>
      <c r="CD47" s="29">
        <f t="shared" si="36"/>
        <v>0</v>
      </c>
      <c r="CE47" s="29">
        <f t="shared" si="36"/>
        <v>0</v>
      </c>
      <c r="CF47" s="29">
        <f t="shared" si="36"/>
        <v>0</v>
      </c>
      <c r="CG47" s="29">
        <f t="shared" si="36"/>
        <v>0</v>
      </c>
      <c r="CH47" s="29">
        <f t="shared" si="36"/>
        <v>0</v>
      </c>
      <c r="CI47" s="29">
        <f t="shared" si="36"/>
        <v>0</v>
      </c>
      <c r="CJ47" s="29">
        <f t="shared" si="36"/>
        <v>0</v>
      </c>
      <c r="CK47" s="29">
        <f t="shared" si="36"/>
        <v>0</v>
      </c>
      <c r="CL47" s="29">
        <f t="shared" si="36"/>
        <v>0</v>
      </c>
      <c r="CM47" s="29">
        <f t="shared" si="36"/>
        <v>0</v>
      </c>
      <c r="CN47" s="29">
        <f t="shared" si="36"/>
        <v>0</v>
      </c>
      <c r="CO47" s="29">
        <f t="shared" si="36"/>
        <v>0</v>
      </c>
      <c r="CP47" s="29">
        <f t="shared" si="36"/>
        <v>0</v>
      </c>
      <c r="CQ47" s="29">
        <f t="shared" si="36"/>
        <v>0</v>
      </c>
      <c r="CR47" s="29">
        <f t="shared" si="36"/>
        <v>0</v>
      </c>
      <c r="CS47" s="29">
        <f t="shared" si="36"/>
        <v>0</v>
      </c>
      <c r="CT47" s="29">
        <f t="shared" si="36"/>
        <v>0</v>
      </c>
      <c r="CU47" s="29">
        <f t="shared" si="36"/>
        <v>0</v>
      </c>
      <c r="CV47" s="29">
        <f t="shared" si="36"/>
        <v>0</v>
      </c>
      <c r="CW47" s="29">
        <f t="shared" si="36"/>
        <v>0</v>
      </c>
      <c r="CX47" s="29">
        <f t="shared" si="36"/>
        <v>0</v>
      </c>
      <c r="CY47" s="29">
        <f t="shared" si="36"/>
        <v>0</v>
      </c>
      <c r="CZ47" s="29">
        <f t="shared" si="36"/>
        <v>0</v>
      </c>
      <c r="DA47" s="29">
        <f t="shared" si="36"/>
        <v>0</v>
      </c>
      <c r="DB47" s="29">
        <f t="shared" ref="DB47:DP47" si="37">SUM(DB48:DB48)</f>
        <v>0</v>
      </c>
      <c r="DC47" s="29">
        <f t="shared" si="37"/>
        <v>0</v>
      </c>
      <c r="DD47" s="29">
        <f t="shared" si="37"/>
        <v>0</v>
      </c>
      <c r="DE47" s="29">
        <f t="shared" si="37"/>
        <v>0</v>
      </c>
      <c r="DF47" s="29">
        <f t="shared" si="37"/>
        <v>0</v>
      </c>
      <c r="DG47" s="29">
        <f t="shared" si="37"/>
        <v>0</v>
      </c>
      <c r="DH47" s="29">
        <f t="shared" si="37"/>
        <v>0</v>
      </c>
      <c r="DI47" s="29">
        <f t="shared" si="37"/>
        <v>0</v>
      </c>
      <c r="DJ47" s="29">
        <f t="shared" si="37"/>
        <v>0</v>
      </c>
      <c r="DK47" s="29">
        <f t="shared" si="37"/>
        <v>0</v>
      </c>
      <c r="DL47" s="29">
        <f t="shared" si="37"/>
        <v>0</v>
      </c>
      <c r="DM47" s="29">
        <f t="shared" si="37"/>
        <v>0</v>
      </c>
      <c r="DN47" s="29">
        <f t="shared" si="37"/>
        <v>0</v>
      </c>
      <c r="DO47" s="29">
        <f t="shared" si="37"/>
        <v>0</v>
      </c>
      <c r="DP47" s="29">
        <f t="shared" si="37"/>
        <v>0</v>
      </c>
      <c r="DQ47" s="16"/>
    </row>
    <row r="48" spans="1:125" x14ac:dyDescent="0.2">
      <c r="C48" s="34" t="s">
        <v>93</v>
      </c>
      <c r="K48" s="144" t="s">
        <v>63</v>
      </c>
      <c r="R48" s="751">
        <f>Inputs!$L$224</f>
        <v>1915503.307443745</v>
      </c>
      <c r="S48" s="63">
        <f ca="1">+Tax!S50 * CF!S12</f>
        <v>1786660.5202994675</v>
      </c>
      <c r="T48" s="63">
        <f ca="1">+Tax!T50 * CF!T12</f>
        <v>1655033.1597301369</v>
      </c>
      <c r="U48" s="63">
        <f ca="1">+Tax!U50 * CF!U12</f>
        <v>1521670.6769682483</v>
      </c>
      <c r="V48" s="63">
        <f ca="1">+Tax!V50 * CF!V12</f>
        <v>1387068.9244456636</v>
      </c>
      <c r="W48" s="63">
        <f ca="1">+Tax!W50 * CF!W12</f>
        <v>1252995.8495256924</v>
      </c>
      <c r="X48" s="63">
        <f ca="1">+Tax!X50 * CF!X12</f>
        <v>1119597.9898897386</v>
      </c>
      <c r="Y48" s="63">
        <f ca="1">+Tax!Y50 * CF!Y12</f>
        <v>987062.50020764151</v>
      </c>
      <c r="Z48" s="63">
        <f ca="1">+Tax!Z50 * CF!Z12</f>
        <v>855628.4102641436</v>
      </c>
      <c r="AA48" s="63">
        <f ca="1">+Tax!AA50 * CF!AA12</f>
        <v>725601.00358779903</v>
      </c>
      <c r="AB48" s="63">
        <f ca="1">+Tax!AB50 * CF!AB12</f>
        <v>594304.73829371016</v>
      </c>
      <c r="AC48" s="63">
        <f ca="1">+Tax!AC50 * CF!AC12</f>
        <v>461843.67250465334</v>
      </c>
      <c r="AD48" s="63">
        <f ca="1">+Tax!AD50 * CF!AD12</f>
        <v>328313.3306165071</v>
      </c>
      <c r="AE48" s="63">
        <f ca="1">+Tax!AE50 * CF!AE12</f>
        <v>193801.4031426548</v>
      </c>
      <c r="AF48" s="63">
        <f ca="1">+Tax!AF50 * CF!AF12</f>
        <v>58388.38916468402</v>
      </c>
      <c r="AG48" s="63">
        <f ca="1">+Tax!AG50 * CF!AG12</f>
        <v>7543.7883632894082</v>
      </c>
      <c r="AH48" s="63">
        <f ca="1">+Tax!AH50 * CF!AH12</f>
        <v>11990.592360173057</v>
      </c>
      <c r="AI48" s="63">
        <f ca="1">+Tax!AI50 * CF!AI12</f>
        <v>19877.496135936148</v>
      </c>
      <c r="AJ48" s="63">
        <f ca="1">+Tax!AJ50 * CF!AJ12</f>
        <v>32103.837522356022</v>
      </c>
      <c r="AK48" s="63">
        <f ca="1">+Tax!AK50 * CF!AK12</f>
        <v>50003.388127739447</v>
      </c>
      <c r="AL48" s="63">
        <f ca="1">+Tax!AL50 * CF!AL12</f>
        <v>58130.99059915277</v>
      </c>
      <c r="AM48" s="63">
        <f ca="1">+Tax!AM50 * CF!AM12</f>
        <v>59745.032840020678</v>
      </c>
      <c r="AN48" s="63">
        <f ca="1">+Tax!AN50 * CF!AN12</f>
        <v>57078.790822310111</v>
      </c>
      <c r="AO48" s="63">
        <f ca="1">+Tax!AO50 * CF!AO12</f>
        <v>51679.423026043223</v>
      </c>
      <c r="AP48" s="63">
        <f ca="1">+Tax!AP50 * CF!AP12</f>
        <v>44639.556763565321</v>
      </c>
      <c r="AQ48" s="63">
        <f ca="1">+Tax!AQ50 * CF!AQ12</f>
        <v>39336.911290460564</v>
      </c>
      <c r="AR48" s="63">
        <f ca="1">+Tax!AR50 * CF!AR12</f>
        <v>36179.545031575435</v>
      </c>
      <c r="AS48" s="63">
        <f ca="1">+Tax!AS50 * CF!AS12</f>
        <v>35756.331445432348</v>
      </c>
      <c r="AT48" s="63">
        <f ca="1">+Tax!AT50 * CF!AT12</f>
        <v>38905.533841868455</v>
      </c>
      <c r="AU48" s="63">
        <f ca="1">+Tax!AU50 * CF!AU12</f>
        <v>46810.219223183536</v>
      </c>
      <c r="AV48" s="63">
        <f ca="1">+Tax!AV50 * CF!AV12</f>
        <v>53516.666334871101</v>
      </c>
      <c r="AW48" s="63">
        <f ca="1">+Tax!AW50 * CF!AW12</f>
        <v>59183.652244125129</v>
      </c>
      <c r="AX48" s="63">
        <f ca="1">+Tax!AX50 * CF!AX12</f>
        <v>64016.477018413345</v>
      </c>
      <c r="AY48" s="63">
        <f ca="1">+Tax!AY50 * CF!AY12</f>
        <v>68283.691263574176</v>
      </c>
      <c r="AZ48" s="63">
        <f ca="1">+Tax!AZ50 * CF!AZ12</f>
        <v>72339.773961766638</v>
      </c>
      <c r="BA48" s="63">
        <f ca="1">+Tax!BA50 * CF!BA12</f>
        <v>79004.533601250252</v>
      </c>
      <c r="BB48" s="63">
        <f ca="1">+Tax!BB50 * CF!BB12</f>
        <v>87837.29412948509</v>
      </c>
      <c r="BC48" s="63">
        <f ca="1">+Tax!BC50 * CF!BC12</f>
        <v>98587.874567187682</v>
      </c>
      <c r="BD48" s="63">
        <f ca="1">+Tax!BD50 * CF!BD12</f>
        <v>111140.77656820306</v>
      </c>
      <c r="BE48" s="63">
        <f ca="1">+Tax!BE50 * CF!BE12</f>
        <v>125478.09510728579</v>
      </c>
      <c r="BF48" s="63">
        <f ca="1">+Tax!BF50 * CF!BF12</f>
        <v>142174.11164589867</v>
      </c>
      <c r="BG48" s="63">
        <f ca="1">+Tax!BG50 * CF!BG12</f>
        <v>161612.19279710023</v>
      </c>
      <c r="BH48" s="63">
        <f ca="1">+Tax!BH50 * CF!BH12</f>
        <v>184251.83846047489</v>
      </c>
      <c r="BI48" s="63">
        <f ca="1">+Tax!BI50 * CF!BI12</f>
        <v>210648.32588242865</v>
      </c>
      <c r="BJ48" s="63">
        <f ca="1">+Tax!BJ50 * CF!BJ12</f>
        <v>0</v>
      </c>
      <c r="BK48" s="63">
        <f>+Tax!BK50 * CF!BK12</f>
        <v>0</v>
      </c>
      <c r="BL48" s="63">
        <f>+Tax!BL50 * CF!BL12</f>
        <v>0</v>
      </c>
      <c r="BM48" s="63">
        <f>+Tax!BM50 * CF!BM12</f>
        <v>0</v>
      </c>
      <c r="BN48" s="63">
        <f>+Tax!BN50 * CF!BN12</f>
        <v>0</v>
      </c>
      <c r="BO48" s="63">
        <f>+Tax!BO50 * CF!BO12</f>
        <v>0</v>
      </c>
      <c r="BP48" s="63">
        <f>+Tax!BP50 * CF!BP12</f>
        <v>0</v>
      </c>
      <c r="BQ48" s="63">
        <f>+Tax!BQ50 * CF!BQ12</f>
        <v>0</v>
      </c>
      <c r="BR48" s="63">
        <f>+Tax!BR50 * CF!BR12</f>
        <v>0</v>
      </c>
      <c r="BS48" s="63">
        <f>+Tax!BS50 * CF!BS12</f>
        <v>0</v>
      </c>
      <c r="BT48" s="63">
        <f>+Tax!BT50 * CF!BT12</f>
        <v>0</v>
      </c>
      <c r="BU48" s="63">
        <f>+Tax!BU50 * CF!BU12</f>
        <v>0</v>
      </c>
      <c r="BV48" s="63">
        <f>+Tax!BV50 * CF!BV12</f>
        <v>0</v>
      </c>
      <c r="BW48" s="63">
        <f>+Tax!BW50 * CF!BW12</f>
        <v>0</v>
      </c>
      <c r="BX48" s="63">
        <f>+Tax!BX50 * CF!BX12</f>
        <v>0</v>
      </c>
      <c r="BY48" s="63">
        <f>+Tax!BY50 * CF!BY12</f>
        <v>0</v>
      </c>
      <c r="BZ48" s="63">
        <f>+Tax!BZ50 * CF!BZ12</f>
        <v>0</v>
      </c>
      <c r="CA48" s="63">
        <f>+Tax!CA50 * CF!CA12</f>
        <v>0</v>
      </c>
      <c r="CB48" s="63">
        <f>+Tax!CB50 * CF!CB12</f>
        <v>0</v>
      </c>
      <c r="CC48" s="63">
        <f>+Tax!CC50 * CF!CC12</f>
        <v>0</v>
      </c>
      <c r="CD48" s="63">
        <f>+Tax!CD50 * CF!CD12</f>
        <v>0</v>
      </c>
      <c r="CE48" s="63">
        <f>+Tax!CE50 * CF!CE12</f>
        <v>0</v>
      </c>
      <c r="CF48" s="63">
        <f>+Tax!CF50 * CF!CF12</f>
        <v>0</v>
      </c>
      <c r="CG48" s="63">
        <f>+Tax!CG50 * CF!CG12</f>
        <v>0</v>
      </c>
      <c r="CH48" s="63">
        <f>+Tax!CH50 * CF!CH12</f>
        <v>0</v>
      </c>
      <c r="CI48" s="63">
        <f>+Tax!CI50 * CF!CI12</f>
        <v>0</v>
      </c>
      <c r="CJ48" s="63">
        <f>+Tax!CJ50 * CF!CJ12</f>
        <v>0</v>
      </c>
      <c r="CK48" s="63">
        <f>+Tax!CK50 * CF!CK12</f>
        <v>0</v>
      </c>
      <c r="CL48" s="63">
        <f>+Tax!CL50 * CF!CL12</f>
        <v>0</v>
      </c>
      <c r="CM48" s="63">
        <f>+Tax!CM50 * CF!CM12</f>
        <v>0</v>
      </c>
      <c r="CN48" s="63">
        <f>+Tax!CN50 * CF!CN12</f>
        <v>0</v>
      </c>
      <c r="CO48" s="63">
        <f>+Tax!CO50 * CF!CO12</f>
        <v>0</v>
      </c>
      <c r="CP48" s="63">
        <f>+Tax!CP50 * CF!CP12</f>
        <v>0</v>
      </c>
      <c r="CQ48" s="63">
        <f>+Tax!CQ50 * CF!CQ12</f>
        <v>0</v>
      </c>
      <c r="CR48" s="63">
        <f>+Tax!CR50 * CF!CR12</f>
        <v>0</v>
      </c>
      <c r="CS48" s="63">
        <f>+Tax!CS50 * CF!CS12</f>
        <v>0</v>
      </c>
      <c r="CT48" s="63">
        <f>+Tax!CT50 * CF!CT12</f>
        <v>0</v>
      </c>
      <c r="CU48" s="63">
        <f>+Tax!CU50 * CF!CU12</f>
        <v>0</v>
      </c>
      <c r="CV48" s="63">
        <f>+Tax!CV50 * CF!CV12</f>
        <v>0</v>
      </c>
      <c r="CW48" s="63">
        <f>+Tax!CW50 * CF!CW12</f>
        <v>0</v>
      </c>
      <c r="CX48" s="63">
        <f>+Tax!CX50 * CF!CX12</f>
        <v>0</v>
      </c>
      <c r="CY48" s="63">
        <f>+Tax!CY50 * CF!CY12</f>
        <v>0</v>
      </c>
      <c r="CZ48" s="63">
        <f>+Tax!CZ50 * CF!CZ12</f>
        <v>0</v>
      </c>
      <c r="DA48" s="63">
        <f>+Tax!DA50 * CF!DA12</f>
        <v>0</v>
      </c>
      <c r="DB48" s="63">
        <f>+Tax!DB50 * CF!DB12</f>
        <v>0</v>
      </c>
      <c r="DC48" s="63">
        <f>+Tax!DC50 * CF!DC12</f>
        <v>0</v>
      </c>
      <c r="DD48" s="63">
        <f>+Tax!DD50 * CF!DD12</f>
        <v>0</v>
      </c>
      <c r="DE48" s="63">
        <f>+Tax!DE50 * CF!DE12</f>
        <v>0</v>
      </c>
      <c r="DF48" s="63">
        <f>+Tax!DF50 * CF!DF12</f>
        <v>0</v>
      </c>
      <c r="DG48" s="63">
        <f>+Tax!DG50 * CF!DG12</f>
        <v>0</v>
      </c>
      <c r="DH48" s="63">
        <f>+Tax!DH50 * CF!DH12</f>
        <v>0</v>
      </c>
      <c r="DI48" s="63">
        <f>+Tax!DI50 * CF!DI12</f>
        <v>0</v>
      </c>
      <c r="DJ48" s="63">
        <f>+Tax!DJ50 * CF!DJ12</f>
        <v>0</v>
      </c>
      <c r="DK48" s="63">
        <f>+Tax!DK50 * CF!DK12</f>
        <v>0</v>
      </c>
      <c r="DL48" s="63">
        <f>+Tax!DL50 * CF!DL12</f>
        <v>0</v>
      </c>
      <c r="DM48" s="63">
        <f>+Tax!DM50 * CF!DM12</f>
        <v>0</v>
      </c>
      <c r="DN48" s="63">
        <f>+Tax!DN50 * CF!DN12</f>
        <v>0</v>
      </c>
      <c r="DO48" s="63">
        <f>+Tax!DO50 * CF!DO12</f>
        <v>0</v>
      </c>
      <c r="DP48" s="63">
        <f>+Tax!DP50 * CF!DP12</f>
        <v>0</v>
      </c>
      <c r="DQ48" s="16"/>
    </row>
    <row r="49" spans="3:121" x14ac:dyDescent="0.2">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16"/>
    </row>
    <row r="50" spans="3:121" x14ac:dyDescent="0.2">
      <c r="C50" s="32" t="s">
        <v>94</v>
      </c>
      <c r="D50" s="32"/>
      <c r="E50" s="32"/>
      <c r="F50" s="32"/>
      <c r="G50" s="32"/>
      <c r="H50" s="32"/>
      <c r="I50" s="32"/>
      <c r="J50" s="32"/>
      <c r="K50" s="639" t="s">
        <v>63</v>
      </c>
      <c r="L50" s="33"/>
      <c r="M50" s="33"/>
      <c r="N50" s="33"/>
      <c r="O50" s="32"/>
      <c r="P50" s="32"/>
      <c r="Q50" s="32"/>
      <c r="R50" s="745">
        <f t="shared" ref="R50" si="38">+R47+R38</f>
        <v>2051491.5124237449</v>
      </c>
      <c r="S50" s="745">
        <f t="shared" ref="S50:AV50" ca="1" si="39">+S47+S38</f>
        <v>1968737.9306949505</v>
      </c>
      <c r="T50" s="745">
        <f t="shared" ca="1" si="39"/>
        <v>1903646.584992802</v>
      </c>
      <c r="U50" s="745">
        <f t="shared" ca="1" si="39"/>
        <v>1573300.6358618538</v>
      </c>
      <c r="V50" s="745">
        <f t="shared" ca="1" si="39"/>
        <v>1445410.1818433756</v>
      </c>
      <c r="W50" s="745">
        <f t="shared" ca="1" si="39"/>
        <v>1316560.9739999396</v>
      </c>
      <c r="X50" s="745">
        <f t="shared" ca="1" si="39"/>
        <v>1186410.9711893608</v>
      </c>
      <c r="Y50" s="745">
        <f t="shared" ca="1" si="39"/>
        <v>1056531.4775129196</v>
      </c>
      <c r="Z50" s="745">
        <f t="shared" ca="1" si="39"/>
        <v>927129.74952970084</v>
      </c>
      <c r="AA50" s="745">
        <f t="shared" ca="1" si="39"/>
        <v>796988.91725396214</v>
      </c>
      <c r="AB50" s="745">
        <f t="shared" ca="1" si="39"/>
        <v>666268.56751572865</v>
      </c>
      <c r="AC50" s="745">
        <f t="shared" ca="1" si="39"/>
        <v>535469.47577958438</v>
      </c>
      <c r="AD50" s="745">
        <f t="shared" ca="1" si="39"/>
        <v>405731.86055094725</v>
      </c>
      <c r="AE50" s="745">
        <f t="shared" ca="1" si="39"/>
        <v>278069.8591205611</v>
      </c>
      <c r="AF50" s="745">
        <f t="shared" ca="1" si="39"/>
        <v>153806.65509024821</v>
      </c>
      <c r="AG50" s="745">
        <f t="shared" ca="1" si="39"/>
        <v>114601.22938699064</v>
      </c>
      <c r="AH50" s="745">
        <f t="shared" ca="1" si="39"/>
        <v>129086.62615819387</v>
      </c>
      <c r="AI50" s="745">
        <f t="shared" ca="1" si="39"/>
        <v>143028.25941050577</v>
      </c>
      <c r="AJ50" s="745">
        <f t="shared" ca="1" si="39"/>
        <v>155023.98934439578</v>
      </c>
      <c r="AK50" s="745">
        <f t="shared" ca="1" si="39"/>
        <v>162444.89353915985</v>
      </c>
      <c r="AL50" s="745">
        <f t="shared" ca="1" si="39"/>
        <v>165304.76063163779</v>
      </c>
      <c r="AM50" s="745">
        <f t="shared" ca="1" si="39"/>
        <v>166356.90386396588</v>
      </c>
      <c r="AN50" s="745">
        <f t="shared" ca="1" si="39"/>
        <v>162533.31151835434</v>
      </c>
      <c r="AO50" s="745">
        <f t="shared" ca="1" si="39"/>
        <v>186470.77468422611</v>
      </c>
      <c r="AP50" s="745">
        <f t="shared" ca="1" si="39"/>
        <v>183277.01897274135</v>
      </c>
      <c r="AQ50" s="745">
        <f t="shared" ca="1" si="39"/>
        <v>181473.97226913943</v>
      </c>
      <c r="AR50" s="745">
        <f t="shared" ca="1" si="39"/>
        <v>181184.21793337198</v>
      </c>
      <c r="AS50" s="745">
        <f t="shared" ca="1" si="39"/>
        <v>188235.23172914615</v>
      </c>
      <c r="AT50" s="745">
        <f t="shared" ca="1" si="39"/>
        <v>272447.586613919</v>
      </c>
      <c r="AU50" s="745">
        <f t="shared" ca="1" si="39"/>
        <v>354031.98459813878</v>
      </c>
      <c r="AV50" s="745">
        <f t="shared" ca="1" si="39"/>
        <v>361227.69219534606</v>
      </c>
      <c r="AW50" s="745">
        <f t="shared" ref="AW50:CB50" ca="1" si="40">+AW47+AW38</f>
        <v>367744.65634187189</v>
      </c>
      <c r="AX50" s="745">
        <f t="shared" ca="1" si="40"/>
        <v>383097.56600039685</v>
      </c>
      <c r="AY50" s="745">
        <f t="shared" ca="1" si="40"/>
        <v>401169.56242822704</v>
      </c>
      <c r="AZ50" s="745">
        <f t="shared" ca="1" si="40"/>
        <v>411665.61037787452</v>
      </c>
      <c r="BA50" s="745">
        <f t="shared" ca="1" si="40"/>
        <v>425318.80093166704</v>
      </c>
      <c r="BB50" s="745">
        <f t="shared" ca="1" si="40"/>
        <v>442357.18035824981</v>
      </c>
      <c r="BC50" s="745">
        <f t="shared" ca="1" si="40"/>
        <v>462638.65575959446</v>
      </c>
      <c r="BD50" s="745">
        <f t="shared" ca="1" si="40"/>
        <v>351158.61117775785</v>
      </c>
      <c r="BE50" s="745">
        <f t="shared" ca="1" si="40"/>
        <v>353183.46593439527</v>
      </c>
      <c r="BF50" s="745">
        <f t="shared" ca="1" si="40"/>
        <v>335505.83414133999</v>
      </c>
      <c r="BG50" s="745">
        <f t="shared" ca="1" si="40"/>
        <v>315872.06309924857</v>
      </c>
      <c r="BH50" s="745">
        <f t="shared" ca="1" si="40"/>
        <v>294099.50034399924</v>
      </c>
      <c r="BI50" s="745">
        <f t="shared" ca="1" si="40"/>
        <v>270013.5011190087</v>
      </c>
      <c r="BJ50" s="745">
        <f t="shared" ca="1" si="40"/>
        <v>-133568.75352641862</v>
      </c>
      <c r="BK50" s="745">
        <f t="shared" si="40"/>
        <v>0</v>
      </c>
      <c r="BL50" s="745">
        <f t="shared" si="40"/>
        <v>0</v>
      </c>
      <c r="BM50" s="745">
        <f t="shared" si="40"/>
        <v>0</v>
      </c>
      <c r="BN50" s="745">
        <f t="shared" si="40"/>
        <v>0</v>
      </c>
      <c r="BO50" s="745">
        <f t="shared" si="40"/>
        <v>0</v>
      </c>
      <c r="BP50" s="745">
        <f t="shared" si="40"/>
        <v>0</v>
      </c>
      <c r="BQ50" s="745">
        <f t="shared" si="40"/>
        <v>0</v>
      </c>
      <c r="BR50" s="745">
        <f t="shared" si="40"/>
        <v>0</v>
      </c>
      <c r="BS50" s="745">
        <f t="shared" si="40"/>
        <v>0</v>
      </c>
      <c r="BT50" s="745">
        <f t="shared" si="40"/>
        <v>0</v>
      </c>
      <c r="BU50" s="745">
        <f t="shared" si="40"/>
        <v>0</v>
      </c>
      <c r="BV50" s="745">
        <f t="shared" si="40"/>
        <v>0</v>
      </c>
      <c r="BW50" s="745">
        <f t="shared" si="40"/>
        <v>0</v>
      </c>
      <c r="BX50" s="745">
        <f t="shared" si="40"/>
        <v>0</v>
      </c>
      <c r="BY50" s="745">
        <f t="shared" si="40"/>
        <v>0</v>
      </c>
      <c r="BZ50" s="745">
        <f t="shared" si="40"/>
        <v>0</v>
      </c>
      <c r="CA50" s="745">
        <f t="shared" si="40"/>
        <v>0</v>
      </c>
      <c r="CB50" s="745">
        <f t="shared" si="40"/>
        <v>0</v>
      </c>
      <c r="CC50" s="745">
        <f t="shared" ref="CC50:DH50" si="41">+CC47+CC38</f>
        <v>0</v>
      </c>
      <c r="CD50" s="745">
        <f t="shared" si="41"/>
        <v>0</v>
      </c>
      <c r="CE50" s="745">
        <f t="shared" si="41"/>
        <v>0</v>
      </c>
      <c r="CF50" s="745">
        <f t="shared" si="41"/>
        <v>0</v>
      </c>
      <c r="CG50" s="745">
        <f t="shared" si="41"/>
        <v>0</v>
      </c>
      <c r="CH50" s="745">
        <f t="shared" si="41"/>
        <v>0</v>
      </c>
      <c r="CI50" s="745">
        <f t="shared" si="41"/>
        <v>0</v>
      </c>
      <c r="CJ50" s="745">
        <f t="shared" si="41"/>
        <v>0</v>
      </c>
      <c r="CK50" s="745">
        <f t="shared" si="41"/>
        <v>0</v>
      </c>
      <c r="CL50" s="745">
        <f t="shared" si="41"/>
        <v>0</v>
      </c>
      <c r="CM50" s="745">
        <f t="shared" si="41"/>
        <v>0</v>
      </c>
      <c r="CN50" s="745">
        <f t="shared" si="41"/>
        <v>0</v>
      </c>
      <c r="CO50" s="745">
        <f t="shared" si="41"/>
        <v>0</v>
      </c>
      <c r="CP50" s="745">
        <f t="shared" si="41"/>
        <v>0</v>
      </c>
      <c r="CQ50" s="745">
        <f t="shared" si="41"/>
        <v>0</v>
      </c>
      <c r="CR50" s="745">
        <f t="shared" si="41"/>
        <v>0</v>
      </c>
      <c r="CS50" s="745">
        <f t="shared" si="41"/>
        <v>0</v>
      </c>
      <c r="CT50" s="745">
        <f t="shared" si="41"/>
        <v>0</v>
      </c>
      <c r="CU50" s="745">
        <f t="shared" si="41"/>
        <v>0</v>
      </c>
      <c r="CV50" s="745">
        <f t="shared" si="41"/>
        <v>0</v>
      </c>
      <c r="CW50" s="745">
        <f t="shared" si="41"/>
        <v>0</v>
      </c>
      <c r="CX50" s="745">
        <f t="shared" si="41"/>
        <v>0</v>
      </c>
      <c r="CY50" s="745">
        <f t="shared" si="41"/>
        <v>0</v>
      </c>
      <c r="CZ50" s="745">
        <f t="shared" si="41"/>
        <v>0</v>
      </c>
      <c r="DA50" s="745">
        <f t="shared" si="41"/>
        <v>0</v>
      </c>
      <c r="DB50" s="745">
        <f t="shared" si="41"/>
        <v>0</v>
      </c>
      <c r="DC50" s="745">
        <f t="shared" si="41"/>
        <v>0</v>
      </c>
      <c r="DD50" s="745">
        <f t="shared" si="41"/>
        <v>0</v>
      </c>
      <c r="DE50" s="745">
        <f t="shared" si="41"/>
        <v>0</v>
      </c>
      <c r="DF50" s="745">
        <f t="shared" si="41"/>
        <v>0</v>
      </c>
      <c r="DG50" s="745">
        <f t="shared" si="41"/>
        <v>0</v>
      </c>
      <c r="DH50" s="745">
        <f t="shared" si="41"/>
        <v>0</v>
      </c>
      <c r="DI50" s="745">
        <f t="shared" ref="DI50:DP50" si="42">+DI47+DI38</f>
        <v>0</v>
      </c>
      <c r="DJ50" s="745">
        <f t="shared" si="42"/>
        <v>0</v>
      </c>
      <c r="DK50" s="745">
        <f t="shared" si="42"/>
        <v>0</v>
      </c>
      <c r="DL50" s="745">
        <f t="shared" si="42"/>
        <v>0</v>
      </c>
      <c r="DM50" s="745">
        <f t="shared" si="42"/>
        <v>0</v>
      </c>
      <c r="DN50" s="745">
        <f t="shared" si="42"/>
        <v>0</v>
      </c>
      <c r="DO50" s="745">
        <f t="shared" si="42"/>
        <v>0</v>
      </c>
      <c r="DP50" s="745">
        <f t="shared" si="42"/>
        <v>0</v>
      </c>
      <c r="DQ50" s="16"/>
    </row>
    <row r="51" spans="3:121" x14ac:dyDescent="0.2">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16"/>
    </row>
    <row r="52" spans="3:121" x14ac:dyDescent="0.2">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16"/>
    </row>
    <row r="53" spans="3:121" x14ac:dyDescent="0.2">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16"/>
    </row>
    <row r="54" spans="3:121" x14ac:dyDescent="0.2">
      <c r="C54" s="28" t="s">
        <v>95</v>
      </c>
      <c r="D54" s="28"/>
      <c r="E54" s="28"/>
      <c r="F54" s="28"/>
      <c r="G54" s="28"/>
      <c r="H54" s="28"/>
      <c r="I54" s="28"/>
      <c r="J54" s="28"/>
      <c r="K54" s="663" t="s">
        <v>63</v>
      </c>
      <c r="L54" s="28"/>
      <c r="M54" s="28"/>
      <c r="N54" s="28"/>
      <c r="O54" s="28"/>
      <c r="P54" s="28"/>
      <c r="Q54" s="28"/>
      <c r="R54" s="29">
        <f t="shared" ref="R54" si="43">SUM(R55:R56)</f>
        <v>402116.81488000008</v>
      </c>
      <c r="S54" s="29">
        <f t="shared" ref="S54:AO54" ca="1" si="44">SUM(S55:S56)</f>
        <v>275252.12319719431</v>
      </c>
      <c r="T54" s="29">
        <f t="shared" ca="1" si="44"/>
        <v>164168.53999371245</v>
      </c>
      <c r="U54" s="29">
        <f t="shared" ca="1" si="44"/>
        <v>-179686.95894183067</v>
      </c>
      <c r="V54" s="29">
        <f t="shared" ca="1" si="44"/>
        <v>-310088.81298882375</v>
      </c>
      <c r="W54" s="29">
        <f t="shared" ca="1" si="44"/>
        <v>-442145.52513195563</v>
      </c>
      <c r="X54" s="29">
        <f t="shared" ca="1" si="44"/>
        <v>-576392.08114622755</v>
      </c>
      <c r="Y54" s="29">
        <f t="shared" ca="1" si="44"/>
        <v>-711503.60152713151</v>
      </c>
      <c r="Z54" s="29">
        <f t="shared" ca="1" si="44"/>
        <v>-847587.55773370957</v>
      </c>
      <c r="AA54" s="29">
        <f t="shared" ca="1" si="44"/>
        <v>-986262.78338151833</v>
      </c>
      <c r="AB54" s="29">
        <f t="shared" ca="1" si="44"/>
        <v>-1124817.6274322155</v>
      </c>
      <c r="AC54" s="29">
        <f t="shared" ca="1" si="44"/>
        <v>-1262808.7126066866</v>
      </c>
      <c r="AD54" s="29">
        <f t="shared" ca="1" si="44"/>
        <v>-1399148.5114037828</v>
      </c>
      <c r="AE54" s="29">
        <f t="shared" ca="1" si="44"/>
        <v>-1532871.2563881529</v>
      </c>
      <c r="AF54" s="29">
        <f t="shared" ca="1" si="44"/>
        <v>-1662698.1670385967</v>
      </c>
      <c r="AG54" s="29">
        <f t="shared" ca="1" si="44"/>
        <v>-1709447.3811051436</v>
      </c>
      <c r="AH54" s="29">
        <f t="shared" ca="1" si="44"/>
        <v>-1705190.5507835429</v>
      </c>
      <c r="AI54" s="29">
        <f t="shared" ca="1" si="44"/>
        <v>-1705117.7545896862</v>
      </c>
      <c r="AJ54" s="29">
        <f t="shared" ca="1" si="44"/>
        <v>-1711926.6775171421</v>
      </c>
      <c r="AK54" s="29">
        <f t="shared" ca="1" si="44"/>
        <v>-1730002.862064952</v>
      </c>
      <c r="AL54" s="29">
        <f t="shared" ca="1" si="44"/>
        <v>-1744400.5148286815</v>
      </c>
      <c r="AM54" s="29">
        <f t="shared" ca="1" si="44"/>
        <v>-1755028.9989257827</v>
      </c>
      <c r="AN54" s="29">
        <f t="shared" ca="1" si="44"/>
        <v>-1766758.5392839611</v>
      </c>
      <c r="AO54" s="29">
        <f t="shared" ca="1" si="44"/>
        <v>-1748172.1597726401</v>
      </c>
      <c r="AP54" s="29">
        <f t="shared" ref="AP54:BU54" ca="1" si="45">SUM(AP55:AP56)</f>
        <v>-1754987.7577012107</v>
      </c>
      <c r="AQ54" s="29">
        <f t="shared" ca="1" si="45"/>
        <v>-1761822.3640009393</v>
      </c>
      <c r="AR54" s="29">
        <f t="shared" ca="1" si="45"/>
        <v>-1769102.0948326304</v>
      </c>
      <c r="AS54" s="29">
        <f t="shared" ca="1" si="45"/>
        <v>-1771761.742409362</v>
      </c>
      <c r="AT54" s="29">
        <f t="shared" ca="1" si="45"/>
        <v>-1701039.6967332768</v>
      </c>
      <c r="AU54" s="29">
        <f t="shared" ca="1" si="45"/>
        <v>-1561309.1451827264</v>
      </c>
      <c r="AV54" s="29">
        <f t="shared" ca="1" si="45"/>
        <v>-1416947.1654073158</v>
      </c>
      <c r="AW54" s="29">
        <f t="shared" ca="1" si="45"/>
        <v>-1264781.288505238</v>
      </c>
      <c r="AX54" s="29">
        <f t="shared" ca="1" si="45"/>
        <v>-1094873.3492984162</v>
      </c>
      <c r="AY54" s="29">
        <f t="shared" ca="1" si="45"/>
        <v>-895941.8815862519</v>
      </c>
      <c r="AZ54" s="29">
        <f t="shared" ca="1" si="45"/>
        <v>-675923.65097788873</v>
      </c>
      <c r="BA54" s="29">
        <f t="shared" ca="1" si="45"/>
        <v>-441748.36317579763</v>
      </c>
      <c r="BB54" s="29">
        <f t="shared" ca="1" si="45"/>
        <v>-192610.47639538103</v>
      </c>
      <c r="BC54" s="29">
        <f t="shared" ca="1" si="45"/>
        <v>71955.730495873955</v>
      </c>
      <c r="BD54" s="29">
        <f t="shared" ca="1" si="45"/>
        <v>217585.3658071676</v>
      </c>
      <c r="BE54" s="29">
        <f t="shared" ca="1" si="45"/>
        <v>353183.46594439598</v>
      </c>
      <c r="BF54" s="29">
        <f t="shared" ca="1" si="45"/>
        <v>335505.83415134076</v>
      </c>
      <c r="BG54" s="29">
        <f t="shared" ca="1" si="45"/>
        <v>315872.06310924946</v>
      </c>
      <c r="BH54" s="29">
        <f t="shared" ca="1" si="45"/>
        <v>294099.50035400002</v>
      </c>
      <c r="BI54" s="29">
        <f t="shared" ca="1" si="45"/>
        <v>270013.50112900941</v>
      </c>
      <c r="BJ54" s="29">
        <f t="shared" ca="1" si="45"/>
        <v>-133568.75351641781</v>
      </c>
      <c r="BK54" s="29">
        <f t="shared" ca="1" si="45"/>
        <v>0</v>
      </c>
      <c r="BL54" s="29">
        <f t="shared" ca="1" si="45"/>
        <v>0</v>
      </c>
      <c r="BM54" s="29">
        <f t="shared" ca="1" si="45"/>
        <v>0</v>
      </c>
      <c r="BN54" s="29">
        <f t="shared" ca="1" si="45"/>
        <v>0</v>
      </c>
      <c r="BO54" s="29">
        <f t="shared" ca="1" si="45"/>
        <v>0</v>
      </c>
      <c r="BP54" s="29">
        <f t="shared" ca="1" si="45"/>
        <v>0</v>
      </c>
      <c r="BQ54" s="29">
        <f t="shared" ca="1" si="45"/>
        <v>0</v>
      </c>
      <c r="BR54" s="29">
        <f t="shared" ca="1" si="45"/>
        <v>0</v>
      </c>
      <c r="BS54" s="29">
        <f t="shared" ca="1" si="45"/>
        <v>0</v>
      </c>
      <c r="BT54" s="29">
        <f t="shared" ca="1" si="45"/>
        <v>0</v>
      </c>
      <c r="BU54" s="29">
        <f t="shared" ca="1" si="45"/>
        <v>0</v>
      </c>
      <c r="BV54" s="29">
        <f t="shared" ref="BV54:DA54" ca="1" si="46">SUM(BV55:BV56)</f>
        <v>0</v>
      </c>
      <c r="BW54" s="29">
        <f t="shared" ca="1" si="46"/>
        <v>0</v>
      </c>
      <c r="BX54" s="29">
        <f t="shared" ca="1" si="46"/>
        <v>0</v>
      </c>
      <c r="BY54" s="29">
        <f t="shared" ca="1" si="46"/>
        <v>0</v>
      </c>
      <c r="BZ54" s="29">
        <f t="shared" ca="1" si="46"/>
        <v>0</v>
      </c>
      <c r="CA54" s="29">
        <f t="shared" ca="1" si="46"/>
        <v>0</v>
      </c>
      <c r="CB54" s="29">
        <f t="shared" ca="1" si="46"/>
        <v>0</v>
      </c>
      <c r="CC54" s="29">
        <f t="shared" ca="1" si="46"/>
        <v>0</v>
      </c>
      <c r="CD54" s="29">
        <f t="shared" ca="1" si="46"/>
        <v>0</v>
      </c>
      <c r="CE54" s="29">
        <f t="shared" ca="1" si="46"/>
        <v>0</v>
      </c>
      <c r="CF54" s="29">
        <f t="shared" ca="1" si="46"/>
        <v>0</v>
      </c>
      <c r="CG54" s="29">
        <f t="shared" ca="1" si="46"/>
        <v>0</v>
      </c>
      <c r="CH54" s="29">
        <f t="shared" ca="1" si="46"/>
        <v>0</v>
      </c>
      <c r="CI54" s="29">
        <f t="shared" ca="1" si="46"/>
        <v>0</v>
      </c>
      <c r="CJ54" s="29">
        <f t="shared" ca="1" si="46"/>
        <v>0</v>
      </c>
      <c r="CK54" s="29">
        <f t="shared" ca="1" si="46"/>
        <v>0</v>
      </c>
      <c r="CL54" s="29">
        <f t="shared" ca="1" si="46"/>
        <v>0</v>
      </c>
      <c r="CM54" s="29">
        <f t="shared" ca="1" si="46"/>
        <v>0</v>
      </c>
      <c r="CN54" s="29">
        <f t="shared" ca="1" si="46"/>
        <v>0</v>
      </c>
      <c r="CO54" s="29">
        <f t="shared" ca="1" si="46"/>
        <v>0</v>
      </c>
      <c r="CP54" s="29">
        <f t="shared" ca="1" si="46"/>
        <v>0</v>
      </c>
      <c r="CQ54" s="29">
        <f t="shared" ca="1" si="46"/>
        <v>0</v>
      </c>
      <c r="CR54" s="29">
        <f t="shared" ca="1" si="46"/>
        <v>0</v>
      </c>
      <c r="CS54" s="29">
        <f t="shared" ca="1" si="46"/>
        <v>0</v>
      </c>
      <c r="CT54" s="29">
        <f t="shared" ca="1" si="46"/>
        <v>0</v>
      </c>
      <c r="CU54" s="29">
        <f t="shared" ca="1" si="46"/>
        <v>0</v>
      </c>
      <c r="CV54" s="29">
        <f t="shared" ca="1" si="46"/>
        <v>0</v>
      </c>
      <c r="CW54" s="29">
        <f t="shared" ca="1" si="46"/>
        <v>0</v>
      </c>
      <c r="CX54" s="29">
        <f t="shared" ca="1" si="46"/>
        <v>0</v>
      </c>
      <c r="CY54" s="29">
        <f t="shared" ca="1" si="46"/>
        <v>0</v>
      </c>
      <c r="CZ54" s="29">
        <f t="shared" ca="1" si="46"/>
        <v>0</v>
      </c>
      <c r="DA54" s="29">
        <f t="shared" ca="1" si="46"/>
        <v>0</v>
      </c>
      <c r="DB54" s="29">
        <f t="shared" ref="DB54:DP54" ca="1" si="47">SUM(DB55:DB56)</f>
        <v>0</v>
      </c>
      <c r="DC54" s="29">
        <f t="shared" ca="1" si="47"/>
        <v>0</v>
      </c>
      <c r="DD54" s="29">
        <f t="shared" ca="1" si="47"/>
        <v>0</v>
      </c>
      <c r="DE54" s="29">
        <f t="shared" ca="1" si="47"/>
        <v>0</v>
      </c>
      <c r="DF54" s="29">
        <f t="shared" ca="1" si="47"/>
        <v>0</v>
      </c>
      <c r="DG54" s="29">
        <f t="shared" ca="1" si="47"/>
        <v>0</v>
      </c>
      <c r="DH54" s="29">
        <f t="shared" ca="1" si="47"/>
        <v>0</v>
      </c>
      <c r="DI54" s="29">
        <f t="shared" ca="1" si="47"/>
        <v>0</v>
      </c>
      <c r="DJ54" s="29">
        <f t="shared" ca="1" si="47"/>
        <v>0</v>
      </c>
      <c r="DK54" s="29">
        <f t="shared" ca="1" si="47"/>
        <v>0</v>
      </c>
      <c r="DL54" s="29">
        <f t="shared" ca="1" si="47"/>
        <v>0</v>
      </c>
      <c r="DM54" s="29">
        <f t="shared" ca="1" si="47"/>
        <v>0</v>
      </c>
      <c r="DN54" s="29">
        <f t="shared" ca="1" si="47"/>
        <v>0</v>
      </c>
      <c r="DO54" s="29">
        <f t="shared" ca="1" si="47"/>
        <v>0</v>
      </c>
      <c r="DP54" s="29">
        <f t="shared" ca="1" si="47"/>
        <v>0</v>
      </c>
      <c r="DQ54" s="16"/>
    </row>
    <row r="55" spans="3:121" x14ac:dyDescent="0.2">
      <c r="C55" s="34" t="s">
        <v>96</v>
      </c>
      <c r="K55" s="144" t="s">
        <v>63</v>
      </c>
      <c r="R55" s="751">
        <f>Inputs!$L$231</f>
        <v>671912.55500000005</v>
      </c>
      <c r="S55" s="63">
        <f>+R55 * CF!S12</f>
        <v>671912.55500000005</v>
      </c>
      <c r="T55" s="63">
        <f>+S55 * CF!T12</f>
        <v>671912.55500000005</v>
      </c>
      <c r="U55" s="63">
        <f>+T55 * CF!U12</f>
        <v>671912.55500000005</v>
      </c>
      <c r="V55" s="63">
        <f>+U55 * CF!V12</f>
        <v>671912.55500000005</v>
      </c>
      <c r="W55" s="63">
        <f>+V55 * CF!W12</f>
        <v>671912.55500000005</v>
      </c>
      <c r="X55" s="63">
        <f>+W55 * CF!X12</f>
        <v>671912.55500000005</v>
      </c>
      <c r="Y55" s="63">
        <f>+X55 * CF!Y12</f>
        <v>671912.55500000005</v>
      </c>
      <c r="Z55" s="63">
        <f>+Y55 * CF!Z12</f>
        <v>671912.55500000005</v>
      </c>
      <c r="AA55" s="63">
        <f>+Z55 * CF!AA12</f>
        <v>671912.55500000005</v>
      </c>
      <c r="AB55" s="63">
        <f>+AA55 * CF!AB12</f>
        <v>671912.55500000005</v>
      </c>
      <c r="AC55" s="63">
        <f>+AB55 * CF!AC12</f>
        <v>671912.55500000005</v>
      </c>
      <c r="AD55" s="63">
        <f>+AC55 * CF!AD12</f>
        <v>671912.55500000005</v>
      </c>
      <c r="AE55" s="63">
        <f>+AD55 * CF!AE12</f>
        <v>671912.55500000005</v>
      </c>
      <c r="AF55" s="63">
        <f>+AE55 * CF!AF12</f>
        <v>671912.55500000005</v>
      </c>
      <c r="AG55" s="63">
        <f>+AF55 * CF!AG12</f>
        <v>671912.55500000005</v>
      </c>
      <c r="AH55" s="63">
        <f>+AG55 * CF!AH12</f>
        <v>671912.55500000005</v>
      </c>
      <c r="AI55" s="63">
        <f>+AH55 * CF!AI12</f>
        <v>671912.55500000005</v>
      </c>
      <c r="AJ55" s="63">
        <f>+AI55 * CF!AJ12</f>
        <v>671912.55500000005</v>
      </c>
      <c r="AK55" s="63">
        <f>+AJ55 * CF!AK12</f>
        <v>671912.55500000005</v>
      </c>
      <c r="AL55" s="63">
        <f>+AK55 * CF!AL12</f>
        <v>671912.55500000005</v>
      </c>
      <c r="AM55" s="63">
        <f>+AL55 * CF!AM12</f>
        <v>671912.55500000005</v>
      </c>
      <c r="AN55" s="63">
        <f>+AM55 * CF!AN12</f>
        <v>671912.55500000005</v>
      </c>
      <c r="AO55" s="63">
        <f>+AN55 * CF!AO12</f>
        <v>671912.55500000005</v>
      </c>
      <c r="AP55" s="63">
        <f>+AO55 * CF!AP12</f>
        <v>671912.55500000005</v>
      </c>
      <c r="AQ55" s="63">
        <f>+AP55 * CF!AQ12</f>
        <v>671912.55500000005</v>
      </c>
      <c r="AR55" s="63">
        <f>+AQ55 * CF!AR12</f>
        <v>671912.55500000005</v>
      </c>
      <c r="AS55" s="63">
        <f>+AR55 * CF!AS12</f>
        <v>671912.55500000005</v>
      </c>
      <c r="AT55" s="63">
        <f>+AS55 * CF!AT12</f>
        <v>671912.55500000005</v>
      </c>
      <c r="AU55" s="63">
        <f>+AT55 * CF!AU12</f>
        <v>671912.55500000005</v>
      </c>
      <c r="AV55" s="63">
        <f>+AU55 * CF!AV12</f>
        <v>671912.55500000005</v>
      </c>
      <c r="AW55" s="63">
        <f>+AV55 * CF!AW12</f>
        <v>671912.55500000005</v>
      </c>
      <c r="AX55" s="63">
        <f>+AW55 * CF!AX12</f>
        <v>671912.55500000005</v>
      </c>
      <c r="AY55" s="63">
        <f>+AX55 * CF!AY12</f>
        <v>671912.55500000005</v>
      </c>
      <c r="AZ55" s="63">
        <f>+AY55 * CF!AZ12</f>
        <v>671912.55500000005</v>
      </c>
      <c r="BA55" s="63">
        <f>+AZ55 * CF!BA12</f>
        <v>671912.55500000005</v>
      </c>
      <c r="BB55" s="63">
        <f>+BA55 * CF!BB12</f>
        <v>671912.55500000005</v>
      </c>
      <c r="BC55" s="63">
        <f>+BB55 * CF!BC12</f>
        <v>671912.55500000005</v>
      </c>
      <c r="BD55" s="63">
        <f>+BC55 * CF!BD12</f>
        <v>671912.55500000005</v>
      </c>
      <c r="BE55" s="63">
        <f>+BD55 * CF!BE12</f>
        <v>671912.55500000005</v>
      </c>
      <c r="BF55" s="63">
        <f>+BE55 * CF!BF12</f>
        <v>671912.55500000005</v>
      </c>
      <c r="BG55" s="63">
        <f>+BF55 * CF!BG12</f>
        <v>671912.55500000005</v>
      </c>
      <c r="BH55" s="63">
        <f>+BG55 * CF!BH12</f>
        <v>671912.55500000005</v>
      </c>
      <c r="BI55" s="63">
        <f>+BH55 * CF!BI12</f>
        <v>671912.55500000005</v>
      </c>
      <c r="BJ55" s="63">
        <f>+BI55 * CF!BJ12</f>
        <v>671912.55500000005</v>
      </c>
      <c r="BK55" s="63">
        <f>+BJ55 * CF!BK12</f>
        <v>0</v>
      </c>
      <c r="BL55" s="63">
        <f>+BK55 * CF!BL12</f>
        <v>0</v>
      </c>
      <c r="BM55" s="63">
        <f>+BL55 * CF!BM12</f>
        <v>0</v>
      </c>
      <c r="BN55" s="63">
        <f>+BM55 * CF!BN12</f>
        <v>0</v>
      </c>
      <c r="BO55" s="63">
        <f>+BN55 * CF!BO12</f>
        <v>0</v>
      </c>
      <c r="BP55" s="63">
        <f>+BO55 * CF!BP12</f>
        <v>0</v>
      </c>
      <c r="BQ55" s="63">
        <f>+BP55 * CF!BQ12</f>
        <v>0</v>
      </c>
      <c r="BR55" s="63">
        <f>+BQ55 * CF!BR12</f>
        <v>0</v>
      </c>
      <c r="BS55" s="63">
        <f>+BR55 * CF!BS12</f>
        <v>0</v>
      </c>
      <c r="BT55" s="63">
        <f>+BS55 * CF!BT12</f>
        <v>0</v>
      </c>
      <c r="BU55" s="63">
        <f>+BT55 * CF!BU12</f>
        <v>0</v>
      </c>
      <c r="BV55" s="63">
        <f>+BU55 * CF!BV12</f>
        <v>0</v>
      </c>
      <c r="BW55" s="63">
        <f>+BV55 * CF!BW12</f>
        <v>0</v>
      </c>
      <c r="BX55" s="63">
        <f>+BW55 * CF!BX12</f>
        <v>0</v>
      </c>
      <c r="BY55" s="63">
        <f>+BX55 * CF!BY12</f>
        <v>0</v>
      </c>
      <c r="BZ55" s="63">
        <f>+BY55 * CF!BZ12</f>
        <v>0</v>
      </c>
      <c r="CA55" s="63">
        <f>+BZ55 * CF!CA12</f>
        <v>0</v>
      </c>
      <c r="CB55" s="63">
        <f>+CA55 * CF!CB12</f>
        <v>0</v>
      </c>
      <c r="CC55" s="63">
        <f>+CB55 * CF!CC12</f>
        <v>0</v>
      </c>
      <c r="CD55" s="63">
        <f>+CC55 * CF!CD12</f>
        <v>0</v>
      </c>
      <c r="CE55" s="63">
        <f>+CD55 * CF!CE12</f>
        <v>0</v>
      </c>
      <c r="CF55" s="63">
        <f>+CE55 * CF!CF12</f>
        <v>0</v>
      </c>
      <c r="CG55" s="63">
        <f>+CF55 * CF!CG12</f>
        <v>0</v>
      </c>
      <c r="CH55" s="63">
        <f>+CG55 * CF!CH12</f>
        <v>0</v>
      </c>
      <c r="CI55" s="63">
        <f>+CH55 * CF!CI12</f>
        <v>0</v>
      </c>
      <c r="CJ55" s="63">
        <f>+CI55 * CF!CJ12</f>
        <v>0</v>
      </c>
      <c r="CK55" s="63">
        <f>+CJ55 * CF!CK12</f>
        <v>0</v>
      </c>
      <c r="CL55" s="63">
        <f>+CK55 * CF!CL12</f>
        <v>0</v>
      </c>
      <c r="CM55" s="63">
        <f>+CL55 * CF!CM12</f>
        <v>0</v>
      </c>
      <c r="CN55" s="63">
        <f>+CM55 * CF!CN12</f>
        <v>0</v>
      </c>
      <c r="CO55" s="63">
        <f>+CN55 * CF!CO12</f>
        <v>0</v>
      </c>
      <c r="CP55" s="63">
        <f>+CO55 * CF!CP12</f>
        <v>0</v>
      </c>
      <c r="CQ55" s="63">
        <f>+CP55 * CF!CQ12</f>
        <v>0</v>
      </c>
      <c r="CR55" s="63">
        <f>+CQ55 * CF!CR12</f>
        <v>0</v>
      </c>
      <c r="CS55" s="63">
        <f>+CR55 * CF!CS12</f>
        <v>0</v>
      </c>
      <c r="CT55" s="63">
        <f>+CS55 * CF!CT12</f>
        <v>0</v>
      </c>
      <c r="CU55" s="63">
        <f>+CT55 * CF!CU12</f>
        <v>0</v>
      </c>
      <c r="CV55" s="63">
        <f>+CU55 * CF!CV12</f>
        <v>0</v>
      </c>
      <c r="CW55" s="63">
        <f>+CV55 * CF!CW12</f>
        <v>0</v>
      </c>
      <c r="CX55" s="63">
        <f>+CW55 * CF!CX12</f>
        <v>0</v>
      </c>
      <c r="CY55" s="63">
        <f>+CX55 * CF!CY12</f>
        <v>0</v>
      </c>
      <c r="CZ55" s="63">
        <f>+CY55 * CF!CZ12</f>
        <v>0</v>
      </c>
      <c r="DA55" s="63">
        <f>+CZ55 * CF!DA12</f>
        <v>0</v>
      </c>
      <c r="DB55" s="63">
        <f>+DA55 * CF!DB12</f>
        <v>0</v>
      </c>
      <c r="DC55" s="63">
        <f>+DB55 * CF!DC12</f>
        <v>0</v>
      </c>
      <c r="DD55" s="63">
        <f>+DC55 * CF!DD12</f>
        <v>0</v>
      </c>
      <c r="DE55" s="63">
        <f>+DD55 * CF!DE12</f>
        <v>0</v>
      </c>
      <c r="DF55" s="63">
        <f>+DE55 * CF!DF12</f>
        <v>0</v>
      </c>
      <c r="DG55" s="63">
        <f>+DF55 * CF!DG12</f>
        <v>0</v>
      </c>
      <c r="DH55" s="63">
        <f>+DG55 * CF!DH12</f>
        <v>0</v>
      </c>
      <c r="DI55" s="63">
        <f>+DH55 * CF!DI12</f>
        <v>0</v>
      </c>
      <c r="DJ55" s="63">
        <f>+DI55 * CF!DJ12</f>
        <v>0</v>
      </c>
      <c r="DK55" s="63">
        <f>+DJ55 * CF!DK12</f>
        <v>0</v>
      </c>
      <c r="DL55" s="63">
        <f>+DK55 * CF!DL12</f>
        <v>0</v>
      </c>
      <c r="DM55" s="63">
        <f>+DL55 * CF!DM12</f>
        <v>0</v>
      </c>
      <c r="DN55" s="63">
        <f>+DM55 * CF!DN12</f>
        <v>0</v>
      </c>
      <c r="DO55" s="63">
        <f>+DN55 * CF!DO12</f>
        <v>0</v>
      </c>
      <c r="DP55" s="63">
        <f>+DO55 * CF!DP12</f>
        <v>0</v>
      </c>
      <c r="DQ55" s="16"/>
    </row>
    <row r="56" spans="3:121" x14ac:dyDescent="0.2">
      <c r="C56" s="34" t="s">
        <v>97</v>
      </c>
      <c r="K56" s="144" t="s">
        <v>63</v>
      </c>
      <c r="R56" s="751">
        <f>Inputs!$L$232</f>
        <v>-269795.74011999997</v>
      </c>
      <c r="S56" s="63">
        <f ca="1">(R56+S32-CF!S52)*IF(CF!S8&gt;Inputs!$L$31,0,1)</f>
        <v>-396660.43180280575</v>
      </c>
      <c r="T56" s="63">
        <f ca="1">(S56+T32-CF!T52)*IF(CF!T8&gt;Inputs!$L$31,0,1)</f>
        <v>-507744.01500628761</v>
      </c>
      <c r="U56" s="63">
        <f ca="1">(T56+U32-CF!U52)*IF(CF!U8&gt;Inputs!$L$31,0,1)</f>
        <v>-851599.51394183072</v>
      </c>
      <c r="V56" s="63">
        <f ca="1">(U56+V32-CF!V52)*IF(CF!V8&gt;Inputs!$L$31,0,1)</f>
        <v>-982001.3679888238</v>
      </c>
      <c r="W56" s="63">
        <f ca="1">(V56+W32-CF!W52)*IF(CF!W8&gt;Inputs!$L$31,0,1)</f>
        <v>-1114058.0801319557</v>
      </c>
      <c r="X56" s="63">
        <f ca="1">(W56+X32-CF!X52)*IF(CF!X8&gt;Inputs!$L$31,0,1)</f>
        <v>-1248304.6361462276</v>
      </c>
      <c r="Y56" s="63">
        <f ca="1">(X56+Y32-CF!Y52)*IF(CF!Y8&gt;Inputs!$L$31,0,1)</f>
        <v>-1383416.1565271316</v>
      </c>
      <c r="Z56" s="63">
        <f ca="1">(Y56+Z32-CF!Z52)*IF(CF!Z8&gt;Inputs!$L$31,0,1)</f>
        <v>-1519500.1127337096</v>
      </c>
      <c r="AA56" s="63">
        <f ca="1">(Z56+AA32-CF!AA52)*IF(CF!AA8&gt;Inputs!$L$31,0,1)</f>
        <v>-1658175.3383815184</v>
      </c>
      <c r="AB56" s="63">
        <f ca="1">(AA56+AB32-CF!AB52)*IF(CF!AB8&gt;Inputs!$L$31,0,1)</f>
        <v>-1796730.1824322157</v>
      </c>
      <c r="AC56" s="63">
        <f ca="1">(AB56+AC32-CF!AC52)*IF(CF!AC8&gt;Inputs!$L$31,0,1)</f>
        <v>-1934721.2676066868</v>
      </c>
      <c r="AD56" s="63">
        <f ca="1">(AC56+AD32-CF!AD52)*IF(CF!AD8&gt;Inputs!$L$31,0,1)</f>
        <v>-2071061.0664037829</v>
      </c>
      <c r="AE56" s="63">
        <f ca="1">(AD56+AE32-CF!AE52)*IF(CF!AE8&gt;Inputs!$L$31,0,1)</f>
        <v>-2204783.8113881531</v>
      </c>
      <c r="AF56" s="63">
        <f ca="1">(AE56+AF32-CF!AF52)*IF(CF!AF8&gt;Inputs!$L$31,0,1)</f>
        <v>-2334610.7220385969</v>
      </c>
      <c r="AG56" s="63">
        <f ca="1">(AF56+AG32-CF!AG52)*IF(CF!AG8&gt;Inputs!$L$31,0,1)</f>
        <v>-2381359.9361051437</v>
      </c>
      <c r="AH56" s="63">
        <f ca="1">(AG56+AH32-CF!AH52)*IF(CF!AH8&gt;Inputs!$L$31,0,1)</f>
        <v>-2377103.1057835431</v>
      </c>
      <c r="AI56" s="63">
        <f ca="1">(AH56+AI32-CF!AI52)*IF(CF!AI8&gt;Inputs!$L$31,0,1)</f>
        <v>-2377030.3095896863</v>
      </c>
      <c r="AJ56" s="63">
        <f ca="1">(AI56+AJ32-CF!AJ52)*IF(CF!AJ8&gt;Inputs!$L$31,0,1)</f>
        <v>-2383839.2325171423</v>
      </c>
      <c r="AK56" s="63">
        <f ca="1">(AJ56+AK32-CF!AK52)*IF(CF!AK8&gt;Inputs!$L$31,0,1)</f>
        <v>-2401915.4170649522</v>
      </c>
      <c r="AL56" s="63">
        <f ca="1">(AK56+AL32-CF!AL52)*IF(CF!AL8&gt;Inputs!$L$31,0,1)</f>
        <v>-2416313.0698286816</v>
      </c>
      <c r="AM56" s="63">
        <f ca="1">(AL56+AM32-CF!AM52)*IF(CF!AM8&gt;Inputs!$L$31,0,1)</f>
        <v>-2426941.5539257829</v>
      </c>
      <c r="AN56" s="63">
        <f ca="1">(AM56+AN32-CF!AN52)*IF(CF!AN8&gt;Inputs!$L$31,0,1)</f>
        <v>-2438671.0942839612</v>
      </c>
      <c r="AO56" s="63">
        <f ca="1">(AN56+AO32-CF!AO52)*IF(CF!AO8&gt;Inputs!$L$31,0,1)</f>
        <v>-2420084.7147726403</v>
      </c>
      <c r="AP56" s="63">
        <f ca="1">(AO56+AP32-CF!AP52)*IF(CF!AP8&gt;Inputs!$L$31,0,1)</f>
        <v>-2426900.3127012108</v>
      </c>
      <c r="AQ56" s="63">
        <f ca="1">(AP56+AQ32-CF!AQ52)*IF(CF!AQ8&gt;Inputs!$L$31,0,1)</f>
        <v>-2433734.9190009395</v>
      </c>
      <c r="AR56" s="63">
        <f ca="1">(AQ56+AR32-CF!AR52)*IF(CF!AR8&gt;Inputs!$L$31,0,1)</f>
        <v>-2441014.6498326305</v>
      </c>
      <c r="AS56" s="63">
        <f ca="1">(AR56+AS32-CF!AS52)*IF(CF!AS8&gt;Inputs!$L$31,0,1)</f>
        <v>-2443674.2974093622</v>
      </c>
      <c r="AT56" s="63">
        <f ca="1">(AS56+AT32-CF!AT52)*IF(CF!AT8&gt;Inputs!$L$31,0,1)</f>
        <v>-2372952.251733277</v>
      </c>
      <c r="AU56" s="63">
        <f ca="1">(AT56+AU32-CF!AU52)*IF(CF!AU8&gt;Inputs!$L$31,0,1)</f>
        <v>-2233221.7001827266</v>
      </c>
      <c r="AV56" s="63">
        <f ca="1">(AU56+AV32-CF!AV52)*IF(CF!AV8&gt;Inputs!$L$31,0,1)</f>
        <v>-2088859.7204073158</v>
      </c>
      <c r="AW56" s="63">
        <f ca="1">(AV56+AW32-CF!AW52)*IF(CF!AW8&gt;Inputs!$L$31,0,1)</f>
        <v>-1936693.8435052382</v>
      </c>
      <c r="AX56" s="63">
        <f ca="1">(AW56+AX32-CF!AX52)*IF(CF!AX8&gt;Inputs!$L$31,0,1)</f>
        <v>-1766785.9042984163</v>
      </c>
      <c r="AY56" s="63">
        <f ca="1">(AX56+AY32-CF!AY52)*IF(CF!AY8&gt;Inputs!$L$31,0,1)</f>
        <v>-1567854.4365862519</v>
      </c>
      <c r="AZ56" s="63">
        <f ca="1">(AY56+AZ32-CF!AZ52)*IF(CF!AZ8&gt;Inputs!$L$31,0,1)</f>
        <v>-1347836.2059778888</v>
      </c>
      <c r="BA56" s="63">
        <f ca="1">(AZ56+BA32-CF!BA52)*IF(CF!BA8&gt;Inputs!$L$31,0,1)</f>
        <v>-1113660.9181757977</v>
      </c>
      <c r="BB56" s="63">
        <f ca="1">(BA56+BB32-CF!BB52)*IF(CF!BB8&gt;Inputs!$L$31,0,1)</f>
        <v>-864523.03139538108</v>
      </c>
      <c r="BC56" s="63">
        <f ca="1">(BB56+BC32-CF!BC52)*IF(CF!BC8&gt;Inputs!$L$31,0,1)</f>
        <v>-599956.8245041261</v>
      </c>
      <c r="BD56" s="63">
        <f ca="1">(BC56+BD32-CF!BD52)*IF(CF!BD8&gt;Inputs!$L$31,0,1)</f>
        <v>-454327.18919283245</v>
      </c>
      <c r="BE56" s="63">
        <f ca="1">(BD56+BE32-CF!BE52)*IF(CF!BE8&gt;Inputs!$L$31,0,1)</f>
        <v>-318729.08905560407</v>
      </c>
      <c r="BF56" s="63">
        <f ca="1">(BE56+BF32-CF!BF52)*IF(CF!BF8&gt;Inputs!$L$31,0,1)</f>
        <v>-336406.72084865929</v>
      </c>
      <c r="BG56" s="63">
        <f ca="1">(BF56+BG32-CF!BG52)*IF(CF!BG8&gt;Inputs!$L$31,0,1)</f>
        <v>-356040.49189075059</v>
      </c>
      <c r="BH56" s="63">
        <f ca="1">(BG56+BH32-CF!BH52)*IF(CF!BH8&gt;Inputs!$L$31,0,1)</f>
        <v>-377813.05464600003</v>
      </c>
      <c r="BI56" s="63">
        <f ca="1">(BH56+BI32-CF!BI52)*IF(CF!BI8&gt;Inputs!$L$31,0,1)</f>
        <v>-401899.05387099064</v>
      </c>
      <c r="BJ56" s="63">
        <f ca="1">(BI56+BJ32-CF!BJ52)*IF(CF!BJ8&gt;Inputs!$L$31,0,1)</f>
        <v>-805481.30851641786</v>
      </c>
      <c r="BK56" s="63">
        <f ca="1">(BJ56+BK32-CF!BK52)*IF(CF!BK8&gt;Inputs!$L$31,0,1)</f>
        <v>0</v>
      </c>
      <c r="BL56" s="63">
        <f ca="1">(BK56+BL32-CF!BL52)*IF(CF!BL8&gt;Inputs!$L$31,0,1)</f>
        <v>0</v>
      </c>
      <c r="BM56" s="63">
        <f ca="1">(BL56+BM32-CF!BM52)*IF(CF!BM8&gt;Inputs!$L$31,0,1)</f>
        <v>0</v>
      </c>
      <c r="BN56" s="63">
        <f ca="1">(BM56+BN32-CF!BN52)*IF(CF!BN8&gt;Inputs!$L$31,0,1)</f>
        <v>0</v>
      </c>
      <c r="BO56" s="63">
        <f ca="1">(BN56+BO32-CF!BO52)*IF(CF!BO8&gt;Inputs!$L$31,0,1)</f>
        <v>0</v>
      </c>
      <c r="BP56" s="63">
        <f ca="1">(BO56+BP32-CF!BP52)*IF(CF!BP8&gt;Inputs!$L$31,0,1)</f>
        <v>0</v>
      </c>
      <c r="BQ56" s="63">
        <f ca="1">(BP56+BQ32-CF!BQ52)*IF(CF!BQ8&gt;Inputs!$L$31,0,1)</f>
        <v>0</v>
      </c>
      <c r="BR56" s="63">
        <f ca="1">(BQ56+BR32-CF!BR52)*IF(CF!BR8&gt;Inputs!$L$31,0,1)</f>
        <v>0</v>
      </c>
      <c r="BS56" s="63">
        <f ca="1">(BR56+BS32-CF!BS52)*IF(CF!BS8&gt;Inputs!$L$31,0,1)</f>
        <v>0</v>
      </c>
      <c r="BT56" s="63">
        <f ca="1">(BS56+BT32-CF!BT52)*IF(CF!BT8&gt;Inputs!$L$31,0,1)</f>
        <v>0</v>
      </c>
      <c r="BU56" s="63">
        <f ca="1">(BT56+BU32-CF!BU52)*IF(CF!BU8&gt;Inputs!$L$31,0,1)</f>
        <v>0</v>
      </c>
      <c r="BV56" s="63">
        <f ca="1">(BU56+BV32-CF!BV52)*IF(CF!BV8&gt;Inputs!$L$31,0,1)</f>
        <v>0</v>
      </c>
      <c r="BW56" s="63">
        <f ca="1">(BV56+BW32-CF!BW52)*IF(CF!BW8&gt;Inputs!$L$31,0,1)</f>
        <v>0</v>
      </c>
      <c r="BX56" s="63">
        <f ca="1">(BW56+BX32-CF!BX52)*IF(CF!BX8&gt;Inputs!$L$31,0,1)</f>
        <v>0</v>
      </c>
      <c r="BY56" s="63">
        <f ca="1">(BX56+BY32-CF!BY52)*IF(CF!BY8&gt;Inputs!$L$31,0,1)</f>
        <v>0</v>
      </c>
      <c r="BZ56" s="63">
        <f ca="1">(BY56+BZ32-CF!BZ52)*IF(CF!BZ8&gt;Inputs!$L$31,0,1)</f>
        <v>0</v>
      </c>
      <c r="CA56" s="63">
        <f ca="1">(BZ56+CA32-CF!CA52)*IF(CF!CA8&gt;Inputs!$L$31,0,1)</f>
        <v>0</v>
      </c>
      <c r="CB56" s="63">
        <f ca="1">(CA56+CB32-CF!CB52)*IF(CF!CB8&gt;Inputs!$L$31,0,1)</f>
        <v>0</v>
      </c>
      <c r="CC56" s="63">
        <f ca="1">(CB56+CC32-CF!CC52)*IF(CF!CC8&gt;Inputs!$L$31,0,1)</f>
        <v>0</v>
      </c>
      <c r="CD56" s="63">
        <f ca="1">(CC56+CD32-CF!CD52)*IF(CF!CD8&gt;Inputs!$L$31,0,1)</f>
        <v>0</v>
      </c>
      <c r="CE56" s="63">
        <f ca="1">(CD56+CE32-CF!CE52)*IF(CF!CE8&gt;Inputs!$L$31,0,1)</f>
        <v>0</v>
      </c>
      <c r="CF56" s="63">
        <f ca="1">(CE56+CF32-CF!CF52)*IF(CF!CF8&gt;Inputs!$L$31,0,1)</f>
        <v>0</v>
      </c>
      <c r="CG56" s="63">
        <f ca="1">(CF56+CG32-CF!CG52)*IF(CF!CG8&gt;Inputs!$L$31,0,1)</f>
        <v>0</v>
      </c>
      <c r="CH56" s="63">
        <f ca="1">(CG56+CH32-CF!CH52)*IF(CF!CH8&gt;Inputs!$L$31,0,1)</f>
        <v>0</v>
      </c>
      <c r="CI56" s="63">
        <f ca="1">(CH56+CI32-CF!CI52)*IF(CF!CI8&gt;Inputs!$L$31,0,1)</f>
        <v>0</v>
      </c>
      <c r="CJ56" s="63">
        <f ca="1">(CI56+CJ32-CF!CJ52)*IF(CF!CJ8&gt;Inputs!$L$31,0,1)</f>
        <v>0</v>
      </c>
      <c r="CK56" s="63">
        <f ca="1">(CJ56+CK32-CF!CK52)*IF(CF!CK8&gt;Inputs!$L$31,0,1)</f>
        <v>0</v>
      </c>
      <c r="CL56" s="63">
        <f ca="1">(CK56+CL32-CF!CL52)*IF(CF!CL8&gt;Inputs!$L$31,0,1)</f>
        <v>0</v>
      </c>
      <c r="CM56" s="63">
        <f ca="1">(CL56+CM32-CF!CM52)*IF(CF!CM8&gt;Inputs!$L$31,0,1)</f>
        <v>0</v>
      </c>
      <c r="CN56" s="63">
        <f ca="1">(CM56+CN32-CF!CN52)*IF(CF!CN8&gt;Inputs!$L$31,0,1)</f>
        <v>0</v>
      </c>
      <c r="CO56" s="63">
        <f ca="1">(CN56+CO32-CF!CO52)*IF(CF!CO8&gt;Inputs!$L$31,0,1)</f>
        <v>0</v>
      </c>
      <c r="CP56" s="63">
        <f ca="1">(CO56+CP32-CF!CP52)*IF(CF!CP8&gt;Inputs!$L$31,0,1)</f>
        <v>0</v>
      </c>
      <c r="CQ56" s="63">
        <f ca="1">(CP56+CQ32-CF!CQ52)*IF(CF!CQ8&gt;Inputs!$L$31,0,1)</f>
        <v>0</v>
      </c>
      <c r="CR56" s="63">
        <f ca="1">(CQ56+CR32-CF!CR52)*IF(CF!CR8&gt;Inputs!$L$31,0,1)</f>
        <v>0</v>
      </c>
      <c r="CS56" s="63">
        <f ca="1">(CR56+CS32-CF!CS52)*IF(CF!CS8&gt;Inputs!$L$31,0,1)</f>
        <v>0</v>
      </c>
      <c r="CT56" s="63">
        <f ca="1">(CS56+CT32-CF!CT52)*IF(CF!CT8&gt;Inputs!$L$31,0,1)</f>
        <v>0</v>
      </c>
      <c r="CU56" s="63">
        <f ca="1">(CT56+CU32-CF!CU52)*IF(CF!CU8&gt;Inputs!$L$31,0,1)</f>
        <v>0</v>
      </c>
      <c r="CV56" s="63">
        <f ca="1">(CU56+CV32-CF!CV52)*IF(CF!CV8&gt;Inputs!$L$31,0,1)</f>
        <v>0</v>
      </c>
      <c r="CW56" s="63">
        <f ca="1">(CV56+CW32-CF!CW52)*IF(CF!CW8&gt;Inputs!$L$31,0,1)</f>
        <v>0</v>
      </c>
      <c r="CX56" s="63">
        <f ca="1">(CW56+CX32-CF!CX52)*IF(CF!CX8&gt;Inputs!$L$31,0,1)</f>
        <v>0</v>
      </c>
      <c r="CY56" s="63">
        <f ca="1">(CX56+CY32-CF!CY52)*IF(CF!CY8&gt;Inputs!$L$31,0,1)</f>
        <v>0</v>
      </c>
      <c r="CZ56" s="63">
        <f ca="1">(CY56+CZ32-CF!CZ52)*IF(CF!CZ8&gt;Inputs!$L$31,0,1)</f>
        <v>0</v>
      </c>
      <c r="DA56" s="63">
        <f ca="1">(CZ56+DA32-CF!DA52)*IF(CF!DA8&gt;Inputs!$L$31,0,1)</f>
        <v>0</v>
      </c>
      <c r="DB56" s="63">
        <f ca="1">(DA56+DB32-CF!DB52)*IF(CF!DB8&gt;Inputs!$L$31,0,1)</f>
        <v>0</v>
      </c>
      <c r="DC56" s="63">
        <f ca="1">(DB56+DC32-CF!DC52)*IF(CF!DC8&gt;Inputs!$L$31,0,1)</f>
        <v>0</v>
      </c>
      <c r="DD56" s="63">
        <f ca="1">(DC56+DD32-CF!DD52)*IF(CF!DD8&gt;Inputs!$L$31,0,1)</f>
        <v>0</v>
      </c>
      <c r="DE56" s="63">
        <f ca="1">(DD56+DE32-CF!DE52)*IF(CF!DE8&gt;Inputs!$L$31,0,1)</f>
        <v>0</v>
      </c>
      <c r="DF56" s="63">
        <f ca="1">(DE56+DF32-CF!DF52)*IF(CF!DF8&gt;Inputs!$L$31,0,1)</f>
        <v>0</v>
      </c>
      <c r="DG56" s="63">
        <f ca="1">(DF56+DG32-CF!DG52)*IF(CF!DG8&gt;Inputs!$L$31,0,1)</f>
        <v>0</v>
      </c>
      <c r="DH56" s="63">
        <f ca="1">(DG56+DH32-CF!DH52)*IF(CF!DH8&gt;Inputs!$L$31,0,1)</f>
        <v>0</v>
      </c>
      <c r="DI56" s="63">
        <f ca="1">(DH56+DI32-CF!DI52)*IF(CF!DI8&gt;Inputs!$L$31,0,1)</f>
        <v>0</v>
      </c>
      <c r="DJ56" s="63">
        <f ca="1">(DI56+DJ32-CF!DJ52)*IF(CF!DJ8&gt;Inputs!$L$31,0,1)</f>
        <v>0</v>
      </c>
      <c r="DK56" s="63">
        <f ca="1">(DJ56+DK32-CF!DK52)*IF(CF!DK8&gt;Inputs!$L$31,0,1)</f>
        <v>0</v>
      </c>
      <c r="DL56" s="63">
        <f ca="1">(DK56+DL32-CF!DL52)*IF(CF!DL8&gt;Inputs!$L$31,0,1)</f>
        <v>0</v>
      </c>
      <c r="DM56" s="63">
        <f ca="1">(DL56+DM32-CF!DM52)*IF(CF!DM8&gt;Inputs!$L$31,0,1)</f>
        <v>0</v>
      </c>
      <c r="DN56" s="63">
        <f ca="1">(DM56+DN32-CF!DN52)*IF(CF!DN8&gt;Inputs!$L$31,0,1)</f>
        <v>0</v>
      </c>
      <c r="DO56" s="63">
        <f ca="1">(DN56+DO32-CF!DO52)*IF(CF!DO8&gt;Inputs!$L$31,0,1)</f>
        <v>0</v>
      </c>
      <c r="DP56" s="63">
        <f ca="1">(DO56+DP32-CF!DP52)*IF(CF!DP8&gt;Inputs!$L$31,0,1)</f>
        <v>0</v>
      </c>
      <c r="DQ56" s="16"/>
    </row>
    <row r="57" spans="3:121" x14ac:dyDescent="0.2">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16"/>
    </row>
    <row r="58" spans="3:121" x14ac:dyDescent="0.2">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16"/>
    </row>
    <row r="59" spans="3:121" x14ac:dyDescent="0.2">
      <c r="C59" s="28" t="s">
        <v>98</v>
      </c>
      <c r="D59" s="28"/>
      <c r="E59" s="28"/>
      <c r="F59" s="28"/>
      <c r="G59" s="28"/>
      <c r="H59" s="28"/>
      <c r="I59" s="28"/>
      <c r="J59" s="28"/>
      <c r="K59" s="663" t="s">
        <v>63</v>
      </c>
      <c r="L59" s="28"/>
      <c r="M59" s="28"/>
      <c r="N59" s="28"/>
      <c r="O59" s="28"/>
      <c r="P59" s="28"/>
      <c r="Q59" s="28"/>
      <c r="R59" s="29">
        <f t="shared" ref="R59" si="48">SUM(R60:R63)</f>
        <v>1649374.6975537459</v>
      </c>
      <c r="S59" s="29">
        <f t="shared" ref="S59:AO59" si="49">SUM(S60:S63)</f>
        <v>1693485.8075077571</v>
      </c>
      <c r="T59" s="29">
        <f t="shared" si="49"/>
        <v>1739478.0450090906</v>
      </c>
      <c r="U59" s="29">
        <f t="shared" si="49"/>
        <v>1752987.5948136854</v>
      </c>
      <c r="V59" s="29">
        <f t="shared" si="49"/>
        <v>1755498.9948422001</v>
      </c>
      <c r="W59" s="29">
        <f t="shared" si="49"/>
        <v>1758706.4991418961</v>
      </c>
      <c r="X59" s="29">
        <f t="shared" si="49"/>
        <v>1762803.0523455893</v>
      </c>
      <c r="Y59" s="29">
        <f t="shared" si="49"/>
        <v>1768035.079050052</v>
      </c>
      <c r="Z59" s="29">
        <f t="shared" si="49"/>
        <v>1774717.3072734114</v>
      </c>
      <c r="AA59" s="29">
        <f t="shared" si="49"/>
        <v>1783251.7006454815</v>
      </c>
      <c r="AB59" s="29">
        <f t="shared" si="49"/>
        <v>1791086.194957945</v>
      </c>
      <c r="AC59" s="29">
        <f t="shared" si="49"/>
        <v>1798278.188396272</v>
      </c>
      <c r="AD59" s="29">
        <f t="shared" si="49"/>
        <v>1804880.3719647313</v>
      </c>
      <c r="AE59" s="29">
        <f t="shared" si="49"/>
        <v>1810941.1155187148</v>
      </c>
      <c r="AF59" s="29">
        <f t="shared" si="49"/>
        <v>1816504.8221388457</v>
      </c>
      <c r="AG59" s="29">
        <f t="shared" si="49"/>
        <v>1824048.610502135</v>
      </c>
      <c r="AH59" s="29">
        <f t="shared" si="49"/>
        <v>1834277.1769517376</v>
      </c>
      <c r="AI59" s="29">
        <f t="shared" si="49"/>
        <v>1848146.0140101928</v>
      </c>
      <c r="AJ59" s="29">
        <f t="shared" si="49"/>
        <v>1866950.6668715389</v>
      </c>
      <c r="AK59" s="29">
        <f t="shared" si="49"/>
        <v>1892447.7556141126</v>
      </c>
      <c r="AL59" s="29">
        <f t="shared" si="49"/>
        <v>1909705.2754703201</v>
      </c>
      <c r="AM59" s="29">
        <f t="shared" si="49"/>
        <v>1921385.9027997497</v>
      </c>
      <c r="AN59" s="29">
        <f t="shared" si="49"/>
        <v>1929291.8508123164</v>
      </c>
      <c r="AO59" s="29">
        <f t="shared" si="49"/>
        <v>1934642.9344668672</v>
      </c>
      <c r="AP59" s="29">
        <f t="shared" ref="AP59:BU59" si="50">SUM(AP60:AP63)</f>
        <v>1938264.7766839531</v>
      </c>
      <c r="AQ59" s="29">
        <f t="shared" si="50"/>
        <v>1943296.3362800796</v>
      </c>
      <c r="AR59" s="29">
        <f t="shared" si="50"/>
        <v>1950286.3127760033</v>
      </c>
      <c r="AS59" s="29">
        <f t="shared" si="50"/>
        <v>1959996.9741485089</v>
      </c>
      <c r="AT59" s="29">
        <f t="shared" si="50"/>
        <v>1973487.283357197</v>
      </c>
      <c r="AU59" s="29">
        <f t="shared" si="50"/>
        <v>1915341.129790866</v>
      </c>
      <c r="AV59" s="29">
        <f t="shared" si="50"/>
        <v>1778174.8576126625</v>
      </c>
      <c r="AW59" s="29">
        <f t="shared" si="50"/>
        <v>1632525.944857111</v>
      </c>
      <c r="AX59" s="29">
        <f t="shared" si="50"/>
        <v>1477970.9153088143</v>
      </c>
      <c r="AY59" s="29">
        <f t="shared" si="50"/>
        <v>1297111.4440244799</v>
      </c>
      <c r="AZ59" s="29">
        <f t="shared" si="50"/>
        <v>1087589.2613657641</v>
      </c>
      <c r="BA59" s="29">
        <f t="shared" si="50"/>
        <v>867067.16411746573</v>
      </c>
      <c r="BB59" s="29">
        <f t="shared" si="50"/>
        <v>634967.65676363162</v>
      </c>
      <c r="BC59" s="29">
        <f t="shared" si="50"/>
        <v>390682.92527372134</v>
      </c>
      <c r="BD59" s="29">
        <f t="shared" si="50"/>
        <v>133573.24538059082</v>
      </c>
      <c r="BE59" s="29">
        <f t="shared" si="50"/>
        <v>0</v>
      </c>
      <c r="BF59" s="29">
        <f t="shared" si="50"/>
        <v>0</v>
      </c>
      <c r="BG59" s="29">
        <f t="shared" si="50"/>
        <v>0</v>
      </c>
      <c r="BH59" s="29">
        <f t="shared" si="50"/>
        <v>0</v>
      </c>
      <c r="BI59" s="29">
        <f t="shared" si="50"/>
        <v>0</v>
      </c>
      <c r="BJ59" s="29">
        <f t="shared" si="50"/>
        <v>0</v>
      </c>
      <c r="BK59" s="29">
        <f t="shared" si="50"/>
        <v>0</v>
      </c>
      <c r="BL59" s="29">
        <f t="shared" si="50"/>
        <v>0</v>
      </c>
      <c r="BM59" s="29">
        <f t="shared" si="50"/>
        <v>0</v>
      </c>
      <c r="BN59" s="29">
        <f t="shared" si="50"/>
        <v>0</v>
      </c>
      <c r="BO59" s="29">
        <f t="shared" si="50"/>
        <v>0</v>
      </c>
      <c r="BP59" s="29">
        <f t="shared" si="50"/>
        <v>0</v>
      </c>
      <c r="BQ59" s="29">
        <f t="shared" si="50"/>
        <v>0</v>
      </c>
      <c r="BR59" s="29">
        <f t="shared" si="50"/>
        <v>0</v>
      </c>
      <c r="BS59" s="29">
        <f t="shared" si="50"/>
        <v>0</v>
      </c>
      <c r="BT59" s="29">
        <f t="shared" si="50"/>
        <v>0</v>
      </c>
      <c r="BU59" s="29">
        <f t="shared" si="50"/>
        <v>0</v>
      </c>
      <c r="BV59" s="29">
        <f t="shared" ref="BV59:DA59" si="51">SUM(BV60:BV63)</f>
        <v>0</v>
      </c>
      <c r="BW59" s="29">
        <f t="shared" si="51"/>
        <v>0</v>
      </c>
      <c r="BX59" s="29">
        <f t="shared" si="51"/>
        <v>0</v>
      </c>
      <c r="BY59" s="29">
        <f t="shared" si="51"/>
        <v>0</v>
      </c>
      <c r="BZ59" s="29">
        <f t="shared" si="51"/>
        <v>0</v>
      </c>
      <c r="CA59" s="29">
        <f t="shared" si="51"/>
        <v>0</v>
      </c>
      <c r="CB59" s="29">
        <f t="shared" si="51"/>
        <v>0</v>
      </c>
      <c r="CC59" s="29">
        <f t="shared" si="51"/>
        <v>0</v>
      </c>
      <c r="CD59" s="29">
        <f t="shared" si="51"/>
        <v>0</v>
      </c>
      <c r="CE59" s="29">
        <f t="shared" si="51"/>
        <v>0</v>
      </c>
      <c r="CF59" s="29">
        <f t="shared" si="51"/>
        <v>0</v>
      </c>
      <c r="CG59" s="29">
        <f t="shared" si="51"/>
        <v>0</v>
      </c>
      <c r="CH59" s="29">
        <f t="shared" si="51"/>
        <v>0</v>
      </c>
      <c r="CI59" s="29">
        <f t="shared" si="51"/>
        <v>0</v>
      </c>
      <c r="CJ59" s="29">
        <f t="shared" si="51"/>
        <v>0</v>
      </c>
      <c r="CK59" s="29">
        <f t="shared" si="51"/>
        <v>0</v>
      </c>
      <c r="CL59" s="29">
        <f t="shared" si="51"/>
        <v>0</v>
      </c>
      <c r="CM59" s="29">
        <f t="shared" si="51"/>
        <v>0</v>
      </c>
      <c r="CN59" s="29">
        <f t="shared" si="51"/>
        <v>0</v>
      </c>
      <c r="CO59" s="29">
        <f t="shared" si="51"/>
        <v>0</v>
      </c>
      <c r="CP59" s="29">
        <f t="shared" si="51"/>
        <v>0</v>
      </c>
      <c r="CQ59" s="29">
        <f t="shared" si="51"/>
        <v>0</v>
      </c>
      <c r="CR59" s="29">
        <f t="shared" si="51"/>
        <v>0</v>
      </c>
      <c r="CS59" s="29">
        <f t="shared" si="51"/>
        <v>0</v>
      </c>
      <c r="CT59" s="29">
        <f t="shared" si="51"/>
        <v>0</v>
      </c>
      <c r="CU59" s="29">
        <f t="shared" si="51"/>
        <v>0</v>
      </c>
      <c r="CV59" s="29">
        <f t="shared" si="51"/>
        <v>0</v>
      </c>
      <c r="CW59" s="29">
        <f t="shared" si="51"/>
        <v>0</v>
      </c>
      <c r="CX59" s="29">
        <f t="shared" si="51"/>
        <v>0</v>
      </c>
      <c r="CY59" s="29">
        <f t="shared" si="51"/>
        <v>0</v>
      </c>
      <c r="CZ59" s="29">
        <f t="shared" si="51"/>
        <v>0</v>
      </c>
      <c r="DA59" s="29">
        <f t="shared" si="51"/>
        <v>0</v>
      </c>
      <c r="DB59" s="29">
        <f t="shared" ref="DB59:DP59" si="52">SUM(DB60:DB63)</f>
        <v>0</v>
      </c>
      <c r="DC59" s="29">
        <f t="shared" si="52"/>
        <v>0</v>
      </c>
      <c r="DD59" s="29">
        <f t="shared" si="52"/>
        <v>0</v>
      </c>
      <c r="DE59" s="29">
        <f t="shared" si="52"/>
        <v>0</v>
      </c>
      <c r="DF59" s="29">
        <f t="shared" si="52"/>
        <v>0</v>
      </c>
      <c r="DG59" s="29">
        <f t="shared" si="52"/>
        <v>0</v>
      </c>
      <c r="DH59" s="29">
        <f t="shared" si="52"/>
        <v>0</v>
      </c>
      <c r="DI59" s="29">
        <f t="shared" si="52"/>
        <v>0</v>
      </c>
      <c r="DJ59" s="29">
        <f t="shared" si="52"/>
        <v>0</v>
      </c>
      <c r="DK59" s="29">
        <f t="shared" si="52"/>
        <v>0</v>
      </c>
      <c r="DL59" s="29">
        <f t="shared" si="52"/>
        <v>0</v>
      </c>
      <c r="DM59" s="29">
        <f t="shared" si="52"/>
        <v>0</v>
      </c>
      <c r="DN59" s="29">
        <f t="shared" si="52"/>
        <v>0</v>
      </c>
      <c r="DO59" s="29">
        <f t="shared" si="52"/>
        <v>0</v>
      </c>
      <c r="DP59" s="29">
        <f t="shared" si="52"/>
        <v>0</v>
      </c>
      <c r="DQ59" s="16"/>
    </row>
    <row r="60" spans="3:121" x14ac:dyDescent="0.2">
      <c r="C60" s="34" t="s">
        <v>99</v>
      </c>
      <c r="K60" s="144" t="s">
        <v>63</v>
      </c>
      <c r="R60" s="751">
        <f>Inputs!$L$236</f>
        <v>0</v>
      </c>
      <c r="S60" s="63">
        <f>+Fin!S215</f>
        <v>0</v>
      </c>
      <c r="T60" s="63">
        <f>+Fin!T215</f>
        <v>0</v>
      </c>
      <c r="U60" s="63">
        <f>+Fin!U215</f>
        <v>1758.1264636925982</v>
      </c>
      <c r="V60" s="63">
        <f>+Fin!V215</f>
        <v>4269.5264922075958</v>
      </c>
      <c r="W60" s="63">
        <f>+Fin!W215</f>
        <v>7477.0307919035686</v>
      </c>
      <c r="X60" s="63">
        <f>+Fin!X215</f>
        <v>11573.583995596706</v>
      </c>
      <c r="Y60" s="63">
        <f>+Fin!Y215</f>
        <v>16805.610700059486</v>
      </c>
      <c r="Z60" s="63">
        <f>+Fin!Z215</f>
        <v>23487.838923418887</v>
      </c>
      <c r="AA60" s="63">
        <f>+Fin!AA215</f>
        <v>32022.232295488986</v>
      </c>
      <c r="AB60" s="63">
        <f>+Fin!AB215</f>
        <v>39856.726607952776</v>
      </c>
      <c r="AC60" s="63">
        <f>+Fin!AC215</f>
        <v>47048.720046279523</v>
      </c>
      <c r="AD60" s="63">
        <f>+Fin!AD215</f>
        <v>53650.903614738658</v>
      </c>
      <c r="AE60" s="63">
        <f>+Fin!AE215</f>
        <v>3030.3717769918439</v>
      </c>
      <c r="AF60" s="63">
        <f>+Fin!AF215</f>
        <v>8594.0783971226338</v>
      </c>
      <c r="AG60" s="63">
        <f>+Fin!AG215</f>
        <v>16137.866760412046</v>
      </c>
      <c r="AH60" s="63">
        <f>+Fin!AH215</f>
        <v>26366.433210014478</v>
      </c>
      <c r="AI60" s="63">
        <f>+Fin!AI215</f>
        <v>40235.270268469845</v>
      </c>
      <c r="AJ60" s="63">
        <f>+Fin!AJ215</f>
        <v>59039.923129815914</v>
      </c>
      <c r="AK60" s="63">
        <f>+Fin!AK215</f>
        <v>84537.011872389587</v>
      </c>
      <c r="AL60" s="63">
        <f>+Fin!AL215</f>
        <v>101794.53172859707</v>
      </c>
      <c r="AM60" s="63">
        <f>+Fin!AM215</f>
        <v>113475.15905802658</v>
      </c>
      <c r="AN60" s="63">
        <f>+Fin!AN215</f>
        <v>121381.10707059337</v>
      </c>
      <c r="AO60" s="63">
        <f>+Fin!AO215</f>
        <v>2675.5418272753595</v>
      </c>
      <c r="AP60" s="63">
        <f>+Fin!AP215</f>
        <v>6297.3840443611671</v>
      </c>
      <c r="AQ60" s="63">
        <f>+Fin!AQ215</f>
        <v>11328.943640487843</v>
      </c>
      <c r="AR60" s="63">
        <f>+Fin!AR215</f>
        <v>18318.920136411671</v>
      </c>
      <c r="AS60" s="63">
        <f>+Fin!AS215</f>
        <v>28029.581508917341</v>
      </c>
      <c r="AT60" s="63">
        <f>+Fin!AT215</f>
        <v>41519.890717605318</v>
      </c>
      <c r="AU60" s="63">
        <f>+Fin!AU215</f>
        <v>60260.987288152552</v>
      </c>
      <c r="AV60" s="63">
        <f>+Fin!AV215</f>
        <v>78682.338252433372</v>
      </c>
      <c r="AW60" s="63">
        <f>+Fin!AW215</f>
        <v>96789.398854346742</v>
      </c>
      <c r="AX60" s="63">
        <f>+Fin!AX215</f>
        <v>114587.53126478169</v>
      </c>
      <c r="AY60" s="63">
        <f>+Fin!AY215</f>
        <v>0</v>
      </c>
      <c r="AZ60" s="63">
        <f>+Fin!AZ215</f>
        <v>0</v>
      </c>
      <c r="BA60" s="63">
        <f>+Fin!BA215</f>
        <v>0</v>
      </c>
      <c r="BB60" s="63">
        <f>+Fin!BB215</f>
        <v>0</v>
      </c>
      <c r="BC60" s="63">
        <f>+Fin!BC215</f>
        <v>0</v>
      </c>
      <c r="BD60" s="63">
        <f>+Fin!BD215</f>
        <v>0</v>
      </c>
      <c r="BE60" s="63">
        <f>+Fin!BE215</f>
        <v>0</v>
      </c>
      <c r="BF60" s="63">
        <f>+Fin!BF215</f>
        <v>0</v>
      </c>
      <c r="BG60" s="63">
        <f>+Fin!BG215</f>
        <v>0</v>
      </c>
      <c r="BH60" s="63">
        <f>+Fin!BH215</f>
        <v>0</v>
      </c>
      <c r="BI60" s="63">
        <f>+Fin!BI215</f>
        <v>0</v>
      </c>
      <c r="BJ60" s="63">
        <f>+Fin!BJ215</f>
        <v>0</v>
      </c>
      <c r="BK60" s="63">
        <f>+Fin!BK215</f>
        <v>0</v>
      </c>
      <c r="BL60" s="63">
        <f>+Fin!BL215</f>
        <v>0</v>
      </c>
      <c r="BM60" s="63">
        <f>+Fin!BM215</f>
        <v>0</v>
      </c>
      <c r="BN60" s="63">
        <f>+Fin!BN215</f>
        <v>0</v>
      </c>
      <c r="BO60" s="63">
        <f>+Fin!BO215</f>
        <v>0</v>
      </c>
      <c r="BP60" s="63">
        <f>+Fin!BP215</f>
        <v>0</v>
      </c>
      <c r="BQ60" s="63">
        <f>+Fin!BQ215</f>
        <v>0</v>
      </c>
      <c r="BR60" s="63">
        <f>+Fin!BR215</f>
        <v>0</v>
      </c>
      <c r="BS60" s="63">
        <f>+Fin!BS215</f>
        <v>0</v>
      </c>
      <c r="BT60" s="63">
        <f>+Fin!BT215</f>
        <v>0</v>
      </c>
      <c r="BU60" s="63">
        <f>+Fin!BU215</f>
        <v>0</v>
      </c>
      <c r="BV60" s="63">
        <f>+Fin!BV215</f>
        <v>0</v>
      </c>
      <c r="BW60" s="63">
        <f>+Fin!BW215</f>
        <v>0</v>
      </c>
      <c r="BX60" s="63">
        <f>+Fin!BX215</f>
        <v>0</v>
      </c>
      <c r="BY60" s="63">
        <f>+Fin!BY215</f>
        <v>0</v>
      </c>
      <c r="BZ60" s="63">
        <f>+Fin!BZ215</f>
        <v>0</v>
      </c>
      <c r="CA60" s="63">
        <f>+Fin!CA215</f>
        <v>0</v>
      </c>
      <c r="CB60" s="63">
        <f>+Fin!CB215</f>
        <v>0</v>
      </c>
      <c r="CC60" s="63">
        <f>+Fin!CC215</f>
        <v>0</v>
      </c>
      <c r="CD60" s="63">
        <f>+Fin!CD215</f>
        <v>0</v>
      </c>
      <c r="CE60" s="63">
        <f>+Fin!CE215</f>
        <v>0</v>
      </c>
      <c r="CF60" s="63">
        <f>+Fin!CF215</f>
        <v>0</v>
      </c>
      <c r="CG60" s="63">
        <f>+Fin!CG215</f>
        <v>0</v>
      </c>
      <c r="CH60" s="63">
        <f>+Fin!CH215</f>
        <v>0</v>
      </c>
      <c r="CI60" s="63">
        <f>+Fin!CI215</f>
        <v>0</v>
      </c>
      <c r="CJ60" s="63">
        <f>+Fin!CJ215</f>
        <v>0</v>
      </c>
      <c r="CK60" s="63">
        <f>+Fin!CK215</f>
        <v>0</v>
      </c>
      <c r="CL60" s="63">
        <f>+Fin!CL215</f>
        <v>0</v>
      </c>
      <c r="CM60" s="63">
        <f>+Fin!CM215</f>
        <v>0</v>
      </c>
      <c r="CN60" s="63">
        <f>+Fin!CN215</f>
        <v>0</v>
      </c>
      <c r="CO60" s="63">
        <f>+Fin!CO215</f>
        <v>0</v>
      </c>
      <c r="CP60" s="63">
        <f>+Fin!CP215</f>
        <v>0</v>
      </c>
      <c r="CQ60" s="63">
        <f>+Fin!CQ215</f>
        <v>0</v>
      </c>
      <c r="CR60" s="63">
        <f>+Fin!CR215</f>
        <v>0</v>
      </c>
      <c r="CS60" s="63">
        <f>+Fin!CS215</f>
        <v>0</v>
      </c>
      <c r="CT60" s="63">
        <f>+Fin!CT215</f>
        <v>0</v>
      </c>
      <c r="CU60" s="63">
        <f>+Fin!CU215</f>
        <v>0</v>
      </c>
      <c r="CV60" s="63">
        <f>+Fin!CV215</f>
        <v>0</v>
      </c>
      <c r="CW60" s="63">
        <f>+Fin!CW215</f>
        <v>0</v>
      </c>
      <c r="CX60" s="63">
        <f>+Fin!CX215</f>
        <v>0</v>
      </c>
      <c r="CY60" s="63">
        <f>+Fin!CY215</f>
        <v>0</v>
      </c>
      <c r="CZ60" s="63">
        <f>+Fin!CZ215</f>
        <v>0</v>
      </c>
      <c r="DA60" s="63">
        <f>+Fin!DA215</f>
        <v>0</v>
      </c>
      <c r="DB60" s="63">
        <f>+Fin!DB215</f>
        <v>0</v>
      </c>
      <c r="DC60" s="63">
        <f>+Fin!DC215</f>
        <v>0</v>
      </c>
      <c r="DD60" s="63">
        <f>+Fin!DD215</f>
        <v>0</v>
      </c>
      <c r="DE60" s="63">
        <f>+Fin!DE215</f>
        <v>0</v>
      </c>
      <c r="DF60" s="63">
        <f>+Fin!DF215</f>
        <v>0</v>
      </c>
      <c r="DG60" s="63">
        <f>+Fin!DG215</f>
        <v>0</v>
      </c>
      <c r="DH60" s="63">
        <f>+Fin!DH215</f>
        <v>0</v>
      </c>
      <c r="DI60" s="63">
        <f>+Fin!DI215</f>
        <v>0</v>
      </c>
      <c r="DJ60" s="63">
        <f>+Fin!DJ215</f>
        <v>0</v>
      </c>
      <c r="DK60" s="63">
        <f>+Fin!DK215</f>
        <v>0</v>
      </c>
      <c r="DL60" s="63">
        <f>+Fin!DL215</f>
        <v>0</v>
      </c>
      <c r="DM60" s="63">
        <f>+Fin!DM215</f>
        <v>0</v>
      </c>
      <c r="DN60" s="63">
        <f>+Fin!DN215</f>
        <v>0</v>
      </c>
      <c r="DO60" s="63">
        <f>+Fin!DO215</f>
        <v>0</v>
      </c>
      <c r="DP60" s="63">
        <f>+Fin!DP215</f>
        <v>0</v>
      </c>
      <c r="DQ60" s="16"/>
    </row>
    <row r="61" spans="3:121" x14ac:dyDescent="0.2">
      <c r="C61" s="34" t="s">
        <v>100</v>
      </c>
      <c r="K61" s="144" t="s">
        <v>63</v>
      </c>
      <c r="R61" s="751">
        <f>Inputs!$L$237</f>
        <v>615000.38086000003</v>
      </c>
      <c r="S61" s="63">
        <f>+Fin!S93</f>
        <v>615000.38086000003</v>
      </c>
      <c r="T61" s="63">
        <f>+Fin!T93</f>
        <v>615000.38086000003</v>
      </c>
      <c r="U61" s="63">
        <f>+Fin!U93</f>
        <v>0</v>
      </c>
      <c r="V61" s="63">
        <f>+Fin!V93</f>
        <v>0</v>
      </c>
      <c r="W61" s="63">
        <f>+Fin!W93</f>
        <v>0</v>
      </c>
      <c r="X61" s="63">
        <f>+Fin!X93</f>
        <v>0</v>
      </c>
      <c r="Y61" s="63">
        <f>+Fin!Y93</f>
        <v>0</v>
      </c>
      <c r="Z61" s="63">
        <f>+Fin!Z93</f>
        <v>0</v>
      </c>
      <c r="AA61" s="63">
        <f>+Fin!AA93</f>
        <v>0</v>
      </c>
      <c r="AB61" s="63">
        <f>+Fin!AB93</f>
        <v>0</v>
      </c>
      <c r="AC61" s="63">
        <f>+Fin!AC93</f>
        <v>0</v>
      </c>
      <c r="AD61" s="63">
        <f>+Fin!AD93</f>
        <v>0</v>
      </c>
      <c r="AE61" s="63">
        <f>+Fin!AE93</f>
        <v>0</v>
      </c>
      <c r="AF61" s="63">
        <f>+Fin!AF93</f>
        <v>0</v>
      </c>
      <c r="AG61" s="63">
        <f>+Fin!AG93</f>
        <v>0</v>
      </c>
      <c r="AH61" s="63">
        <f>+Fin!AH93</f>
        <v>0</v>
      </c>
      <c r="AI61" s="63">
        <f>+Fin!AI93</f>
        <v>0</v>
      </c>
      <c r="AJ61" s="63">
        <f>+Fin!AJ93</f>
        <v>0</v>
      </c>
      <c r="AK61" s="63">
        <f>+Fin!AK93</f>
        <v>0</v>
      </c>
      <c r="AL61" s="63">
        <f>+Fin!AL93</f>
        <v>0</v>
      </c>
      <c r="AM61" s="63">
        <f>+Fin!AM93</f>
        <v>0</v>
      </c>
      <c r="AN61" s="63">
        <f>+Fin!AN93</f>
        <v>0</v>
      </c>
      <c r="AO61" s="63">
        <f>+Fin!AO93</f>
        <v>0</v>
      </c>
      <c r="AP61" s="63">
        <f>+Fin!AP93</f>
        <v>0</v>
      </c>
      <c r="AQ61" s="63">
        <f>+Fin!AQ93</f>
        <v>0</v>
      </c>
      <c r="AR61" s="63">
        <f>+Fin!AR93</f>
        <v>0</v>
      </c>
      <c r="AS61" s="63">
        <f>+Fin!AS93</f>
        <v>0</v>
      </c>
      <c r="AT61" s="63">
        <f>+Fin!AT93</f>
        <v>0</v>
      </c>
      <c r="AU61" s="63">
        <f>+Fin!AU93</f>
        <v>0</v>
      </c>
      <c r="AV61" s="63">
        <f>+Fin!AV93</f>
        <v>0</v>
      </c>
      <c r="AW61" s="63">
        <f>+Fin!AW93</f>
        <v>0</v>
      </c>
      <c r="AX61" s="63">
        <f>+Fin!AX93</f>
        <v>0</v>
      </c>
      <c r="AY61" s="63">
        <f>+Fin!AY93</f>
        <v>0</v>
      </c>
      <c r="AZ61" s="63">
        <f>+Fin!AZ93</f>
        <v>0</v>
      </c>
      <c r="BA61" s="63">
        <f>+Fin!BA93</f>
        <v>0</v>
      </c>
      <c r="BB61" s="63">
        <f>+Fin!BB93</f>
        <v>0</v>
      </c>
      <c r="BC61" s="63">
        <f>+Fin!BC93</f>
        <v>0</v>
      </c>
      <c r="BD61" s="63">
        <f>+Fin!BD93</f>
        <v>0</v>
      </c>
      <c r="BE61" s="63">
        <f>+Fin!BE93</f>
        <v>0</v>
      </c>
      <c r="BF61" s="63">
        <f>+Fin!BF93</f>
        <v>0</v>
      </c>
      <c r="BG61" s="63">
        <f>+Fin!BG93</f>
        <v>0</v>
      </c>
      <c r="BH61" s="63">
        <f>+Fin!BH93</f>
        <v>0</v>
      </c>
      <c r="BI61" s="63">
        <f>+Fin!BI93</f>
        <v>0</v>
      </c>
      <c r="BJ61" s="63">
        <f>+Fin!BJ93</f>
        <v>0</v>
      </c>
      <c r="BK61" s="63">
        <f>+Fin!BK93</f>
        <v>0</v>
      </c>
      <c r="BL61" s="63">
        <f>+Fin!BL93</f>
        <v>0</v>
      </c>
      <c r="BM61" s="63">
        <f>+Fin!BM93</f>
        <v>0</v>
      </c>
      <c r="BN61" s="63">
        <f>+Fin!BN93</f>
        <v>0</v>
      </c>
      <c r="BO61" s="63">
        <f>+Fin!BO93</f>
        <v>0</v>
      </c>
      <c r="BP61" s="63">
        <f>+Fin!BP93</f>
        <v>0</v>
      </c>
      <c r="BQ61" s="63">
        <f>+Fin!BQ93</f>
        <v>0</v>
      </c>
      <c r="BR61" s="63">
        <f>+Fin!BR93</f>
        <v>0</v>
      </c>
      <c r="BS61" s="63">
        <f>+Fin!BS93</f>
        <v>0</v>
      </c>
      <c r="BT61" s="63">
        <f>+Fin!BT93</f>
        <v>0</v>
      </c>
      <c r="BU61" s="63">
        <f>+Fin!BU93</f>
        <v>0</v>
      </c>
      <c r="BV61" s="63">
        <f>+Fin!BV93</f>
        <v>0</v>
      </c>
      <c r="BW61" s="63">
        <f>+Fin!BW93</f>
        <v>0</v>
      </c>
      <c r="BX61" s="63">
        <f>+Fin!BX93</f>
        <v>0</v>
      </c>
      <c r="BY61" s="63">
        <f>+Fin!BY93</f>
        <v>0</v>
      </c>
      <c r="BZ61" s="63">
        <f>+Fin!BZ93</f>
        <v>0</v>
      </c>
      <c r="CA61" s="63">
        <f>+Fin!CA93</f>
        <v>0</v>
      </c>
      <c r="CB61" s="63">
        <f>+Fin!CB93</f>
        <v>0</v>
      </c>
      <c r="CC61" s="63">
        <f>+Fin!CC93</f>
        <v>0</v>
      </c>
      <c r="CD61" s="63">
        <f>+Fin!CD93</f>
        <v>0</v>
      </c>
      <c r="CE61" s="63">
        <f>+Fin!CE93</f>
        <v>0</v>
      </c>
      <c r="CF61" s="63">
        <f>+Fin!CF93</f>
        <v>0</v>
      </c>
      <c r="CG61" s="63">
        <f>+Fin!CG93</f>
        <v>0</v>
      </c>
      <c r="CH61" s="63">
        <f>+Fin!CH93</f>
        <v>0</v>
      </c>
      <c r="CI61" s="63">
        <f>+Fin!CI93</f>
        <v>0</v>
      </c>
      <c r="CJ61" s="63">
        <f>+Fin!CJ93</f>
        <v>0</v>
      </c>
      <c r="CK61" s="63">
        <f>+Fin!CK93</f>
        <v>0</v>
      </c>
      <c r="CL61" s="63">
        <f>+Fin!CL93</f>
        <v>0</v>
      </c>
      <c r="CM61" s="63">
        <f>+Fin!CM93</f>
        <v>0</v>
      </c>
      <c r="CN61" s="63">
        <f>+Fin!CN93</f>
        <v>0</v>
      </c>
      <c r="CO61" s="63">
        <f>+Fin!CO93</f>
        <v>0</v>
      </c>
      <c r="CP61" s="63">
        <f>+Fin!CP93</f>
        <v>0</v>
      </c>
      <c r="CQ61" s="63">
        <f>+Fin!CQ93</f>
        <v>0</v>
      </c>
      <c r="CR61" s="63">
        <f>+Fin!CR93</f>
        <v>0</v>
      </c>
      <c r="CS61" s="63">
        <f>+Fin!CS93</f>
        <v>0</v>
      </c>
      <c r="CT61" s="63">
        <f>+Fin!CT93</f>
        <v>0</v>
      </c>
      <c r="CU61" s="63">
        <f>+Fin!CU93</f>
        <v>0</v>
      </c>
      <c r="CV61" s="63">
        <f>+Fin!CV93</f>
        <v>0</v>
      </c>
      <c r="CW61" s="63">
        <f>+Fin!CW93</f>
        <v>0</v>
      </c>
      <c r="CX61" s="63">
        <f>+Fin!CX93</f>
        <v>0</v>
      </c>
      <c r="CY61" s="63">
        <f>+Fin!CY93</f>
        <v>0</v>
      </c>
      <c r="CZ61" s="63">
        <f>+Fin!CZ93</f>
        <v>0</v>
      </c>
      <c r="DA61" s="63">
        <f>+Fin!DA93</f>
        <v>0</v>
      </c>
      <c r="DB61" s="63">
        <f>+Fin!DB93</f>
        <v>0</v>
      </c>
      <c r="DC61" s="63">
        <f>+Fin!DC93</f>
        <v>0</v>
      </c>
      <c r="DD61" s="63">
        <f>+Fin!DD93</f>
        <v>0</v>
      </c>
      <c r="DE61" s="63">
        <f>+Fin!DE93</f>
        <v>0</v>
      </c>
      <c r="DF61" s="63">
        <f>+Fin!DF93</f>
        <v>0</v>
      </c>
      <c r="DG61" s="63">
        <f>+Fin!DG93</f>
        <v>0</v>
      </c>
      <c r="DH61" s="63">
        <f>+Fin!DH93</f>
        <v>0</v>
      </c>
      <c r="DI61" s="63">
        <f>+Fin!DI93</f>
        <v>0</v>
      </c>
      <c r="DJ61" s="63">
        <f>+Fin!DJ93</f>
        <v>0</v>
      </c>
      <c r="DK61" s="63">
        <f>+Fin!DK93</f>
        <v>0</v>
      </c>
      <c r="DL61" s="63">
        <f>+Fin!DL93</f>
        <v>0</v>
      </c>
      <c r="DM61" s="63">
        <f>+Fin!DM93</f>
        <v>0</v>
      </c>
      <c r="DN61" s="63">
        <f>+Fin!DN93</f>
        <v>0</v>
      </c>
      <c r="DO61" s="63">
        <f>+Fin!DO93</f>
        <v>0</v>
      </c>
      <c r="DP61" s="63">
        <f>+Fin!DP93</f>
        <v>0</v>
      </c>
      <c r="DQ61" s="16"/>
    </row>
    <row r="62" spans="3:121" x14ac:dyDescent="0.2">
      <c r="C62" s="34" t="s">
        <v>101</v>
      </c>
      <c r="K62" s="144" t="s">
        <v>63</v>
      </c>
      <c r="R62" s="751">
        <f>Inputs!L238</f>
        <v>1034374.3166937459</v>
      </c>
      <c r="S62" s="63">
        <f>+Fin!S140</f>
        <v>1078485.4266477572</v>
      </c>
      <c r="T62" s="63">
        <f>+Fin!T140</f>
        <v>1124477.6641490904</v>
      </c>
      <c r="U62" s="63">
        <f>+Fin!U140</f>
        <v>1136229.0874899926</v>
      </c>
      <c r="V62" s="63">
        <f>+Fin!V140</f>
        <v>1135149.6843756367</v>
      </c>
      <c r="W62" s="63">
        <f>+Fin!W140</f>
        <v>1133596.6731845927</v>
      </c>
      <c r="X62" s="63">
        <f>+Fin!X140</f>
        <v>1131518.9512024731</v>
      </c>
      <c r="Y62" s="63">
        <f>+Fin!Y140</f>
        <v>1128861.1008905747</v>
      </c>
      <c r="Z62" s="63">
        <f>+Fin!Z140</f>
        <v>1109261.3458626068</v>
      </c>
      <c r="AA62" s="63">
        <f>+Fin!AA140</f>
        <v>1088132.4273274357</v>
      </c>
      <c r="AB62" s="63">
        <f>+Fin!AB140</f>
        <v>1063925.2766199415</v>
      </c>
      <c r="AC62" s="63">
        <f>+Fin!AC140</f>
        <v>1036310.0538642341</v>
      </c>
      <c r="AD62" s="63">
        <f>+Fin!AD140</f>
        <v>1004925.3637604066</v>
      </c>
      <c r="AE62" s="63">
        <f>+Fin!AE140</f>
        <v>967952.73664835165</v>
      </c>
      <c r="AF62" s="63">
        <f>+Fin!AF140</f>
        <v>928853.44190454285</v>
      </c>
      <c r="AG62" s="63">
        <f>+Fin!AG140</f>
        <v>887710.07556800381</v>
      </c>
      <c r="AH62" s="63">
        <f>+Fin!AH140</f>
        <v>844432.7504351869</v>
      </c>
      <c r="AI62" s="63">
        <f>+Fin!AI140</f>
        <v>798929.36335637874</v>
      </c>
      <c r="AJ62" s="63">
        <f>+Fin!AJ140</f>
        <v>741105.75187021261</v>
      </c>
      <c r="AK62" s="63">
        <f>+Fin!AK140</f>
        <v>670865.88560559787</v>
      </c>
      <c r="AL62" s="63">
        <f>+Fin!AL140</f>
        <v>597738.80654682545</v>
      </c>
      <c r="AM62" s="63">
        <f>+Fin!AM140</f>
        <v>521571.4585718275</v>
      </c>
      <c r="AN62" s="63">
        <f>+Fin!AN140</f>
        <v>402203.8810021606</v>
      </c>
      <c r="AO62" s="63">
        <f>+Fin!AO140</f>
        <v>289469.0203146697</v>
      </c>
      <c r="AP62" s="63">
        <f>+Fin!AP140</f>
        <v>168978.12181407132</v>
      </c>
      <c r="AQ62" s="63">
        <f>+Fin!AQ140</f>
        <v>69486.747995315527</v>
      </c>
      <c r="AR62" s="63">
        <f>+Fin!AR140</f>
        <v>0</v>
      </c>
      <c r="AS62" s="63">
        <f>+Fin!AS140</f>
        <v>0</v>
      </c>
      <c r="AT62" s="63">
        <f>+Fin!AT140</f>
        <v>0</v>
      </c>
      <c r="AU62" s="63">
        <f>+Fin!AU140</f>
        <v>0</v>
      </c>
      <c r="AV62" s="63">
        <f>+Fin!AV140</f>
        <v>0</v>
      </c>
      <c r="AW62" s="63">
        <f>+Fin!AW140</f>
        <v>0</v>
      </c>
      <c r="AX62" s="63">
        <f>+Fin!AX140</f>
        <v>0</v>
      </c>
      <c r="AY62" s="63">
        <f>+Fin!AY140</f>
        <v>0</v>
      </c>
      <c r="AZ62" s="63">
        <f>+Fin!AZ140</f>
        <v>0</v>
      </c>
      <c r="BA62" s="63">
        <f>+Fin!BA140</f>
        <v>0</v>
      </c>
      <c r="BB62" s="63">
        <f>+Fin!BB140</f>
        <v>0</v>
      </c>
      <c r="BC62" s="63">
        <f>+Fin!BC140</f>
        <v>0</v>
      </c>
      <c r="BD62" s="63">
        <f>+Fin!BD140</f>
        <v>0</v>
      </c>
      <c r="BE62" s="63">
        <f>+Fin!BE140</f>
        <v>0</v>
      </c>
      <c r="BF62" s="63">
        <f>+Fin!BF140</f>
        <v>0</v>
      </c>
      <c r="BG62" s="63">
        <f>+Fin!BG140</f>
        <v>0</v>
      </c>
      <c r="BH62" s="63">
        <f>+Fin!BH140</f>
        <v>0</v>
      </c>
      <c r="BI62" s="63">
        <f>+Fin!BI140</f>
        <v>0</v>
      </c>
      <c r="BJ62" s="63">
        <f>+Fin!BJ140</f>
        <v>0</v>
      </c>
      <c r="BK62" s="63">
        <f>+Fin!BK140</f>
        <v>0</v>
      </c>
      <c r="BL62" s="63">
        <f>+Fin!BL140</f>
        <v>0</v>
      </c>
      <c r="BM62" s="63">
        <f>+Fin!BM140</f>
        <v>0</v>
      </c>
      <c r="BN62" s="63">
        <f>+Fin!BN140</f>
        <v>0</v>
      </c>
      <c r="BO62" s="63">
        <f>+Fin!BO140</f>
        <v>0</v>
      </c>
      <c r="BP62" s="63">
        <f>+Fin!BP140</f>
        <v>0</v>
      </c>
      <c r="BQ62" s="63">
        <f>+Fin!BQ140</f>
        <v>0</v>
      </c>
      <c r="BR62" s="63">
        <f>+Fin!BR140</f>
        <v>0</v>
      </c>
      <c r="BS62" s="63">
        <f>+Fin!BS140</f>
        <v>0</v>
      </c>
      <c r="BT62" s="63">
        <f>+Fin!BT140</f>
        <v>0</v>
      </c>
      <c r="BU62" s="63">
        <f>+Fin!BU140</f>
        <v>0</v>
      </c>
      <c r="BV62" s="63">
        <f>+Fin!BV140</f>
        <v>0</v>
      </c>
      <c r="BW62" s="63">
        <f>+Fin!BW140</f>
        <v>0</v>
      </c>
      <c r="BX62" s="63">
        <f>+Fin!BX140</f>
        <v>0</v>
      </c>
      <c r="BY62" s="63">
        <f>+Fin!BY140</f>
        <v>0</v>
      </c>
      <c r="BZ62" s="63">
        <f>+Fin!BZ140</f>
        <v>0</v>
      </c>
      <c r="CA62" s="63">
        <f>+Fin!CA140</f>
        <v>0</v>
      </c>
      <c r="CB62" s="63">
        <f>+Fin!CB140</f>
        <v>0</v>
      </c>
      <c r="CC62" s="63">
        <f>+Fin!CC140</f>
        <v>0</v>
      </c>
      <c r="CD62" s="63">
        <f>+Fin!CD140</f>
        <v>0</v>
      </c>
      <c r="CE62" s="63">
        <f>+Fin!CE140</f>
        <v>0</v>
      </c>
      <c r="CF62" s="63">
        <f>+Fin!CF140</f>
        <v>0</v>
      </c>
      <c r="CG62" s="63">
        <f>+Fin!CG140</f>
        <v>0</v>
      </c>
      <c r="CH62" s="63">
        <f>+Fin!CH140</f>
        <v>0</v>
      </c>
      <c r="CI62" s="63">
        <f>+Fin!CI140</f>
        <v>0</v>
      </c>
      <c r="CJ62" s="63">
        <f>+Fin!CJ140</f>
        <v>0</v>
      </c>
      <c r="CK62" s="63">
        <f>+Fin!CK140</f>
        <v>0</v>
      </c>
      <c r="CL62" s="63">
        <f>+Fin!CL140</f>
        <v>0</v>
      </c>
      <c r="CM62" s="63">
        <f>+Fin!CM140</f>
        <v>0</v>
      </c>
      <c r="CN62" s="63">
        <f>+Fin!CN140</f>
        <v>0</v>
      </c>
      <c r="CO62" s="63">
        <f>+Fin!CO140</f>
        <v>0</v>
      </c>
      <c r="CP62" s="63">
        <f>+Fin!CP140</f>
        <v>0</v>
      </c>
      <c r="CQ62" s="63">
        <f>+Fin!CQ140</f>
        <v>0</v>
      </c>
      <c r="CR62" s="63">
        <f>+Fin!CR140</f>
        <v>0</v>
      </c>
      <c r="CS62" s="63">
        <f>+Fin!CS140</f>
        <v>0</v>
      </c>
      <c r="CT62" s="63">
        <f>+Fin!CT140</f>
        <v>0</v>
      </c>
      <c r="CU62" s="63">
        <f>+Fin!CU140</f>
        <v>0</v>
      </c>
      <c r="CV62" s="63">
        <f>+Fin!CV140</f>
        <v>0</v>
      </c>
      <c r="CW62" s="63">
        <f>+Fin!CW140</f>
        <v>0</v>
      </c>
      <c r="CX62" s="63">
        <f>+Fin!CX140</f>
        <v>0</v>
      </c>
      <c r="CY62" s="63">
        <f>+Fin!CY140</f>
        <v>0</v>
      </c>
      <c r="CZ62" s="63">
        <f>+Fin!CZ140</f>
        <v>0</v>
      </c>
      <c r="DA62" s="63">
        <f>+Fin!DA140</f>
        <v>0</v>
      </c>
      <c r="DB62" s="63">
        <f>+Fin!DB140</f>
        <v>0</v>
      </c>
      <c r="DC62" s="63">
        <f>+Fin!DC140</f>
        <v>0</v>
      </c>
      <c r="DD62" s="63">
        <f>+Fin!DD140</f>
        <v>0</v>
      </c>
      <c r="DE62" s="63">
        <f>+Fin!DE140</f>
        <v>0</v>
      </c>
      <c r="DF62" s="63">
        <f>+Fin!DF140</f>
        <v>0</v>
      </c>
      <c r="DG62" s="63">
        <f>+Fin!DG140</f>
        <v>0</v>
      </c>
      <c r="DH62" s="63">
        <f>+Fin!DH140</f>
        <v>0</v>
      </c>
      <c r="DI62" s="63">
        <f>+Fin!DI140</f>
        <v>0</v>
      </c>
      <c r="DJ62" s="63">
        <f>+Fin!DJ140</f>
        <v>0</v>
      </c>
      <c r="DK62" s="63">
        <f>+Fin!DK140</f>
        <v>0</v>
      </c>
      <c r="DL62" s="63">
        <f>+Fin!DL140</f>
        <v>0</v>
      </c>
      <c r="DM62" s="63">
        <f>+Fin!DM140</f>
        <v>0</v>
      </c>
      <c r="DN62" s="63">
        <f>+Fin!DN140</f>
        <v>0</v>
      </c>
      <c r="DO62" s="63">
        <f>+Fin!DO140</f>
        <v>0</v>
      </c>
      <c r="DP62" s="63">
        <f>+Fin!DP140</f>
        <v>0</v>
      </c>
      <c r="DQ62" s="16"/>
    </row>
    <row r="63" spans="3:121" x14ac:dyDescent="0.2">
      <c r="C63" s="34" t="s">
        <v>102</v>
      </c>
      <c r="K63" s="144" t="s">
        <v>63</v>
      </c>
      <c r="R63" s="751">
        <f>Inputs!$L$239</f>
        <v>0</v>
      </c>
      <c r="S63" s="63">
        <f>+Fin!S189</f>
        <v>0</v>
      </c>
      <c r="T63" s="63">
        <f>+Fin!T189</f>
        <v>0</v>
      </c>
      <c r="U63" s="63">
        <f>+Fin!U189</f>
        <v>615000.38086000003</v>
      </c>
      <c r="V63" s="63">
        <f>+Fin!V189</f>
        <v>616079.78397435579</v>
      </c>
      <c r="W63" s="63">
        <f>+Fin!W189</f>
        <v>617632.79516539979</v>
      </c>
      <c r="X63" s="63">
        <f>+Fin!X189</f>
        <v>619710.51714751939</v>
      </c>
      <c r="Y63" s="63">
        <f>+Fin!Y189</f>
        <v>622368.36745941779</v>
      </c>
      <c r="Z63" s="63">
        <f>+Fin!Z189</f>
        <v>641968.12248738576</v>
      </c>
      <c r="AA63" s="63">
        <f>+Fin!AA189</f>
        <v>663097.04102255683</v>
      </c>
      <c r="AB63" s="63">
        <f>+Fin!AB189</f>
        <v>687304.19173005095</v>
      </c>
      <c r="AC63" s="63">
        <f>+Fin!AC189</f>
        <v>714919.4144857584</v>
      </c>
      <c r="AD63" s="63">
        <f>+Fin!AD189</f>
        <v>746304.10458958591</v>
      </c>
      <c r="AE63" s="63">
        <f>+Fin!AE189</f>
        <v>839958.00709337136</v>
      </c>
      <c r="AF63" s="63">
        <f>+Fin!AF189</f>
        <v>879057.30183718016</v>
      </c>
      <c r="AG63" s="63">
        <f>+Fin!AG189</f>
        <v>920200.6681737192</v>
      </c>
      <c r="AH63" s="63">
        <f>+Fin!AH189</f>
        <v>963477.99330653611</v>
      </c>
      <c r="AI63" s="63">
        <f>+Fin!AI189</f>
        <v>1008981.3803853443</v>
      </c>
      <c r="AJ63" s="63">
        <f>+Fin!AJ189</f>
        <v>1066804.9918715104</v>
      </c>
      <c r="AK63" s="63">
        <f>+Fin!AK189</f>
        <v>1137044.8581361251</v>
      </c>
      <c r="AL63" s="63">
        <f>+Fin!AL189</f>
        <v>1210171.9371948976</v>
      </c>
      <c r="AM63" s="63">
        <f>+Fin!AM189</f>
        <v>1286339.2851698955</v>
      </c>
      <c r="AN63" s="63">
        <f>+Fin!AN189</f>
        <v>1405706.8627395625</v>
      </c>
      <c r="AO63" s="63">
        <f>+Fin!AO189</f>
        <v>1642498.3723249221</v>
      </c>
      <c r="AP63" s="63">
        <f>+Fin!AP189</f>
        <v>1762989.2708255206</v>
      </c>
      <c r="AQ63" s="63">
        <f>+Fin!AQ189</f>
        <v>1862480.6446442762</v>
      </c>
      <c r="AR63" s="63">
        <f>+Fin!AR189</f>
        <v>1931967.3926395916</v>
      </c>
      <c r="AS63" s="63">
        <f>+Fin!AS189</f>
        <v>1931967.3926395916</v>
      </c>
      <c r="AT63" s="63">
        <f>+Fin!AT189</f>
        <v>1931967.3926395916</v>
      </c>
      <c r="AU63" s="63">
        <f>+Fin!AU189</f>
        <v>1855080.1425027135</v>
      </c>
      <c r="AV63" s="63">
        <f>+Fin!AV189</f>
        <v>1699492.5193602291</v>
      </c>
      <c r="AW63" s="63">
        <f>+Fin!AW189</f>
        <v>1535736.5460027643</v>
      </c>
      <c r="AX63" s="63">
        <f>+Fin!AX189</f>
        <v>1363383.3840440325</v>
      </c>
      <c r="AY63" s="63">
        <f>+Fin!AY189</f>
        <v>1297111.4440244799</v>
      </c>
      <c r="AZ63" s="63">
        <f>+Fin!AZ189</f>
        <v>1087589.2613657641</v>
      </c>
      <c r="BA63" s="63">
        <f>+Fin!BA189</f>
        <v>867067.16411746573</v>
      </c>
      <c r="BB63" s="63">
        <f>+Fin!BB189</f>
        <v>634967.65676363162</v>
      </c>
      <c r="BC63" s="63">
        <f>+Fin!BC189</f>
        <v>390682.92527372134</v>
      </c>
      <c r="BD63" s="63">
        <f>+Fin!BD189</f>
        <v>133573.24538059082</v>
      </c>
      <c r="BE63" s="63">
        <f>+Fin!BE189</f>
        <v>0</v>
      </c>
      <c r="BF63" s="63">
        <f>+Fin!BF189</f>
        <v>0</v>
      </c>
      <c r="BG63" s="63">
        <f>+Fin!BG189</f>
        <v>0</v>
      </c>
      <c r="BH63" s="63">
        <f>+Fin!BH189</f>
        <v>0</v>
      </c>
      <c r="BI63" s="63">
        <f>+Fin!BI189</f>
        <v>0</v>
      </c>
      <c r="BJ63" s="63">
        <f>+Fin!BJ189</f>
        <v>0</v>
      </c>
      <c r="BK63" s="63">
        <f>+Fin!BK189</f>
        <v>0</v>
      </c>
      <c r="BL63" s="63">
        <f>+Fin!BL189</f>
        <v>0</v>
      </c>
      <c r="BM63" s="63">
        <f>+Fin!BM189</f>
        <v>0</v>
      </c>
      <c r="BN63" s="63">
        <f>+Fin!BN189</f>
        <v>0</v>
      </c>
      <c r="BO63" s="63">
        <f>+Fin!BO189</f>
        <v>0</v>
      </c>
      <c r="BP63" s="63">
        <f>+Fin!BP189</f>
        <v>0</v>
      </c>
      <c r="BQ63" s="63">
        <f>+Fin!BQ189</f>
        <v>0</v>
      </c>
      <c r="BR63" s="63">
        <f>+Fin!BR189</f>
        <v>0</v>
      </c>
      <c r="BS63" s="63">
        <f>+Fin!BS189</f>
        <v>0</v>
      </c>
      <c r="BT63" s="63">
        <f>+Fin!BT189</f>
        <v>0</v>
      </c>
      <c r="BU63" s="63">
        <f>+Fin!BU189</f>
        <v>0</v>
      </c>
      <c r="BV63" s="63">
        <f>+Fin!BV189</f>
        <v>0</v>
      </c>
      <c r="BW63" s="63">
        <f>+Fin!BW189</f>
        <v>0</v>
      </c>
      <c r="BX63" s="63">
        <f>+Fin!BX189</f>
        <v>0</v>
      </c>
      <c r="BY63" s="63">
        <f>+Fin!BY189</f>
        <v>0</v>
      </c>
      <c r="BZ63" s="63">
        <f>+Fin!BZ189</f>
        <v>0</v>
      </c>
      <c r="CA63" s="63">
        <f>+Fin!CA189</f>
        <v>0</v>
      </c>
      <c r="CB63" s="63">
        <f>+Fin!CB189</f>
        <v>0</v>
      </c>
      <c r="CC63" s="63">
        <f>+Fin!CC189</f>
        <v>0</v>
      </c>
      <c r="CD63" s="63">
        <f>+Fin!CD189</f>
        <v>0</v>
      </c>
      <c r="CE63" s="63">
        <f>+Fin!CE189</f>
        <v>0</v>
      </c>
      <c r="CF63" s="63">
        <f>+Fin!CF189</f>
        <v>0</v>
      </c>
      <c r="CG63" s="63">
        <f>+Fin!CG189</f>
        <v>0</v>
      </c>
      <c r="CH63" s="63">
        <f>+Fin!CH189</f>
        <v>0</v>
      </c>
      <c r="CI63" s="63">
        <f>+Fin!CI189</f>
        <v>0</v>
      </c>
      <c r="CJ63" s="63">
        <f>+Fin!CJ189</f>
        <v>0</v>
      </c>
      <c r="CK63" s="63">
        <f>+Fin!CK189</f>
        <v>0</v>
      </c>
      <c r="CL63" s="63">
        <f>+Fin!CL189</f>
        <v>0</v>
      </c>
      <c r="CM63" s="63">
        <f>+Fin!CM189</f>
        <v>0</v>
      </c>
      <c r="CN63" s="63">
        <f>+Fin!CN189</f>
        <v>0</v>
      </c>
      <c r="CO63" s="63">
        <f>+Fin!CO189</f>
        <v>0</v>
      </c>
      <c r="CP63" s="63">
        <f>+Fin!CP189</f>
        <v>0</v>
      </c>
      <c r="CQ63" s="63">
        <f>+Fin!CQ189</f>
        <v>0</v>
      </c>
      <c r="CR63" s="63">
        <f>+Fin!CR189</f>
        <v>0</v>
      </c>
      <c r="CS63" s="63">
        <f>+Fin!CS189</f>
        <v>0</v>
      </c>
      <c r="CT63" s="63">
        <f>+Fin!CT189</f>
        <v>0</v>
      </c>
      <c r="CU63" s="63">
        <f>+Fin!CU189</f>
        <v>0</v>
      </c>
      <c r="CV63" s="63">
        <f>+Fin!CV189</f>
        <v>0</v>
      </c>
      <c r="CW63" s="63">
        <f>+Fin!CW189</f>
        <v>0</v>
      </c>
      <c r="CX63" s="63">
        <f>+Fin!CX189</f>
        <v>0</v>
      </c>
      <c r="CY63" s="63">
        <f>+Fin!CY189</f>
        <v>0</v>
      </c>
      <c r="CZ63" s="63">
        <f>+Fin!CZ189</f>
        <v>0</v>
      </c>
      <c r="DA63" s="63">
        <f>+Fin!DA189</f>
        <v>0</v>
      </c>
      <c r="DB63" s="63">
        <f>+Fin!DB189</f>
        <v>0</v>
      </c>
      <c r="DC63" s="63">
        <f>+Fin!DC189</f>
        <v>0</v>
      </c>
      <c r="DD63" s="63">
        <f>+Fin!DD189</f>
        <v>0</v>
      </c>
      <c r="DE63" s="63">
        <f>+Fin!DE189</f>
        <v>0</v>
      </c>
      <c r="DF63" s="63">
        <f>+Fin!DF189</f>
        <v>0</v>
      </c>
      <c r="DG63" s="63">
        <f>+Fin!DG189</f>
        <v>0</v>
      </c>
      <c r="DH63" s="63">
        <f>+Fin!DH189</f>
        <v>0</v>
      </c>
      <c r="DI63" s="63">
        <f>+Fin!DI189</f>
        <v>0</v>
      </c>
      <c r="DJ63" s="63">
        <f>+Fin!DJ189</f>
        <v>0</v>
      </c>
      <c r="DK63" s="63">
        <f>+Fin!DK189</f>
        <v>0</v>
      </c>
      <c r="DL63" s="63">
        <f>+Fin!DL189</f>
        <v>0</v>
      </c>
      <c r="DM63" s="63">
        <f>+Fin!DM189</f>
        <v>0</v>
      </c>
      <c r="DN63" s="63">
        <f>+Fin!DN189</f>
        <v>0</v>
      </c>
      <c r="DO63" s="63">
        <f>+Fin!DO189</f>
        <v>0</v>
      </c>
      <c r="DP63" s="63">
        <f>+Fin!DP189</f>
        <v>0</v>
      </c>
      <c r="DQ63" s="16"/>
    </row>
    <row r="64" spans="3:121" x14ac:dyDescent="0.2">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16"/>
    </row>
    <row r="65" spans="1:125" x14ac:dyDescent="0.2">
      <c r="C65" s="32" t="s">
        <v>103</v>
      </c>
      <c r="D65" s="32"/>
      <c r="E65" s="32"/>
      <c r="F65" s="32"/>
      <c r="G65" s="32"/>
      <c r="H65" s="32"/>
      <c r="I65" s="32"/>
      <c r="J65" s="32"/>
      <c r="K65" s="639" t="s">
        <v>63</v>
      </c>
      <c r="L65" s="33"/>
      <c r="M65" s="33"/>
      <c r="N65" s="33"/>
      <c r="O65" s="32"/>
      <c r="P65" s="32"/>
      <c r="Q65" s="32"/>
      <c r="R65" s="745">
        <f t="shared" ref="R65" si="53">+R59+R54</f>
        <v>2051491.5124337459</v>
      </c>
      <c r="S65" s="745">
        <f t="shared" ref="S65:AO65" ca="1" si="54">+S59+S54</f>
        <v>1968737.9307049513</v>
      </c>
      <c r="T65" s="745">
        <f t="shared" ca="1" si="54"/>
        <v>1903646.585002803</v>
      </c>
      <c r="U65" s="745">
        <f t="shared" ca="1" si="54"/>
        <v>1573300.6358718546</v>
      </c>
      <c r="V65" s="745">
        <f t="shared" ca="1" si="54"/>
        <v>1445410.1818533763</v>
      </c>
      <c r="W65" s="745">
        <f t="shared" ca="1" si="54"/>
        <v>1316560.9740099404</v>
      </c>
      <c r="X65" s="745">
        <f t="shared" ca="1" si="54"/>
        <v>1186410.9711993616</v>
      </c>
      <c r="Y65" s="745">
        <f t="shared" ca="1" si="54"/>
        <v>1056531.4775229204</v>
      </c>
      <c r="Z65" s="745">
        <f t="shared" ca="1" si="54"/>
        <v>927129.74953970185</v>
      </c>
      <c r="AA65" s="745">
        <f t="shared" ca="1" si="54"/>
        <v>796988.91726396314</v>
      </c>
      <c r="AB65" s="745">
        <f t="shared" ca="1" si="54"/>
        <v>666268.56752572954</v>
      </c>
      <c r="AC65" s="745">
        <f t="shared" ca="1" si="54"/>
        <v>535469.47578958538</v>
      </c>
      <c r="AD65" s="745">
        <f t="shared" ca="1" si="54"/>
        <v>405731.86056094849</v>
      </c>
      <c r="AE65" s="745">
        <f t="shared" ca="1" si="54"/>
        <v>278069.85913056182</v>
      </c>
      <c r="AF65" s="745">
        <f t="shared" ca="1" si="54"/>
        <v>153806.65510024899</v>
      </c>
      <c r="AG65" s="745">
        <f t="shared" ca="1" si="54"/>
        <v>114601.22939699143</v>
      </c>
      <c r="AH65" s="745">
        <f t="shared" ca="1" si="54"/>
        <v>129086.62616819469</v>
      </c>
      <c r="AI65" s="745">
        <f t="shared" ca="1" si="54"/>
        <v>143028.25942050666</v>
      </c>
      <c r="AJ65" s="745">
        <f t="shared" ca="1" si="54"/>
        <v>155023.9893543967</v>
      </c>
      <c r="AK65" s="745">
        <f t="shared" ca="1" si="54"/>
        <v>162444.89354916057</v>
      </c>
      <c r="AL65" s="745">
        <f t="shared" ca="1" si="54"/>
        <v>165304.76064163866</v>
      </c>
      <c r="AM65" s="745">
        <f t="shared" ca="1" si="54"/>
        <v>166356.90387396701</v>
      </c>
      <c r="AN65" s="745">
        <f t="shared" ca="1" si="54"/>
        <v>162533.31152835535</v>
      </c>
      <c r="AO65" s="745">
        <f t="shared" ca="1" si="54"/>
        <v>186470.77469422715</v>
      </c>
      <c r="AP65" s="745">
        <f t="shared" ref="AP65:BU65" ca="1" si="55">+AP59+AP54</f>
        <v>183277.01898274245</v>
      </c>
      <c r="AQ65" s="745">
        <f t="shared" ca="1" si="55"/>
        <v>181473.97227914026</v>
      </c>
      <c r="AR65" s="745">
        <f t="shared" ca="1" si="55"/>
        <v>181184.2179433729</v>
      </c>
      <c r="AS65" s="745">
        <f t="shared" ca="1" si="55"/>
        <v>188235.23173914687</v>
      </c>
      <c r="AT65" s="745">
        <f t="shared" ca="1" si="55"/>
        <v>272447.58662392013</v>
      </c>
      <c r="AU65" s="745">
        <f t="shared" ca="1" si="55"/>
        <v>354031.98460813961</v>
      </c>
      <c r="AV65" s="745">
        <f t="shared" ca="1" si="55"/>
        <v>361227.69220534666</v>
      </c>
      <c r="AW65" s="745">
        <f t="shared" ca="1" si="55"/>
        <v>367744.65635187295</v>
      </c>
      <c r="AX65" s="745">
        <f t="shared" ca="1" si="55"/>
        <v>383097.56601039809</v>
      </c>
      <c r="AY65" s="745">
        <f t="shared" ca="1" si="55"/>
        <v>401169.56243822805</v>
      </c>
      <c r="AZ65" s="745">
        <f t="shared" ca="1" si="55"/>
        <v>411665.61038787535</v>
      </c>
      <c r="BA65" s="745">
        <f t="shared" ca="1" si="55"/>
        <v>425318.8009416681</v>
      </c>
      <c r="BB65" s="745">
        <f t="shared" ca="1" si="55"/>
        <v>442357.18036825059</v>
      </c>
      <c r="BC65" s="745">
        <f t="shared" ca="1" si="55"/>
        <v>462638.65576959529</v>
      </c>
      <c r="BD65" s="745">
        <f t="shared" ca="1" si="55"/>
        <v>351158.61118775839</v>
      </c>
      <c r="BE65" s="745">
        <f t="shared" ca="1" si="55"/>
        <v>353183.46594439598</v>
      </c>
      <c r="BF65" s="745">
        <f t="shared" ca="1" si="55"/>
        <v>335505.83415134076</v>
      </c>
      <c r="BG65" s="745">
        <f t="shared" ca="1" si="55"/>
        <v>315872.06310924946</v>
      </c>
      <c r="BH65" s="745">
        <f t="shared" ca="1" si="55"/>
        <v>294099.50035400002</v>
      </c>
      <c r="BI65" s="745">
        <f t="shared" ca="1" si="55"/>
        <v>270013.50112900941</v>
      </c>
      <c r="BJ65" s="745">
        <f t="shared" ca="1" si="55"/>
        <v>-133568.75351641781</v>
      </c>
      <c r="BK65" s="745">
        <f t="shared" ca="1" si="55"/>
        <v>0</v>
      </c>
      <c r="BL65" s="745">
        <f t="shared" ca="1" si="55"/>
        <v>0</v>
      </c>
      <c r="BM65" s="745">
        <f t="shared" ca="1" si="55"/>
        <v>0</v>
      </c>
      <c r="BN65" s="745">
        <f t="shared" ca="1" si="55"/>
        <v>0</v>
      </c>
      <c r="BO65" s="745">
        <f t="shared" ca="1" si="55"/>
        <v>0</v>
      </c>
      <c r="BP65" s="745">
        <f t="shared" ca="1" si="55"/>
        <v>0</v>
      </c>
      <c r="BQ65" s="745">
        <f t="shared" ca="1" si="55"/>
        <v>0</v>
      </c>
      <c r="BR65" s="745">
        <f t="shared" ca="1" si="55"/>
        <v>0</v>
      </c>
      <c r="BS65" s="745">
        <f t="shared" ca="1" si="55"/>
        <v>0</v>
      </c>
      <c r="BT65" s="745">
        <f t="shared" ca="1" si="55"/>
        <v>0</v>
      </c>
      <c r="BU65" s="745">
        <f t="shared" ca="1" si="55"/>
        <v>0</v>
      </c>
      <c r="BV65" s="745">
        <f t="shared" ref="BV65:DA65" ca="1" si="56">+BV59+BV54</f>
        <v>0</v>
      </c>
      <c r="BW65" s="745">
        <f t="shared" ca="1" si="56"/>
        <v>0</v>
      </c>
      <c r="BX65" s="745">
        <f t="shared" ca="1" si="56"/>
        <v>0</v>
      </c>
      <c r="BY65" s="745">
        <f t="shared" ca="1" si="56"/>
        <v>0</v>
      </c>
      <c r="BZ65" s="745">
        <f t="shared" ca="1" si="56"/>
        <v>0</v>
      </c>
      <c r="CA65" s="745">
        <f t="shared" ca="1" si="56"/>
        <v>0</v>
      </c>
      <c r="CB65" s="745">
        <f t="shared" ca="1" si="56"/>
        <v>0</v>
      </c>
      <c r="CC65" s="745">
        <f t="shared" ca="1" si="56"/>
        <v>0</v>
      </c>
      <c r="CD65" s="745">
        <f t="shared" ca="1" si="56"/>
        <v>0</v>
      </c>
      <c r="CE65" s="745">
        <f t="shared" ca="1" si="56"/>
        <v>0</v>
      </c>
      <c r="CF65" s="745">
        <f t="shared" ca="1" si="56"/>
        <v>0</v>
      </c>
      <c r="CG65" s="745">
        <f t="shared" ca="1" si="56"/>
        <v>0</v>
      </c>
      <c r="CH65" s="745">
        <f t="shared" ca="1" si="56"/>
        <v>0</v>
      </c>
      <c r="CI65" s="745">
        <f t="shared" ca="1" si="56"/>
        <v>0</v>
      </c>
      <c r="CJ65" s="745">
        <f t="shared" ca="1" si="56"/>
        <v>0</v>
      </c>
      <c r="CK65" s="745">
        <f t="shared" ca="1" si="56"/>
        <v>0</v>
      </c>
      <c r="CL65" s="745">
        <f t="shared" ca="1" si="56"/>
        <v>0</v>
      </c>
      <c r="CM65" s="745">
        <f t="shared" ca="1" si="56"/>
        <v>0</v>
      </c>
      <c r="CN65" s="745">
        <f t="shared" ca="1" si="56"/>
        <v>0</v>
      </c>
      <c r="CO65" s="745">
        <f t="shared" ca="1" si="56"/>
        <v>0</v>
      </c>
      <c r="CP65" s="745">
        <f t="shared" ca="1" si="56"/>
        <v>0</v>
      </c>
      <c r="CQ65" s="745">
        <f t="shared" ca="1" si="56"/>
        <v>0</v>
      </c>
      <c r="CR65" s="745">
        <f t="shared" ca="1" si="56"/>
        <v>0</v>
      </c>
      <c r="CS65" s="745">
        <f t="shared" ca="1" si="56"/>
        <v>0</v>
      </c>
      <c r="CT65" s="745">
        <f t="shared" ca="1" si="56"/>
        <v>0</v>
      </c>
      <c r="CU65" s="745">
        <f t="shared" ca="1" si="56"/>
        <v>0</v>
      </c>
      <c r="CV65" s="745">
        <f t="shared" ca="1" si="56"/>
        <v>0</v>
      </c>
      <c r="CW65" s="745">
        <f t="shared" ca="1" si="56"/>
        <v>0</v>
      </c>
      <c r="CX65" s="745">
        <f t="shared" ca="1" si="56"/>
        <v>0</v>
      </c>
      <c r="CY65" s="745">
        <f t="shared" ca="1" si="56"/>
        <v>0</v>
      </c>
      <c r="CZ65" s="745">
        <f t="shared" ca="1" si="56"/>
        <v>0</v>
      </c>
      <c r="DA65" s="745">
        <f t="shared" ca="1" si="56"/>
        <v>0</v>
      </c>
      <c r="DB65" s="745">
        <f t="shared" ref="DB65:DP65" ca="1" si="57">+DB59+DB54</f>
        <v>0</v>
      </c>
      <c r="DC65" s="745">
        <f t="shared" ca="1" si="57"/>
        <v>0</v>
      </c>
      <c r="DD65" s="745">
        <f t="shared" ca="1" si="57"/>
        <v>0</v>
      </c>
      <c r="DE65" s="745">
        <f t="shared" ca="1" si="57"/>
        <v>0</v>
      </c>
      <c r="DF65" s="745">
        <f t="shared" ca="1" si="57"/>
        <v>0</v>
      </c>
      <c r="DG65" s="745">
        <f t="shared" ca="1" si="57"/>
        <v>0</v>
      </c>
      <c r="DH65" s="745">
        <f t="shared" ca="1" si="57"/>
        <v>0</v>
      </c>
      <c r="DI65" s="745">
        <f t="shared" ca="1" si="57"/>
        <v>0</v>
      </c>
      <c r="DJ65" s="745">
        <f t="shared" ca="1" si="57"/>
        <v>0</v>
      </c>
      <c r="DK65" s="745">
        <f t="shared" ca="1" si="57"/>
        <v>0</v>
      </c>
      <c r="DL65" s="745">
        <f t="shared" ca="1" si="57"/>
        <v>0</v>
      </c>
      <c r="DM65" s="745">
        <f t="shared" ca="1" si="57"/>
        <v>0</v>
      </c>
      <c r="DN65" s="745">
        <f t="shared" ca="1" si="57"/>
        <v>0</v>
      </c>
      <c r="DO65" s="745">
        <f t="shared" ca="1" si="57"/>
        <v>0</v>
      </c>
      <c r="DP65" s="745">
        <f t="shared" ca="1" si="57"/>
        <v>0</v>
      </c>
      <c r="DQ65" s="16"/>
    </row>
    <row r="66" spans="1:125" ht="13.5" thickBot="1" x14ac:dyDescent="0.25">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16"/>
    </row>
    <row r="67" spans="1:125" ht="13.5" thickBot="1" x14ac:dyDescent="0.25">
      <c r="C67" t="s">
        <v>104</v>
      </c>
      <c r="N67" s="744">
        <f ca="1">IF(SUM(Q67:BW67)=0,0,1)</f>
        <v>0</v>
      </c>
      <c r="Q67" s="116">
        <f t="shared" ref="Q67:AV67" si="58">+ROUND(Q65-Q50,0)</f>
        <v>0</v>
      </c>
      <c r="R67" s="116">
        <f t="shared" si="58"/>
        <v>0</v>
      </c>
      <c r="S67" s="116">
        <f t="shared" ca="1" si="58"/>
        <v>0</v>
      </c>
      <c r="T67" s="116">
        <f t="shared" ca="1" si="58"/>
        <v>0</v>
      </c>
      <c r="U67" s="799">
        <f t="shared" ca="1" si="58"/>
        <v>0</v>
      </c>
      <c r="V67" s="116">
        <f t="shared" ca="1" si="58"/>
        <v>0</v>
      </c>
      <c r="W67" s="116">
        <f t="shared" ca="1" si="58"/>
        <v>0</v>
      </c>
      <c r="X67" s="116">
        <f t="shared" ca="1" si="58"/>
        <v>0</v>
      </c>
      <c r="Y67" s="116">
        <f t="shared" ca="1" si="58"/>
        <v>0</v>
      </c>
      <c r="Z67" s="116">
        <f t="shared" ca="1" si="58"/>
        <v>0</v>
      </c>
      <c r="AA67" s="116">
        <f t="shared" ca="1" si="58"/>
        <v>0</v>
      </c>
      <c r="AB67" s="116">
        <f t="shared" ca="1" si="58"/>
        <v>0</v>
      </c>
      <c r="AC67" s="116">
        <f t="shared" ca="1" si="58"/>
        <v>0</v>
      </c>
      <c r="AD67" s="116">
        <f t="shared" ca="1" si="58"/>
        <v>0</v>
      </c>
      <c r="AE67" s="116">
        <f t="shared" ca="1" si="58"/>
        <v>0</v>
      </c>
      <c r="AF67" s="116">
        <f t="shared" ca="1" si="58"/>
        <v>0</v>
      </c>
      <c r="AG67" s="116">
        <f t="shared" ca="1" si="58"/>
        <v>0</v>
      </c>
      <c r="AH67" s="116">
        <f t="shared" ca="1" si="58"/>
        <v>0</v>
      </c>
      <c r="AI67" s="116">
        <f t="shared" ca="1" si="58"/>
        <v>0</v>
      </c>
      <c r="AJ67" s="116">
        <f t="shared" ca="1" si="58"/>
        <v>0</v>
      </c>
      <c r="AK67" s="116">
        <f t="shared" ca="1" si="58"/>
        <v>0</v>
      </c>
      <c r="AL67" s="116">
        <f t="shared" ca="1" si="58"/>
        <v>0</v>
      </c>
      <c r="AM67" s="116">
        <f t="shared" ca="1" si="58"/>
        <v>0</v>
      </c>
      <c r="AN67" s="116">
        <f t="shared" ca="1" si="58"/>
        <v>0</v>
      </c>
      <c r="AO67" s="116">
        <f t="shared" ca="1" si="58"/>
        <v>0</v>
      </c>
      <c r="AP67" s="116">
        <f t="shared" ca="1" si="58"/>
        <v>0</v>
      </c>
      <c r="AQ67" s="116">
        <f t="shared" ca="1" si="58"/>
        <v>0</v>
      </c>
      <c r="AR67" s="116">
        <f t="shared" ca="1" si="58"/>
        <v>0</v>
      </c>
      <c r="AS67" s="116">
        <f t="shared" ca="1" si="58"/>
        <v>0</v>
      </c>
      <c r="AT67" s="116">
        <f t="shared" ca="1" si="58"/>
        <v>0</v>
      </c>
      <c r="AU67" s="116">
        <f t="shared" ca="1" si="58"/>
        <v>0</v>
      </c>
      <c r="AV67" s="116">
        <f t="shared" ca="1" si="58"/>
        <v>0</v>
      </c>
      <c r="AW67" s="116">
        <f t="shared" ref="AW67:CB67" ca="1" si="59">+ROUND(AW65-AW50,0)</f>
        <v>0</v>
      </c>
      <c r="AX67" s="116">
        <f t="shared" ca="1" si="59"/>
        <v>0</v>
      </c>
      <c r="AY67" s="116">
        <f t="shared" ca="1" si="59"/>
        <v>0</v>
      </c>
      <c r="AZ67" s="116">
        <f t="shared" ca="1" si="59"/>
        <v>0</v>
      </c>
      <c r="BA67" s="116">
        <f t="shared" ca="1" si="59"/>
        <v>0</v>
      </c>
      <c r="BB67" s="116">
        <f t="shared" ca="1" si="59"/>
        <v>0</v>
      </c>
      <c r="BC67" s="116">
        <f t="shared" ca="1" si="59"/>
        <v>0</v>
      </c>
      <c r="BD67" s="116">
        <f t="shared" ca="1" si="59"/>
        <v>0</v>
      </c>
      <c r="BE67" s="116">
        <f t="shared" ca="1" si="59"/>
        <v>0</v>
      </c>
      <c r="BF67" s="116">
        <f t="shared" ca="1" si="59"/>
        <v>0</v>
      </c>
      <c r="BG67" s="116">
        <f t="shared" ca="1" si="59"/>
        <v>0</v>
      </c>
      <c r="BH67" s="116">
        <f t="shared" ca="1" si="59"/>
        <v>0</v>
      </c>
      <c r="BI67" s="116">
        <f t="shared" ca="1" si="59"/>
        <v>0</v>
      </c>
      <c r="BJ67" s="116">
        <f t="shared" ca="1" si="59"/>
        <v>0</v>
      </c>
      <c r="BK67" s="63">
        <f t="shared" ca="1" si="59"/>
        <v>0</v>
      </c>
      <c r="BL67" s="63">
        <f t="shared" ca="1" si="59"/>
        <v>0</v>
      </c>
      <c r="BM67" s="63">
        <f t="shared" ca="1" si="59"/>
        <v>0</v>
      </c>
      <c r="BN67" s="63">
        <f t="shared" ca="1" si="59"/>
        <v>0</v>
      </c>
      <c r="BO67" s="63">
        <f t="shared" ca="1" si="59"/>
        <v>0</v>
      </c>
      <c r="BP67" s="63">
        <f t="shared" ca="1" si="59"/>
        <v>0</v>
      </c>
      <c r="BQ67" s="63">
        <f t="shared" ca="1" si="59"/>
        <v>0</v>
      </c>
      <c r="BR67" s="63">
        <f t="shared" ca="1" si="59"/>
        <v>0</v>
      </c>
      <c r="BS67" s="63">
        <f t="shared" ca="1" si="59"/>
        <v>0</v>
      </c>
      <c r="BT67" s="63">
        <f t="shared" ca="1" si="59"/>
        <v>0</v>
      </c>
      <c r="BU67" s="63">
        <f t="shared" ca="1" si="59"/>
        <v>0</v>
      </c>
      <c r="BV67" s="63">
        <f t="shared" ca="1" si="59"/>
        <v>0</v>
      </c>
      <c r="BW67" s="63">
        <f t="shared" ca="1" si="59"/>
        <v>0</v>
      </c>
      <c r="BX67" s="63">
        <f t="shared" ca="1" si="59"/>
        <v>0</v>
      </c>
      <c r="BY67" s="63">
        <f t="shared" ca="1" si="59"/>
        <v>0</v>
      </c>
      <c r="BZ67" s="63">
        <f t="shared" ca="1" si="59"/>
        <v>0</v>
      </c>
      <c r="CA67" s="63">
        <f t="shared" ca="1" si="59"/>
        <v>0</v>
      </c>
      <c r="CB67" s="63">
        <f t="shared" ca="1" si="59"/>
        <v>0</v>
      </c>
      <c r="CC67" s="63">
        <f t="shared" ref="CC67:DH67" ca="1" si="60">+ROUND(CC65-CC50,0)</f>
        <v>0</v>
      </c>
      <c r="CD67" s="63">
        <f t="shared" ca="1" si="60"/>
        <v>0</v>
      </c>
      <c r="CE67" s="63">
        <f t="shared" ca="1" si="60"/>
        <v>0</v>
      </c>
      <c r="CF67" s="63">
        <f t="shared" ca="1" si="60"/>
        <v>0</v>
      </c>
      <c r="CG67" s="63">
        <f t="shared" ca="1" si="60"/>
        <v>0</v>
      </c>
      <c r="CH67" s="63">
        <f t="shared" ca="1" si="60"/>
        <v>0</v>
      </c>
      <c r="CI67" s="63">
        <f t="shared" ca="1" si="60"/>
        <v>0</v>
      </c>
      <c r="CJ67" s="63">
        <f t="shared" ca="1" si="60"/>
        <v>0</v>
      </c>
      <c r="CK67" s="63">
        <f t="shared" ca="1" si="60"/>
        <v>0</v>
      </c>
      <c r="CL67" s="63">
        <f t="shared" ca="1" si="60"/>
        <v>0</v>
      </c>
      <c r="CM67" s="63">
        <f t="shared" ca="1" si="60"/>
        <v>0</v>
      </c>
      <c r="CN67" s="63">
        <f t="shared" ca="1" si="60"/>
        <v>0</v>
      </c>
      <c r="CO67" s="63">
        <f t="shared" ca="1" si="60"/>
        <v>0</v>
      </c>
      <c r="CP67" s="63">
        <f t="shared" ca="1" si="60"/>
        <v>0</v>
      </c>
      <c r="CQ67" s="63">
        <f t="shared" ca="1" si="60"/>
        <v>0</v>
      </c>
      <c r="CR67" s="63">
        <f t="shared" ca="1" si="60"/>
        <v>0</v>
      </c>
      <c r="CS67" s="63">
        <f t="shared" ca="1" si="60"/>
        <v>0</v>
      </c>
      <c r="CT67" s="63">
        <f t="shared" ca="1" si="60"/>
        <v>0</v>
      </c>
      <c r="CU67" s="63">
        <f t="shared" ca="1" si="60"/>
        <v>0</v>
      </c>
      <c r="CV67" s="63">
        <f t="shared" ca="1" si="60"/>
        <v>0</v>
      </c>
      <c r="CW67" s="63">
        <f t="shared" ca="1" si="60"/>
        <v>0</v>
      </c>
      <c r="CX67" s="63">
        <f t="shared" ca="1" si="60"/>
        <v>0</v>
      </c>
      <c r="CY67" s="63">
        <f t="shared" ca="1" si="60"/>
        <v>0</v>
      </c>
      <c r="CZ67" s="63">
        <f t="shared" ca="1" si="60"/>
        <v>0</v>
      </c>
      <c r="DA67" s="63">
        <f t="shared" ca="1" si="60"/>
        <v>0</v>
      </c>
      <c r="DB67" s="63">
        <f t="shared" ca="1" si="60"/>
        <v>0</v>
      </c>
      <c r="DC67" s="63">
        <f t="shared" ca="1" si="60"/>
        <v>0</v>
      </c>
      <c r="DD67" s="63">
        <f t="shared" ca="1" si="60"/>
        <v>0</v>
      </c>
      <c r="DE67" s="63">
        <f t="shared" ca="1" si="60"/>
        <v>0</v>
      </c>
      <c r="DF67" s="63">
        <f t="shared" ca="1" si="60"/>
        <v>0</v>
      </c>
      <c r="DG67" s="63">
        <f t="shared" ca="1" si="60"/>
        <v>0</v>
      </c>
      <c r="DH67" s="63">
        <f t="shared" ca="1" si="60"/>
        <v>0</v>
      </c>
      <c r="DI67" s="63">
        <f t="shared" ref="DI67:DP67" ca="1" si="61">+ROUND(DI65-DI50,0)</f>
        <v>0</v>
      </c>
      <c r="DJ67" s="63">
        <f t="shared" ca="1" si="61"/>
        <v>0</v>
      </c>
      <c r="DK67" s="63">
        <f t="shared" ca="1" si="61"/>
        <v>0</v>
      </c>
      <c r="DL67" s="63">
        <f t="shared" ca="1" si="61"/>
        <v>0</v>
      </c>
      <c r="DM67" s="63">
        <f t="shared" ca="1" si="61"/>
        <v>0</v>
      </c>
      <c r="DN67" s="63">
        <f t="shared" ca="1" si="61"/>
        <v>0</v>
      </c>
      <c r="DO67" s="63">
        <f t="shared" ca="1" si="61"/>
        <v>0</v>
      </c>
      <c r="DP67" s="63">
        <f t="shared" ca="1" si="61"/>
        <v>0</v>
      </c>
      <c r="DQ67" s="16"/>
    </row>
    <row r="68" spans="1:125" x14ac:dyDescent="0.2">
      <c r="S68" s="98"/>
      <c r="DQ68" s="42"/>
    </row>
    <row r="69" spans="1:125" x14ac:dyDescent="0.2">
      <c r="U69" s="98"/>
      <c r="DQ69" s="42"/>
    </row>
    <row r="70" spans="1:125" s="124" customFormat="1" ht="15.75" x14ac:dyDescent="0.25">
      <c r="A70" s="120"/>
      <c r="B70" s="120" t="s">
        <v>105</v>
      </c>
      <c r="C70" s="120"/>
      <c r="D70" s="120"/>
      <c r="E70" s="120"/>
      <c r="F70" s="120"/>
      <c r="G70" s="120"/>
      <c r="H70" s="120"/>
      <c r="I70" s="120"/>
      <c r="J70" s="120"/>
      <c r="K70" s="562"/>
      <c r="L70" s="120"/>
      <c r="M70" s="120"/>
      <c r="N70" s="120"/>
      <c r="O70" s="121"/>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3"/>
      <c r="DQ70" s="122"/>
      <c r="DR70" s="122"/>
      <c r="DS70" s="122"/>
      <c r="DT70" s="122"/>
      <c r="DU70" s="122"/>
    </row>
    <row r="71" spans="1:125" x14ac:dyDescent="0.2">
      <c r="DQ71" s="42"/>
    </row>
    <row r="72" spans="1:125" x14ac:dyDescent="0.2">
      <c r="DQ72" s="42"/>
    </row>
    <row r="73" spans="1:125" x14ac:dyDescent="0.2">
      <c r="C73" s="55" t="s">
        <v>106</v>
      </c>
      <c r="DQ73" s="42"/>
    </row>
    <row r="74" spans="1:125" x14ac:dyDescent="0.2">
      <c r="C74" t="s">
        <v>107</v>
      </c>
      <c r="K74" s="144" t="s">
        <v>63</v>
      </c>
      <c r="N74" s="63">
        <f t="shared" ref="N74:N80" si="62">SUM(Q74:DQ74)</f>
        <v>39545578.786975168</v>
      </c>
      <c r="P74" s="61"/>
      <c r="Q74" s="63"/>
      <c r="R74" s="63"/>
      <c r="S74" s="63">
        <f>+CF!S25</f>
        <v>120885.88824258334</v>
      </c>
      <c r="T74" s="63">
        <f>+CF!T25</f>
        <v>137801.19959581227</v>
      </c>
      <c r="U74" s="63">
        <f>+CF!U25</f>
        <v>157083.43534639102</v>
      </c>
      <c r="V74" s="63">
        <f>+CF!V25</f>
        <v>179063.79431092911</v>
      </c>
      <c r="W74" s="63">
        <f>+CF!W25</f>
        <v>192605.02760027614</v>
      </c>
      <c r="X74" s="63">
        <f>+CF!X25</f>
        <v>207170.28140534012</v>
      </c>
      <c r="Y74" s="63">
        <f>+CF!Y25</f>
        <v>222836.99461179745</v>
      </c>
      <c r="Z74" s="63">
        <f>+CF!Z25</f>
        <v>239688.46221945746</v>
      </c>
      <c r="AA74" s="63">
        <f>+CF!AA25</f>
        <v>257814.27819564901</v>
      </c>
      <c r="AB74" s="63">
        <f>+CF!AB25</f>
        <v>278762.48071423272</v>
      </c>
      <c r="AC74" s="63">
        <f>+CF!AC25</f>
        <v>301412.78907362081</v>
      </c>
      <c r="AD74" s="63">
        <f>+CF!AD25</f>
        <v>325903.50460495288</v>
      </c>
      <c r="AE74" s="63">
        <f>+CF!AE25</f>
        <v>352384.16604760505</v>
      </c>
      <c r="AF74" s="63">
        <f>+CF!AF25</f>
        <v>381016.46262314834</v>
      </c>
      <c r="AG74" s="63">
        <f>+CF!AG25</f>
        <v>408456.17658274976</v>
      </c>
      <c r="AH74" s="63">
        <f>+CF!AH25</f>
        <v>437872.02012216265</v>
      </c>
      <c r="AI74" s="63">
        <f>+CF!AI25</f>
        <v>469406.30843176972</v>
      </c>
      <c r="AJ74" s="63">
        <f>+CF!AJ25</f>
        <v>503211.60583420709</v>
      </c>
      <c r="AK74" s="63">
        <f>+CF!AK25</f>
        <v>539451.46389750403</v>
      </c>
      <c r="AL74" s="63">
        <f>+CF!AL25</f>
        <v>578674.50285759126</v>
      </c>
      <c r="AM74" s="63">
        <f>+CF!AM25</f>
        <v>620749.41429967957</v>
      </c>
      <c r="AN74" s="63">
        <f>+CF!AN25</f>
        <v>665883.55535032612</v>
      </c>
      <c r="AO74" s="63">
        <f>+CF!AO25</f>
        <v>714299.35988941567</v>
      </c>
      <c r="AP74" s="63">
        <f>+CF!AP25</f>
        <v>766235.43476756511</v>
      </c>
      <c r="AQ74" s="63">
        <f>+CF!AQ25</f>
        <v>815048.11516243534</v>
      </c>
      <c r="AR74" s="63">
        <f>+CF!AR25</f>
        <v>866970.38519414421</v>
      </c>
      <c r="AS74" s="63">
        <f>+CF!AS25</f>
        <v>922200.33985832217</v>
      </c>
      <c r="AT74" s="63">
        <f>+CF!AT25</f>
        <v>980948.69370233372</v>
      </c>
      <c r="AU74" s="63">
        <f>+CF!AU25</f>
        <v>1043439.5847480897</v>
      </c>
      <c r="AV74" s="63">
        <f>+CF!AV25</f>
        <v>1107893.3127959436</v>
      </c>
      <c r="AW74" s="63">
        <f>+CF!AW25</f>
        <v>1176328.376342268</v>
      </c>
      <c r="AX74" s="63">
        <f>+CF!AX25</f>
        <v>1248990.7042546622</v>
      </c>
      <c r="AY74" s="63">
        <f>+CF!AY25</f>
        <v>1326141.4165364497</v>
      </c>
      <c r="AZ74" s="63">
        <f>+CF!AZ25</f>
        <v>1408057.7626899001</v>
      </c>
      <c r="BA74" s="63">
        <f>+CF!BA25</f>
        <v>1496985.9829482075</v>
      </c>
      <c r="BB74" s="63">
        <f>+CF!BB25</f>
        <v>1591530.6122543954</v>
      </c>
      <c r="BC74" s="63">
        <f>+CF!BC25</f>
        <v>1692046.3642246984</v>
      </c>
      <c r="BD74" s="63">
        <f>+CF!BD25</f>
        <v>1798910.355001319</v>
      </c>
      <c r="BE74" s="63">
        <f>+CF!BE25</f>
        <v>1912523.5181210623</v>
      </c>
      <c r="BF74" s="63">
        <f>+CF!BF25</f>
        <v>2058733.5943873224</v>
      </c>
      <c r="BG74" s="63">
        <f>+CF!BG25</f>
        <v>2216121.2515822537</v>
      </c>
      <c r="BH74" s="63">
        <f>+CF!BH25</f>
        <v>2385541.0020527993</v>
      </c>
      <c r="BI74" s="63">
        <f>+CF!BI25</f>
        <v>2567912.6845663274</v>
      </c>
      <c r="BJ74" s="63">
        <f>+CF!BJ25</f>
        <v>1870586.1239274591</v>
      </c>
      <c r="BK74" s="63">
        <f>+CF!BK25</f>
        <v>0</v>
      </c>
      <c r="BL74" s="63">
        <f>+CF!BL25</f>
        <v>0</v>
      </c>
      <c r="BM74" s="63">
        <f>+CF!BM25</f>
        <v>0</v>
      </c>
      <c r="BN74" s="63">
        <f>+CF!BN25</f>
        <v>0</v>
      </c>
      <c r="BO74" s="63">
        <f>+CF!BO25</f>
        <v>0</v>
      </c>
      <c r="BP74" s="63">
        <f>+CF!BP25</f>
        <v>0</v>
      </c>
      <c r="BQ74" s="63">
        <f>+CF!BQ25</f>
        <v>0</v>
      </c>
      <c r="BR74" s="63">
        <f>+CF!BR25</f>
        <v>0</v>
      </c>
      <c r="BS74" s="63">
        <f>+CF!BS25</f>
        <v>0</v>
      </c>
      <c r="BT74" s="63">
        <f>+CF!BT25</f>
        <v>0</v>
      </c>
      <c r="BU74" s="63">
        <f>+CF!BU25</f>
        <v>0</v>
      </c>
      <c r="BV74" s="63">
        <f>+CF!BV25</f>
        <v>0</v>
      </c>
      <c r="BW74" s="63">
        <f>+CF!BW25</f>
        <v>0</v>
      </c>
      <c r="BX74" s="63">
        <f>+CF!BX25</f>
        <v>0</v>
      </c>
      <c r="BY74" s="63">
        <f>+CF!BY25</f>
        <v>0</v>
      </c>
      <c r="BZ74" s="63">
        <f>+CF!BZ25</f>
        <v>0</v>
      </c>
      <c r="CA74" s="63">
        <f>+CF!CA25</f>
        <v>0</v>
      </c>
      <c r="CB74" s="63">
        <f>+CF!CB25</f>
        <v>0</v>
      </c>
      <c r="CC74" s="63">
        <f>+CF!CC25</f>
        <v>0</v>
      </c>
      <c r="CD74" s="63">
        <f>+CF!CD25</f>
        <v>0</v>
      </c>
      <c r="CE74" s="63">
        <f>+CF!CE25</f>
        <v>0</v>
      </c>
      <c r="CF74" s="63">
        <f>+CF!CF25</f>
        <v>0</v>
      </c>
      <c r="CG74" s="63">
        <f>+CF!CG25</f>
        <v>0</v>
      </c>
      <c r="CH74" s="63">
        <f>+CF!CH25</f>
        <v>0</v>
      </c>
      <c r="CI74" s="63">
        <f>+CF!CI25</f>
        <v>0</v>
      </c>
      <c r="CJ74" s="63">
        <f>+CF!CJ25</f>
        <v>0</v>
      </c>
      <c r="CK74" s="63">
        <f>+CF!CK25</f>
        <v>0</v>
      </c>
      <c r="CL74" s="63">
        <f>+CF!CL25</f>
        <v>0</v>
      </c>
      <c r="CM74" s="63">
        <f>+CF!CM25</f>
        <v>0</v>
      </c>
      <c r="CN74" s="63">
        <f>+CF!CN25</f>
        <v>0</v>
      </c>
      <c r="CO74" s="63">
        <f>+CF!CO25</f>
        <v>0</v>
      </c>
      <c r="CP74" s="63">
        <f>+CF!CP25</f>
        <v>0</v>
      </c>
      <c r="CQ74" s="63">
        <f>+CF!CQ25</f>
        <v>0</v>
      </c>
      <c r="CR74" s="63">
        <f>+CF!CR25</f>
        <v>0</v>
      </c>
      <c r="CS74" s="63">
        <f>+CF!CS25</f>
        <v>0</v>
      </c>
      <c r="CT74" s="63">
        <f>+CF!CT25</f>
        <v>0</v>
      </c>
      <c r="CU74" s="63">
        <f>+CF!CU25</f>
        <v>0</v>
      </c>
      <c r="CV74" s="63">
        <f>+CF!CV25</f>
        <v>0</v>
      </c>
      <c r="CW74" s="63">
        <f>+CF!CW25</f>
        <v>0</v>
      </c>
      <c r="CX74" s="63">
        <f>+CF!CX25</f>
        <v>0</v>
      </c>
      <c r="CY74" s="63">
        <f>+CF!CY25</f>
        <v>0</v>
      </c>
      <c r="CZ74" s="63">
        <f>+CF!CZ25</f>
        <v>0</v>
      </c>
      <c r="DA74" s="63">
        <f>+CF!DA25</f>
        <v>0</v>
      </c>
      <c r="DB74" s="63">
        <f>+CF!DB25</f>
        <v>0</v>
      </c>
      <c r="DC74" s="63">
        <f>+CF!DC25</f>
        <v>0</v>
      </c>
      <c r="DD74" s="63">
        <f>+CF!DD25</f>
        <v>0</v>
      </c>
      <c r="DE74" s="63">
        <f>+CF!DE25</f>
        <v>0</v>
      </c>
      <c r="DF74" s="63">
        <f>+CF!DF25</f>
        <v>0</v>
      </c>
      <c r="DG74" s="63">
        <f>+CF!DG25</f>
        <v>0</v>
      </c>
      <c r="DH74" s="63">
        <f>+CF!DH25</f>
        <v>0</v>
      </c>
      <c r="DI74" s="63">
        <f>+CF!DI25</f>
        <v>0</v>
      </c>
      <c r="DJ74" s="63">
        <f>+CF!DJ25</f>
        <v>0</v>
      </c>
      <c r="DK74" s="63">
        <f>+CF!DK25</f>
        <v>0</v>
      </c>
      <c r="DL74" s="63">
        <f>+CF!DL25</f>
        <v>0</v>
      </c>
      <c r="DM74" s="63">
        <f>+CF!DM25</f>
        <v>0</v>
      </c>
      <c r="DN74" s="63">
        <f>+CF!DN25</f>
        <v>0</v>
      </c>
      <c r="DO74" s="63">
        <f>+CF!DO25</f>
        <v>0</v>
      </c>
      <c r="DP74" s="63">
        <f>+CF!DP25</f>
        <v>0</v>
      </c>
      <c r="DQ74" s="16"/>
    </row>
    <row r="75" spans="1:125" x14ac:dyDescent="0.2">
      <c r="C75" t="s">
        <v>73</v>
      </c>
      <c r="K75" s="144" t="s">
        <v>63</v>
      </c>
      <c r="N75" s="63">
        <f t="shared" si="62"/>
        <v>313910.83358659851</v>
      </c>
      <c r="P75" s="61"/>
      <c r="Q75" s="63"/>
      <c r="R75" s="63"/>
      <c r="S75" s="63">
        <f>+CF!S44</f>
        <v>0</v>
      </c>
      <c r="T75" s="63">
        <f>+CF!T44</f>
        <v>2692.085174796453</v>
      </c>
      <c r="U75" s="63">
        <f>+CF!U44</f>
        <v>3887.4732955742647</v>
      </c>
      <c r="V75" s="63">
        <f>+CF!V44</f>
        <v>1368.9413706881614</v>
      </c>
      <c r="W75" s="63">
        <f>+CF!W44</f>
        <v>1585.1746377621182</v>
      </c>
      <c r="X75" s="63">
        <f>+CF!X44</f>
        <v>1826.1460309171671</v>
      </c>
      <c r="Y75" s="63">
        <f>+CF!Y44</f>
        <v>2091.0309584081278</v>
      </c>
      <c r="Z75" s="63">
        <f>+CF!Z44</f>
        <v>2234.8612616227101</v>
      </c>
      <c r="AA75" s="63">
        <f>+CF!AA44</f>
        <v>2483.3469456730418</v>
      </c>
      <c r="AB75" s="63">
        <f>+CF!AB44</f>
        <v>2701.6488251499013</v>
      </c>
      <c r="AC75" s="63">
        <f>+CF!AC44</f>
        <v>2954.0066602775159</v>
      </c>
      <c r="AD75" s="63">
        <f>+CF!AD44</f>
        <v>3105.9081402819047</v>
      </c>
      <c r="AE75" s="63">
        <f>+CF!AE44</f>
        <v>3356.848176385216</v>
      </c>
      <c r="AF75" s="63">
        <f>+CF!AF44</f>
        <v>3734.4677636830684</v>
      </c>
      <c r="AG75" s="63">
        <f>+CF!AG44</f>
        <v>4031.6091928702144</v>
      </c>
      <c r="AH75" s="63">
        <f>+CF!AH44</f>
        <v>4407.9977848620492</v>
      </c>
      <c r="AI75" s="63">
        <f>+CF!AI44</f>
        <v>4834.9837245341078</v>
      </c>
      <c r="AJ75" s="63">
        <f>+CF!AJ44</f>
        <v>5183.2973913445458</v>
      </c>
      <c r="AK75" s="63">
        <f>+CF!AK44</f>
        <v>5397.7403829528903</v>
      </c>
      <c r="AL75" s="63">
        <f>+CF!AL44</f>
        <v>5152.2009753896455</v>
      </c>
      <c r="AM75" s="63">
        <f>+CF!AM44</f>
        <v>5153.3683819462549</v>
      </c>
      <c r="AN75" s="63">
        <f>+CF!AN44</f>
        <v>5579.4166041562667</v>
      </c>
      <c r="AO75" s="63">
        <f>+CF!AO44</f>
        <v>5604.3686889780784</v>
      </c>
      <c r="AP75" s="63">
        <f>+CF!AP44</f>
        <v>6498.0922850655752</v>
      </c>
      <c r="AQ75" s="63">
        <f>+CF!AQ44</f>
        <v>6693.7903799019577</v>
      </c>
      <c r="AR75" s="63">
        <f>+CF!AR44</f>
        <v>6953.5617772199748</v>
      </c>
      <c r="AS75" s="63">
        <f>+CF!AS44</f>
        <v>7273.9631759357089</v>
      </c>
      <c r="AT75" s="63">
        <f>+CF!AT44</f>
        <v>7703.6355831298733</v>
      </c>
      <c r="AU75" s="63">
        <f>+CF!AU44</f>
        <v>9674.9728346018928</v>
      </c>
      <c r="AV75" s="63">
        <f>+CF!AV44</f>
        <v>11195.996218899842</v>
      </c>
      <c r="AW75" s="63">
        <f>+CF!AW44</f>
        <v>11354.32538880326</v>
      </c>
      <c r="AX75" s="63">
        <f>+CF!AX44</f>
        <v>11665.94387593715</v>
      </c>
      <c r="AY75" s="63">
        <f>+CF!AY44</f>
        <v>12185.596123718682</v>
      </c>
      <c r="AZ75" s="63">
        <f>+CF!AZ44</f>
        <v>12785.168145198666</v>
      </c>
      <c r="BA75" s="63">
        <f>+CF!BA44</f>
        <v>13265.638165528426</v>
      </c>
      <c r="BB75" s="63">
        <f>+CF!BB44</f>
        <v>13776.034553174752</v>
      </c>
      <c r="BC75" s="63">
        <f>+CF!BC44</f>
        <v>14330.629817677251</v>
      </c>
      <c r="BD75" s="63">
        <f>+CF!BD44</f>
        <v>14932.713615848705</v>
      </c>
      <c r="BE75" s="63">
        <f>+CF!BE44</f>
        <v>12981.616243807486</v>
      </c>
      <c r="BF75" s="63">
        <f>+CF!BF44</f>
        <v>13266.074581726716</v>
      </c>
      <c r="BG75" s="63">
        <f>+CF!BG44</f>
        <v>13209.619932323629</v>
      </c>
      <c r="BH75" s="63">
        <f>+CF!BH44</f>
        <v>13148.974364401478</v>
      </c>
      <c r="BI75" s="63">
        <f>+CF!BI44</f>
        <v>13042.999778069923</v>
      </c>
      <c r="BJ75" s="63">
        <f>+CF!BJ44</f>
        <v>8604.564377373923</v>
      </c>
      <c r="BK75" s="63">
        <f>+CF!BK44</f>
        <v>0</v>
      </c>
      <c r="BL75" s="63">
        <f>+CF!BL44</f>
        <v>0</v>
      </c>
      <c r="BM75" s="63">
        <f>+CF!BM44</f>
        <v>0</v>
      </c>
      <c r="BN75" s="63">
        <f>+CF!BN44</f>
        <v>0</v>
      </c>
      <c r="BO75" s="63">
        <f>+CF!BO44</f>
        <v>0</v>
      </c>
      <c r="BP75" s="63">
        <f>+CF!BP44</f>
        <v>0</v>
      </c>
      <c r="BQ75" s="63">
        <f>+CF!BQ44</f>
        <v>0</v>
      </c>
      <c r="BR75" s="63">
        <f>+CF!BR44</f>
        <v>0</v>
      </c>
      <c r="BS75" s="63">
        <f>+CF!BS44</f>
        <v>0</v>
      </c>
      <c r="BT75" s="63">
        <f>+CF!BT44</f>
        <v>0</v>
      </c>
      <c r="BU75" s="63">
        <f>+CF!BU44</f>
        <v>0</v>
      </c>
      <c r="BV75" s="63">
        <f>+CF!BV44</f>
        <v>0</v>
      </c>
      <c r="BW75" s="63">
        <f>+CF!BW44</f>
        <v>0</v>
      </c>
      <c r="BX75" s="63">
        <f>+CF!BX44</f>
        <v>0</v>
      </c>
      <c r="BY75" s="63">
        <f>+CF!BY44</f>
        <v>0</v>
      </c>
      <c r="BZ75" s="63">
        <f>+CF!BZ44</f>
        <v>0</v>
      </c>
      <c r="CA75" s="63">
        <f>+CF!CA44</f>
        <v>0</v>
      </c>
      <c r="CB75" s="63">
        <f>+CF!CB44</f>
        <v>0</v>
      </c>
      <c r="CC75" s="63">
        <f>+CF!CC44</f>
        <v>0</v>
      </c>
      <c r="CD75" s="63">
        <f>+CF!CD44</f>
        <v>0</v>
      </c>
      <c r="CE75" s="63">
        <f>+CF!CE44</f>
        <v>0</v>
      </c>
      <c r="CF75" s="63">
        <f>+CF!CF44</f>
        <v>0</v>
      </c>
      <c r="CG75" s="63">
        <f>+CF!CG44</f>
        <v>0</v>
      </c>
      <c r="CH75" s="63">
        <f>+CF!CH44</f>
        <v>0</v>
      </c>
      <c r="CI75" s="63">
        <f>+CF!CI44</f>
        <v>0</v>
      </c>
      <c r="CJ75" s="63">
        <f>+CF!CJ44</f>
        <v>0</v>
      </c>
      <c r="CK75" s="63">
        <f>+CF!CK44</f>
        <v>0</v>
      </c>
      <c r="CL75" s="63">
        <f>+CF!CL44</f>
        <v>0</v>
      </c>
      <c r="CM75" s="63">
        <f>+CF!CM44</f>
        <v>0</v>
      </c>
      <c r="CN75" s="63">
        <f>+CF!CN44</f>
        <v>0</v>
      </c>
      <c r="CO75" s="63">
        <f>+CF!CO44</f>
        <v>0</v>
      </c>
      <c r="CP75" s="63">
        <f>+CF!CP44</f>
        <v>0</v>
      </c>
      <c r="CQ75" s="63">
        <f>+CF!CQ44</f>
        <v>0</v>
      </c>
      <c r="CR75" s="63">
        <f>+CF!CR44</f>
        <v>0</v>
      </c>
      <c r="CS75" s="63">
        <f>+CF!CS44</f>
        <v>0</v>
      </c>
      <c r="CT75" s="63">
        <f>+CF!CT44</f>
        <v>0</v>
      </c>
      <c r="CU75" s="63">
        <f>+CF!CU44</f>
        <v>0</v>
      </c>
      <c r="CV75" s="63">
        <f>+CF!CV44</f>
        <v>0</v>
      </c>
      <c r="CW75" s="63">
        <f>+CF!CW44</f>
        <v>0</v>
      </c>
      <c r="CX75" s="63">
        <f>+CF!CX44</f>
        <v>0</v>
      </c>
      <c r="CY75" s="63">
        <f>+CF!CY44</f>
        <v>0</v>
      </c>
      <c r="CZ75" s="63">
        <f>+CF!CZ44</f>
        <v>0</v>
      </c>
      <c r="DA75" s="63">
        <f>+CF!DA44</f>
        <v>0</v>
      </c>
      <c r="DB75" s="63">
        <f>+CF!DB44</f>
        <v>0</v>
      </c>
      <c r="DC75" s="63">
        <f>+CF!DC44</f>
        <v>0</v>
      </c>
      <c r="DD75" s="63">
        <f>+CF!DD44</f>
        <v>0</v>
      </c>
      <c r="DE75" s="63">
        <f>+CF!DE44</f>
        <v>0</v>
      </c>
      <c r="DF75" s="63">
        <f>+CF!DF44</f>
        <v>0</v>
      </c>
      <c r="DG75" s="63">
        <f>+CF!DG44</f>
        <v>0</v>
      </c>
      <c r="DH75" s="63">
        <f>+CF!DH44</f>
        <v>0</v>
      </c>
      <c r="DI75" s="63">
        <f>+CF!DI44</f>
        <v>0</v>
      </c>
      <c r="DJ75" s="63">
        <f>+CF!DJ44</f>
        <v>0</v>
      </c>
      <c r="DK75" s="63">
        <f>+CF!DK44</f>
        <v>0</v>
      </c>
      <c r="DL75" s="63">
        <f>+CF!DL44</f>
        <v>0</v>
      </c>
      <c r="DM75" s="63">
        <f>+CF!DM44</f>
        <v>0</v>
      </c>
      <c r="DN75" s="63">
        <f>+CF!DN44</f>
        <v>0</v>
      </c>
      <c r="DO75" s="63">
        <f>+CF!DO44</f>
        <v>0</v>
      </c>
      <c r="DP75" s="63">
        <f>+CF!DP44</f>
        <v>0</v>
      </c>
      <c r="DQ75" s="16"/>
    </row>
    <row r="76" spans="1:125" x14ac:dyDescent="0.2">
      <c r="C76" t="s">
        <v>505</v>
      </c>
      <c r="K76" s="144" t="s">
        <v>63</v>
      </c>
      <c r="N76" s="63">
        <f t="shared" ref="N76" si="63">SUM(Q76:DQ76)</f>
        <v>500</v>
      </c>
      <c r="P76" s="61"/>
      <c r="Q76" s="63"/>
      <c r="R76" s="63"/>
      <c r="S76" s="63">
        <f>+CF!S29</f>
        <v>500</v>
      </c>
      <c r="T76" s="63">
        <f>+CF!T29</f>
        <v>0</v>
      </c>
      <c r="U76" s="63">
        <f>+CF!U29</f>
        <v>0</v>
      </c>
      <c r="V76" s="63">
        <f>+CF!V29</f>
        <v>0</v>
      </c>
      <c r="W76" s="63">
        <f>+CF!W29</f>
        <v>0</v>
      </c>
      <c r="X76" s="63">
        <f>+CF!X29</f>
        <v>0</v>
      </c>
      <c r="Y76" s="63">
        <f>+CF!Y29</f>
        <v>0</v>
      </c>
      <c r="Z76" s="63">
        <f>+CF!Z29</f>
        <v>0</v>
      </c>
      <c r="AA76" s="63">
        <f>+CF!AA29</f>
        <v>0</v>
      </c>
      <c r="AB76" s="63">
        <f>+CF!AB29</f>
        <v>0</v>
      </c>
      <c r="AC76" s="63">
        <f>+CF!AC29</f>
        <v>0</v>
      </c>
      <c r="AD76" s="63">
        <f>+CF!AD29</f>
        <v>0</v>
      </c>
      <c r="AE76" s="63">
        <f>+CF!AE29</f>
        <v>0</v>
      </c>
      <c r="AF76" s="63">
        <f>+CF!AF29</f>
        <v>0</v>
      </c>
      <c r="AG76" s="63">
        <f>+CF!AG29</f>
        <v>0</v>
      </c>
      <c r="AH76" s="63">
        <f>+CF!AH29</f>
        <v>0</v>
      </c>
      <c r="AI76" s="63">
        <f>+CF!AI29</f>
        <v>0</v>
      </c>
      <c r="AJ76" s="63">
        <f>+CF!AJ29</f>
        <v>0</v>
      </c>
      <c r="AK76" s="63">
        <f>+CF!AK29</f>
        <v>0</v>
      </c>
      <c r="AL76" s="63">
        <f>+CF!AL29</f>
        <v>0</v>
      </c>
      <c r="AM76" s="63">
        <f>+CF!AM29</f>
        <v>0</v>
      </c>
      <c r="AN76" s="63">
        <f>+CF!AN29</f>
        <v>0</v>
      </c>
      <c r="AO76" s="63">
        <f>+CF!AO29</f>
        <v>0</v>
      </c>
      <c r="AP76" s="63">
        <f>+CF!AP29</f>
        <v>0</v>
      </c>
      <c r="AQ76" s="63">
        <f>+CF!AQ29</f>
        <v>0</v>
      </c>
      <c r="AR76" s="63">
        <f>+CF!AR29</f>
        <v>0</v>
      </c>
      <c r="AS76" s="63">
        <f>+CF!AS29</f>
        <v>0</v>
      </c>
      <c r="AT76" s="63">
        <f>+CF!AT29</f>
        <v>0</v>
      </c>
      <c r="AU76" s="63">
        <f>+CF!AU29</f>
        <v>0</v>
      </c>
      <c r="AV76" s="63">
        <f>+CF!AV29</f>
        <v>0</v>
      </c>
      <c r="AW76" s="63">
        <f>+CF!AW29</f>
        <v>0</v>
      </c>
      <c r="AX76" s="63">
        <f>+CF!AX29</f>
        <v>0</v>
      </c>
      <c r="AY76" s="63">
        <f>+CF!AY29</f>
        <v>0</v>
      </c>
      <c r="AZ76" s="63">
        <f>+CF!AZ29</f>
        <v>0</v>
      </c>
      <c r="BA76" s="63">
        <f>+CF!BA29</f>
        <v>0</v>
      </c>
      <c r="BB76" s="63">
        <f>+CF!BB29</f>
        <v>0</v>
      </c>
      <c r="BC76" s="63">
        <f>+CF!BC29</f>
        <v>0</v>
      </c>
      <c r="BD76" s="63">
        <f>+CF!BD29</f>
        <v>0</v>
      </c>
      <c r="BE76" s="63">
        <f>+CF!BE29</f>
        <v>0</v>
      </c>
      <c r="BF76" s="63">
        <f>+CF!BF29</f>
        <v>0</v>
      </c>
      <c r="BG76" s="63">
        <f>+CF!BG29</f>
        <v>0</v>
      </c>
      <c r="BH76" s="63">
        <f>+CF!BH29</f>
        <v>0</v>
      </c>
      <c r="BI76" s="63">
        <f>+CF!BI29</f>
        <v>0</v>
      </c>
      <c r="BJ76" s="63">
        <f>+CF!BJ29</f>
        <v>0</v>
      </c>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16"/>
    </row>
    <row r="77" spans="1:125" x14ac:dyDescent="0.2">
      <c r="C77" t="s">
        <v>108</v>
      </c>
      <c r="K77" s="144" t="s">
        <v>63</v>
      </c>
      <c r="N77" s="63">
        <f t="shared" si="62"/>
        <v>2359374.8543635271</v>
      </c>
      <c r="P77" s="61"/>
      <c r="Q77" s="63"/>
      <c r="R77" s="63"/>
      <c r="S77" s="63">
        <f>+CF!S37 - +Fin!S37</f>
        <v>0</v>
      </c>
      <c r="T77" s="63">
        <f>+CF!T37 - +Fin!T37</f>
        <v>0</v>
      </c>
      <c r="U77" s="63">
        <f>+CF!U37 - +Fin!U37</f>
        <v>616758.50732369267</v>
      </c>
      <c r="V77" s="63">
        <f>+CF!V37 - +Fin!V37</f>
        <v>3590.8031428707486</v>
      </c>
      <c r="W77" s="63">
        <f>+CF!W37 - +Fin!W37</f>
        <v>4760.5154907399174</v>
      </c>
      <c r="X77" s="63">
        <f>+CF!X37 - +Fin!X37</f>
        <v>6174.275185812714</v>
      </c>
      <c r="Y77" s="63">
        <f>+CF!Y37 - +Fin!Y37</f>
        <v>7889.8770163611152</v>
      </c>
      <c r="Z77" s="63">
        <f>+CF!Z37 - +Fin!Z37</f>
        <v>26281.983251327314</v>
      </c>
      <c r="AA77" s="63">
        <f>+CF!AA37 - +Fin!AA37</f>
        <v>29663.311907241117</v>
      </c>
      <c r="AB77" s="63">
        <f>+CF!AB37 - +Fin!AB37</f>
        <v>32041.645019957905</v>
      </c>
      <c r="AC77" s="63">
        <f>+CF!AC37 - +Fin!AC37</f>
        <v>34807.216194034139</v>
      </c>
      <c r="AD77" s="63">
        <f>+CF!AD37 - +Fin!AD37</f>
        <v>37986.873672286703</v>
      </c>
      <c r="AE77" s="63">
        <f>+CF!AE37 - +Fin!AE37</f>
        <v>99714.646057769161</v>
      </c>
      <c r="AF77" s="63">
        <f>+CF!AF37 - +Fin!AF37</f>
        <v>44663.001363939591</v>
      </c>
      <c r="AG77" s="63">
        <f>+CF!AG37 - +Fin!AG37</f>
        <v>48687.154699828388</v>
      </c>
      <c r="AH77" s="63">
        <f>+CF!AH37 - +Fin!AH37</f>
        <v>53505.891582419346</v>
      </c>
      <c r="AI77" s="63">
        <f>+CF!AI37 - +Fin!AI37</f>
        <v>59372.224137263518</v>
      </c>
      <c r="AJ77" s="63">
        <f>+CF!AJ37 - +Fin!AJ37</f>
        <v>76628.264347512202</v>
      </c>
      <c r="AK77" s="63">
        <f>+CF!AK37 - +Fin!AK37</f>
        <v>95736.955007188357</v>
      </c>
      <c r="AL77" s="63">
        <f>+CF!AL37 - +Fin!AL37</f>
        <v>90384.598914979899</v>
      </c>
      <c r="AM77" s="63">
        <f>+CF!AM37 - +Fin!AM37</f>
        <v>87847.975304427455</v>
      </c>
      <c r="AN77" s="63">
        <f>+CF!AN37 - +Fin!AN37</f>
        <v>127273.52558223369</v>
      </c>
      <c r="AO77" s="63">
        <f>+CF!AO37 - +Fin!AO37</f>
        <v>242142.59323991038</v>
      </c>
      <c r="AP77" s="63">
        <f>+CF!AP37 - +Fin!AP37</f>
        <v>124112.74071768418</v>
      </c>
      <c r="AQ77" s="63">
        <f>+CF!AQ37 - +Fin!AQ37</f>
        <v>104522.93341488246</v>
      </c>
      <c r="AR77" s="63">
        <f>+CF!AR37 - +Fin!AR37</f>
        <v>76476.724491239351</v>
      </c>
      <c r="AS77" s="63">
        <f>+CF!AS37 - +Fin!AS37</f>
        <v>9710.6613725056704</v>
      </c>
      <c r="AT77" s="63">
        <f>+CF!AT37 - +Fin!AT37</f>
        <v>13490.309208687973</v>
      </c>
      <c r="AU77" s="63">
        <f>+CF!AU37 - +Fin!AU37</f>
        <v>18741.096570547237</v>
      </c>
      <c r="AV77" s="63">
        <f>+CF!AV37 - +Fin!AV37</f>
        <v>18421.350964280813</v>
      </c>
      <c r="AW77" s="63">
        <f>+CF!AW37 - +Fin!AW37</f>
        <v>18107.060601913374</v>
      </c>
      <c r="AX77" s="63">
        <f>+CF!AX37 - +Fin!AX37</f>
        <v>17798.132410434951</v>
      </c>
      <c r="AY77" s="63">
        <f>+CF!AY37 - +Fin!AY37</f>
        <v>132082.00616955457</v>
      </c>
      <c r="AZ77" s="63">
        <f>+CF!AZ37 - +Fin!AZ37</f>
        <v>0</v>
      </c>
      <c r="BA77" s="63">
        <f>+CF!BA37 - +Fin!BA37</f>
        <v>0</v>
      </c>
      <c r="BB77" s="63">
        <f>+CF!BB37 - +Fin!BB37</f>
        <v>0</v>
      </c>
      <c r="BC77" s="63">
        <f>+CF!BC37 - +Fin!BC37</f>
        <v>0</v>
      </c>
      <c r="BD77" s="63">
        <f>+CF!BD37 - +Fin!BD37</f>
        <v>0</v>
      </c>
      <c r="BE77" s="63">
        <f>+CF!BE37 - +Fin!BE37</f>
        <v>0</v>
      </c>
      <c r="BF77" s="63">
        <f>+CF!BF37 - +Fin!BF37</f>
        <v>0</v>
      </c>
      <c r="BG77" s="63">
        <f>+CF!BG37 - +Fin!BG37</f>
        <v>0</v>
      </c>
      <c r="BH77" s="63">
        <f>+CF!BH37 - +Fin!BH37</f>
        <v>0</v>
      </c>
      <c r="BI77" s="63">
        <f>+CF!BI37 - +Fin!BI37</f>
        <v>0</v>
      </c>
      <c r="BJ77" s="63">
        <f>+CF!BJ37 - +Fin!BJ37</f>
        <v>0</v>
      </c>
      <c r="BK77" s="63">
        <f>+CF!BK37 - +Fin!BK37</f>
        <v>0</v>
      </c>
      <c r="BL77" s="63">
        <f>+CF!BL37 - +Fin!BL37</f>
        <v>0</v>
      </c>
      <c r="BM77" s="63">
        <f>+CF!BM37 - +Fin!BM37</f>
        <v>0</v>
      </c>
      <c r="BN77" s="63">
        <f>+CF!BN37 - +Fin!BN37</f>
        <v>0</v>
      </c>
      <c r="BO77" s="63">
        <f>+CF!BO37 - +Fin!BO37</f>
        <v>0</v>
      </c>
      <c r="BP77" s="63">
        <f>+CF!BP37 - +Fin!BP37</f>
        <v>0</v>
      </c>
      <c r="BQ77" s="63">
        <f>+CF!BQ37 - +Fin!BQ37</f>
        <v>0</v>
      </c>
      <c r="BR77" s="63">
        <f>+CF!BR37 - +Fin!BR37</f>
        <v>0</v>
      </c>
      <c r="BS77" s="63">
        <f>+CF!BS37 - +Fin!BS37</f>
        <v>0</v>
      </c>
      <c r="BT77" s="63">
        <f>+CF!BT37 - +Fin!BT37</f>
        <v>0</v>
      </c>
      <c r="BU77" s="63">
        <f>+CF!BU37 - +Fin!BU37</f>
        <v>0</v>
      </c>
      <c r="BV77" s="63">
        <f>+CF!BV37 - +Fin!BV37</f>
        <v>0</v>
      </c>
      <c r="BW77" s="63">
        <f>+CF!BW37 - +Fin!BW37</f>
        <v>0</v>
      </c>
      <c r="BX77" s="63">
        <f>+CF!BX37 - +Fin!BX37</f>
        <v>0</v>
      </c>
      <c r="BY77" s="63">
        <f>+CF!BY37 - +Fin!BY37</f>
        <v>0</v>
      </c>
      <c r="BZ77" s="63">
        <f>+CF!BZ37 - +Fin!BZ37</f>
        <v>0</v>
      </c>
      <c r="CA77" s="63">
        <f>+CF!CA37 - +Fin!CA37</f>
        <v>0</v>
      </c>
      <c r="CB77" s="63">
        <f>+CF!CB37 - +Fin!CB37</f>
        <v>0</v>
      </c>
      <c r="CC77" s="63">
        <f>+CF!CC37 - +Fin!CC37</f>
        <v>0</v>
      </c>
      <c r="CD77" s="63">
        <f>+CF!CD37 - +Fin!CD37</f>
        <v>0</v>
      </c>
      <c r="CE77" s="63">
        <f>+CF!CE37 - +Fin!CE37</f>
        <v>0</v>
      </c>
      <c r="CF77" s="63">
        <f>+CF!CF37 - +Fin!CF37</f>
        <v>0</v>
      </c>
      <c r="CG77" s="63">
        <f>+CF!CG37 - +Fin!CG37</f>
        <v>0</v>
      </c>
      <c r="CH77" s="63">
        <f>+CF!CH37 - +Fin!CH37</f>
        <v>0</v>
      </c>
      <c r="CI77" s="63">
        <f>+CF!CI37 - +Fin!CI37</f>
        <v>0</v>
      </c>
      <c r="CJ77" s="63">
        <f>+CF!CJ37 - +Fin!CJ37</f>
        <v>0</v>
      </c>
      <c r="CK77" s="63">
        <f>+CF!CK37 - +Fin!CK37</f>
        <v>0</v>
      </c>
      <c r="CL77" s="63">
        <f>+CF!CL37 - +Fin!CL37</f>
        <v>0</v>
      </c>
      <c r="CM77" s="63">
        <f>+CF!CM37 - +Fin!CM37</f>
        <v>0</v>
      </c>
      <c r="CN77" s="63">
        <f>+CF!CN37 - +Fin!CN37</f>
        <v>0</v>
      </c>
      <c r="CO77" s="63">
        <f>+CF!CO37 - +Fin!CO37</f>
        <v>0</v>
      </c>
      <c r="CP77" s="63">
        <f>+CF!CP37 - +Fin!CP37</f>
        <v>0</v>
      </c>
      <c r="CQ77" s="63">
        <f>+CF!CQ37 - +Fin!CQ37</f>
        <v>0</v>
      </c>
      <c r="CR77" s="63">
        <f>+CF!CR37 - +Fin!CR37</f>
        <v>0</v>
      </c>
      <c r="CS77" s="63">
        <f>+CF!CS37 - +Fin!CS37</f>
        <v>0</v>
      </c>
      <c r="CT77" s="63">
        <f>+CF!CT37 - +Fin!CT37</f>
        <v>0</v>
      </c>
      <c r="CU77" s="63">
        <f>+CF!CU37 - +Fin!CU37</f>
        <v>0</v>
      </c>
      <c r="CV77" s="63">
        <f>+CF!CV37 - +Fin!CV37</f>
        <v>0</v>
      </c>
      <c r="CW77" s="63">
        <f>+CF!CW37 - +Fin!CW37</f>
        <v>0</v>
      </c>
      <c r="CX77" s="63">
        <f>+CF!CX37 - +Fin!CX37</f>
        <v>0</v>
      </c>
      <c r="CY77" s="63">
        <f>+CF!CY37 - +Fin!CY37</f>
        <v>0</v>
      </c>
      <c r="CZ77" s="63">
        <f>+CF!CZ37 - +Fin!CZ37</f>
        <v>0</v>
      </c>
      <c r="DA77" s="63">
        <f>+CF!DA37 - +Fin!DA37</f>
        <v>0</v>
      </c>
      <c r="DB77" s="63">
        <f>+CF!DB37 - +Fin!DB37</f>
        <v>0</v>
      </c>
      <c r="DC77" s="63">
        <f>+CF!DC37 - +Fin!DC37</f>
        <v>0</v>
      </c>
      <c r="DD77" s="63">
        <f>+CF!DD37 - +Fin!DD37</f>
        <v>0</v>
      </c>
      <c r="DE77" s="63">
        <f>+CF!DE37 - +Fin!DE37</f>
        <v>0</v>
      </c>
      <c r="DF77" s="63">
        <f>+CF!DF37 - +Fin!DF37</f>
        <v>0</v>
      </c>
      <c r="DG77" s="63">
        <f>+CF!DG37 - +Fin!DG37</f>
        <v>0</v>
      </c>
      <c r="DH77" s="63">
        <f>+CF!DH37 - +Fin!DH37</f>
        <v>0</v>
      </c>
      <c r="DI77" s="63">
        <f>+CF!DI37 - +Fin!DI37</f>
        <v>0</v>
      </c>
      <c r="DJ77" s="63">
        <f>+CF!DJ37 - +Fin!DJ37</f>
        <v>0</v>
      </c>
      <c r="DK77" s="63">
        <f>+CF!DK37 - +Fin!DK37</f>
        <v>0</v>
      </c>
      <c r="DL77" s="63">
        <f>+CF!DL37 - +Fin!DL37</f>
        <v>0</v>
      </c>
      <c r="DM77" s="63">
        <f>+CF!DM37 - +Fin!DM37</f>
        <v>0</v>
      </c>
      <c r="DN77" s="63">
        <f>+CF!DN37 - +Fin!DN37</f>
        <v>0</v>
      </c>
      <c r="DO77" s="63">
        <f>+CF!DO37 - +Fin!DO37</f>
        <v>0</v>
      </c>
      <c r="DP77" s="63">
        <f>+CF!DP37 - +Fin!DP37</f>
        <v>0</v>
      </c>
      <c r="DQ77" s="16"/>
    </row>
    <row r="78" spans="1:125" x14ac:dyDescent="0.2">
      <c r="C78" t="s">
        <v>109</v>
      </c>
      <c r="K78" s="144" t="s">
        <v>63</v>
      </c>
      <c r="N78" s="63">
        <f t="shared" si="62"/>
        <v>0</v>
      </c>
      <c r="P78" s="61"/>
      <c r="Q78" s="63"/>
      <c r="R78" s="63"/>
      <c r="S78" s="63">
        <f>+Fin!S37</f>
        <v>0</v>
      </c>
      <c r="T78" s="63">
        <f>+Fin!T37</f>
        <v>0</v>
      </c>
      <c r="U78" s="63">
        <f>+Fin!U37</f>
        <v>0</v>
      </c>
      <c r="V78" s="63">
        <f>+Fin!V37</f>
        <v>0</v>
      </c>
      <c r="W78" s="63">
        <f>+Fin!W37</f>
        <v>0</v>
      </c>
      <c r="X78" s="63">
        <f>+Fin!X37</f>
        <v>0</v>
      </c>
      <c r="Y78" s="63">
        <f>+Fin!Y37</f>
        <v>0</v>
      </c>
      <c r="Z78" s="63">
        <f>+Fin!Z37</f>
        <v>0</v>
      </c>
      <c r="AA78" s="63">
        <f>+Fin!AA37</f>
        <v>0</v>
      </c>
      <c r="AB78" s="63">
        <f>+Fin!AB37</f>
        <v>0</v>
      </c>
      <c r="AC78" s="63">
        <f>+Fin!AC37</f>
        <v>0</v>
      </c>
      <c r="AD78" s="63">
        <f>+Fin!AD37</f>
        <v>0</v>
      </c>
      <c r="AE78" s="63">
        <f>+Fin!AE37</f>
        <v>0</v>
      </c>
      <c r="AF78" s="63">
        <f>+Fin!AF37</f>
        <v>0</v>
      </c>
      <c r="AG78" s="63">
        <f>+Fin!AG37</f>
        <v>0</v>
      </c>
      <c r="AH78" s="63">
        <f>+Fin!AH37</f>
        <v>0</v>
      </c>
      <c r="AI78" s="63">
        <f>+Fin!AI37</f>
        <v>0</v>
      </c>
      <c r="AJ78" s="63">
        <f>+Fin!AJ37</f>
        <v>0</v>
      </c>
      <c r="AK78" s="63">
        <f>+Fin!AK37</f>
        <v>0</v>
      </c>
      <c r="AL78" s="63">
        <f>+Fin!AL37</f>
        <v>0</v>
      </c>
      <c r="AM78" s="63">
        <f>+Fin!AM37</f>
        <v>0</v>
      </c>
      <c r="AN78" s="63">
        <f>+Fin!AN37</f>
        <v>0</v>
      </c>
      <c r="AO78" s="63">
        <f>+Fin!AO37</f>
        <v>0</v>
      </c>
      <c r="AP78" s="63">
        <f>+Fin!AP37</f>
        <v>0</v>
      </c>
      <c r="AQ78" s="63">
        <f>+Fin!AQ37</f>
        <v>0</v>
      </c>
      <c r="AR78" s="63">
        <f>+Fin!AR37</f>
        <v>0</v>
      </c>
      <c r="AS78" s="63">
        <f>+Fin!AS37</f>
        <v>0</v>
      </c>
      <c r="AT78" s="63">
        <f>+Fin!AT37</f>
        <v>0</v>
      </c>
      <c r="AU78" s="63">
        <f>+Fin!AU37</f>
        <v>0</v>
      </c>
      <c r="AV78" s="63">
        <f>+Fin!AV37</f>
        <v>0</v>
      </c>
      <c r="AW78" s="63">
        <f>+Fin!AW37</f>
        <v>0</v>
      </c>
      <c r="AX78" s="63">
        <f>+Fin!AX37</f>
        <v>0</v>
      </c>
      <c r="AY78" s="63">
        <f>+Fin!AY37</f>
        <v>0</v>
      </c>
      <c r="AZ78" s="63">
        <f>+Fin!AZ37</f>
        <v>0</v>
      </c>
      <c r="BA78" s="63">
        <f>+Fin!BA37</f>
        <v>0</v>
      </c>
      <c r="BB78" s="63">
        <f>+Fin!BB37</f>
        <v>0</v>
      </c>
      <c r="BC78" s="63">
        <f>+Fin!BC37</f>
        <v>0</v>
      </c>
      <c r="BD78" s="63">
        <f>+Fin!BD37</f>
        <v>0</v>
      </c>
      <c r="BE78" s="63">
        <f>+Fin!BE37</f>
        <v>0</v>
      </c>
      <c r="BF78" s="63">
        <f>+Fin!BF37</f>
        <v>0</v>
      </c>
      <c r="BG78" s="63">
        <f>+Fin!BG37</f>
        <v>0</v>
      </c>
      <c r="BH78" s="63">
        <f>+Fin!BH37</f>
        <v>0</v>
      </c>
      <c r="BI78" s="63">
        <f>+Fin!BI37</f>
        <v>0</v>
      </c>
      <c r="BJ78" s="63">
        <f>+Fin!BJ37</f>
        <v>0</v>
      </c>
      <c r="BK78" s="63">
        <f>+Fin!BK37</f>
        <v>0</v>
      </c>
      <c r="BL78" s="63">
        <f>+Fin!BL37</f>
        <v>0</v>
      </c>
      <c r="BM78" s="63">
        <f>+Fin!BM37</f>
        <v>0</v>
      </c>
      <c r="BN78" s="63">
        <f>+Fin!BN37</f>
        <v>0</v>
      </c>
      <c r="BO78" s="63">
        <f>+Fin!BO37</f>
        <v>0</v>
      </c>
      <c r="BP78" s="63">
        <f>+Fin!BP37</f>
        <v>0</v>
      </c>
      <c r="BQ78" s="63">
        <f>+Fin!BQ37</f>
        <v>0</v>
      </c>
      <c r="BR78" s="63">
        <f>+Fin!BR37</f>
        <v>0</v>
      </c>
      <c r="BS78" s="63">
        <f>+Fin!BS37</f>
        <v>0</v>
      </c>
      <c r="BT78" s="63">
        <f>+Fin!BT37</f>
        <v>0</v>
      </c>
      <c r="BU78" s="63">
        <f>+Fin!BU37</f>
        <v>0</v>
      </c>
      <c r="BV78" s="63">
        <f>+Fin!BV37</f>
        <v>0</v>
      </c>
      <c r="BW78" s="63">
        <f>+Fin!BW37</f>
        <v>0</v>
      </c>
      <c r="BX78" s="63">
        <f>+Fin!BX37</f>
        <v>0</v>
      </c>
      <c r="BY78" s="63">
        <f>+Fin!BY37</f>
        <v>0</v>
      </c>
      <c r="BZ78" s="63">
        <f>+Fin!BZ37</f>
        <v>0</v>
      </c>
      <c r="CA78" s="63">
        <f>+Fin!CA37</f>
        <v>0</v>
      </c>
      <c r="CB78" s="63">
        <f>+Fin!CB37</f>
        <v>0</v>
      </c>
      <c r="CC78" s="63">
        <f>+Fin!CC37</f>
        <v>0</v>
      </c>
      <c r="CD78" s="63">
        <f>+Fin!CD37</f>
        <v>0</v>
      </c>
      <c r="CE78" s="63">
        <f>+Fin!CE37</f>
        <v>0</v>
      </c>
      <c r="CF78" s="63">
        <f>+Fin!CF37</f>
        <v>0</v>
      </c>
      <c r="CG78" s="63">
        <f>+Fin!CG37</f>
        <v>0</v>
      </c>
      <c r="CH78" s="63">
        <f>+Fin!CH37</f>
        <v>0</v>
      </c>
      <c r="CI78" s="63">
        <f>+Fin!CI37</f>
        <v>0</v>
      </c>
      <c r="CJ78" s="63">
        <f>+Fin!CJ37</f>
        <v>0</v>
      </c>
      <c r="CK78" s="63">
        <f>+Fin!CK37</f>
        <v>0</v>
      </c>
      <c r="CL78" s="63">
        <f>+Fin!CL37</f>
        <v>0</v>
      </c>
      <c r="CM78" s="63">
        <f>+Fin!CM37</f>
        <v>0</v>
      </c>
      <c r="CN78" s="63">
        <f>+Fin!CN37</f>
        <v>0</v>
      </c>
      <c r="CO78" s="63">
        <f>+Fin!CO37</f>
        <v>0</v>
      </c>
      <c r="CP78" s="63">
        <f>+Fin!CP37</f>
        <v>0</v>
      </c>
      <c r="CQ78" s="63">
        <f>+Fin!CQ37</f>
        <v>0</v>
      </c>
      <c r="CR78" s="63">
        <f>+Fin!CR37</f>
        <v>0</v>
      </c>
      <c r="CS78" s="63">
        <f>+Fin!CS37</f>
        <v>0</v>
      </c>
      <c r="CT78" s="63">
        <f>+Fin!CT37</f>
        <v>0</v>
      </c>
      <c r="CU78" s="63">
        <f>+Fin!CU37</f>
        <v>0</v>
      </c>
      <c r="CV78" s="63">
        <f>+Fin!CV37</f>
        <v>0</v>
      </c>
      <c r="CW78" s="63">
        <f>+Fin!CW37</f>
        <v>0</v>
      </c>
      <c r="CX78" s="63">
        <f>+Fin!CX37</f>
        <v>0</v>
      </c>
      <c r="CY78" s="63">
        <f>+Fin!CY37</f>
        <v>0</v>
      </c>
      <c r="CZ78" s="63">
        <f>+Fin!CZ37</f>
        <v>0</v>
      </c>
      <c r="DA78" s="63">
        <f>+Fin!DA37</f>
        <v>0</v>
      </c>
      <c r="DB78" s="63">
        <f>+Fin!DB37</f>
        <v>0</v>
      </c>
      <c r="DC78" s="63">
        <f>+Fin!DC37</f>
        <v>0</v>
      </c>
      <c r="DD78" s="63">
        <f>+Fin!DD37</f>
        <v>0</v>
      </c>
      <c r="DE78" s="63">
        <f>+Fin!DE37</f>
        <v>0</v>
      </c>
      <c r="DF78" s="63">
        <f>+Fin!DF37</f>
        <v>0</v>
      </c>
      <c r="DG78" s="63">
        <f>+Fin!DG37</f>
        <v>0</v>
      </c>
      <c r="DH78" s="63">
        <f>+Fin!DH37</f>
        <v>0</v>
      </c>
      <c r="DI78" s="63">
        <f>+Fin!DI37</f>
        <v>0</v>
      </c>
      <c r="DJ78" s="63">
        <f>+Fin!DJ37</f>
        <v>0</v>
      </c>
      <c r="DK78" s="63">
        <f>+Fin!DK37</f>
        <v>0</v>
      </c>
      <c r="DL78" s="63">
        <f>+Fin!DL37</f>
        <v>0</v>
      </c>
      <c r="DM78" s="63">
        <f>+Fin!DM37</f>
        <v>0</v>
      </c>
      <c r="DN78" s="63">
        <f>+Fin!DN37</f>
        <v>0</v>
      </c>
      <c r="DO78" s="63">
        <f>+Fin!DO37</f>
        <v>0</v>
      </c>
      <c r="DP78" s="63">
        <f>+Fin!DP37</f>
        <v>0</v>
      </c>
      <c r="DQ78" s="16"/>
    </row>
    <row r="79" spans="1:125" x14ac:dyDescent="0.2">
      <c r="C79" t="s">
        <v>110</v>
      </c>
      <c r="K79" s="144" t="s">
        <v>63</v>
      </c>
      <c r="N79" s="63">
        <f t="shared" si="62"/>
        <v>708178.88873149501</v>
      </c>
      <c r="P79" s="61"/>
      <c r="Q79" s="63"/>
      <c r="R79" s="63"/>
      <c r="S79" s="63">
        <f>-(Fin!S250+Fin!S276+Fin!S306)</f>
        <v>0</v>
      </c>
      <c r="T79" s="63">
        <f>-(Fin!T250+Fin!T276+Fin!T306)</f>
        <v>0</v>
      </c>
      <c r="U79" s="63">
        <f>-(Fin!U250+Fin!U276+Fin!U306)</f>
        <v>279423.20776463521</v>
      </c>
      <c r="V79" s="63">
        <f>-(Fin!V250+Fin!V276+Fin!V306)</f>
        <v>0</v>
      </c>
      <c r="W79" s="63">
        <f>-(Fin!W250+Fin!W276+Fin!W306)</f>
        <v>0</v>
      </c>
      <c r="X79" s="63">
        <f>-(Fin!X250+Fin!X276+Fin!X306)</f>
        <v>0</v>
      </c>
      <c r="Y79" s="63">
        <f>-(Fin!Y250+Fin!Y276+Fin!Y306)</f>
        <v>0</v>
      </c>
      <c r="Z79" s="63">
        <f>-(Fin!Z250+Fin!Z276+Fin!Z306)</f>
        <v>0</v>
      </c>
      <c r="AA79" s="63">
        <f>-(Fin!AA250+Fin!AA276+Fin!AA306)</f>
        <v>1735.2347358003062</v>
      </c>
      <c r="AB79" s="63">
        <f>-(Fin!AB250+Fin!AB276+Fin!AB306)</f>
        <v>1227.4759061671175</v>
      </c>
      <c r="AC79" s="63">
        <f>-(Fin!AC250+Fin!AC276+Fin!AC306)</f>
        <v>144.02437779743559</v>
      </c>
      <c r="AD79" s="63">
        <f>-(Fin!AD250+Fin!AD276+Fin!AD306)</f>
        <v>0</v>
      </c>
      <c r="AE79" s="63">
        <f>-(Fin!AE250+Fin!AE276+Fin!AE306)</f>
        <v>0</v>
      </c>
      <c r="AF79" s="63">
        <f>-(Fin!AF250+Fin!AF276+Fin!AF306)</f>
        <v>0</v>
      </c>
      <c r="AG79" s="63">
        <f>-(Fin!AG250+Fin!AG276+Fin!AG306)</f>
        <v>0</v>
      </c>
      <c r="AH79" s="63">
        <f>-(Fin!AH250+Fin!AH276+Fin!AH306)</f>
        <v>0</v>
      </c>
      <c r="AI79" s="63">
        <f>-(Fin!AI250+Fin!AI276+Fin!AI306)</f>
        <v>0</v>
      </c>
      <c r="AJ79" s="63">
        <f>-(Fin!AJ250+Fin!AJ276+Fin!AJ306)</f>
        <v>4593.5208819406616</v>
      </c>
      <c r="AK79" s="63">
        <f>-(Fin!AK250+Fin!AK276+Fin!AK306)</f>
        <v>15239.922202331221</v>
      </c>
      <c r="AL79" s="63">
        <f>-(Fin!AL250+Fin!AL276+Fin!AL306)</f>
        <v>9928.0096812515367</v>
      </c>
      <c r="AM79" s="63">
        <f>-(Fin!AM250+Fin!AM276+Fin!AM306)</f>
        <v>5666.0127925034576</v>
      </c>
      <c r="AN79" s="63">
        <f>-(Fin!AN250+Fin!AN276+Fin!AN306)</f>
        <v>1855.1590133251939</v>
      </c>
      <c r="AO79" s="63">
        <f>-(Fin!AO250+Fin!AO276+Fin!AO306)</f>
        <v>0</v>
      </c>
      <c r="AP79" s="63">
        <f>-(Fin!AP250+Fin!AP276+Fin!AP306)</f>
        <v>2568.80516300624</v>
      </c>
      <c r="AQ79" s="63">
        <f>-(Fin!AQ250+Fin!AQ276+Fin!AQ306)</f>
        <v>4270.0309883518785</v>
      </c>
      <c r="AR79" s="63">
        <f>-(Fin!AR250+Fin!AR276+Fin!AR306)</f>
        <v>5280.6531192460097</v>
      </c>
      <c r="AS79" s="63">
        <f>-(Fin!AS250+Fin!AS276+Fin!AS306)</f>
        <v>0</v>
      </c>
      <c r="AT79" s="63">
        <f>-(Fin!AT250+Fin!AT276+Fin!AT306)</f>
        <v>0</v>
      </c>
      <c r="AU79" s="63">
        <f>-(Fin!AU250+Fin!AU276+Fin!AU306)</f>
        <v>860.43824163452518</v>
      </c>
      <c r="AV79" s="63">
        <f>-(Fin!AV250+Fin!AV276+Fin!AV306)</f>
        <v>493.45984102274087</v>
      </c>
      <c r="AW79" s="63">
        <f>-(Fin!AW250+Fin!AW276+Fin!AW306)</f>
        <v>0</v>
      </c>
      <c r="AX79" s="63">
        <f>-(Fin!AX250+Fin!AX276+Fin!AX306)</f>
        <v>0</v>
      </c>
      <c r="AY79" s="63">
        <f>-(Fin!AY250+Fin!AY276+Fin!AY306)</f>
        <v>0</v>
      </c>
      <c r="AZ79" s="63">
        <f>-(Fin!AZ250+Fin!AZ276+Fin!AZ306)</f>
        <v>148.58876412024256</v>
      </c>
      <c r="BA79" s="63">
        <f>-(Fin!BA250+Fin!BA276+Fin!BA306)</f>
        <v>465.42823474953184</v>
      </c>
      <c r="BB79" s="63">
        <f>-(Fin!BB250+Fin!BB276+Fin!BB306)</f>
        <v>331.39155571471201</v>
      </c>
      <c r="BC79" s="63">
        <f>-(Fin!BC250+Fin!BC276+Fin!BC306)</f>
        <v>348.7896123896935</v>
      </c>
      <c r="BD79" s="63">
        <f>-(Fin!BD250+Fin!BD276+Fin!BD306)</f>
        <v>135563.62357595254</v>
      </c>
      <c r="BE79" s="63">
        <f>-(Fin!BE250+Fin!BE276+Fin!BE306)</f>
        <v>238035.11227955477</v>
      </c>
      <c r="BF79" s="63">
        <f>-(Fin!BF250+Fin!BF276+Fin!BF306)</f>
        <v>0</v>
      </c>
      <c r="BG79" s="63">
        <f>-(Fin!BG250+Fin!BG276+Fin!BG306)</f>
        <v>0</v>
      </c>
      <c r="BH79" s="63">
        <f>-(Fin!BH250+Fin!BH276+Fin!BH306)</f>
        <v>0</v>
      </c>
      <c r="BI79" s="63">
        <f>-(Fin!BI250+Fin!BI276+Fin!BI306)</f>
        <v>0</v>
      </c>
      <c r="BJ79" s="63">
        <f>-(Fin!BJ250+Fin!BJ276+Fin!BJ306)</f>
        <v>0</v>
      </c>
      <c r="BK79" s="63">
        <f>-(Fin!BK250+Fin!BK276+Fin!BK306)</f>
        <v>0</v>
      </c>
      <c r="BL79" s="63">
        <f>-(Fin!BL250+Fin!BL276+Fin!BL306)</f>
        <v>0</v>
      </c>
      <c r="BM79" s="63">
        <f>-(Fin!BM250+Fin!BM276+Fin!BM306)</f>
        <v>0</v>
      </c>
      <c r="BN79" s="63">
        <f>-(Fin!BN250+Fin!BN276+Fin!BN306)</f>
        <v>0</v>
      </c>
      <c r="BO79" s="63">
        <f>-(Fin!BO250+Fin!BO276+Fin!BO306)</f>
        <v>0</v>
      </c>
      <c r="BP79" s="63">
        <f>-(Fin!BP250+Fin!BP276+Fin!BP306)</f>
        <v>0</v>
      </c>
      <c r="BQ79" s="63">
        <f>-(Fin!BQ250+Fin!BQ276+Fin!BQ306)</f>
        <v>0</v>
      </c>
      <c r="BR79" s="63">
        <f>-(Fin!BR250+Fin!BR276+Fin!BR306)</f>
        <v>0</v>
      </c>
      <c r="BS79" s="63">
        <f>-(Fin!BS250+Fin!BS276+Fin!BS306)</f>
        <v>0</v>
      </c>
      <c r="BT79" s="63">
        <f>-(Fin!BT250+Fin!BT276+Fin!BT306)</f>
        <v>0</v>
      </c>
      <c r="BU79" s="63">
        <f>-(Fin!BU250+Fin!BU276+Fin!BU306)</f>
        <v>0</v>
      </c>
      <c r="BV79" s="63">
        <f>-(Fin!BV250+Fin!BV276+Fin!BV306)</f>
        <v>0</v>
      </c>
      <c r="BW79" s="63">
        <f>-(Fin!BW250+Fin!BW276+Fin!BW306)</f>
        <v>0</v>
      </c>
      <c r="BX79" s="63">
        <f>-(Fin!BX250+Fin!BX276+Fin!BX306)</f>
        <v>0</v>
      </c>
      <c r="BY79" s="63">
        <f>-(Fin!BY250+Fin!BY276+Fin!BY306)</f>
        <v>0</v>
      </c>
      <c r="BZ79" s="63">
        <f>-(Fin!BZ250+Fin!BZ276+Fin!BZ306)</f>
        <v>0</v>
      </c>
      <c r="CA79" s="63">
        <f>-(Fin!CA250+Fin!CA276+Fin!CA306)</f>
        <v>0</v>
      </c>
      <c r="CB79" s="63">
        <f>-(Fin!CB250+Fin!CB276+Fin!CB306)</f>
        <v>0</v>
      </c>
      <c r="CC79" s="63">
        <f>-(Fin!CC250+Fin!CC276+Fin!CC306)</f>
        <v>0</v>
      </c>
      <c r="CD79" s="63">
        <f>-(Fin!CD250+Fin!CD276+Fin!CD306)</f>
        <v>0</v>
      </c>
      <c r="CE79" s="63">
        <f>-(Fin!CE250+Fin!CE276+Fin!CE306)</f>
        <v>0</v>
      </c>
      <c r="CF79" s="63">
        <f>-(Fin!CF250+Fin!CF276+Fin!CF306)</f>
        <v>0</v>
      </c>
      <c r="CG79" s="63">
        <f>-(Fin!CG250+Fin!CG276+Fin!CG306)</f>
        <v>0</v>
      </c>
      <c r="CH79" s="63">
        <f>-(Fin!CH250+Fin!CH276+Fin!CH306)</f>
        <v>0</v>
      </c>
      <c r="CI79" s="63">
        <f>-(Fin!CI250+Fin!CI276+Fin!CI306)</f>
        <v>0</v>
      </c>
      <c r="CJ79" s="63">
        <f>-(Fin!CJ250+Fin!CJ276+Fin!CJ306)</f>
        <v>0</v>
      </c>
      <c r="CK79" s="63">
        <f>-(Fin!CK250+Fin!CK276+Fin!CK306)</f>
        <v>0</v>
      </c>
      <c r="CL79" s="63">
        <f>-(Fin!CL250+Fin!CL276+Fin!CL306)</f>
        <v>0</v>
      </c>
      <c r="CM79" s="63">
        <f>-(Fin!CM250+Fin!CM276+Fin!CM306)</f>
        <v>0</v>
      </c>
      <c r="CN79" s="63">
        <f>-(Fin!CN250+Fin!CN276+Fin!CN306)</f>
        <v>0</v>
      </c>
      <c r="CO79" s="63">
        <f>-(Fin!CO250+Fin!CO276+Fin!CO306)</f>
        <v>0</v>
      </c>
      <c r="CP79" s="63">
        <f>-(Fin!CP250+Fin!CP276+Fin!CP306)</f>
        <v>0</v>
      </c>
      <c r="CQ79" s="63">
        <f>-(Fin!CQ250+Fin!CQ276+Fin!CQ306)</f>
        <v>0</v>
      </c>
      <c r="CR79" s="63">
        <f>-(Fin!CR250+Fin!CR276+Fin!CR306)</f>
        <v>0</v>
      </c>
      <c r="CS79" s="63">
        <f>-(Fin!CS250+Fin!CS276+Fin!CS306)</f>
        <v>0</v>
      </c>
      <c r="CT79" s="63">
        <f>-(Fin!CT250+Fin!CT276+Fin!CT306)</f>
        <v>0</v>
      </c>
      <c r="CU79" s="63">
        <f>-(Fin!CU250+Fin!CU276+Fin!CU306)</f>
        <v>0</v>
      </c>
      <c r="CV79" s="63">
        <f>-(Fin!CV250+Fin!CV276+Fin!CV306)</f>
        <v>0</v>
      </c>
      <c r="CW79" s="63">
        <f>-(Fin!CW250+Fin!CW276+Fin!CW306)</f>
        <v>0</v>
      </c>
      <c r="CX79" s="63">
        <f>-(Fin!CX250+Fin!CX276+Fin!CX306)</f>
        <v>0</v>
      </c>
      <c r="CY79" s="63">
        <f>-(Fin!CY250+Fin!CY276+Fin!CY306)</f>
        <v>0</v>
      </c>
      <c r="CZ79" s="63">
        <f>-(Fin!CZ250+Fin!CZ276+Fin!CZ306)</f>
        <v>0</v>
      </c>
      <c r="DA79" s="63">
        <f>-(Fin!DA250+Fin!DA276+Fin!DA306)</f>
        <v>0</v>
      </c>
      <c r="DB79" s="63">
        <f>-(Fin!DB250+Fin!DB276+Fin!DB306)</f>
        <v>0</v>
      </c>
      <c r="DC79" s="63">
        <f>-(Fin!DC250+Fin!DC276+Fin!DC306)</f>
        <v>0</v>
      </c>
      <c r="DD79" s="63">
        <f>-(Fin!DD250+Fin!DD276+Fin!DD306)</f>
        <v>0</v>
      </c>
      <c r="DE79" s="63">
        <f>-(Fin!DE250+Fin!DE276+Fin!DE306)</f>
        <v>0</v>
      </c>
      <c r="DF79" s="63">
        <f>-(Fin!DF250+Fin!DF276+Fin!DF306)</f>
        <v>0</v>
      </c>
      <c r="DG79" s="63">
        <f>-(Fin!DG250+Fin!DG276+Fin!DG306)</f>
        <v>0</v>
      </c>
      <c r="DH79" s="63">
        <f>-(Fin!DH250+Fin!DH276+Fin!DH306)</f>
        <v>0</v>
      </c>
      <c r="DI79" s="63">
        <f>-(Fin!DI250+Fin!DI276+Fin!DI306)</f>
        <v>0</v>
      </c>
      <c r="DJ79" s="63">
        <f>-(Fin!DJ250+Fin!DJ276+Fin!DJ306)</f>
        <v>0</v>
      </c>
      <c r="DK79" s="63">
        <f>-(Fin!DK250+Fin!DK276+Fin!DK306)</f>
        <v>0</v>
      </c>
      <c r="DL79" s="63">
        <f>-(Fin!DL250+Fin!DL276+Fin!DL306)</f>
        <v>0</v>
      </c>
      <c r="DM79" s="63">
        <f>-(Fin!DM250+Fin!DM276+Fin!DM306)</f>
        <v>0</v>
      </c>
      <c r="DN79" s="63">
        <f>-(Fin!DN250+Fin!DN276+Fin!DN306)</f>
        <v>0</v>
      </c>
      <c r="DO79" s="63">
        <f>-(Fin!DO250+Fin!DO276+Fin!DO306)</f>
        <v>0</v>
      </c>
      <c r="DP79" s="63">
        <f>-(Fin!DP250+Fin!DP276+Fin!DP306)</f>
        <v>0</v>
      </c>
      <c r="DQ79" s="16"/>
    </row>
    <row r="80" spans="1:125" x14ac:dyDescent="0.2">
      <c r="C80" t="s">
        <v>44</v>
      </c>
      <c r="K80" s="144" t="s">
        <v>63</v>
      </c>
      <c r="N80" s="63">
        <f t="shared" si="62"/>
        <v>0</v>
      </c>
      <c r="P80" s="61"/>
      <c r="Q80" s="63"/>
      <c r="R80" s="63"/>
      <c r="S80" s="116">
        <f>-CF!S55+CF!S23</f>
        <v>0</v>
      </c>
      <c r="T80" s="116">
        <f>-CF!T55+CF!T23</f>
        <v>0</v>
      </c>
      <c r="U80" s="116">
        <f>-CF!U55+CF!U23</f>
        <v>0</v>
      </c>
      <c r="V80" s="116">
        <f>-CF!V55+CF!V23</f>
        <v>0</v>
      </c>
      <c r="W80" s="116">
        <f>-CF!W55+CF!W23</f>
        <v>0</v>
      </c>
      <c r="X80" s="116">
        <f>-CF!X55+CF!X23</f>
        <v>0</v>
      </c>
      <c r="Y80" s="116">
        <f>-CF!Y55+CF!Y23</f>
        <v>0</v>
      </c>
      <c r="Z80" s="116">
        <f>-CF!Z55+CF!Z23</f>
        <v>0</v>
      </c>
      <c r="AA80" s="116">
        <f>-CF!AA55+CF!AA23</f>
        <v>0</v>
      </c>
      <c r="AB80" s="116">
        <f>-CF!AB55+CF!AB23</f>
        <v>0</v>
      </c>
      <c r="AC80" s="116">
        <f>-CF!AC55+CF!AC23</f>
        <v>0</v>
      </c>
      <c r="AD80" s="116">
        <f>-CF!AD55+CF!AD23</f>
        <v>0</v>
      </c>
      <c r="AE80" s="116">
        <f>-CF!AE55+CF!AE23</f>
        <v>0</v>
      </c>
      <c r="AF80" s="116">
        <f>-CF!AF55+CF!AF23</f>
        <v>0</v>
      </c>
      <c r="AG80" s="116">
        <f>-CF!AG55+CF!AG23</f>
        <v>0</v>
      </c>
      <c r="AH80" s="116">
        <f>-CF!AH55+CF!AH23</f>
        <v>0</v>
      </c>
      <c r="AI80" s="116">
        <f>-CF!AI55+CF!AI23</f>
        <v>0</v>
      </c>
      <c r="AJ80" s="116">
        <f>-CF!AJ55+CF!AJ23</f>
        <v>0</v>
      </c>
      <c r="AK80" s="116">
        <f>-CF!AK55+CF!AK23</f>
        <v>0</v>
      </c>
      <c r="AL80" s="116">
        <f>-CF!AL55+CF!AL23</f>
        <v>0</v>
      </c>
      <c r="AM80" s="116">
        <f>-CF!AM55+CF!AM23</f>
        <v>0</v>
      </c>
      <c r="AN80" s="116">
        <f>-CF!AN55+CF!AN23</f>
        <v>0</v>
      </c>
      <c r="AO80" s="116">
        <f>-CF!AO55+CF!AO23</f>
        <v>0</v>
      </c>
      <c r="AP80" s="116">
        <f>-CF!AP55+CF!AP23</f>
        <v>0</v>
      </c>
      <c r="AQ80" s="116">
        <f>-CF!AQ55+CF!AQ23</f>
        <v>0</v>
      </c>
      <c r="AR80" s="116">
        <f>-CF!AR55+CF!AR23</f>
        <v>0</v>
      </c>
      <c r="AS80" s="116">
        <f>-CF!AS55+CF!AS23</f>
        <v>0</v>
      </c>
      <c r="AT80" s="116">
        <f>-CF!AT55+CF!AT23</f>
        <v>0</v>
      </c>
      <c r="AU80" s="116">
        <f>-CF!AU55+CF!AU23</f>
        <v>0</v>
      </c>
      <c r="AV80" s="116">
        <f>-CF!AV55+CF!AV23</f>
        <v>0</v>
      </c>
      <c r="AW80" s="116">
        <f>-CF!AW55+CF!AW23</f>
        <v>0</v>
      </c>
      <c r="AX80" s="116">
        <f>-CF!AX55+CF!AX23</f>
        <v>0</v>
      </c>
      <c r="AY80" s="116">
        <f>-CF!AY55+CF!AY23</f>
        <v>0</v>
      </c>
      <c r="AZ80" s="116">
        <f>-CF!AZ55+CF!AZ23</f>
        <v>0</v>
      </c>
      <c r="BA80" s="116">
        <f>-CF!BA55+CF!BA23</f>
        <v>0</v>
      </c>
      <c r="BB80" s="116">
        <f>-CF!BB55+CF!BB23</f>
        <v>0</v>
      </c>
      <c r="BC80" s="116">
        <f>-CF!BC55+CF!BC23</f>
        <v>0</v>
      </c>
      <c r="BD80" s="116">
        <f>-CF!BD55+CF!BD23</f>
        <v>0</v>
      </c>
      <c r="BE80" s="116">
        <f>-CF!BE55+CF!BE23</f>
        <v>0</v>
      </c>
      <c r="BF80" s="116">
        <f>-CF!BF55+CF!BF23</f>
        <v>0</v>
      </c>
      <c r="BG80" s="116">
        <f>-CF!BG55+CF!BG23</f>
        <v>0</v>
      </c>
      <c r="BH80" s="116">
        <f>-CF!BH55+CF!BH23</f>
        <v>0</v>
      </c>
      <c r="BI80" s="116">
        <f>-CF!BI55+CF!BI23</f>
        <v>0</v>
      </c>
      <c r="BJ80" s="116">
        <f>-CF!BJ55+CF!BJ23</f>
        <v>0</v>
      </c>
      <c r="BK80" s="63">
        <f>-CF!BK55+CF!BK23</f>
        <v>0</v>
      </c>
      <c r="BL80" s="63">
        <f>-CF!BL55+CF!BL23</f>
        <v>0</v>
      </c>
      <c r="BM80" s="63">
        <f>-CF!BM55+CF!BM23</f>
        <v>0</v>
      </c>
      <c r="BN80" s="63">
        <f>-CF!BN55+CF!BN23</f>
        <v>0</v>
      </c>
      <c r="BO80" s="63">
        <f>-CF!BO55+CF!BO23</f>
        <v>0</v>
      </c>
      <c r="BP80" s="63">
        <f>-CF!BP55+CF!BP23</f>
        <v>0</v>
      </c>
      <c r="BQ80" s="63">
        <f>-CF!BQ55+CF!BQ23</f>
        <v>0</v>
      </c>
      <c r="BR80" s="63">
        <f>-CF!BR55+CF!BR23</f>
        <v>0</v>
      </c>
      <c r="BS80" s="63">
        <f>-CF!BS55+CF!BS23</f>
        <v>0</v>
      </c>
      <c r="BT80" s="63">
        <f>-CF!BT55+CF!BT23</f>
        <v>0</v>
      </c>
      <c r="BU80" s="63">
        <f>-CF!BU55+CF!BU23</f>
        <v>0</v>
      </c>
      <c r="BV80" s="63">
        <f>-CF!BV55+CF!BV23</f>
        <v>0</v>
      </c>
      <c r="BW80" s="63">
        <f>-CF!BW55+CF!BW23</f>
        <v>0</v>
      </c>
      <c r="BX80" s="63">
        <f>-CF!BX55+CF!BX23</f>
        <v>0</v>
      </c>
      <c r="BY80" s="63">
        <f>-CF!BY55+CF!BY23</f>
        <v>0</v>
      </c>
      <c r="BZ80" s="63">
        <f>-CF!BZ55+CF!BZ23</f>
        <v>0</v>
      </c>
      <c r="CA80" s="63">
        <f>-CF!CA55+CF!CA23</f>
        <v>0</v>
      </c>
      <c r="CB80" s="63">
        <f>-CF!CB55+CF!CB23</f>
        <v>0</v>
      </c>
      <c r="CC80" s="63">
        <f>-CF!CC55+CF!CC23</f>
        <v>0</v>
      </c>
      <c r="CD80" s="63">
        <f>-CF!CD55+CF!CD23</f>
        <v>0</v>
      </c>
      <c r="CE80" s="63">
        <f>-CF!CE55+CF!CE23</f>
        <v>0</v>
      </c>
      <c r="CF80" s="63">
        <f>-CF!CF55+CF!CF23</f>
        <v>0</v>
      </c>
      <c r="CG80" s="63">
        <f>-CF!CG55+CF!CG23</f>
        <v>0</v>
      </c>
      <c r="CH80" s="63">
        <f>-CF!CH55+CF!CH23</f>
        <v>0</v>
      </c>
      <c r="CI80" s="63">
        <f>-CF!CI55+CF!CI23</f>
        <v>0</v>
      </c>
      <c r="CJ80" s="63">
        <f>-CF!CJ55+CF!CJ23</f>
        <v>0</v>
      </c>
      <c r="CK80" s="63">
        <f>-CF!CK55+CF!CK23</f>
        <v>0</v>
      </c>
      <c r="CL80" s="63">
        <f>-CF!CL55+CF!CL23</f>
        <v>0</v>
      </c>
      <c r="CM80" s="63">
        <f>-CF!CM55+CF!CM23</f>
        <v>0</v>
      </c>
      <c r="CN80" s="63">
        <f>-CF!CN55+CF!CN23</f>
        <v>0</v>
      </c>
      <c r="CO80" s="63">
        <f>-CF!CO55+CF!CO23</f>
        <v>0</v>
      </c>
      <c r="CP80" s="63">
        <f>-CF!CP55+CF!CP23</f>
        <v>0</v>
      </c>
      <c r="CQ80" s="63">
        <f>-CF!CQ55+CF!CQ23</f>
        <v>0</v>
      </c>
      <c r="CR80" s="63">
        <f>-CF!CR55+CF!CR23</f>
        <v>0</v>
      </c>
      <c r="CS80" s="63">
        <f>-CF!CS55+CF!CS23</f>
        <v>0</v>
      </c>
      <c r="CT80" s="63">
        <f>-CF!CT55+CF!CT23</f>
        <v>0</v>
      </c>
      <c r="CU80" s="63">
        <f>-CF!CU55+CF!CU23</f>
        <v>0</v>
      </c>
      <c r="CV80" s="63">
        <f>-CF!CV55+CF!CV23</f>
        <v>0</v>
      </c>
      <c r="CW80" s="63">
        <f>-CF!CW55+CF!CW23</f>
        <v>0</v>
      </c>
      <c r="CX80" s="63">
        <f>-CF!CX55+CF!CX23</f>
        <v>0</v>
      </c>
      <c r="CY80" s="63">
        <f>-CF!CY55+CF!CY23</f>
        <v>0</v>
      </c>
      <c r="CZ80" s="63">
        <f>-CF!CZ55+CF!CZ23</f>
        <v>0</v>
      </c>
      <c r="DA80" s="63">
        <f>-CF!DA55+CF!DA23</f>
        <v>0</v>
      </c>
      <c r="DB80" s="63">
        <f>-CF!DB55+CF!DB23</f>
        <v>0</v>
      </c>
      <c r="DC80" s="63">
        <f>-CF!DC55+CF!DC23</f>
        <v>0</v>
      </c>
      <c r="DD80" s="63">
        <f>-CF!DD55+CF!DD23</f>
        <v>0</v>
      </c>
      <c r="DE80" s="63">
        <f>-CF!DE55+CF!DE23</f>
        <v>0</v>
      </c>
      <c r="DF80" s="63">
        <f>-CF!DF55+CF!DF23</f>
        <v>0</v>
      </c>
      <c r="DG80" s="63">
        <f>-CF!DG55+CF!DG23</f>
        <v>0</v>
      </c>
      <c r="DH80" s="63">
        <f>-CF!DH55+CF!DH23</f>
        <v>0</v>
      </c>
      <c r="DI80" s="63">
        <f>-CF!DI55+CF!DI23</f>
        <v>0</v>
      </c>
      <c r="DJ80" s="63">
        <f>-CF!DJ55+CF!DJ23</f>
        <v>0</v>
      </c>
      <c r="DK80" s="63">
        <f>-CF!DK55+CF!DK23</f>
        <v>0</v>
      </c>
      <c r="DL80" s="63">
        <f>-CF!DL55+CF!DL23</f>
        <v>0</v>
      </c>
      <c r="DM80" s="63">
        <f>-CF!DM55+CF!DM23</f>
        <v>0</v>
      </c>
      <c r="DN80" s="63">
        <f>-CF!DN55+CF!DN23</f>
        <v>0</v>
      </c>
      <c r="DO80" s="63">
        <f>-CF!DO55+CF!DO23</f>
        <v>0</v>
      </c>
      <c r="DP80" s="63">
        <f>-CF!DP55+CF!DP23</f>
        <v>0</v>
      </c>
      <c r="DQ80" s="16"/>
    </row>
    <row r="81" spans="3:121" x14ac:dyDescent="0.2">
      <c r="DQ81" s="42"/>
    </row>
    <row r="82" spans="3:121" x14ac:dyDescent="0.2">
      <c r="C82" s="32" t="s">
        <v>111</v>
      </c>
      <c r="D82" s="32"/>
      <c r="E82" s="32"/>
      <c r="F82" s="32"/>
      <c r="G82" s="32"/>
      <c r="H82" s="32"/>
      <c r="I82" s="32"/>
      <c r="J82" s="32"/>
      <c r="K82" s="639" t="s">
        <v>63</v>
      </c>
      <c r="L82" s="33"/>
      <c r="M82" s="33"/>
      <c r="N82" s="745">
        <f>SUM(Q82:DQ82)</f>
        <v>42927543.363656782</v>
      </c>
      <c r="O82" s="32"/>
      <c r="P82" s="32"/>
      <c r="Q82" s="153"/>
      <c r="R82" s="33"/>
      <c r="S82" s="745">
        <f t="shared" ref="S82:AW82" si="64">SUM(S74:S81)</f>
        <v>121385.88824258334</v>
      </c>
      <c r="T82" s="745">
        <f t="shared" si="64"/>
        <v>140493.28477060873</v>
      </c>
      <c r="U82" s="745">
        <f t="shared" si="64"/>
        <v>1057152.623730293</v>
      </c>
      <c r="V82" s="745">
        <f t="shared" si="64"/>
        <v>184023.53882448803</v>
      </c>
      <c r="W82" s="745">
        <f t="shared" si="64"/>
        <v>198950.7177287782</v>
      </c>
      <c r="X82" s="745">
        <f t="shared" si="64"/>
        <v>215170.70262207001</v>
      </c>
      <c r="Y82" s="745">
        <f t="shared" si="64"/>
        <v>232817.90258656669</v>
      </c>
      <c r="Z82" s="745">
        <f t="shared" si="64"/>
        <v>268205.30673240748</v>
      </c>
      <c r="AA82" s="745">
        <f t="shared" si="64"/>
        <v>291696.17178436345</v>
      </c>
      <c r="AB82" s="745">
        <f t="shared" si="64"/>
        <v>314733.25046550768</v>
      </c>
      <c r="AC82" s="745">
        <f t="shared" si="64"/>
        <v>339318.03630572988</v>
      </c>
      <c r="AD82" s="745">
        <f t="shared" si="64"/>
        <v>366996.28641752148</v>
      </c>
      <c r="AE82" s="745">
        <f t="shared" si="64"/>
        <v>455455.66028175945</v>
      </c>
      <c r="AF82" s="745">
        <f t="shared" si="64"/>
        <v>429413.93175077101</v>
      </c>
      <c r="AG82" s="745">
        <f t="shared" si="64"/>
        <v>461174.94047544838</v>
      </c>
      <c r="AH82" s="745">
        <f t="shared" si="64"/>
        <v>495785.90948944405</v>
      </c>
      <c r="AI82" s="745">
        <f t="shared" si="64"/>
        <v>533613.51629356737</v>
      </c>
      <c r="AJ82" s="745">
        <f t="shared" si="64"/>
        <v>589616.68845500448</v>
      </c>
      <c r="AK82" s="745">
        <f t="shared" si="64"/>
        <v>655826.0814899765</v>
      </c>
      <c r="AL82" s="745">
        <f t="shared" si="64"/>
        <v>684139.31242921238</v>
      </c>
      <c r="AM82" s="745">
        <f t="shared" si="64"/>
        <v>719416.7707785567</v>
      </c>
      <c r="AN82" s="745">
        <f t="shared" si="64"/>
        <v>800591.65655004128</v>
      </c>
      <c r="AO82" s="745">
        <f t="shared" si="64"/>
        <v>962046.32181830402</v>
      </c>
      <c r="AP82" s="745">
        <f t="shared" si="64"/>
        <v>899415.07293332112</v>
      </c>
      <c r="AQ82" s="745">
        <f t="shared" si="64"/>
        <v>930534.86994557176</v>
      </c>
      <c r="AR82" s="745">
        <f t="shared" si="64"/>
        <v>955681.32458184962</v>
      </c>
      <c r="AS82" s="745">
        <f t="shared" si="64"/>
        <v>939184.96440676355</v>
      </c>
      <c r="AT82" s="745">
        <f t="shared" si="64"/>
        <v>1002142.6384941515</v>
      </c>
      <c r="AU82" s="745">
        <f t="shared" si="64"/>
        <v>1072716.0923948733</v>
      </c>
      <c r="AV82" s="745">
        <f t="shared" si="64"/>
        <v>1138004.1198201468</v>
      </c>
      <c r="AW82" s="745">
        <f t="shared" si="64"/>
        <v>1205789.7623329845</v>
      </c>
      <c r="AX82" s="745">
        <f t="shared" ref="AX82:CC82" si="65">SUM(AX74:AX81)</f>
        <v>1278454.7805410344</v>
      </c>
      <c r="AY82" s="745">
        <f t="shared" si="65"/>
        <v>1470409.0188297229</v>
      </c>
      <c r="AZ82" s="745">
        <f t="shared" si="65"/>
        <v>1420991.5195992189</v>
      </c>
      <c r="BA82" s="745">
        <f t="shared" si="65"/>
        <v>1510717.0493484854</v>
      </c>
      <c r="BB82" s="745">
        <f t="shared" si="65"/>
        <v>1605638.0383632849</v>
      </c>
      <c r="BC82" s="745">
        <f t="shared" si="65"/>
        <v>1706725.7836547652</v>
      </c>
      <c r="BD82" s="745">
        <f t="shared" si="65"/>
        <v>1949406.6921931203</v>
      </c>
      <c r="BE82" s="745">
        <f t="shared" si="65"/>
        <v>2163540.2466444247</v>
      </c>
      <c r="BF82" s="745">
        <f t="shared" si="65"/>
        <v>2071999.6689690491</v>
      </c>
      <c r="BG82" s="745">
        <f t="shared" si="65"/>
        <v>2229330.8715145774</v>
      </c>
      <c r="BH82" s="745">
        <f t="shared" si="65"/>
        <v>2398689.9764172006</v>
      </c>
      <c r="BI82" s="745">
        <f t="shared" si="65"/>
        <v>2580955.6843443974</v>
      </c>
      <c r="BJ82" s="745">
        <f t="shared" si="65"/>
        <v>1879190.6883048331</v>
      </c>
      <c r="BK82" s="745">
        <f t="shared" si="65"/>
        <v>0</v>
      </c>
      <c r="BL82" s="745">
        <f t="shared" si="65"/>
        <v>0</v>
      </c>
      <c r="BM82" s="745">
        <f t="shared" si="65"/>
        <v>0</v>
      </c>
      <c r="BN82" s="745">
        <f t="shared" si="65"/>
        <v>0</v>
      </c>
      <c r="BO82" s="745">
        <f t="shared" si="65"/>
        <v>0</v>
      </c>
      <c r="BP82" s="745">
        <f t="shared" si="65"/>
        <v>0</v>
      </c>
      <c r="BQ82" s="745">
        <f t="shared" si="65"/>
        <v>0</v>
      </c>
      <c r="BR82" s="745">
        <f t="shared" si="65"/>
        <v>0</v>
      </c>
      <c r="BS82" s="745">
        <f t="shared" si="65"/>
        <v>0</v>
      </c>
      <c r="BT82" s="745">
        <f t="shared" si="65"/>
        <v>0</v>
      </c>
      <c r="BU82" s="745">
        <f t="shared" si="65"/>
        <v>0</v>
      </c>
      <c r="BV82" s="745">
        <f t="shared" si="65"/>
        <v>0</v>
      </c>
      <c r="BW82" s="745">
        <f t="shared" si="65"/>
        <v>0</v>
      </c>
      <c r="BX82" s="745">
        <f t="shared" si="65"/>
        <v>0</v>
      </c>
      <c r="BY82" s="745">
        <f t="shared" si="65"/>
        <v>0</v>
      </c>
      <c r="BZ82" s="745">
        <f t="shared" si="65"/>
        <v>0</v>
      </c>
      <c r="CA82" s="745">
        <f t="shared" si="65"/>
        <v>0</v>
      </c>
      <c r="CB82" s="745">
        <f t="shared" si="65"/>
        <v>0</v>
      </c>
      <c r="CC82" s="745">
        <f t="shared" si="65"/>
        <v>0</v>
      </c>
      <c r="CD82" s="745">
        <f t="shared" ref="CD82:DI82" si="66">SUM(CD74:CD81)</f>
        <v>0</v>
      </c>
      <c r="CE82" s="745">
        <f t="shared" si="66"/>
        <v>0</v>
      </c>
      <c r="CF82" s="745">
        <f t="shared" si="66"/>
        <v>0</v>
      </c>
      <c r="CG82" s="745">
        <f t="shared" si="66"/>
        <v>0</v>
      </c>
      <c r="CH82" s="745">
        <f t="shared" si="66"/>
        <v>0</v>
      </c>
      <c r="CI82" s="745">
        <f t="shared" si="66"/>
        <v>0</v>
      </c>
      <c r="CJ82" s="745">
        <f t="shared" si="66"/>
        <v>0</v>
      </c>
      <c r="CK82" s="745">
        <f t="shared" si="66"/>
        <v>0</v>
      </c>
      <c r="CL82" s="745">
        <f t="shared" si="66"/>
        <v>0</v>
      </c>
      <c r="CM82" s="745">
        <f t="shared" si="66"/>
        <v>0</v>
      </c>
      <c r="CN82" s="745">
        <f t="shared" si="66"/>
        <v>0</v>
      </c>
      <c r="CO82" s="745">
        <f t="shared" si="66"/>
        <v>0</v>
      </c>
      <c r="CP82" s="745">
        <f t="shared" si="66"/>
        <v>0</v>
      </c>
      <c r="CQ82" s="745">
        <f t="shared" si="66"/>
        <v>0</v>
      </c>
      <c r="CR82" s="745">
        <f t="shared" si="66"/>
        <v>0</v>
      </c>
      <c r="CS82" s="745">
        <f t="shared" si="66"/>
        <v>0</v>
      </c>
      <c r="CT82" s="745">
        <f t="shared" si="66"/>
        <v>0</v>
      </c>
      <c r="CU82" s="745">
        <f t="shared" si="66"/>
        <v>0</v>
      </c>
      <c r="CV82" s="745">
        <f t="shared" si="66"/>
        <v>0</v>
      </c>
      <c r="CW82" s="745">
        <f t="shared" si="66"/>
        <v>0</v>
      </c>
      <c r="CX82" s="745">
        <f t="shared" si="66"/>
        <v>0</v>
      </c>
      <c r="CY82" s="745">
        <f t="shared" si="66"/>
        <v>0</v>
      </c>
      <c r="CZ82" s="745">
        <f t="shared" si="66"/>
        <v>0</v>
      </c>
      <c r="DA82" s="745">
        <f t="shared" si="66"/>
        <v>0</v>
      </c>
      <c r="DB82" s="745">
        <f t="shared" si="66"/>
        <v>0</v>
      </c>
      <c r="DC82" s="745">
        <f t="shared" si="66"/>
        <v>0</v>
      </c>
      <c r="DD82" s="745">
        <f t="shared" si="66"/>
        <v>0</v>
      </c>
      <c r="DE82" s="745">
        <f t="shared" si="66"/>
        <v>0</v>
      </c>
      <c r="DF82" s="745">
        <f t="shared" si="66"/>
        <v>0</v>
      </c>
      <c r="DG82" s="745">
        <f t="shared" si="66"/>
        <v>0</v>
      </c>
      <c r="DH82" s="745">
        <f t="shared" si="66"/>
        <v>0</v>
      </c>
      <c r="DI82" s="745">
        <f t="shared" si="66"/>
        <v>0</v>
      </c>
      <c r="DJ82" s="745">
        <f t="shared" ref="DJ82:DP82" si="67">SUM(DJ74:DJ81)</f>
        <v>0</v>
      </c>
      <c r="DK82" s="745">
        <f t="shared" si="67"/>
        <v>0</v>
      </c>
      <c r="DL82" s="745">
        <f t="shared" si="67"/>
        <v>0</v>
      </c>
      <c r="DM82" s="745">
        <f t="shared" si="67"/>
        <v>0</v>
      </c>
      <c r="DN82" s="745">
        <f t="shared" si="67"/>
        <v>0</v>
      </c>
      <c r="DO82" s="745">
        <f t="shared" si="67"/>
        <v>0</v>
      </c>
      <c r="DP82" s="745">
        <f t="shared" si="67"/>
        <v>0</v>
      </c>
      <c r="DQ82" s="16"/>
    </row>
    <row r="83" spans="3:121" x14ac:dyDescent="0.2">
      <c r="DQ83" s="42"/>
    </row>
    <row r="84" spans="3:121" x14ac:dyDescent="0.2">
      <c r="DQ84" s="42"/>
    </row>
    <row r="85" spans="3:121" x14ac:dyDescent="0.2">
      <c r="C85" s="55" t="s">
        <v>112</v>
      </c>
      <c r="DQ85" s="42"/>
    </row>
    <row r="86" spans="3:121" x14ac:dyDescent="0.2">
      <c r="C86" t="s">
        <v>276</v>
      </c>
      <c r="K86" s="144" t="s">
        <v>63</v>
      </c>
      <c r="N86" s="63">
        <f t="shared" ref="N86:N96" si="68">SUM(Q86:DQ86)</f>
        <v>1030323.1768835471</v>
      </c>
      <c r="P86" s="61"/>
      <c r="Q86" s="63"/>
      <c r="R86" s="63"/>
      <c r="S86" s="63">
        <f>-CF!S26</f>
        <v>2499.9999999999964</v>
      </c>
      <c r="T86" s="63">
        <f>-CF!T26</f>
        <v>2277.8988766992275</v>
      </c>
      <c r="U86" s="63">
        <f>-CF!U26</f>
        <v>2075.5293169870438</v>
      </c>
      <c r="V86" s="63">
        <f>-CF!V26</f>
        <v>1891.1383598884436</v>
      </c>
      <c r="W86" s="63">
        <f>-CF!W26</f>
        <v>1986.6937647688851</v>
      </c>
      <c r="X86" s="63">
        <f>-CF!X26</f>
        <v>2087.0773914206857</v>
      </c>
      <c r="Y86" s="63">
        <f>-CF!Y26</f>
        <v>2192.5332001462748</v>
      </c>
      <c r="Z86" s="63">
        <f>-CF!Z26</f>
        <v>2303.3174780698355</v>
      </c>
      <c r="AA86" s="63">
        <f>-CF!AA26</f>
        <v>2419.6994619867296</v>
      </c>
      <c r="AB86" s="63">
        <f>-CF!AB26</f>
        <v>2534.0541314604457</v>
      </c>
      <c r="AC86" s="63">
        <f>-CF!AC26</f>
        <v>2653.8131871547976</v>
      </c>
      <c r="AD86" s="63">
        <f>-CF!AD26</f>
        <v>2779.2320396319978</v>
      </c>
      <c r="AE86" s="63">
        <f>-CF!AE26</f>
        <v>2910.5781701229016</v>
      </c>
      <c r="AF86" s="63">
        <f>-CF!AF26</f>
        <v>3048.1317009851755</v>
      </c>
      <c r="AG86" s="63">
        <f>-CF!AG26</f>
        <v>4181.4704234191167</v>
      </c>
      <c r="AH86" s="63">
        <f>-CF!AH26</f>
        <v>5736.2006032343297</v>
      </c>
      <c r="AI86" s="63">
        <f>-CF!AI26</f>
        <v>7869.0015780718713</v>
      </c>
      <c r="AJ86" s="63">
        <f>-CF!AJ26</f>
        <v>10794.808291882895</v>
      </c>
      <c r="AK86" s="63">
        <f>-CF!AK26</f>
        <v>14808.471557970681</v>
      </c>
      <c r="AL86" s="63">
        <f>-CF!AL26</f>
        <v>15885.182431384857</v>
      </c>
      <c r="AM86" s="63">
        <f>-CF!AM26</f>
        <v>17040.180000383381</v>
      </c>
      <c r="AN86" s="63">
        <f>-CF!AN26</f>
        <v>18279.15642138154</v>
      </c>
      <c r="AO86" s="63">
        <f>-CF!AO26</f>
        <v>19608.21772245461</v>
      </c>
      <c r="AP86" s="63">
        <f>-CF!AP26</f>
        <v>21033.913895580296</v>
      </c>
      <c r="AQ86" s="63">
        <f>-CF!AQ26</f>
        <v>22373.869827988488</v>
      </c>
      <c r="AR86" s="63">
        <f>-CF!AR26</f>
        <v>23799.187044545186</v>
      </c>
      <c r="AS86" s="63">
        <f>-CF!AS26</f>
        <v>25315.303447091228</v>
      </c>
      <c r="AT86" s="63">
        <f>-CF!AT26</f>
        <v>26928.00335653466</v>
      </c>
      <c r="AU86" s="63">
        <f>-CF!AU26</f>
        <v>28643.439581320119</v>
      </c>
      <c r="AV86" s="63">
        <f>-CF!AV26</f>
        <v>30412.757606163163</v>
      </c>
      <c r="AW86" s="63">
        <f>-CF!AW26</f>
        <v>32291.36719370932</v>
      </c>
      <c r="AX86" s="63">
        <f>-CF!AX26</f>
        <v>34286.019332480915</v>
      </c>
      <c r="AY86" s="63">
        <f>-CF!AY26</f>
        <v>36403.882022569196</v>
      </c>
      <c r="AZ86" s="63">
        <f>-CF!AZ26</f>
        <v>38652.566034624673</v>
      </c>
      <c r="BA86" s="63">
        <f>-CF!BA26</f>
        <v>41093.732865244885</v>
      </c>
      <c r="BB86" s="63">
        <f>-CF!BB26</f>
        <v>43689.075630512794</v>
      </c>
      <c r="BC86" s="63">
        <f>-CF!BC26</f>
        <v>46448.331566952489</v>
      </c>
      <c r="BD86" s="63">
        <f>-CF!BD26</f>
        <v>49381.852882389132</v>
      </c>
      <c r="BE86" s="63">
        <f>-CF!BE26</f>
        <v>52500.645595480142</v>
      </c>
      <c r="BF86" s="63">
        <f>-CF!BF26</f>
        <v>56514.255532200972</v>
      </c>
      <c r="BG86" s="63">
        <f>-CF!BG26</f>
        <v>60834.701023826499</v>
      </c>
      <c r="BH86" s="63">
        <f>-CF!BH26</f>
        <v>65485.439272037511</v>
      </c>
      <c r="BI86" s="63">
        <f>-CF!BI26</f>
        <v>70491.720752800975</v>
      </c>
      <c r="BJ86" s="63">
        <f>-CF!BJ26</f>
        <v>75880.726309988822</v>
      </c>
      <c r="BK86" s="63">
        <f>-CF!BK26</f>
        <v>0</v>
      </c>
      <c r="BL86" s="63">
        <f>-CF!BL26</f>
        <v>0</v>
      </c>
      <c r="BM86" s="63">
        <f>-CF!BM26</f>
        <v>0</v>
      </c>
      <c r="BN86" s="63">
        <f>-CF!BN26</f>
        <v>0</v>
      </c>
      <c r="BO86" s="63">
        <f>-CF!BO26</f>
        <v>0</v>
      </c>
      <c r="BP86" s="63">
        <f>-CF!BP26</f>
        <v>0</v>
      </c>
      <c r="BQ86" s="63">
        <f>-CF!BQ26</f>
        <v>0</v>
      </c>
      <c r="BR86" s="63">
        <f>-CF!BR26</f>
        <v>0</v>
      </c>
      <c r="BS86" s="63">
        <f>-CF!BS26</f>
        <v>0</v>
      </c>
      <c r="BT86" s="63">
        <f>-CF!BT26</f>
        <v>0</v>
      </c>
      <c r="BU86" s="63">
        <f>-CF!BU26</f>
        <v>0</v>
      </c>
      <c r="BV86" s="63">
        <f>-CF!BV26</f>
        <v>0</v>
      </c>
      <c r="BW86" s="63">
        <f>-CF!BW26</f>
        <v>0</v>
      </c>
      <c r="BX86" s="63">
        <f>-CF!BX26</f>
        <v>0</v>
      </c>
      <c r="BY86" s="63">
        <f>-CF!BY26</f>
        <v>0</v>
      </c>
      <c r="BZ86" s="63">
        <f>-CF!BZ26</f>
        <v>0</v>
      </c>
      <c r="CA86" s="63">
        <f>-CF!CA26</f>
        <v>0</v>
      </c>
      <c r="CB86" s="63">
        <f>-CF!CB26</f>
        <v>0</v>
      </c>
      <c r="CC86" s="63">
        <f>-CF!CC26</f>
        <v>0</v>
      </c>
      <c r="CD86" s="63">
        <f>-CF!CD26</f>
        <v>0</v>
      </c>
      <c r="CE86" s="63">
        <f>-CF!CE26</f>
        <v>0</v>
      </c>
      <c r="CF86" s="63">
        <f>-CF!CF26</f>
        <v>0</v>
      </c>
      <c r="CG86" s="63">
        <f>-CF!CG26</f>
        <v>0</v>
      </c>
      <c r="CH86" s="63">
        <f>-CF!CH26</f>
        <v>0</v>
      </c>
      <c r="CI86" s="63">
        <f>-CF!CI26</f>
        <v>0</v>
      </c>
      <c r="CJ86" s="63">
        <f>-CF!CJ26</f>
        <v>0</v>
      </c>
      <c r="CK86" s="63">
        <f>-CF!CK26</f>
        <v>0</v>
      </c>
      <c r="CL86" s="63">
        <f>-CF!CL26</f>
        <v>0</v>
      </c>
      <c r="CM86" s="63">
        <f>-CF!CM26</f>
        <v>0</v>
      </c>
      <c r="CN86" s="63">
        <f>-CF!CN26</f>
        <v>0</v>
      </c>
      <c r="CO86" s="63">
        <f>-CF!CO26</f>
        <v>0</v>
      </c>
      <c r="CP86" s="63">
        <f>-CF!CP26</f>
        <v>0</v>
      </c>
      <c r="CQ86" s="63">
        <f>-CF!CQ26</f>
        <v>0</v>
      </c>
      <c r="CR86" s="63">
        <f>-CF!CR26</f>
        <v>0</v>
      </c>
      <c r="CS86" s="63">
        <f>-CF!CS26</f>
        <v>0</v>
      </c>
      <c r="CT86" s="63">
        <f>-CF!CT26</f>
        <v>0</v>
      </c>
      <c r="CU86" s="63">
        <f>-CF!CU26</f>
        <v>0</v>
      </c>
      <c r="CV86" s="63">
        <f>-CF!CV26</f>
        <v>0</v>
      </c>
      <c r="CW86" s="63">
        <f>-CF!CW26</f>
        <v>0</v>
      </c>
      <c r="CX86" s="63">
        <f>-CF!CX26</f>
        <v>0</v>
      </c>
      <c r="CY86" s="63">
        <f>-CF!CY26</f>
        <v>0</v>
      </c>
      <c r="CZ86" s="63">
        <f>-CF!CZ26</f>
        <v>0</v>
      </c>
      <c r="DA86" s="63">
        <f>-CF!DA26</f>
        <v>0</v>
      </c>
      <c r="DB86" s="63">
        <f>-CF!DB26</f>
        <v>0</v>
      </c>
      <c r="DC86" s="63">
        <f>-CF!DC26</f>
        <v>0</v>
      </c>
      <c r="DD86" s="63">
        <f>-CF!DD26</f>
        <v>0</v>
      </c>
      <c r="DE86" s="63">
        <f>-CF!DE26</f>
        <v>0</v>
      </c>
      <c r="DF86" s="63">
        <f>-CF!DF26</f>
        <v>0</v>
      </c>
      <c r="DG86" s="63">
        <f>-CF!DG26</f>
        <v>0</v>
      </c>
      <c r="DH86" s="63">
        <f>-CF!DH26</f>
        <v>0</v>
      </c>
      <c r="DI86" s="63">
        <f>-CF!DI26</f>
        <v>0</v>
      </c>
      <c r="DJ86" s="63">
        <f>-CF!DJ26</f>
        <v>0</v>
      </c>
      <c r="DK86" s="63">
        <f>-CF!DK26</f>
        <v>0</v>
      </c>
      <c r="DL86" s="63">
        <f>-CF!DL26</f>
        <v>0</v>
      </c>
      <c r="DM86" s="63">
        <f>-CF!DM26</f>
        <v>0</v>
      </c>
      <c r="DN86" s="63">
        <f>-CF!DN26</f>
        <v>0</v>
      </c>
      <c r="DO86" s="63">
        <f>-CF!DO26</f>
        <v>0</v>
      </c>
      <c r="DP86" s="63">
        <f>-CF!DP26</f>
        <v>0</v>
      </c>
      <c r="DQ86" s="16"/>
    </row>
    <row r="87" spans="3:121" x14ac:dyDescent="0.2">
      <c r="C87" t="s">
        <v>274</v>
      </c>
      <c r="K87" s="144" t="s">
        <v>63</v>
      </c>
      <c r="N87" s="63">
        <f t="shared" si="68"/>
        <v>209073.66959467556</v>
      </c>
      <c r="P87" s="61"/>
      <c r="Q87" s="63"/>
      <c r="R87" s="63"/>
      <c r="S87" s="63">
        <f>-CF!S32</f>
        <v>446</v>
      </c>
      <c r="T87" s="63">
        <f>-CF!T32</f>
        <v>737.58974504569574</v>
      </c>
      <c r="U87" s="63">
        <f>-CF!U32</f>
        <v>845.09727037031769</v>
      </c>
      <c r="V87" s="63">
        <f>-CF!V32</f>
        <v>947.27186232849067</v>
      </c>
      <c r="W87" s="63">
        <f>-CF!W32</f>
        <v>1019.4985617497009</v>
      </c>
      <c r="X87" s="63">
        <f>-CF!X32</f>
        <v>1097.2312440403507</v>
      </c>
      <c r="Y87" s="63">
        <f>-CF!Y32</f>
        <v>1180.8721342435792</v>
      </c>
      <c r="Z87" s="63">
        <f>-CF!Z32</f>
        <v>1270.0974482756708</v>
      </c>
      <c r="AA87" s="63">
        <f>-CF!AA32</f>
        <v>1366.5625319919407</v>
      </c>
      <c r="AB87" s="63">
        <f>-CF!AB32</f>
        <v>1477.6866800817588</v>
      </c>
      <c r="AC87" s="63">
        <f>-CF!AC32</f>
        <v>1597.9256776029658</v>
      </c>
      <c r="AD87" s="63">
        <f>-CF!AD32</f>
        <v>1727.2994169124825</v>
      </c>
      <c r="AE87" s="63">
        <f>-CF!AE32</f>
        <v>1867.6403246759485</v>
      </c>
      <c r="AF87" s="63">
        <f>-CF!AF32</f>
        <v>2019.9423845308647</v>
      </c>
      <c r="AG87" s="63">
        <f>-CF!AG32</f>
        <v>2165.5608753220044</v>
      </c>
      <c r="AH87" s="63">
        <f>-CF!AH32</f>
        <v>2321.9700940118796</v>
      </c>
      <c r="AI87" s="63">
        <f>-CF!AI32</f>
        <v>2489.7667838205948</v>
      </c>
      <c r="AJ87" s="63">
        <f>-CF!AJ32</f>
        <v>2669.0732419341457</v>
      </c>
      <c r="AK87" s="63">
        <f>-CF!AK32</f>
        <v>2860.4583224723983</v>
      </c>
      <c r="AL87" s="63">
        <f>-CF!AL32</f>
        <v>3065.0901951231494</v>
      </c>
      <c r="AM87" s="63">
        <f>-CF!AM32</f>
        <v>3285.9896090785355</v>
      </c>
      <c r="AN87" s="63">
        <f>-CF!AN32</f>
        <v>3525.1806027610319</v>
      </c>
      <c r="AO87" s="63">
        <f>-CF!AO32</f>
        <v>3779.4945750365664</v>
      </c>
      <c r="AP87" s="63">
        <f>-CF!AP32</f>
        <v>4056.8510170263103</v>
      </c>
      <c r="AQ87" s="63">
        <f>-CF!AQ32</f>
        <v>4314.1450040972704</v>
      </c>
      <c r="AR87" s="63">
        <f>-CF!AR32</f>
        <v>4588.1007215996615</v>
      </c>
      <c r="AS87" s="63">
        <f>-CF!AS32</f>
        <v>4879.7400909298531</v>
      </c>
      <c r="AT87" s="63">
        <f>-CF!AT32</f>
        <v>5190.4247287486833</v>
      </c>
      <c r="AU87" s="63">
        <f>-CF!AU32</f>
        <v>5528.8514273091296</v>
      </c>
      <c r="AV87" s="63">
        <f>-CF!AV32</f>
        <v>5875.2188723279269</v>
      </c>
      <c r="AW87" s="63">
        <f>-CF!AW32</f>
        <v>6235.334184088123</v>
      </c>
      <c r="AX87" s="63">
        <f>-CF!AX32</f>
        <v>6618.4474026856469</v>
      </c>
      <c r="AY87" s="63">
        <f>-CF!AY32</f>
        <v>7026.2168164658833</v>
      </c>
      <c r="AZ87" s="63">
        <f>-CF!AZ32</f>
        <v>7459.425386884267</v>
      </c>
      <c r="BA87" s="63">
        <f>-CF!BA32</f>
        <v>7928.821010847113</v>
      </c>
      <c r="BB87" s="63">
        <f>-CF!BB32</f>
        <v>8427.8598957397426</v>
      </c>
      <c r="BC87" s="63">
        <f>-CF!BC32</f>
        <v>8958.4792187224703</v>
      </c>
      <c r="BD87" s="63">
        <f>-CF!BD32</f>
        <v>9522.6761102401288</v>
      </c>
      <c r="BE87" s="63">
        <f>-CF!BE32</f>
        <v>10108.901955415566</v>
      </c>
      <c r="BF87" s="63">
        <f>-CF!BF32</f>
        <v>10877.998262087507</v>
      </c>
      <c r="BG87" s="63">
        <f>-CF!BG32</f>
        <v>11703.98707545153</v>
      </c>
      <c r="BH87" s="63">
        <f>-CF!BH32</f>
        <v>12593.122376190302</v>
      </c>
      <c r="BI87" s="63">
        <f>-CF!BI32</f>
        <v>13550.017342808085</v>
      </c>
      <c r="BJ87" s="63">
        <f>-CF!BJ32</f>
        <v>9865.7511136003723</v>
      </c>
      <c r="BK87" s="63">
        <f>-CF!BK32</f>
        <v>0</v>
      </c>
      <c r="BL87" s="63">
        <f>-CF!BL32</f>
        <v>0</v>
      </c>
      <c r="BM87" s="63">
        <f>-CF!BM32</f>
        <v>0</v>
      </c>
      <c r="BN87" s="63">
        <f>-CF!BN32</f>
        <v>0</v>
      </c>
      <c r="BO87" s="63">
        <f>-CF!BO32</f>
        <v>0</v>
      </c>
      <c r="BP87" s="63">
        <f>-CF!BP32</f>
        <v>0</v>
      </c>
      <c r="BQ87" s="63">
        <f>-CF!BQ32</f>
        <v>0</v>
      </c>
      <c r="BR87" s="63">
        <f>-CF!BR32</f>
        <v>0</v>
      </c>
      <c r="BS87" s="63">
        <f>-CF!BS32</f>
        <v>0</v>
      </c>
      <c r="BT87" s="63">
        <f>-CF!BT32</f>
        <v>0</v>
      </c>
      <c r="BU87" s="63">
        <f>-CF!BU32</f>
        <v>0</v>
      </c>
      <c r="BV87" s="63">
        <f>-CF!BV32</f>
        <v>0</v>
      </c>
      <c r="BW87" s="63">
        <f>-CF!BW32</f>
        <v>0</v>
      </c>
      <c r="BX87" s="63">
        <f>-CF!BX32</f>
        <v>0</v>
      </c>
      <c r="BY87" s="63">
        <f>-CF!BY32</f>
        <v>0</v>
      </c>
      <c r="BZ87" s="63">
        <f>-CF!BZ32</f>
        <v>0</v>
      </c>
      <c r="CA87" s="63">
        <f>-CF!CA32</f>
        <v>0</v>
      </c>
      <c r="CB87" s="63">
        <f>-CF!CB32</f>
        <v>0</v>
      </c>
      <c r="CC87" s="63">
        <f>-CF!CC32</f>
        <v>0</v>
      </c>
      <c r="CD87" s="63">
        <f>-CF!CD32</f>
        <v>0</v>
      </c>
      <c r="CE87" s="63">
        <f>-CF!CE32</f>
        <v>0</v>
      </c>
      <c r="CF87" s="63">
        <f>-CF!CF32</f>
        <v>0</v>
      </c>
      <c r="CG87" s="63">
        <f>-CF!CG32</f>
        <v>0</v>
      </c>
      <c r="CH87" s="63">
        <f>-CF!CH32</f>
        <v>0</v>
      </c>
      <c r="CI87" s="63">
        <f>-CF!CI32</f>
        <v>0</v>
      </c>
      <c r="CJ87" s="63">
        <f>-CF!CJ32</f>
        <v>0</v>
      </c>
      <c r="CK87" s="63">
        <f>-CF!CK32</f>
        <v>0</v>
      </c>
      <c r="CL87" s="63">
        <f>-CF!CL32</f>
        <v>0</v>
      </c>
      <c r="CM87" s="63">
        <f>-CF!CM32</f>
        <v>0</v>
      </c>
      <c r="CN87" s="63">
        <f>-CF!CN32</f>
        <v>0</v>
      </c>
      <c r="CO87" s="63">
        <f>-CF!CO32</f>
        <v>0</v>
      </c>
      <c r="CP87" s="63">
        <f>-CF!CP32</f>
        <v>0</v>
      </c>
      <c r="CQ87" s="63">
        <f>-CF!CQ32</f>
        <v>0</v>
      </c>
      <c r="CR87" s="63">
        <f>-CF!CR32</f>
        <v>0</v>
      </c>
      <c r="CS87" s="63">
        <f>-CF!CS32</f>
        <v>0</v>
      </c>
      <c r="CT87" s="63">
        <f>-CF!CT32</f>
        <v>0</v>
      </c>
      <c r="CU87" s="63">
        <f>-CF!CU32</f>
        <v>0</v>
      </c>
      <c r="CV87" s="63">
        <f>-CF!CV32</f>
        <v>0</v>
      </c>
      <c r="CW87" s="63">
        <f>-CF!CW32</f>
        <v>0</v>
      </c>
      <c r="CX87" s="63">
        <f>-CF!CX32</f>
        <v>0</v>
      </c>
      <c r="CY87" s="63">
        <f>-CF!CY32</f>
        <v>0</v>
      </c>
      <c r="CZ87" s="63">
        <f>-CF!CZ32</f>
        <v>0</v>
      </c>
      <c r="DA87" s="63">
        <f>-CF!DA32</f>
        <v>0</v>
      </c>
      <c r="DB87" s="63">
        <f>-CF!DB32</f>
        <v>0</v>
      </c>
      <c r="DC87" s="63">
        <f>-CF!DC32</f>
        <v>0</v>
      </c>
      <c r="DD87" s="63">
        <f>-CF!DD32</f>
        <v>0</v>
      </c>
      <c r="DE87" s="63">
        <f>-CF!DE32</f>
        <v>0</v>
      </c>
      <c r="DF87" s="63">
        <f>-CF!DF32</f>
        <v>0</v>
      </c>
      <c r="DG87" s="63">
        <f>-CF!DG32</f>
        <v>0</v>
      </c>
      <c r="DH87" s="63">
        <f>-CF!DH32</f>
        <v>0</v>
      </c>
      <c r="DI87" s="63">
        <f>-CF!DI32</f>
        <v>0</v>
      </c>
      <c r="DJ87" s="63">
        <f>-CF!DJ32</f>
        <v>0</v>
      </c>
      <c r="DK87" s="63">
        <f>-CF!DK32</f>
        <v>0</v>
      </c>
      <c r="DL87" s="63">
        <f>-CF!DL32</f>
        <v>0</v>
      </c>
      <c r="DM87" s="63">
        <f>-CF!DM32</f>
        <v>0</v>
      </c>
      <c r="DN87" s="63">
        <f>-CF!DN32</f>
        <v>0</v>
      </c>
      <c r="DO87" s="63">
        <f>-CF!DO32</f>
        <v>0</v>
      </c>
      <c r="DP87" s="63">
        <f>-CF!DP32</f>
        <v>0</v>
      </c>
      <c r="DQ87" s="16"/>
    </row>
    <row r="88" spans="3:121" x14ac:dyDescent="0.2">
      <c r="C88" t="s">
        <v>79</v>
      </c>
      <c r="K88" s="144" t="s">
        <v>63</v>
      </c>
      <c r="N88" s="63">
        <f t="shared" si="68"/>
        <v>2912934.1994395768</v>
      </c>
      <c r="P88" s="61"/>
      <c r="Q88" s="63"/>
      <c r="R88" s="63"/>
      <c r="S88" s="63">
        <f>-CF!S27</f>
        <v>20866.926728617222</v>
      </c>
      <c r="T88" s="63">
        <f>-CF!T27</f>
        <v>22075.289012235549</v>
      </c>
      <c r="U88" s="63">
        <f>-CF!U27</f>
        <v>23353.625155802732</v>
      </c>
      <c r="V88" s="63">
        <f>-CF!V27</f>
        <v>24705.987206575235</v>
      </c>
      <c r="W88" s="63">
        <f>-CF!W27</f>
        <v>25771.393741783409</v>
      </c>
      <c r="X88" s="63">
        <f>-CF!X27</f>
        <v>26882.74424497689</v>
      </c>
      <c r="Y88" s="63">
        <f>-CF!Y27</f>
        <v>28042.019976946256</v>
      </c>
      <c r="Z88" s="63">
        <f>-CF!Z27</f>
        <v>29251.287637213056</v>
      </c>
      <c r="AA88" s="63">
        <f>-CF!AA27</f>
        <v>30512.70304843966</v>
      </c>
      <c r="AB88" s="63">
        <f>-CF!AB27</f>
        <v>32043.527968003862</v>
      </c>
      <c r="AC88" s="63">
        <f>-CF!AC27</f>
        <v>33651.154504607315</v>
      </c>
      <c r="AD88" s="63">
        <f>-CF!AD27</f>
        <v>35339.435801940366</v>
      </c>
      <c r="AE88" s="63">
        <f>-CF!AE27</f>
        <v>37112.418316241608</v>
      </c>
      <c r="AF88" s="63">
        <f>-CF!AF27</f>
        <v>38974.351514804897</v>
      </c>
      <c r="AG88" s="63">
        <f>-CF!AG27</f>
        <v>40740.934330237193</v>
      </c>
      <c r="AH88" s="63">
        <f>-CF!AH27</f>
        <v>42587.590699750173</v>
      </c>
      <c r="AI88" s="63">
        <f>-CF!AI27</f>
        <v>44517.950101683113</v>
      </c>
      <c r="AJ88" s="63">
        <f>-CF!AJ27</f>
        <v>46535.806527030727</v>
      </c>
      <c r="AK88" s="63">
        <f>-CF!AK27</f>
        <v>48645.125936276221</v>
      </c>
      <c r="AL88" s="63">
        <f>-CF!AL27</f>
        <v>51064.989406204753</v>
      </c>
      <c r="AM88" s="63">
        <f>-CF!AM27</f>
        <v>53605.229565480651</v>
      </c>
      <c r="AN88" s="63">
        <f>-CF!AN27</f>
        <v>56271.834581419265</v>
      </c>
      <c r="AO88" s="63">
        <f>-CF!AO27</f>
        <v>59071.090504156869</v>
      </c>
      <c r="AP88" s="63">
        <f>-CF!AP27</f>
        <v>62009.596084903082</v>
      </c>
      <c r="AQ88" s="63">
        <f>-CF!AQ27</f>
        <v>64710.374384743314</v>
      </c>
      <c r="AR88" s="63">
        <f>-CF!AR27</f>
        <v>67528.782920634447</v>
      </c>
      <c r="AS88" s="63">
        <f>-CF!AS27</f>
        <v>70469.944983308698</v>
      </c>
      <c r="AT88" s="63">
        <f>-CF!AT27</f>
        <v>73539.207004323398</v>
      </c>
      <c r="AU88" s="63">
        <f>-CF!AU27</f>
        <v>76742.148274780877</v>
      </c>
      <c r="AV88" s="63">
        <f>-CF!AV27</f>
        <v>80199.822342142434</v>
      </c>
      <c r="AW88" s="63">
        <f>-CF!AW27</f>
        <v>83813.284463720251</v>
      </c>
      <c r="AX88" s="63">
        <f>-CF!AX27</f>
        <v>87589.553785149139</v>
      </c>
      <c r="AY88" s="63">
        <f>-CF!AY27</f>
        <v>91535.96570484525</v>
      </c>
      <c r="AZ88" s="63">
        <f>-CF!AZ27</f>
        <v>95660.186123008156</v>
      </c>
      <c r="BA88" s="63">
        <f>-CF!BA27</f>
        <v>100061.91967675925</v>
      </c>
      <c r="BB88" s="63">
        <f>-CF!BB27</f>
        <v>104666.19578309647</v>
      </c>
      <c r="BC88" s="63">
        <f>-CF!BC27</f>
        <v>109482.33428955424</v>
      </c>
      <c r="BD88" s="63">
        <f>-CF!BD27</f>
        <v>114520.08388964013</v>
      </c>
      <c r="BE88" s="63">
        <f>-CF!BE27</f>
        <v>119789.64185586889</v>
      </c>
      <c r="BF88" s="63">
        <f>-CF!BF27</f>
        <v>126656.21517427311</v>
      </c>
      <c r="BG88" s="63">
        <f>-CF!BG27</f>
        <v>133916.39371936084</v>
      </c>
      <c r="BH88" s="63">
        <f>-CF!BH27</f>
        <v>141592.73970190145</v>
      </c>
      <c r="BI88" s="63">
        <f>-CF!BI27</f>
        <v>149709.10864210289</v>
      </c>
      <c r="BJ88" s="63">
        <f>-CF!BJ27</f>
        <v>107117.28412503307</v>
      </c>
      <c r="BK88" s="63">
        <f>-CF!BK27</f>
        <v>0</v>
      </c>
      <c r="BL88" s="63">
        <f>-CF!BL27</f>
        <v>0</v>
      </c>
      <c r="BM88" s="63">
        <f>-CF!BM27</f>
        <v>0</v>
      </c>
      <c r="BN88" s="63">
        <f>-CF!BN27</f>
        <v>0</v>
      </c>
      <c r="BO88" s="63">
        <f>-CF!BO27</f>
        <v>0</v>
      </c>
      <c r="BP88" s="63">
        <f>-CF!BP27</f>
        <v>0</v>
      </c>
      <c r="BQ88" s="63">
        <f>-CF!BQ27</f>
        <v>0</v>
      </c>
      <c r="BR88" s="63">
        <f>-CF!BR27</f>
        <v>0</v>
      </c>
      <c r="BS88" s="63">
        <f>-CF!BS27</f>
        <v>0</v>
      </c>
      <c r="BT88" s="63">
        <f>-CF!BT27</f>
        <v>0</v>
      </c>
      <c r="BU88" s="63">
        <f>-CF!BU27</f>
        <v>0</v>
      </c>
      <c r="BV88" s="63">
        <f>-CF!BV27</f>
        <v>0</v>
      </c>
      <c r="BW88" s="63">
        <f>-CF!BW27</f>
        <v>0</v>
      </c>
      <c r="BX88" s="63">
        <f>-CF!BX27</f>
        <v>0</v>
      </c>
      <c r="BY88" s="63">
        <f>-CF!BY27</f>
        <v>0</v>
      </c>
      <c r="BZ88" s="63">
        <f>-CF!BZ27</f>
        <v>0</v>
      </c>
      <c r="CA88" s="63">
        <f>-CF!CA27</f>
        <v>0</v>
      </c>
      <c r="CB88" s="63">
        <f>-CF!CB27</f>
        <v>0</v>
      </c>
      <c r="CC88" s="63">
        <f>-CF!CC27</f>
        <v>0</v>
      </c>
      <c r="CD88" s="63">
        <f>-CF!CD27</f>
        <v>0</v>
      </c>
      <c r="CE88" s="63">
        <f>-CF!CE27</f>
        <v>0</v>
      </c>
      <c r="CF88" s="63">
        <f>-CF!CF27</f>
        <v>0</v>
      </c>
      <c r="CG88" s="63">
        <f>-CF!CG27</f>
        <v>0</v>
      </c>
      <c r="CH88" s="63">
        <f>-CF!CH27</f>
        <v>0</v>
      </c>
      <c r="CI88" s="63">
        <f>-CF!CI27</f>
        <v>0</v>
      </c>
      <c r="CJ88" s="63">
        <f>-CF!CJ27</f>
        <v>0</v>
      </c>
      <c r="CK88" s="63">
        <f>-CF!CK27</f>
        <v>0</v>
      </c>
      <c r="CL88" s="63">
        <f>-CF!CL27</f>
        <v>0</v>
      </c>
      <c r="CM88" s="63">
        <f>-CF!CM27</f>
        <v>0</v>
      </c>
      <c r="CN88" s="63">
        <f>-CF!CN27</f>
        <v>0</v>
      </c>
      <c r="CO88" s="63">
        <f>-CF!CO27</f>
        <v>0</v>
      </c>
      <c r="CP88" s="63">
        <f>-CF!CP27</f>
        <v>0</v>
      </c>
      <c r="CQ88" s="63">
        <f>-CF!CQ27</f>
        <v>0</v>
      </c>
      <c r="CR88" s="63">
        <f>-CF!CR27</f>
        <v>0</v>
      </c>
      <c r="CS88" s="63">
        <f>-CF!CS27</f>
        <v>0</v>
      </c>
      <c r="CT88" s="63">
        <f>-CF!CT27</f>
        <v>0</v>
      </c>
      <c r="CU88" s="63">
        <f>-CF!CU27</f>
        <v>0</v>
      </c>
      <c r="CV88" s="63">
        <f>-CF!CV27</f>
        <v>0</v>
      </c>
      <c r="CW88" s="63">
        <f>-CF!CW27</f>
        <v>0</v>
      </c>
      <c r="CX88" s="63">
        <f>-CF!CX27</f>
        <v>0</v>
      </c>
      <c r="CY88" s="63">
        <f>-CF!CY27</f>
        <v>0</v>
      </c>
      <c r="CZ88" s="63">
        <f>-CF!CZ27</f>
        <v>0</v>
      </c>
      <c r="DA88" s="63">
        <f>-CF!DA27</f>
        <v>0</v>
      </c>
      <c r="DB88" s="63">
        <f>-CF!DB27</f>
        <v>0</v>
      </c>
      <c r="DC88" s="63">
        <f>-CF!DC27</f>
        <v>0</v>
      </c>
      <c r="DD88" s="63">
        <f>-CF!DD27</f>
        <v>0</v>
      </c>
      <c r="DE88" s="63">
        <f>-CF!DE27</f>
        <v>0</v>
      </c>
      <c r="DF88" s="63">
        <f>-CF!DF27</f>
        <v>0</v>
      </c>
      <c r="DG88" s="63">
        <f>-CF!DG27</f>
        <v>0</v>
      </c>
      <c r="DH88" s="63">
        <f>-CF!DH27</f>
        <v>0</v>
      </c>
      <c r="DI88" s="63">
        <f>-CF!DI27</f>
        <v>0</v>
      </c>
      <c r="DJ88" s="63">
        <f>-CF!DJ27</f>
        <v>0</v>
      </c>
      <c r="DK88" s="63">
        <f>-CF!DK27</f>
        <v>0</v>
      </c>
      <c r="DL88" s="63">
        <f>-CF!DL27</f>
        <v>0</v>
      </c>
      <c r="DM88" s="63">
        <f>-CF!DM27</f>
        <v>0</v>
      </c>
      <c r="DN88" s="63">
        <f>-CF!DN27</f>
        <v>0</v>
      </c>
      <c r="DO88" s="63">
        <f>-CF!DO27</f>
        <v>0</v>
      </c>
      <c r="DP88" s="63">
        <f>-CF!DP27</f>
        <v>0</v>
      </c>
      <c r="DQ88" s="16"/>
    </row>
    <row r="89" spans="3:121" x14ac:dyDescent="0.2">
      <c r="C89" t="s">
        <v>113</v>
      </c>
      <c r="K89" s="144" t="s">
        <v>63</v>
      </c>
      <c r="N89" s="63">
        <f t="shared" si="68"/>
        <v>692329.72836553829</v>
      </c>
      <c r="P89" s="61"/>
      <c r="Q89" s="63"/>
      <c r="R89" s="63"/>
      <c r="S89" s="63">
        <f>-CF!S28</f>
        <v>7726.0040000000026</v>
      </c>
      <c r="T89" s="63">
        <f>-CF!T28</f>
        <v>4923.1641749466244</v>
      </c>
      <c r="U89" s="63">
        <f>-CF!U28</f>
        <v>3516.2529273851965</v>
      </c>
      <c r="V89" s="63">
        <f>-CF!V28</f>
        <v>2511.4000285149973</v>
      </c>
      <c r="W89" s="63">
        <f>-CF!W28</f>
        <v>3207.5042996959728</v>
      </c>
      <c r="X89" s="63">
        <f>-CF!X28</f>
        <v>4096.5532036931381</v>
      </c>
      <c r="Y89" s="63">
        <f>-CF!Y28</f>
        <v>5232.0267044627799</v>
      </c>
      <c r="Z89" s="63">
        <f>-CF!Z28</f>
        <v>6682.2282233593996</v>
      </c>
      <c r="AA89" s="63">
        <f>-CF!AA28</f>
        <v>8534.3933720700988</v>
      </c>
      <c r="AB89" s="63">
        <f>-CF!AB28</f>
        <v>7834.4943124637866</v>
      </c>
      <c r="AC89" s="63">
        <f>-CF!AC28</f>
        <v>7191.9934383267437</v>
      </c>
      <c r="AD89" s="63">
        <f>-CF!AD28</f>
        <v>6602.1835684591333</v>
      </c>
      <c r="AE89" s="63">
        <f>-CF!AE28</f>
        <v>6060.7435539836861</v>
      </c>
      <c r="AF89" s="63">
        <f>-CF!AF28</f>
        <v>5563.7066201307889</v>
      </c>
      <c r="AG89" s="63">
        <f>-CF!AG28</f>
        <v>7543.7883632894109</v>
      </c>
      <c r="AH89" s="63">
        <f>-CF!AH28</f>
        <v>10228.566449602433</v>
      </c>
      <c r="AI89" s="63">
        <f>-CF!AI28</f>
        <v>13868.837058455365</v>
      </c>
      <c r="AJ89" s="63">
        <f>-CF!AJ28</f>
        <v>18804.652861346072</v>
      </c>
      <c r="AK89" s="63">
        <f>-CF!AK28</f>
        <v>25497.088742573676</v>
      </c>
      <c r="AL89" s="63">
        <f>-CF!AL28</f>
        <v>17257.519856207484</v>
      </c>
      <c r="AM89" s="63">
        <f>-CF!AM28</f>
        <v>11680.62732942951</v>
      </c>
      <c r="AN89" s="63">
        <f>-CF!AN28</f>
        <v>7905.9480125667942</v>
      </c>
      <c r="AO89" s="63">
        <f>-CF!AO28</f>
        <v>5351.0836545507345</v>
      </c>
      <c r="AP89" s="63">
        <f>-CF!AP28</f>
        <v>3621.8422170858075</v>
      </c>
      <c r="AQ89" s="63">
        <f>-CF!AQ28</f>
        <v>5031.5595961266754</v>
      </c>
      <c r="AR89" s="63">
        <f>-CF!AR28</f>
        <v>6989.9764959238264</v>
      </c>
      <c r="AS89" s="63">
        <f>-CF!AS28</f>
        <v>9710.6613725056704</v>
      </c>
      <c r="AT89" s="63">
        <f>-CF!AT28</f>
        <v>13490.309208687973</v>
      </c>
      <c r="AU89" s="63">
        <f>-CF!AU28</f>
        <v>18741.096570547237</v>
      </c>
      <c r="AV89" s="63">
        <f>-CF!AV28</f>
        <v>18421.350964280813</v>
      </c>
      <c r="AW89" s="63">
        <f>-CF!AW28</f>
        <v>18107.060601913374</v>
      </c>
      <c r="AX89" s="63">
        <f>-CF!AX28</f>
        <v>17798.132410434951</v>
      </c>
      <c r="AY89" s="63">
        <f>-CF!AY28</f>
        <v>17494.474904772869</v>
      </c>
      <c r="AZ89" s="63">
        <f>-CF!AZ28</f>
        <v>17195.998160699615</v>
      </c>
      <c r="BA89" s="63">
        <f>-CF!BA28</f>
        <v>19251.269063199168</v>
      </c>
      <c r="BB89" s="63">
        <f>-CF!BB28</f>
        <v>21552.186565749842</v>
      </c>
      <c r="BC89" s="63">
        <f>-CF!BC28</f>
        <v>24128.110424305614</v>
      </c>
      <c r="BD89" s="63">
        <f>-CF!BD28</f>
        <v>27011.909481734325</v>
      </c>
      <c r="BE89" s="63">
        <f>-CF!BE28</f>
        <v>30240.38107494725</v>
      </c>
      <c r="BF89" s="63">
        <f>-CF!BF28</f>
        <v>34373.648331668155</v>
      </c>
      <c r="BG89" s="63">
        <f>-CF!BG28</f>
        <v>39071.852193292965</v>
      </c>
      <c r="BH89" s="63">
        <f>-CF!BH28</f>
        <v>44412.208418623974</v>
      </c>
      <c r="BI89" s="63">
        <f>-CF!BI28</f>
        <v>50482.486646944315</v>
      </c>
      <c r="BJ89" s="63">
        <f>-CF!BJ28</f>
        <v>57382.452906580089</v>
      </c>
      <c r="BK89" s="63">
        <f>-CF!BK28</f>
        <v>0</v>
      </c>
      <c r="BL89" s="63">
        <f>-CF!BL28</f>
        <v>0</v>
      </c>
      <c r="BM89" s="63">
        <f>-CF!BM28</f>
        <v>0</v>
      </c>
      <c r="BN89" s="63">
        <f>-CF!BN28</f>
        <v>0</v>
      </c>
      <c r="BO89" s="63">
        <f>-CF!BO28</f>
        <v>0</v>
      </c>
      <c r="BP89" s="63">
        <f>-CF!BP28</f>
        <v>0</v>
      </c>
      <c r="BQ89" s="63">
        <f>-CF!BQ28</f>
        <v>0</v>
      </c>
      <c r="BR89" s="63">
        <f>-CF!BR28</f>
        <v>0</v>
      </c>
      <c r="BS89" s="63">
        <f>-CF!BS28</f>
        <v>0</v>
      </c>
      <c r="BT89" s="63">
        <f>-CF!BT28</f>
        <v>0</v>
      </c>
      <c r="BU89" s="63">
        <f>-CF!BU28</f>
        <v>0</v>
      </c>
      <c r="BV89" s="63">
        <f>-CF!BV28</f>
        <v>0</v>
      </c>
      <c r="BW89" s="63">
        <f>-CF!BW28</f>
        <v>0</v>
      </c>
      <c r="BX89" s="63">
        <f>-CF!BX28</f>
        <v>0</v>
      </c>
      <c r="BY89" s="63">
        <f>-CF!BY28</f>
        <v>0</v>
      </c>
      <c r="BZ89" s="63">
        <f>-CF!BZ28</f>
        <v>0</v>
      </c>
      <c r="CA89" s="63">
        <f>-CF!CA28</f>
        <v>0</v>
      </c>
      <c r="CB89" s="63">
        <f>-CF!CB28</f>
        <v>0</v>
      </c>
      <c r="CC89" s="63">
        <f>-CF!CC28</f>
        <v>0</v>
      </c>
      <c r="CD89" s="63">
        <f>-CF!CD28</f>
        <v>0</v>
      </c>
      <c r="CE89" s="63">
        <f>-CF!CE28</f>
        <v>0</v>
      </c>
      <c r="CF89" s="63">
        <f>-CF!CF28</f>
        <v>0</v>
      </c>
      <c r="CG89" s="63">
        <f>-CF!CG28</f>
        <v>0</v>
      </c>
      <c r="CH89" s="63">
        <f>-CF!CH28</f>
        <v>0</v>
      </c>
      <c r="CI89" s="63">
        <f>-CF!CI28</f>
        <v>0</v>
      </c>
      <c r="CJ89" s="63">
        <f>-CF!CJ28</f>
        <v>0</v>
      </c>
      <c r="CK89" s="63">
        <f>-CF!CK28</f>
        <v>0</v>
      </c>
      <c r="CL89" s="63">
        <f>-CF!CL28</f>
        <v>0</v>
      </c>
      <c r="CM89" s="63">
        <f>-CF!CM28</f>
        <v>0</v>
      </c>
      <c r="CN89" s="63">
        <f>-CF!CN28</f>
        <v>0</v>
      </c>
      <c r="CO89" s="63">
        <f>-CF!CO28</f>
        <v>0</v>
      </c>
      <c r="CP89" s="63">
        <f>-CF!CP28</f>
        <v>0</v>
      </c>
      <c r="CQ89" s="63">
        <f>-CF!CQ28</f>
        <v>0</v>
      </c>
      <c r="CR89" s="63">
        <f>-CF!CR28</f>
        <v>0</v>
      </c>
      <c r="CS89" s="63">
        <f>-CF!CS28</f>
        <v>0</v>
      </c>
      <c r="CT89" s="63">
        <f>-CF!CT28</f>
        <v>0</v>
      </c>
      <c r="CU89" s="63">
        <f>-CF!CU28</f>
        <v>0</v>
      </c>
      <c r="CV89" s="63">
        <f>-CF!CV28</f>
        <v>0</v>
      </c>
      <c r="CW89" s="63">
        <f>-CF!CW28</f>
        <v>0</v>
      </c>
      <c r="CX89" s="63">
        <f>-CF!CX28</f>
        <v>0</v>
      </c>
      <c r="CY89" s="63">
        <f>-CF!CY28</f>
        <v>0</v>
      </c>
      <c r="CZ89" s="63">
        <f>-CF!CZ28</f>
        <v>0</v>
      </c>
      <c r="DA89" s="63">
        <f>-CF!DA28</f>
        <v>0</v>
      </c>
      <c r="DB89" s="63">
        <f>-CF!DB28</f>
        <v>0</v>
      </c>
      <c r="DC89" s="63">
        <f>-CF!DC28</f>
        <v>0</v>
      </c>
      <c r="DD89" s="63">
        <f>-CF!DD28</f>
        <v>0</v>
      </c>
      <c r="DE89" s="63">
        <f>-CF!DE28</f>
        <v>0</v>
      </c>
      <c r="DF89" s="63">
        <f>-CF!DF28</f>
        <v>0</v>
      </c>
      <c r="DG89" s="63">
        <f>-CF!DG28</f>
        <v>0</v>
      </c>
      <c r="DH89" s="63">
        <f>-CF!DH28</f>
        <v>0</v>
      </c>
      <c r="DI89" s="63">
        <f>-CF!DI28</f>
        <v>0</v>
      </c>
      <c r="DJ89" s="63">
        <f>-CF!DJ28</f>
        <v>0</v>
      </c>
      <c r="DK89" s="63">
        <f>-CF!DK28</f>
        <v>0</v>
      </c>
      <c r="DL89" s="63">
        <f>-CF!DL28</f>
        <v>0</v>
      </c>
      <c r="DM89" s="63">
        <f>-CF!DM28</f>
        <v>0</v>
      </c>
      <c r="DN89" s="63">
        <f>-CF!DN28</f>
        <v>0</v>
      </c>
      <c r="DO89" s="63">
        <f>-CF!DO28</f>
        <v>0</v>
      </c>
      <c r="DP89" s="63">
        <f>-CF!DP28</f>
        <v>0</v>
      </c>
      <c r="DQ89" s="16"/>
    </row>
    <row r="90" spans="3:121" x14ac:dyDescent="0.2">
      <c r="C90" t="s">
        <v>114</v>
      </c>
      <c r="K90" s="144" t="s">
        <v>63</v>
      </c>
      <c r="N90" s="63">
        <f t="shared" si="68"/>
        <v>4110604.322713519</v>
      </c>
      <c r="P90" s="61"/>
      <c r="Q90" s="63"/>
      <c r="R90" s="63"/>
      <c r="S90" s="63">
        <f>-CF!S41</f>
        <v>0</v>
      </c>
      <c r="T90" s="63">
        <f>-CF!T41</f>
        <v>0</v>
      </c>
      <c r="U90" s="63">
        <f>-CF!U41</f>
        <v>615000.38086000003</v>
      </c>
      <c r="V90" s="63">
        <f>-CF!V41</f>
        <v>1079.4031143557513</v>
      </c>
      <c r="W90" s="63">
        <f>-CF!W41</f>
        <v>1553.0111910439446</v>
      </c>
      <c r="X90" s="63">
        <f>-CF!X41</f>
        <v>2077.7219821195758</v>
      </c>
      <c r="Y90" s="63">
        <f>-CF!Y41</f>
        <v>2657.8503118983353</v>
      </c>
      <c r="Z90" s="63">
        <f>-CF!Z41</f>
        <v>19599.755027967913</v>
      </c>
      <c r="AA90" s="63">
        <f>-CF!AA41</f>
        <v>21128.918535171018</v>
      </c>
      <c r="AB90" s="63">
        <f>-CF!AB41</f>
        <v>24207.150707494118</v>
      </c>
      <c r="AC90" s="63">
        <f>-CF!AC41</f>
        <v>27615.222755707393</v>
      </c>
      <c r="AD90" s="63">
        <f>-CF!AD41</f>
        <v>31384.690103827568</v>
      </c>
      <c r="AE90" s="63">
        <f>-CF!AE41</f>
        <v>93653.902503785474</v>
      </c>
      <c r="AF90" s="63">
        <f>-CF!AF41</f>
        <v>39099.294743808801</v>
      </c>
      <c r="AG90" s="63">
        <f>-CF!AG41</f>
        <v>41143.36633653898</v>
      </c>
      <c r="AH90" s="63">
        <f>-CF!AH41</f>
        <v>43277.325132816914</v>
      </c>
      <c r="AI90" s="63">
        <f>-CF!AI41</f>
        <v>45503.387078808155</v>
      </c>
      <c r="AJ90" s="63">
        <f>-CF!AJ41</f>
        <v>57823.611486166134</v>
      </c>
      <c r="AK90" s="63">
        <f>-CF!AK41</f>
        <v>70239.866264614684</v>
      </c>
      <c r="AL90" s="63">
        <f>-CF!AL41</f>
        <v>73127.079058772419</v>
      </c>
      <c r="AM90" s="63">
        <f>-CF!AM41</f>
        <v>76167.347974997945</v>
      </c>
      <c r="AN90" s="63">
        <f>-CF!AN41</f>
        <v>119367.5775696669</v>
      </c>
      <c r="AO90" s="63">
        <f>-CF!AO41</f>
        <v>236791.50958535966</v>
      </c>
      <c r="AP90" s="63">
        <f>-CF!AP41</f>
        <v>120490.89850059837</v>
      </c>
      <c r="AQ90" s="63">
        <f>-CF!AQ41</f>
        <v>99491.37381875579</v>
      </c>
      <c r="AR90" s="63">
        <f>-CF!AR41</f>
        <v>69486.747995315527</v>
      </c>
      <c r="AS90" s="63">
        <f>-CF!AS41</f>
        <v>0</v>
      </c>
      <c r="AT90" s="63">
        <f>-CF!AT41</f>
        <v>0</v>
      </c>
      <c r="AU90" s="63">
        <f>-CF!AU41</f>
        <v>76887.250136877992</v>
      </c>
      <c r="AV90" s="63">
        <f>-CF!AV41</f>
        <v>155587.62314248437</v>
      </c>
      <c r="AW90" s="63">
        <f>-CF!AW41</f>
        <v>163755.97335746483</v>
      </c>
      <c r="AX90" s="63">
        <f>-CF!AX41</f>
        <v>172353.16195873168</v>
      </c>
      <c r="AY90" s="63">
        <f>-CF!AY41</f>
        <v>312941.47745388886</v>
      </c>
      <c r="AZ90" s="63">
        <f>-CF!AZ41</f>
        <v>209522.18265871578</v>
      </c>
      <c r="BA90" s="63">
        <f>-CF!BA41</f>
        <v>220522.09724829838</v>
      </c>
      <c r="BB90" s="63">
        <f>-CF!BB41</f>
        <v>232099.50735383405</v>
      </c>
      <c r="BC90" s="63">
        <f>-CF!BC41</f>
        <v>244284.73148991028</v>
      </c>
      <c r="BD90" s="63">
        <f>-CF!BD41</f>
        <v>257109.67989313052</v>
      </c>
      <c r="BE90" s="63">
        <f>-CF!BE41</f>
        <v>133573.24538059082</v>
      </c>
      <c r="BF90" s="63">
        <f>-CF!BF41</f>
        <v>0</v>
      </c>
      <c r="BG90" s="63">
        <f>-CF!BG41</f>
        <v>0</v>
      </c>
      <c r="BH90" s="63">
        <f>-CF!BH41</f>
        <v>0</v>
      </c>
      <c r="BI90" s="63">
        <f>-CF!BI41</f>
        <v>0</v>
      </c>
      <c r="BJ90" s="63">
        <f>-CF!BJ41</f>
        <v>0</v>
      </c>
      <c r="BK90" s="63">
        <f>-CF!BK41</f>
        <v>0</v>
      </c>
      <c r="BL90" s="63">
        <f>-CF!BL41</f>
        <v>0</v>
      </c>
      <c r="BM90" s="63">
        <f>-CF!BM41</f>
        <v>0</v>
      </c>
      <c r="BN90" s="63">
        <f>-CF!BN41</f>
        <v>0</v>
      </c>
      <c r="BO90" s="63">
        <f>-CF!BO41</f>
        <v>0</v>
      </c>
      <c r="BP90" s="63">
        <f>-CF!BP41</f>
        <v>0</v>
      </c>
      <c r="BQ90" s="63">
        <f>-CF!BQ41</f>
        <v>0</v>
      </c>
      <c r="BR90" s="63">
        <f>-CF!BR41</f>
        <v>0</v>
      </c>
      <c r="BS90" s="63">
        <f>-CF!BS41</f>
        <v>0</v>
      </c>
      <c r="BT90" s="63">
        <f>-CF!BT41</f>
        <v>0</v>
      </c>
      <c r="BU90" s="63">
        <f>-CF!BU41</f>
        <v>0</v>
      </c>
      <c r="BV90" s="63">
        <f>-CF!BV41</f>
        <v>0</v>
      </c>
      <c r="BW90" s="63">
        <f>-CF!BW41</f>
        <v>0</v>
      </c>
      <c r="BX90" s="63">
        <f>-CF!BX41</f>
        <v>0</v>
      </c>
      <c r="BY90" s="63">
        <f>-CF!BY41</f>
        <v>0</v>
      </c>
      <c r="BZ90" s="63">
        <f>-CF!BZ41</f>
        <v>0</v>
      </c>
      <c r="CA90" s="63">
        <f>-CF!CA41</f>
        <v>0</v>
      </c>
      <c r="CB90" s="63">
        <f>-CF!CB41</f>
        <v>0</v>
      </c>
      <c r="CC90" s="63">
        <f>-CF!CC41</f>
        <v>0</v>
      </c>
      <c r="CD90" s="63">
        <f>-CF!CD41</f>
        <v>0</v>
      </c>
      <c r="CE90" s="63">
        <f>-CF!CE41</f>
        <v>0</v>
      </c>
      <c r="CF90" s="63">
        <f>-CF!CF41</f>
        <v>0</v>
      </c>
      <c r="CG90" s="63">
        <f>-CF!CG41</f>
        <v>0</v>
      </c>
      <c r="CH90" s="63">
        <f>-CF!CH41</f>
        <v>0</v>
      </c>
      <c r="CI90" s="63">
        <f>-CF!CI41</f>
        <v>0</v>
      </c>
      <c r="CJ90" s="63">
        <f>-CF!CJ41</f>
        <v>0</v>
      </c>
      <c r="CK90" s="63">
        <f>-CF!CK41</f>
        <v>0</v>
      </c>
      <c r="CL90" s="63">
        <f>-CF!CL41</f>
        <v>0</v>
      </c>
      <c r="CM90" s="63">
        <f>-CF!CM41</f>
        <v>0</v>
      </c>
      <c r="CN90" s="63">
        <f>-CF!CN41</f>
        <v>0</v>
      </c>
      <c r="CO90" s="63">
        <f>-CF!CO41</f>
        <v>0</v>
      </c>
      <c r="CP90" s="63">
        <f>-CF!CP41</f>
        <v>0</v>
      </c>
      <c r="CQ90" s="63">
        <f>-CF!CQ41</f>
        <v>0</v>
      </c>
      <c r="CR90" s="63">
        <f>-CF!CR41</f>
        <v>0</v>
      </c>
      <c r="CS90" s="63">
        <f>-CF!CS41</f>
        <v>0</v>
      </c>
      <c r="CT90" s="63">
        <f>-CF!CT41</f>
        <v>0</v>
      </c>
      <c r="CU90" s="63">
        <f>-CF!CU41</f>
        <v>0</v>
      </c>
      <c r="CV90" s="63">
        <f>-CF!CV41</f>
        <v>0</v>
      </c>
      <c r="CW90" s="63">
        <f>-CF!CW41</f>
        <v>0</v>
      </c>
      <c r="CX90" s="63">
        <f>-CF!CX41</f>
        <v>0</v>
      </c>
      <c r="CY90" s="63">
        <f>-CF!CY41</f>
        <v>0</v>
      </c>
      <c r="CZ90" s="63">
        <f>-CF!CZ41</f>
        <v>0</v>
      </c>
      <c r="DA90" s="63">
        <f>-CF!DA41</f>
        <v>0</v>
      </c>
      <c r="DB90" s="63">
        <f>-CF!DB41</f>
        <v>0</v>
      </c>
      <c r="DC90" s="63">
        <f>-CF!DC41</f>
        <v>0</v>
      </c>
      <c r="DD90" s="63">
        <f>-CF!DD41</f>
        <v>0</v>
      </c>
      <c r="DE90" s="63">
        <f>-CF!DE41</f>
        <v>0</v>
      </c>
      <c r="DF90" s="63">
        <f>-CF!DF41</f>
        <v>0</v>
      </c>
      <c r="DG90" s="63">
        <f>-CF!DG41</f>
        <v>0</v>
      </c>
      <c r="DH90" s="63">
        <f>-CF!DH41</f>
        <v>0</v>
      </c>
      <c r="DI90" s="63">
        <f>-CF!DI41</f>
        <v>0</v>
      </c>
      <c r="DJ90" s="63">
        <f>-CF!DJ41</f>
        <v>0</v>
      </c>
      <c r="DK90" s="63">
        <f>-CF!DK41</f>
        <v>0</v>
      </c>
      <c r="DL90" s="63">
        <f>-CF!DL41</f>
        <v>0</v>
      </c>
      <c r="DM90" s="63">
        <f>-CF!DM41</f>
        <v>0</v>
      </c>
      <c r="DN90" s="63">
        <f>-CF!DN41</f>
        <v>0</v>
      </c>
      <c r="DO90" s="63">
        <f>-CF!DO41</f>
        <v>0</v>
      </c>
      <c r="DP90" s="63">
        <f>-CF!DP41</f>
        <v>0</v>
      </c>
      <c r="DQ90" s="16"/>
    </row>
    <row r="91" spans="3:121" x14ac:dyDescent="0.2">
      <c r="C91" t="s">
        <v>115</v>
      </c>
      <c r="K91" s="144" t="s">
        <v>63</v>
      </c>
      <c r="N91" s="63">
        <f t="shared" si="68"/>
        <v>3097996.7666265788</v>
      </c>
      <c r="P91" s="61"/>
      <c r="Q91" s="63"/>
      <c r="R91" s="63"/>
      <c r="S91" s="63">
        <f>-CF!S40</f>
        <v>43757.752098483172</v>
      </c>
      <c r="T91" s="63">
        <f>-CF!T40</f>
        <v>43757.752098483172</v>
      </c>
      <c r="U91" s="63">
        <f>-CF!U40</f>
        <v>74116.888088743697</v>
      </c>
      <c r="V91" s="63">
        <f>-CF!V40</f>
        <v>80818.75911029664</v>
      </c>
      <c r="W91" s="63">
        <f>-CF!W40</f>
        <v>80975.453055409336</v>
      </c>
      <c r="X91" s="63">
        <f>-CF!X40</f>
        <v>81176.858847384108</v>
      </c>
      <c r="Y91" s="63">
        <f>-CF!Y40</f>
        <v>81524.877633462238</v>
      </c>
      <c r="Z91" s="63">
        <f>-CF!Z40</f>
        <v>81893.517773305415</v>
      </c>
      <c r="AA91" s="63">
        <f>-CF!AA40</f>
        <v>82497.096074733767</v>
      </c>
      <c r="AB91" s="63">
        <f>-CF!AB40</f>
        <v>83193.725174246778</v>
      </c>
      <c r="AC91" s="63">
        <f>-CF!AC40</f>
        <v>83992.201296358675</v>
      </c>
      <c r="AD91" s="63">
        <f>-CF!AD40</f>
        <v>84595.651386516445</v>
      </c>
      <c r="AE91" s="63">
        <f>-CF!AE40</f>
        <v>85346.855589792307</v>
      </c>
      <c r="AF91" s="63">
        <f>-CF!AF40</f>
        <v>86104.045346159211</v>
      </c>
      <c r="AG91" s="63">
        <f>-CF!AG40</f>
        <v>86999.475609176254</v>
      </c>
      <c r="AH91" s="63">
        <f>-CF!AH40</f>
        <v>87771.983959559293</v>
      </c>
      <c r="AI91" s="63">
        <f>-CF!AI40</f>
        <v>88851.955460500263</v>
      </c>
      <c r="AJ91" s="63">
        <f>-CF!AJ40</f>
        <v>90245.676064310799</v>
      </c>
      <c r="AK91" s="63">
        <f>-CF!AK40</f>
        <v>92216.372345049065</v>
      </c>
      <c r="AL91" s="63">
        <f>-CF!AL40</f>
        <v>94086.566732905019</v>
      </c>
      <c r="AM91" s="63">
        <f>-CF!AM40</f>
        <v>95750.340880407879</v>
      </c>
      <c r="AN91" s="63">
        <f>-CF!AN40</f>
        <v>97501.090368714693</v>
      </c>
      <c r="AO91" s="63">
        <f>-CF!AO40</f>
        <v>99409.252862252455</v>
      </c>
      <c r="AP91" s="63">
        <f>-CF!AP40</f>
        <v>101086.21404886839</v>
      </c>
      <c r="AQ91" s="63">
        <f>-CF!AQ40</f>
        <v>102361.08542199977</v>
      </c>
      <c r="AR91" s="63">
        <f>-CF!AR40</f>
        <v>103369.69387875052</v>
      </c>
      <c r="AS91" s="63">
        <f>-CF!AS40</f>
        <v>104207.95531981395</v>
      </c>
      <c r="AT91" s="63">
        <f>-CF!AT40</f>
        <v>104485.62767496044</v>
      </c>
      <c r="AU91" s="63">
        <f>-CF!AU40</f>
        <v>104239.62442952156</v>
      </c>
      <c r="AV91" s="63">
        <f>-CF!AV40</f>
        <v>100079.40226845442</v>
      </c>
      <c r="AW91" s="63">
        <f>-CF!AW40</f>
        <v>92893.772380016409</v>
      </c>
      <c r="AX91" s="63">
        <f>-CF!AX40</f>
        <v>84767.466695155206</v>
      </c>
      <c r="AY91" s="63">
        <f>-CF!AY40</f>
        <v>76224.228288785962</v>
      </c>
      <c r="AZ91" s="63">
        <f>-CF!AZ40</f>
        <v>66255.988443943555</v>
      </c>
      <c r="BA91" s="63">
        <f>-CF!BA40</f>
        <v>55107.485090240669</v>
      </c>
      <c r="BB91" s="63">
        <f>-CF!BB40</f>
        <v>43064.646749955486</v>
      </c>
      <c r="BC91" s="63">
        <f>-CF!BC40</f>
        <v>30548.03105816455</v>
      </c>
      <c r="BD91" s="63">
        <f>-CF!BD40</f>
        <v>17374.293042554604</v>
      </c>
      <c r="BE91" s="63">
        <f>-CF!BE40</f>
        <v>5347.1039791417761</v>
      </c>
      <c r="BF91" s="63">
        <f>-CF!BF40</f>
        <v>0</v>
      </c>
      <c r="BG91" s="63">
        <f>-CF!BG40</f>
        <v>0</v>
      </c>
      <c r="BH91" s="63">
        <f>-CF!BH40</f>
        <v>0</v>
      </c>
      <c r="BI91" s="63">
        <f>-CF!BI40</f>
        <v>0</v>
      </c>
      <c r="BJ91" s="63">
        <f>-CF!BJ40</f>
        <v>0</v>
      </c>
      <c r="BK91" s="63">
        <f>-CF!BK40</f>
        <v>0</v>
      </c>
      <c r="BL91" s="63">
        <f>-CF!BL40</f>
        <v>0</v>
      </c>
      <c r="BM91" s="63">
        <f>-CF!BM40</f>
        <v>0</v>
      </c>
      <c r="BN91" s="63">
        <f>-CF!BN40</f>
        <v>0</v>
      </c>
      <c r="BO91" s="63">
        <f>-CF!BO40</f>
        <v>0</v>
      </c>
      <c r="BP91" s="63">
        <f>-CF!BP40</f>
        <v>0</v>
      </c>
      <c r="BQ91" s="63">
        <f>-CF!BQ40</f>
        <v>0</v>
      </c>
      <c r="BR91" s="63">
        <f>-CF!BR40</f>
        <v>0</v>
      </c>
      <c r="BS91" s="63">
        <f>-CF!BS40</f>
        <v>0</v>
      </c>
      <c r="BT91" s="63">
        <f>-CF!BT40</f>
        <v>0</v>
      </c>
      <c r="BU91" s="63">
        <f>-CF!BU40</f>
        <v>0</v>
      </c>
      <c r="BV91" s="63">
        <f>-CF!BV40</f>
        <v>0</v>
      </c>
      <c r="BW91" s="63">
        <f>-CF!BW40</f>
        <v>0</v>
      </c>
      <c r="BX91" s="63">
        <f>-CF!BX40</f>
        <v>0</v>
      </c>
      <c r="BY91" s="63">
        <f>-CF!BY40</f>
        <v>0</v>
      </c>
      <c r="BZ91" s="63">
        <f>-CF!BZ40</f>
        <v>0</v>
      </c>
      <c r="CA91" s="63">
        <f>-CF!CA40</f>
        <v>0</v>
      </c>
      <c r="CB91" s="63">
        <f>-CF!CB40</f>
        <v>0</v>
      </c>
      <c r="CC91" s="63">
        <f>-CF!CC40</f>
        <v>0</v>
      </c>
      <c r="CD91" s="63">
        <f>-CF!CD40</f>
        <v>0</v>
      </c>
      <c r="CE91" s="63">
        <f>-CF!CE40</f>
        <v>0</v>
      </c>
      <c r="CF91" s="63">
        <f>-CF!CF40</f>
        <v>0</v>
      </c>
      <c r="CG91" s="63">
        <f>-CF!CG40</f>
        <v>0</v>
      </c>
      <c r="CH91" s="63">
        <f>-CF!CH40</f>
        <v>0</v>
      </c>
      <c r="CI91" s="63">
        <f>-CF!CI40</f>
        <v>0</v>
      </c>
      <c r="CJ91" s="63">
        <f>-CF!CJ40</f>
        <v>0</v>
      </c>
      <c r="CK91" s="63">
        <f>-CF!CK40</f>
        <v>0</v>
      </c>
      <c r="CL91" s="63">
        <f>-CF!CL40</f>
        <v>0</v>
      </c>
      <c r="CM91" s="63">
        <f>-CF!CM40</f>
        <v>0</v>
      </c>
      <c r="CN91" s="63">
        <f>-CF!CN40</f>
        <v>0</v>
      </c>
      <c r="CO91" s="63">
        <f>-CF!CO40</f>
        <v>0</v>
      </c>
      <c r="CP91" s="63">
        <f>-CF!CP40</f>
        <v>0</v>
      </c>
      <c r="CQ91" s="63">
        <f>-CF!CQ40</f>
        <v>0</v>
      </c>
      <c r="CR91" s="63">
        <f>-CF!CR40</f>
        <v>0</v>
      </c>
      <c r="CS91" s="63">
        <f>-CF!CS40</f>
        <v>0</v>
      </c>
      <c r="CT91" s="63">
        <f>-CF!CT40</f>
        <v>0</v>
      </c>
      <c r="CU91" s="63">
        <f>-CF!CU40</f>
        <v>0</v>
      </c>
      <c r="CV91" s="63">
        <f>-CF!CV40</f>
        <v>0</v>
      </c>
      <c r="CW91" s="63">
        <f>-CF!CW40</f>
        <v>0</v>
      </c>
      <c r="CX91" s="63">
        <f>-CF!CX40</f>
        <v>0</v>
      </c>
      <c r="CY91" s="63">
        <f>-CF!CY40</f>
        <v>0</v>
      </c>
      <c r="CZ91" s="63">
        <f>-CF!CZ40</f>
        <v>0</v>
      </c>
      <c r="DA91" s="63">
        <f>-CF!DA40</f>
        <v>0</v>
      </c>
      <c r="DB91" s="63">
        <f>-CF!DB40</f>
        <v>0</v>
      </c>
      <c r="DC91" s="63">
        <f>-CF!DC40</f>
        <v>0</v>
      </c>
      <c r="DD91" s="63">
        <f>-CF!DD40</f>
        <v>0</v>
      </c>
      <c r="DE91" s="63">
        <f>-CF!DE40</f>
        <v>0</v>
      </c>
      <c r="DF91" s="63">
        <f>-CF!DF40</f>
        <v>0</v>
      </c>
      <c r="DG91" s="63">
        <f>-CF!DG40</f>
        <v>0</v>
      </c>
      <c r="DH91" s="63">
        <f>-CF!DH40</f>
        <v>0</v>
      </c>
      <c r="DI91" s="63">
        <f>-CF!DI40</f>
        <v>0</v>
      </c>
      <c r="DJ91" s="63">
        <f>-CF!DJ40</f>
        <v>0</v>
      </c>
      <c r="DK91" s="63">
        <f>-CF!DK40</f>
        <v>0</v>
      </c>
      <c r="DL91" s="63">
        <f>-CF!DL40</f>
        <v>0</v>
      </c>
      <c r="DM91" s="63">
        <f>-CF!DM40</f>
        <v>0</v>
      </c>
      <c r="DN91" s="63">
        <f>-CF!DN40</f>
        <v>0</v>
      </c>
      <c r="DO91" s="63">
        <f>-CF!DO40</f>
        <v>0</v>
      </c>
      <c r="DP91" s="63">
        <f>-CF!DP40</f>
        <v>0</v>
      </c>
      <c r="DQ91" s="16"/>
    </row>
    <row r="92" spans="3:121" x14ac:dyDescent="0.2">
      <c r="C92" t="s">
        <v>69</v>
      </c>
      <c r="K92" s="144" t="s">
        <v>63</v>
      </c>
      <c r="N92" s="63">
        <f t="shared" si="68"/>
        <v>85775.84291604691</v>
      </c>
      <c r="P92" s="61"/>
      <c r="Q92" s="63"/>
      <c r="R92" s="63"/>
      <c r="S92" s="63">
        <f>-CF!S39</f>
        <v>0</v>
      </c>
      <c r="T92" s="63">
        <f>-CF!T39</f>
        <v>185.57599601629585</v>
      </c>
      <c r="U92" s="63">
        <f>-CF!U39</f>
        <v>8234.6643871878387</v>
      </c>
      <c r="V92" s="63">
        <f>-CF!V39</f>
        <v>421.57731551623601</v>
      </c>
      <c r="W92" s="63">
        <f>-CF!W39</f>
        <v>421.67749218718967</v>
      </c>
      <c r="X92" s="63">
        <f>-CF!X39</f>
        <v>419.70912138295796</v>
      </c>
      <c r="Y92" s="63">
        <f>-CF!Y39</f>
        <v>414.95456311591295</v>
      </c>
      <c r="Z92" s="63">
        <f>-CF!Z39</f>
        <v>602.10684011685805</v>
      </c>
      <c r="AA92" s="63">
        <f>-CF!AA39</f>
        <v>598.61529966201601</v>
      </c>
      <c r="AB92" s="63">
        <f>-CF!AB39</f>
        <v>606.41633303187086</v>
      </c>
      <c r="AC92" s="63">
        <f>-CF!AC39</f>
        <v>621.09003702900895</v>
      </c>
      <c r="AD92" s="63">
        <f>-CF!AD39</f>
        <v>642.78812890495203</v>
      </c>
      <c r="AE92" s="63">
        <f>-CF!AE39</f>
        <v>11810.517242795093</v>
      </c>
      <c r="AF92" s="63">
        <f>-CF!AF39</f>
        <v>1198.2752951762759</v>
      </c>
      <c r="AG92" s="63">
        <f>-CF!AG39</f>
        <v>1206.1511923977835</v>
      </c>
      <c r="AH92" s="63">
        <f>-CF!AH39</f>
        <v>1207.3142519747826</v>
      </c>
      <c r="AI92" s="63">
        <f>-CF!AI39</f>
        <v>1198.9752432750104</v>
      </c>
      <c r="AJ92" s="63">
        <f>-CF!AJ39</f>
        <v>1297.3399394924027</v>
      </c>
      <c r="AK92" s="63">
        <f>-CF!AK39</f>
        <v>1377.2516760372655</v>
      </c>
      <c r="AL92" s="63">
        <f>-CF!AL39</f>
        <v>1316.1862769306522</v>
      </c>
      <c r="AM92" s="63">
        <f>-CF!AM39</f>
        <v>1290.0601840879945</v>
      </c>
      <c r="AN92" s="63">
        <f>-CF!AN39</f>
        <v>1768.3088669642812</v>
      </c>
      <c r="AO92" s="63">
        <f>-CF!AO39</f>
        <v>21625.94321194138</v>
      </c>
      <c r="AP92" s="63">
        <f>-CF!AP39</f>
        <v>2279.9650346316016</v>
      </c>
      <c r="AQ92" s="63">
        <f>-CF!AQ39</f>
        <v>2020.5155328239105</v>
      </c>
      <c r="AR92" s="63">
        <f>-CF!AR39</f>
        <v>1647.5276875554664</v>
      </c>
      <c r="AS92" s="63">
        <f>-CF!AS39</f>
        <v>571.53909421827882</v>
      </c>
      <c r="AT92" s="63">
        <f>-CF!AT39</f>
        <v>535.129494132118</v>
      </c>
      <c r="AU92" s="63">
        <f>-CF!AU39</f>
        <v>483.6572627455169</v>
      </c>
      <c r="AV92" s="63">
        <f>-CF!AV39</f>
        <v>411.23912903678615</v>
      </c>
      <c r="AW92" s="63">
        <f>-CF!AW39</f>
        <v>340.15854156231063</v>
      </c>
      <c r="AX92" s="63">
        <f>-CF!AX39</f>
        <v>270.39502631410579</v>
      </c>
      <c r="AY92" s="63">
        <f>-CF!AY39</f>
        <v>17961.866278762696</v>
      </c>
      <c r="AZ92" s="63">
        <f>-CF!AZ39</f>
        <v>124.03715987773975</v>
      </c>
      <c r="BA92" s="63">
        <f>-CF!BA39</f>
        <v>126.89001455492776</v>
      </c>
      <c r="BB92" s="63">
        <f>-CF!BB39</f>
        <v>129.8084848896911</v>
      </c>
      <c r="BC92" s="63">
        <f>-CF!BC39</f>
        <v>132.79408004215398</v>
      </c>
      <c r="BD92" s="63">
        <f>-CF!BD39</f>
        <v>135.84834388312353</v>
      </c>
      <c r="BE92" s="63">
        <f>-CF!BE39</f>
        <v>138.97285579243535</v>
      </c>
      <c r="BF92" s="63">
        <f>-CF!BF39</f>
        <v>0</v>
      </c>
      <c r="BG92" s="63">
        <f>-CF!BG39</f>
        <v>0</v>
      </c>
      <c r="BH92" s="63">
        <f>-CF!BH39</f>
        <v>0</v>
      </c>
      <c r="BI92" s="63">
        <f>-CF!BI39</f>
        <v>0</v>
      </c>
      <c r="BJ92" s="63">
        <f>-CF!BJ39</f>
        <v>0</v>
      </c>
      <c r="BK92" s="63">
        <f>-CF!BK39</f>
        <v>0</v>
      </c>
      <c r="BL92" s="63">
        <f>-CF!BL39</f>
        <v>0</v>
      </c>
      <c r="BM92" s="63">
        <f>-CF!BM39</f>
        <v>0</v>
      </c>
      <c r="BN92" s="63">
        <f>-CF!BN39</f>
        <v>0</v>
      </c>
      <c r="BO92" s="63">
        <f>-CF!BO39</f>
        <v>0</v>
      </c>
      <c r="BP92" s="63">
        <f>-CF!BP39</f>
        <v>0</v>
      </c>
      <c r="BQ92" s="63">
        <f>-CF!BQ39</f>
        <v>0</v>
      </c>
      <c r="BR92" s="63">
        <f>-CF!BR39</f>
        <v>0</v>
      </c>
      <c r="BS92" s="63">
        <f>-CF!BS39</f>
        <v>0</v>
      </c>
      <c r="BT92" s="63">
        <f>-CF!BT39</f>
        <v>0</v>
      </c>
      <c r="BU92" s="63">
        <f>-CF!BU39</f>
        <v>0</v>
      </c>
      <c r="BV92" s="63">
        <f>-CF!BV39</f>
        <v>0</v>
      </c>
      <c r="BW92" s="63">
        <f>-CF!BW39</f>
        <v>0</v>
      </c>
      <c r="BX92" s="63">
        <f>-CF!BX39</f>
        <v>0</v>
      </c>
      <c r="BY92" s="63">
        <f>-CF!BY39</f>
        <v>0</v>
      </c>
      <c r="BZ92" s="63">
        <f>-CF!BZ39</f>
        <v>0</v>
      </c>
      <c r="CA92" s="63">
        <f>-CF!CA39</f>
        <v>0</v>
      </c>
      <c r="CB92" s="63">
        <f>-CF!CB39</f>
        <v>0</v>
      </c>
      <c r="CC92" s="63">
        <f>-CF!CC39</f>
        <v>0</v>
      </c>
      <c r="CD92" s="63">
        <f>-CF!CD39</f>
        <v>0</v>
      </c>
      <c r="CE92" s="63">
        <f>-CF!CE39</f>
        <v>0</v>
      </c>
      <c r="CF92" s="63">
        <f>-CF!CF39</f>
        <v>0</v>
      </c>
      <c r="CG92" s="63">
        <f>-CF!CG39</f>
        <v>0</v>
      </c>
      <c r="CH92" s="63">
        <f>-CF!CH39</f>
        <v>0</v>
      </c>
      <c r="CI92" s="63">
        <f>-CF!CI39</f>
        <v>0</v>
      </c>
      <c r="CJ92" s="63">
        <f>-CF!CJ39</f>
        <v>0</v>
      </c>
      <c r="CK92" s="63">
        <f>-CF!CK39</f>
        <v>0</v>
      </c>
      <c r="CL92" s="63">
        <f>-CF!CL39</f>
        <v>0</v>
      </c>
      <c r="CM92" s="63">
        <f>-CF!CM39</f>
        <v>0</v>
      </c>
      <c r="CN92" s="63">
        <f>-CF!CN39</f>
        <v>0</v>
      </c>
      <c r="CO92" s="63">
        <f>-CF!CO39</f>
        <v>0</v>
      </c>
      <c r="CP92" s="63">
        <f>-CF!CP39</f>
        <v>0</v>
      </c>
      <c r="CQ92" s="63">
        <f>-CF!CQ39</f>
        <v>0</v>
      </c>
      <c r="CR92" s="63">
        <f>-CF!CR39</f>
        <v>0</v>
      </c>
      <c r="CS92" s="63">
        <f>-CF!CS39</f>
        <v>0</v>
      </c>
      <c r="CT92" s="63">
        <f>-CF!CT39</f>
        <v>0</v>
      </c>
      <c r="CU92" s="63">
        <f>-CF!CU39</f>
        <v>0</v>
      </c>
      <c r="CV92" s="63">
        <f>-CF!CV39</f>
        <v>0</v>
      </c>
      <c r="CW92" s="63">
        <f>-CF!CW39</f>
        <v>0</v>
      </c>
      <c r="CX92" s="63">
        <f>-CF!CX39</f>
        <v>0</v>
      </c>
      <c r="CY92" s="63">
        <f>-CF!CY39</f>
        <v>0</v>
      </c>
      <c r="CZ92" s="63">
        <f>-CF!CZ39</f>
        <v>0</v>
      </c>
      <c r="DA92" s="63">
        <f>-CF!DA39</f>
        <v>0</v>
      </c>
      <c r="DB92" s="63">
        <f>-CF!DB39</f>
        <v>0</v>
      </c>
      <c r="DC92" s="63">
        <f>-CF!DC39</f>
        <v>0</v>
      </c>
      <c r="DD92" s="63">
        <f>-CF!DD39</f>
        <v>0</v>
      </c>
      <c r="DE92" s="63">
        <f>-CF!DE39</f>
        <v>0</v>
      </c>
      <c r="DF92" s="63">
        <f>-CF!DF39</f>
        <v>0</v>
      </c>
      <c r="DG92" s="63">
        <f>-CF!DG39</f>
        <v>0</v>
      </c>
      <c r="DH92" s="63">
        <f>-CF!DH39</f>
        <v>0</v>
      </c>
      <c r="DI92" s="63">
        <f>-CF!DI39</f>
        <v>0</v>
      </c>
      <c r="DJ92" s="63">
        <f>-CF!DJ39</f>
        <v>0</v>
      </c>
      <c r="DK92" s="63">
        <f>-CF!DK39</f>
        <v>0</v>
      </c>
      <c r="DL92" s="63">
        <f>-CF!DL39</f>
        <v>0</v>
      </c>
      <c r="DM92" s="63">
        <f>-CF!DM39</f>
        <v>0</v>
      </c>
      <c r="DN92" s="63">
        <f>-CF!DN39</f>
        <v>0</v>
      </c>
      <c r="DO92" s="63">
        <f>-CF!DO39</f>
        <v>0</v>
      </c>
      <c r="DP92" s="63">
        <f>-CF!DP39</f>
        <v>0</v>
      </c>
      <c r="DQ92" s="16"/>
    </row>
    <row r="93" spans="3:121" x14ac:dyDescent="0.2">
      <c r="C93" t="s">
        <v>116</v>
      </c>
      <c r="K93" s="144" t="s">
        <v>63</v>
      </c>
      <c r="N93" s="63">
        <f t="shared" si="68"/>
        <v>574173.40608149499</v>
      </c>
      <c r="P93" s="61"/>
      <c r="Q93" s="63"/>
      <c r="R93" s="63"/>
      <c r="S93" s="63">
        <f>+Fin!S248+Fin!S249+Fin!S274+Fin!S275+Fin!S305</f>
        <v>46089.205415482946</v>
      </c>
      <c r="T93" s="63">
        <f>+Fin!T248+Fin!T249+Fin!T274+Fin!T275+Fin!T305</f>
        <v>66536.014867182152</v>
      </c>
      <c r="U93" s="63">
        <f>+Fin!U248+Fin!U249+Fin!U274+Fin!U275+Fin!U305</f>
        <v>82439.741395575635</v>
      </c>
      <c r="V93" s="63">
        <f>+Fin!V248+Fin!V249+Fin!V274+Fin!V275+Fin!V305</f>
        <v>6711.2985041065622</v>
      </c>
      <c r="W93" s="63">
        <f>+Fin!W248+Fin!W249+Fin!W274+Fin!W275+Fin!W305</f>
        <v>5223.8670765352417</v>
      </c>
      <c r="X93" s="63">
        <f>+Fin!X248+Fin!X249+Fin!X274+Fin!X275+Fin!X305</f>
        <v>3247.856825374909</v>
      </c>
      <c r="Y93" s="63">
        <f>+Fin!Y248+Fin!Y249+Fin!Y274+Fin!Y275+Fin!Y305</f>
        <v>2655.9960056557975</v>
      </c>
      <c r="Z93" s="63">
        <f>+Fin!Z248+Fin!Z249+Fin!Z274+Fin!Z275+Fin!Z305</f>
        <v>2032.3619602791878</v>
      </c>
      <c r="AA93" s="63">
        <f>+Fin!AA248+Fin!AA249+Fin!AA274+Fin!AA275+Fin!AA305</f>
        <v>1621.8091364062057</v>
      </c>
      <c r="AB93" s="63">
        <f>+Fin!AB248+Fin!AB249+Fin!AB274+Fin!AB275+Fin!AB305</f>
        <v>1803.391462022475</v>
      </c>
      <c r="AC93" s="63">
        <f>+Fin!AC248+Fin!AC249+Fin!AC274+Fin!AC275+Fin!AC305</f>
        <v>1805.9984307099658</v>
      </c>
      <c r="AD93" s="63">
        <f>+Fin!AD248+Fin!AD249+Fin!AD274+Fin!AD275+Fin!AD305</f>
        <v>3792.7266595091824</v>
      </c>
      <c r="AE93" s="63">
        <f>+Fin!AE248+Fin!AE249+Fin!AE274+Fin!AE275+Fin!AE305</f>
        <v>6849.9260434661192</v>
      </c>
      <c r="AF93" s="63">
        <f>+Fin!AF248+Fin!AF249+Fin!AF274+Fin!AF275+Fin!AF305</f>
        <v>11149.809947657886</v>
      </c>
      <c r="AG93" s="63">
        <f>+Fin!AG248+Fin!AG249+Fin!AG274+Fin!AG275+Fin!AG305</f>
        <v>11639.175098137057</v>
      </c>
      <c r="AH93" s="63">
        <f>+Fin!AH248+Fin!AH249+Fin!AH274+Fin!AH275+Fin!AH305</f>
        <v>10038.592774319564</v>
      </c>
      <c r="AI93" s="63">
        <f>+Fin!AI248+Fin!AI249+Fin!AI274+Fin!AI275+Fin!AI305</f>
        <v>6054.7294765488259</v>
      </c>
      <c r="AJ93" s="63">
        <f>+Fin!AJ248+Fin!AJ249+Fin!AJ274+Fin!AJ275+Fin!AJ305</f>
        <v>4362.9094294107927</v>
      </c>
      <c r="AK93" s="63">
        <f>+Fin!AK248+Fin!AK249+Fin!AK274+Fin!AK275+Fin!AK305</f>
        <v>4761.2757917118724</v>
      </c>
      <c r="AL93" s="63">
        <f>+Fin!AL248+Fin!AL249+Fin!AL274+Fin!AL275+Fin!AL305</f>
        <v>4660.2743023161602</v>
      </c>
      <c r="AM93" s="63">
        <f>+Fin!AM248+Fin!AM249+Fin!AM274+Fin!AM275+Fin!AM305</f>
        <v>5104.1137839636067</v>
      </c>
      <c r="AN93" s="63">
        <f>+Fin!AN248+Fin!AN249+Fin!AN274+Fin!AN275+Fin!AN305</f>
        <v>697.80868542422832</v>
      </c>
      <c r="AO93" s="63">
        <f>+Fin!AO248+Fin!AO249+Fin!AO274+Fin!AO275+Fin!AO305</f>
        <v>29336.830962138665</v>
      </c>
      <c r="AP93" s="63">
        <f>+Fin!AP248+Fin!AP249+Fin!AP274+Fin!AP275+Fin!AP305</f>
        <v>6414.9157139993986</v>
      </c>
      <c r="AQ93" s="63">
        <f>+Fin!AQ248+Fin!AQ249+Fin!AQ274+Fin!AQ275+Fin!AQ305</f>
        <v>7769.6297578547201</v>
      </c>
      <c r="AR93" s="63">
        <f>+Fin!AR248+Fin!AR249+Fin!AR274+Fin!AR275+Fin!AR305</f>
        <v>8148.265042363706</v>
      </c>
      <c r="AS93" s="63">
        <f>+Fin!AS248+Fin!AS249+Fin!AS274+Fin!AS275+Fin!AS305</f>
        <v>7474.2273819172406</v>
      </c>
      <c r="AT93" s="63">
        <f>+Fin!AT248+Fin!AT249+Fin!AT274+Fin!AT275+Fin!AT305</f>
        <v>81063.152488336724</v>
      </c>
      <c r="AU93" s="63">
        <f>+Fin!AU248+Fin!AU249+Fin!AU274+Fin!AU275+Fin!AU305</f>
        <v>74540.150844539225</v>
      </c>
      <c r="AV93" s="63">
        <f>+Fin!AV248+Fin!AV249+Fin!AV274+Fin!AV275+Fin!AV305</f>
        <v>982.72032654244686</v>
      </c>
      <c r="AW93" s="63">
        <f>+Fin!AW248+Fin!AW249+Fin!AW274+Fin!AW275+Fin!AW305</f>
        <v>849.97823727177456</v>
      </c>
      <c r="AX93" s="63">
        <f>+Fin!AX248+Fin!AX249+Fin!AX274+Fin!AX275+Fin!AX305</f>
        <v>10520.084884236734</v>
      </c>
      <c r="AY93" s="63">
        <f>+Fin!AY248+Fin!AY249+Fin!AY274+Fin!AY275+Fin!AY305</f>
        <v>13804.782182669391</v>
      </c>
      <c r="AZ93" s="63">
        <f>+Fin!AZ248+Fin!AZ249+Fin!AZ274+Fin!AZ275+Fin!AZ305</f>
        <v>6588.554015575246</v>
      </c>
      <c r="BA93" s="63">
        <f>+Fin!BA248+Fin!BA249+Fin!BA274+Fin!BA275+Fin!BA305</f>
        <v>7453.8591490584149</v>
      </c>
      <c r="BB93" s="63">
        <f>+Fin!BB248+Fin!BB249+Fin!BB274+Fin!BB275+Fin!BB305</f>
        <v>8537.0104540626635</v>
      </c>
      <c r="BC93" s="63">
        <f>+Fin!BC248+Fin!BC249+Fin!BC274+Fin!BC275+Fin!BC305</f>
        <v>9879.6845760317956</v>
      </c>
      <c r="BD93" s="63">
        <f>+Fin!BD248+Fin!BD249+Fin!BD274+Fin!BD275+Fin!BD305</f>
        <v>11530.676993100526</v>
      </c>
      <c r="BE93" s="63">
        <f>+Fin!BE248+Fin!BE249+Fin!BE274+Fin!BE275+Fin!BE305</f>
        <v>0</v>
      </c>
      <c r="BF93" s="63">
        <f>+Fin!BF248+Fin!BF249+Fin!BF274+Fin!BF275+Fin!BF305</f>
        <v>0</v>
      </c>
      <c r="BG93" s="63">
        <f>+Fin!BG248+Fin!BG249+Fin!BG274+Fin!BG275+Fin!BG305</f>
        <v>0</v>
      </c>
      <c r="BH93" s="63">
        <f>+Fin!BH248+Fin!BH249+Fin!BH274+Fin!BH275+Fin!BH305</f>
        <v>0</v>
      </c>
      <c r="BI93" s="63">
        <f>+Fin!BI248+Fin!BI249+Fin!BI274+Fin!BI275+Fin!BI305</f>
        <v>0</v>
      </c>
      <c r="BJ93" s="63">
        <f>+Fin!BJ248+Fin!BJ249+Fin!BJ274+Fin!BJ275+Fin!BJ305</f>
        <v>0</v>
      </c>
      <c r="BK93" s="63">
        <f>+Fin!BK248+Fin!BK249+Fin!BK274+Fin!BK275+Fin!BK305</f>
        <v>0</v>
      </c>
      <c r="BL93" s="63">
        <f>+Fin!BL248+Fin!BL249+Fin!BL274+Fin!BL275+Fin!BL305</f>
        <v>0</v>
      </c>
      <c r="BM93" s="63">
        <f>+Fin!BM248+Fin!BM249+Fin!BM274+Fin!BM275+Fin!BM305</f>
        <v>0</v>
      </c>
      <c r="BN93" s="63">
        <f>+Fin!BN248+Fin!BN249+Fin!BN274+Fin!BN275+Fin!BN305</f>
        <v>0</v>
      </c>
      <c r="BO93" s="63">
        <f>+Fin!BO248+Fin!BO249+Fin!BO274+Fin!BO275+Fin!BO305</f>
        <v>0</v>
      </c>
      <c r="BP93" s="63">
        <f>+Fin!BP248+Fin!BP249+Fin!BP274+Fin!BP275+Fin!BP305</f>
        <v>0</v>
      </c>
      <c r="BQ93" s="63">
        <f>+Fin!BQ248+Fin!BQ249+Fin!BQ274+Fin!BQ275+Fin!BQ305</f>
        <v>0</v>
      </c>
      <c r="BR93" s="63">
        <f>+Fin!BR248+Fin!BR249+Fin!BR274+Fin!BR275+Fin!BR305</f>
        <v>0</v>
      </c>
      <c r="BS93" s="63">
        <f>+Fin!BS248+Fin!BS249+Fin!BS274+Fin!BS275+Fin!BS305</f>
        <v>0</v>
      </c>
      <c r="BT93" s="63">
        <f>+Fin!BT248+Fin!BT249+Fin!BT274+Fin!BT275+Fin!BT305</f>
        <v>0</v>
      </c>
      <c r="BU93" s="63">
        <f>+Fin!BU248+Fin!BU249+Fin!BU274+Fin!BU275+Fin!BU305</f>
        <v>0</v>
      </c>
      <c r="BV93" s="63">
        <f>+Fin!BV248+Fin!BV249+Fin!BV274+Fin!BV275+Fin!BV305</f>
        <v>0</v>
      </c>
      <c r="BW93" s="63">
        <f>+Fin!BW248+Fin!BW249+Fin!BW274+Fin!BW275+Fin!BW305</f>
        <v>0</v>
      </c>
      <c r="BX93" s="63">
        <f>+Fin!BX248+Fin!BX249+Fin!BX274+Fin!BX275+Fin!BX305</f>
        <v>0</v>
      </c>
      <c r="BY93" s="63">
        <f>+Fin!BY248+Fin!BY249+Fin!BY274+Fin!BY275+Fin!BY305</f>
        <v>0</v>
      </c>
      <c r="BZ93" s="63">
        <f>+Fin!BZ248+Fin!BZ249+Fin!BZ274+Fin!BZ275+Fin!BZ305</f>
        <v>0</v>
      </c>
      <c r="CA93" s="63">
        <f>+Fin!CA248+Fin!CA249+Fin!CA274+Fin!CA275+Fin!CA305</f>
        <v>0</v>
      </c>
      <c r="CB93" s="63">
        <f>+Fin!CB248+Fin!CB249+Fin!CB274+Fin!CB275+Fin!CB305</f>
        <v>0</v>
      </c>
      <c r="CC93" s="63">
        <f>+Fin!CC248+Fin!CC249+Fin!CC274+Fin!CC275+Fin!CC305</f>
        <v>0</v>
      </c>
      <c r="CD93" s="63">
        <f>+Fin!CD248+Fin!CD249+Fin!CD274+Fin!CD275+Fin!CD305</f>
        <v>0</v>
      </c>
      <c r="CE93" s="63">
        <f>+Fin!CE248+Fin!CE249+Fin!CE274+Fin!CE275+Fin!CE305</f>
        <v>0</v>
      </c>
      <c r="CF93" s="63">
        <f>+Fin!CF248+Fin!CF249+Fin!CF274+Fin!CF275+Fin!CF305</f>
        <v>0</v>
      </c>
      <c r="CG93" s="63">
        <f>+Fin!CG248+Fin!CG249+Fin!CG274+Fin!CG275+Fin!CG305</f>
        <v>0</v>
      </c>
      <c r="CH93" s="63">
        <f>+Fin!CH248+Fin!CH249+Fin!CH274+Fin!CH275+Fin!CH305</f>
        <v>0</v>
      </c>
      <c r="CI93" s="63">
        <f>+Fin!CI248+Fin!CI249+Fin!CI274+Fin!CI275+Fin!CI305</f>
        <v>0</v>
      </c>
      <c r="CJ93" s="63">
        <f>+Fin!CJ248+Fin!CJ249+Fin!CJ274+Fin!CJ275+Fin!CJ305</f>
        <v>0</v>
      </c>
      <c r="CK93" s="63">
        <f>+Fin!CK248+Fin!CK249+Fin!CK274+Fin!CK275+Fin!CK305</f>
        <v>0</v>
      </c>
      <c r="CL93" s="63">
        <f>+Fin!CL248+Fin!CL249+Fin!CL274+Fin!CL275+Fin!CL305</f>
        <v>0</v>
      </c>
      <c r="CM93" s="63">
        <f>+Fin!CM248+Fin!CM249+Fin!CM274+Fin!CM275+Fin!CM305</f>
        <v>0</v>
      </c>
      <c r="CN93" s="63">
        <f>+Fin!CN248+Fin!CN249+Fin!CN274+Fin!CN275+Fin!CN305</f>
        <v>0</v>
      </c>
      <c r="CO93" s="63">
        <f>+Fin!CO248+Fin!CO249+Fin!CO274+Fin!CO275+Fin!CO305</f>
        <v>0</v>
      </c>
      <c r="CP93" s="63">
        <f>+Fin!CP248+Fin!CP249+Fin!CP274+Fin!CP275+Fin!CP305</f>
        <v>0</v>
      </c>
      <c r="CQ93" s="63">
        <f>+Fin!CQ248+Fin!CQ249+Fin!CQ274+Fin!CQ275+Fin!CQ305</f>
        <v>0</v>
      </c>
      <c r="CR93" s="63">
        <f>+Fin!CR248+Fin!CR249+Fin!CR274+Fin!CR275+Fin!CR305</f>
        <v>0</v>
      </c>
      <c r="CS93" s="63">
        <f>+Fin!CS248+Fin!CS249+Fin!CS274+Fin!CS275+Fin!CS305</f>
        <v>0</v>
      </c>
      <c r="CT93" s="63">
        <f>+Fin!CT248+Fin!CT249+Fin!CT274+Fin!CT275+Fin!CT305</f>
        <v>0</v>
      </c>
      <c r="CU93" s="63">
        <f>+Fin!CU248+Fin!CU249+Fin!CU274+Fin!CU275+Fin!CU305</f>
        <v>0</v>
      </c>
      <c r="CV93" s="63">
        <f>+Fin!CV248+Fin!CV249+Fin!CV274+Fin!CV275+Fin!CV305</f>
        <v>0</v>
      </c>
      <c r="CW93" s="63">
        <f>+Fin!CW248+Fin!CW249+Fin!CW274+Fin!CW275+Fin!CW305</f>
        <v>0</v>
      </c>
      <c r="CX93" s="63">
        <f>+Fin!CX248+Fin!CX249+Fin!CX274+Fin!CX275+Fin!CX305</f>
        <v>0</v>
      </c>
      <c r="CY93" s="63">
        <f>+Fin!CY248+Fin!CY249+Fin!CY274+Fin!CY275+Fin!CY305</f>
        <v>0</v>
      </c>
      <c r="CZ93" s="63">
        <f>+Fin!CZ248+Fin!CZ249+Fin!CZ274+Fin!CZ275+Fin!CZ305</f>
        <v>0</v>
      </c>
      <c r="DA93" s="63">
        <f>+Fin!DA248+Fin!DA249+Fin!DA274+Fin!DA275+Fin!DA305</f>
        <v>0</v>
      </c>
      <c r="DB93" s="63">
        <f>+Fin!DB248+Fin!DB249+Fin!DB274+Fin!DB275+Fin!DB305</f>
        <v>0</v>
      </c>
      <c r="DC93" s="63">
        <f>+Fin!DC248+Fin!DC249+Fin!DC274+Fin!DC275+Fin!DC305</f>
        <v>0</v>
      </c>
      <c r="DD93" s="63">
        <f>+Fin!DD248+Fin!DD249+Fin!DD274+Fin!DD275+Fin!DD305</f>
        <v>0</v>
      </c>
      <c r="DE93" s="63">
        <f>+Fin!DE248+Fin!DE249+Fin!DE274+Fin!DE275+Fin!DE305</f>
        <v>0</v>
      </c>
      <c r="DF93" s="63">
        <f>+Fin!DF248+Fin!DF249+Fin!DF274+Fin!DF275+Fin!DF305</f>
        <v>0</v>
      </c>
      <c r="DG93" s="63">
        <f>+Fin!DG248+Fin!DG249+Fin!DG274+Fin!DG275+Fin!DG305</f>
        <v>0</v>
      </c>
      <c r="DH93" s="63">
        <f>+Fin!DH248+Fin!DH249+Fin!DH274+Fin!DH275+Fin!DH305</f>
        <v>0</v>
      </c>
      <c r="DI93" s="63">
        <f>+Fin!DI248+Fin!DI249+Fin!DI274+Fin!DI275+Fin!DI305</f>
        <v>0</v>
      </c>
      <c r="DJ93" s="63">
        <f>+Fin!DJ248+Fin!DJ249+Fin!DJ274+Fin!DJ275+Fin!DJ305</f>
        <v>0</v>
      </c>
      <c r="DK93" s="63">
        <f>+Fin!DK248+Fin!DK249+Fin!DK274+Fin!DK275+Fin!DK305</f>
        <v>0</v>
      </c>
      <c r="DL93" s="63">
        <f>+Fin!DL248+Fin!DL249+Fin!DL274+Fin!DL275+Fin!DL305</f>
        <v>0</v>
      </c>
      <c r="DM93" s="63">
        <f>+Fin!DM248+Fin!DM249+Fin!DM274+Fin!DM275+Fin!DM305</f>
        <v>0</v>
      </c>
      <c r="DN93" s="63">
        <f>+Fin!DN248+Fin!DN249+Fin!DN274+Fin!DN275+Fin!DN305</f>
        <v>0</v>
      </c>
      <c r="DO93" s="63">
        <f>+Fin!DO248+Fin!DO249+Fin!DO274+Fin!DO275+Fin!DO305</f>
        <v>0</v>
      </c>
      <c r="DP93" s="63">
        <f>+Fin!DP248+Fin!DP249+Fin!DP274+Fin!DP275+Fin!DP305</f>
        <v>0</v>
      </c>
      <c r="DQ93" s="16"/>
    </row>
    <row r="94" spans="3:121" x14ac:dyDescent="0.2">
      <c r="C94" s="81" t="s">
        <v>314</v>
      </c>
      <c r="K94" s="144" t="s">
        <v>63</v>
      </c>
      <c r="N94" s="63">
        <f t="shared" si="68"/>
        <v>-1982.7223300000005</v>
      </c>
      <c r="P94" s="61"/>
      <c r="Q94" s="63"/>
      <c r="R94" s="63"/>
      <c r="S94" s="63">
        <f>-CF!S33</f>
        <v>0</v>
      </c>
      <c r="T94" s="63">
        <f>-CF!T33</f>
        <v>0</v>
      </c>
      <c r="U94" s="63">
        <f>-CF!U33</f>
        <v>0</v>
      </c>
      <c r="V94" s="63">
        <f>-CF!V33</f>
        <v>0</v>
      </c>
      <c r="W94" s="63">
        <f>-CF!W33</f>
        <v>0</v>
      </c>
      <c r="X94" s="63">
        <f>-CF!X33</f>
        <v>0</v>
      </c>
      <c r="Y94" s="63">
        <f>-CF!Y33</f>
        <v>0</v>
      </c>
      <c r="Z94" s="63">
        <f>-CF!Z33</f>
        <v>0</v>
      </c>
      <c r="AA94" s="63">
        <f>-CF!AA33</f>
        <v>0</v>
      </c>
      <c r="AB94" s="63">
        <f>-CF!AB33</f>
        <v>0</v>
      </c>
      <c r="AC94" s="63">
        <f>-CF!AC33</f>
        <v>0</v>
      </c>
      <c r="AD94" s="63">
        <f>-CF!AD33</f>
        <v>0</v>
      </c>
      <c r="AE94" s="63">
        <f>-CF!AE33</f>
        <v>0</v>
      </c>
      <c r="AF94" s="63">
        <f>-CF!AF33</f>
        <v>0</v>
      </c>
      <c r="AG94" s="63">
        <f>-CF!AG33</f>
        <v>0</v>
      </c>
      <c r="AH94" s="63">
        <f>-CF!AH33</f>
        <v>0</v>
      </c>
      <c r="AI94" s="63">
        <f>-CF!AI33</f>
        <v>0</v>
      </c>
      <c r="AJ94" s="63">
        <f>-CF!AJ33</f>
        <v>0</v>
      </c>
      <c r="AK94" s="63">
        <f>-CF!AK33</f>
        <v>0</v>
      </c>
      <c r="AL94" s="63">
        <f>-CF!AL33</f>
        <v>0</v>
      </c>
      <c r="AM94" s="63">
        <f>-CF!AM33</f>
        <v>0</v>
      </c>
      <c r="AN94" s="63">
        <f>-CF!AN33</f>
        <v>0</v>
      </c>
      <c r="AO94" s="63">
        <f>-CF!AO33</f>
        <v>0</v>
      </c>
      <c r="AP94" s="63">
        <f>-CF!AP33</f>
        <v>0</v>
      </c>
      <c r="AQ94" s="63">
        <f>-CF!AQ33</f>
        <v>0</v>
      </c>
      <c r="AR94" s="63">
        <f>-CF!AR33</f>
        <v>0</v>
      </c>
      <c r="AS94" s="63">
        <f>-CF!AS33</f>
        <v>0</v>
      </c>
      <c r="AT94" s="63">
        <f>-CF!AT33</f>
        <v>0</v>
      </c>
      <c r="AU94" s="63">
        <f>-CF!AU33</f>
        <v>0</v>
      </c>
      <c r="AV94" s="63">
        <f>-CF!AV33</f>
        <v>0</v>
      </c>
      <c r="AW94" s="63">
        <f>-CF!AW33</f>
        <v>0</v>
      </c>
      <c r="AX94" s="63">
        <f>-CF!AX33</f>
        <v>0</v>
      </c>
      <c r="AY94" s="63">
        <f>-CF!AY33</f>
        <v>0</v>
      </c>
      <c r="AZ94" s="63">
        <f>-CF!AZ33</f>
        <v>0</v>
      </c>
      <c r="BA94" s="63">
        <f>-CF!BA33</f>
        <v>0</v>
      </c>
      <c r="BB94" s="63">
        <f>-CF!BB33</f>
        <v>0</v>
      </c>
      <c r="BC94" s="63">
        <f>-CF!BC33</f>
        <v>0</v>
      </c>
      <c r="BD94" s="63">
        <f>-CF!BD33</f>
        <v>0</v>
      </c>
      <c r="BE94" s="63">
        <f>-CF!BE33</f>
        <v>0</v>
      </c>
      <c r="BF94" s="63">
        <f>-CF!BF33</f>
        <v>0</v>
      </c>
      <c r="BG94" s="63">
        <f>-CF!BG33</f>
        <v>0</v>
      </c>
      <c r="BH94" s="63">
        <f>-CF!BH33</f>
        <v>0</v>
      </c>
      <c r="BI94" s="63">
        <f>-CF!BI33</f>
        <v>0</v>
      </c>
      <c r="BJ94" s="63">
        <f>-CF!BJ33</f>
        <v>-1982.7223300000005</v>
      </c>
      <c r="BK94" s="63">
        <f>-CF!BK33</f>
        <v>0</v>
      </c>
      <c r="BL94" s="63">
        <f>-CF!BL33</f>
        <v>0</v>
      </c>
      <c r="BM94" s="63">
        <f>-CF!BM33</f>
        <v>0</v>
      </c>
      <c r="BN94" s="63">
        <f>-CF!BN33</f>
        <v>0</v>
      </c>
      <c r="BO94" s="63">
        <f>-CF!BO33</f>
        <v>0</v>
      </c>
      <c r="BP94" s="63">
        <f>-CF!BP33</f>
        <v>0</v>
      </c>
      <c r="BQ94" s="63">
        <f>-CF!BQ33</f>
        <v>0</v>
      </c>
      <c r="BR94" s="63">
        <f>-CF!BR33</f>
        <v>0</v>
      </c>
      <c r="BS94" s="63">
        <f>-CF!BS33</f>
        <v>0</v>
      </c>
      <c r="BT94" s="63">
        <f>-CF!BT33</f>
        <v>0</v>
      </c>
      <c r="BU94" s="63">
        <f>-CF!BU33</f>
        <v>0</v>
      </c>
      <c r="BV94" s="63">
        <f>-CF!BV33</f>
        <v>0</v>
      </c>
      <c r="BW94" s="63">
        <f>-CF!BW33</f>
        <v>0</v>
      </c>
      <c r="BX94" s="63">
        <f>-CF!BX33</f>
        <v>0</v>
      </c>
      <c r="BY94" s="63">
        <f>-CF!BY33</f>
        <v>0</v>
      </c>
      <c r="BZ94" s="63">
        <f>-CF!BZ33</f>
        <v>0</v>
      </c>
      <c r="CA94" s="63">
        <f>-CF!CA33</f>
        <v>0</v>
      </c>
      <c r="CB94" s="63">
        <f>-CF!CB33</f>
        <v>0</v>
      </c>
      <c r="CC94" s="63">
        <f>-CF!CC33</f>
        <v>0</v>
      </c>
      <c r="CD94" s="63">
        <f>-CF!CD33</f>
        <v>0</v>
      </c>
      <c r="CE94" s="63">
        <f>-CF!CE33</f>
        <v>0</v>
      </c>
      <c r="CF94" s="63">
        <f>-CF!CF33</f>
        <v>0</v>
      </c>
      <c r="CG94" s="63">
        <f>-CF!CG33</f>
        <v>0</v>
      </c>
      <c r="CH94" s="63">
        <f>-CF!CH33</f>
        <v>0</v>
      </c>
      <c r="CI94" s="63">
        <f>-CF!CI33</f>
        <v>0</v>
      </c>
      <c r="CJ94" s="63">
        <f>-CF!CJ33</f>
        <v>0</v>
      </c>
      <c r="CK94" s="63">
        <f>-CF!CK33</f>
        <v>0</v>
      </c>
      <c r="CL94" s="63">
        <f>-CF!CL33</f>
        <v>0</v>
      </c>
      <c r="CM94" s="63">
        <f>-CF!CM33</f>
        <v>0</v>
      </c>
      <c r="CN94" s="63">
        <f>-CF!CN33</f>
        <v>0</v>
      </c>
      <c r="CO94" s="63">
        <f>-CF!CO33</f>
        <v>0</v>
      </c>
      <c r="CP94" s="63">
        <f>-CF!CP33</f>
        <v>0</v>
      </c>
      <c r="CQ94" s="63">
        <f>-CF!CQ33</f>
        <v>0</v>
      </c>
      <c r="CR94" s="63">
        <f>-CF!CR33</f>
        <v>0</v>
      </c>
      <c r="CS94" s="63">
        <f>-CF!CS33</f>
        <v>0</v>
      </c>
      <c r="CT94" s="63">
        <f>-CF!CT33</f>
        <v>0</v>
      </c>
      <c r="CU94" s="63">
        <f>-CF!CU33</f>
        <v>0</v>
      </c>
      <c r="CV94" s="63">
        <f>-CF!CV33</f>
        <v>0</v>
      </c>
      <c r="CW94" s="63">
        <f>-CF!CW33</f>
        <v>0</v>
      </c>
      <c r="CX94" s="63">
        <f>-CF!CX33</f>
        <v>0</v>
      </c>
      <c r="CY94" s="63">
        <f>-CF!CY33</f>
        <v>0</v>
      </c>
      <c r="CZ94" s="63">
        <f>-CF!CZ33</f>
        <v>0</v>
      </c>
      <c r="DA94" s="63">
        <f>-CF!DA33</f>
        <v>0</v>
      </c>
      <c r="DB94" s="63">
        <f>-CF!DB33</f>
        <v>0</v>
      </c>
      <c r="DC94" s="63">
        <f>-CF!DC33</f>
        <v>0</v>
      </c>
      <c r="DD94" s="63">
        <f>-CF!DD33</f>
        <v>0</v>
      </c>
      <c r="DE94" s="63">
        <f>-CF!DE33</f>
        <v>0</v>
      </c>
      <c r="DF94" s="63">
        <f>-CF!DF33</f>
        <v>0</v>
      </c>
      <c r="DG94" s="63">
        <f>-CF!DG33</f>
        <v>0</v>
      </c>
      <c r="DH94" s="63">
        <f>-CF!DH33</f>
        <v>0</v>
      </c>
      <c r="DI94" s="63">
        <f>-CF!DI33</f>
        <v>0</v>
      </c>
      <c r="DJ94" s="63">
        <f>-CF!DJ33</f>
        <v>0</v>
      </c>
      <c r="DK94" s="63">
        <f>-CF!DK33</f>
        <v>0</v>
      </c>
      <c r="DL94" s="63">
        <f>-CF!DL33</f>
        <v>0</v>
      </c>
      <c r="DM94" s="63">
        <f>-CF!DM33</f>
        <v>0</v>
      </c>
      <c r="DN94" s="63">
        <f>-CF!DN33</f>
        <v>0</v>
      </c>
      <c r="DO94" s="63">
        <f>-CF!DO33</f>
        <v>0</v>
      </c>
      <c r="DP94" s="63">
        <f>-CF!DP33</f>
        <v>0</v>
      </c>
      <c r="DQ94" s="16"/>
    </row>
    <row r="95" spans="3:121" x14ac:dyDescent="0.2">
      <c r="C95" t="s">
        <v>351</v>
      </c>
      <c r="K95" s="144" t="s">
        <v>63</v>
      </c>
      <c r="N95" s="63">
        <f t="shared" si="68"/>
        <v>30216314.973365799</v>
      </c>
      <c r="P95" s="61"/>
      <c r="Q95" s="63"/>
      <c r="R95" s="63"/>
      <c r="S95" s="63">
        <f>+MAX(CF!S52,0)</f>
        <v>0</v>
      </c>
      <c r="T95" s="63">
        <f>+MAX(CF!T52,0)</f>
        <v>0</v>
      </c>
      <c r="U95" s="63">
        <f>+MAX(CF!U52,0)</f>
        <v>247570.44432824073</v>
      </c>
      <c r="V95" s="63">
        <f>+MAX(CF!V52,0)</f>
        <v>64936.703322905654</v>
      </c>
      <c r="W95" s="63">
        <f>+MAX(CF!W52,0)</f>
        <v>78791.618545604462</v>
      </c>
      <c r="X95" s="63">
        <f>+MAX(CF!X52,0)</f>
        <v>94084.949761677388</v>
      </c>
      <c r="Y95" s="63">
        <f>+MAX(CF!Y52,0)</f>
        <v>108916.77205663553</v>
      </c>
      <c r="Z95" s="63">
        <f>+MAX(CF!Z52,0)</f>
        <v>124570.63434382016</v>
      </c>
      <c r="AA95" s="63">
        <f>+MAX(CF!AA52,0)</f>
        <v>143016.37432390204</v>
      </c>
      <c r="AB95" s="63">
        <f>+MAX(CF!AB52,0)</f>
        <v>161032.80369670255</v>
      </c>
      <c r="AC95" s="63">
        <f>+MAX(CF!AC52,0)</f>
        <v>180188.636978233</v>
      </c>
      <c r="AD95" s="63">
        <f>+MAX(CF!AD52,0)</f>
        <v>200132.27931181935</v>
      </c>
      <c r="AE95" s="63">
        <f>+MAX(CF!AE52,0)</f>
        <v>209843.0785368963</v>
      </c>
      <c r="AF95" s="63">
        <f>+MAX(CF!AF52,0)</f>
        <v>242256.37419751709</v>
      </c>
      <c r="AG95" s="63">
        <f>+MAX(CF!AG52,0)</f>
        <v>265555.01824693044</v>
      </c>
      <c r="AH95" s="63">
        <f>+MAX(CF!AH52,0)</f>
        <v>292616.36552417465</v>
      </c>
      <c r="AI95" s="63">
        <f>+MAX(CF!AI52,0)</f>
        <v>323258.91351240419</v>
      </c>
      <c r="AJ95" s="63">
        <f>+MAX(CF!AJ52,0)</f>
        <v>357082.81061343057</v>
      </c>
      <c r="AK95" s="63">
        <f>+MAX(CF!AK52,0)</f>
        <v>395420.17085327074</v>
      </c>
      <c r="AL95" s="63">
        <f>+MAX(CF!AL52,0)</f>
        <v>423676.42416936788</v>
      </c>
      <c r="AM95" s="63">
        <f>+MAX(CF!AM52,0)</f>
        <v>455492.88145072729</v>
      </c>
      <c r="AN95" s="63">
        <f>+MAX(CF!AN52,0)</f>
        <v>495274.75144114264</v>
      </c>
      <c r="AO95" s="63">
        <f>+MAX(CF!AO52,0)</f>
        <v>487072.89874041325</v>
      </c>
      <c r="AP95" s="63">
        <f>+MAX(CF!AP52,0)</f>
        <v>578420.87642062781</v>
      </c>
      <c r="AQ95" s="63">
        <f>+MAX(CF!AQ52,0)</f>
        <v>622462.31660118187</v>
      </c>
      <c r="AR95" s="63">
        <f>+MAX(CF!AR52,0)</f>
        <v>670123.04279516125</v>
      </c>
      <c r="AS95" s="63">
        <f>+MAX(CF!AS52,0)</f>
        <v>716555.59271697851</v>
      </c>
      <c r="AT95" s="63">
        <f>+MAX(CF!AT52,0)</f>
        <v>696910.7845384276</v>
      </c>
      <c r="AU95" s="63">
        <f>+MAX(CF!AU52,0)</f>
        <v>686909.87386723165</v>
      </c>
      <c r="AV95" s="63">
        <f>+MAX(CF!AV52,0)</f>
        <v>746033.98516871454</v>
      </c>
      <c r="AW95" s="63">
        <f>+MAX(CF!AW52,0)</f>
        <v>807502.83337323822</v>
      </c>
      <c r="AX95" s="63">
        <f>+MAX(CF!AX52,0)</f>
        <v>864251.51904584584</v>
      </c>
      <c r="AY95" s="63">
        <f>+MAX(CF!AY52,0)</f>
        <v>897016.12517696293</v>
      </c>
      <c r="AZ95" s="63">
        <f>+MAX(CF!AZ52,0)</f>
        <v>979532.58161589003</v>
      </c>
      <c r="BA95" s="63">
        <f>+MAX(CF!BA52,0)</f>
        <v>1059170.9752302826</v>
      </c>
      <c r="BB95" s="63">
        <f>+MAX(CF!BB52,0)</f>
        <v>1143471.7474454443</v>
      </c>
      <c r="BC95" s="63">
        <f>+MAX(CF!BC52,0)</f>
        <v>1232863.2869510818</v>
      </c>
      <c r="BD95" s="63">
        <f>+MAX(CF!BD52,0)</f>
        <v>1462819.6715564479</v>
      </c>
      <c r="BE95" s="63">
        <f>+MAX(CF!BE52,0)</f>
        <v>1586118.7054500782</v>
      </c>
      <c r="BF95" s="63">
        <f>+MAX(CF!BF52,0)</f>
        <v>1877951.2000004875</v>
      </c>
      <c r="BG95" s="63">
        <f>+MAX(CF!BG52,0)</f>
        <v>2022875.7896959386</v>
      </c>
      <c r="BH95" s="63">
        <f>+MAX(CF!BH52,0)</f>
        <v>2179018.6750670709</v>
      </c>
      <c r="BI95" s="63">
        <f>+MAX(CF!BI52,0)</f>
        <v>2347204.8376066857</v>
      </c>
      <c r="BJ95" s="63">
        <f>+MAX(CF!BJ52,0)</f>
        <v>1688309.6490862106</v>
      </c>
      <c r="BK95" s="63">
        <f>+MAX(CF!BK52,0)</f>
        <v>0</v>
      </c>
      <c r="BL95" s="63">
        <f>+MAX(CF!BL52,0)</f>
        <v>0</v>
      </c>
      <c r="BM95" s="63">
        <f>+MAX(CF!BM52,0)</f>
        <v>0</v>
      </c>
      <c r="BN95" s="63">
        <f>+MAX(CF!BN52,0)</f>
        <v>0</v>
      </c>
      <c r="BO95" s="63">
        <f>+MAX(CF!BO52,0)</f>
        <v>0</v>
      </c>
      <c r="BP95" s="63">
        <f>+MAX(CF!BP52,0)</f>
        <v>0</v>
      </c>
      <c r="BQ95" s="63">
        <f>+MAX(CF!BQ52,0)</f>
        <v>0</v>
      </c>
      <c r="BR95" s="63">
        <f>+MAX(CF!BR52,0)</f>
        <v>0</v>
      </c>
      <c r="BS95" s="63">
        <f>+MAX(CF!BS52,0)</f>
        <v>0</v>
      </c>
      <c r="BT95" s="63">
        <f>+MAX(CF!BT52,0)</f>
        <v>0</v>
      </c>
      <c r="BU95" s="63">
        <f>+MAX(CF!BU52,0)</f>
        <v>0</v>
      </c>
      <c r="BV95" s="63">
        <f>+MAX(CF!BV52,0)</f>
        <v>0</v>
      </c>
      <c r="BW95" s="63">
        <f>+MAX(CF!BW52,0)</f>
        <v>0</v>
      </c>
      <c r="BX95" s="63">
        <f>+MAX(CF!BX52,0)</f>
        <v>0</v>
      </c>
      <c r="BY95" s="63">
        <f>+MAX(CF!BY52,0)</f>
        <v>0</v>
      </c>
      <c r="BZ95" s="63">
        <f>+MAX(CF!BZ52,0)</f>
        <v>0</v>
      </c>
      <c r="CA95" s="63">
        <f>+MAX(CF!CA52,0)</f>
        <v>0</v>
      </c>
      <c r="CB95" s="63">
        <f>+MAX(CF!CB52,0)</f>
        <v>0</v>
      </c>
      <c r="CC95" s="63">
        <f>+MAX(CF!CC52,0)</f>
        <v>0</v>
      </c>
      <c r="CD95" s="63">
        <f>+MAX(CF!CD52,0)</f>
        <v>0</v>
      </c>
      <c r="CE95" s="63">
        <f>+MAX(CF!CE52,0)</f>
        <v>0</v>
      </c>
      <c r="CF95" s="63">
        <f>+MAX(CF!CF52,0)</f>
        <v>0</v>
      </c>
      <c r="CG95" s="63">
        <f>+MAX(CF!CG52,0)</f>
        <v>0</v>
      </c>
      <c r="CH95" s="63">
        <f>+MAX(CF!CH52,0)</f>
        <v>0</v>
      </c>
      <c r="CI95" s="63">
        <f>+MAX(CF!CI52,0)</f>
        <v>0</v>
      </c>
      <c r="CJ95" s="63">
        <f>+MAX(CF!CJ52,0)</f>
        <v>0</v>
      </c>
      <c r="CK95" s="63">
        <f>+MAX(CF!CK52,0)</f>
        <v>0</v>
      </c>
      <c r="CL95" s="63">
        <f>+MAX(CF!CL52,0)</f>
        <v>0</v>
      </c>
      <c r="CM95" s="63">
        <f>+MAX(CF!CM52,0)</f>
        <v>0</v>
      </c>
      <c r="CN95" s="63">
        <f>+MAX(CF!CN52,0)</f>
        <v>0</v>
      </c>
      <c r="CO95" s="63">
        <f>+MAX(CF!CO52,0)</f>
        <v>0</v>
      </c>
      <c r="CP95" s="63">
        <f>+MAX(CF!CP52,0)</f>
        <v>0</v>
      </c>
      <c r="CQ95" s="63">
        <f>+MAX(CF!CQ52,0)</f>
        <v>0</v>
      </c>
      <c r="CR95" s="63">
        <f>+MAX(CF!CR52,0)</f>
        <v>0</v>
      </c>
      <c r="CS95" s="63">
        <f>+MAX(CF!CS52,0)</f>
        <v>0</v>
      </c>
      <c r="CT95" s="63">
        <f>+MAX(CF!CT52,0)</f>
        <v>0</v>
      </c>
      <c r="CU95" s="63">
        <f>+MAX(CF!CU52,0)</f>
        <v>0</v>
      </c>
      <c r="CV95" s="63">
        <f>+MAX(CF!CV52,0)</f>
        <v>0</v>
      </c>
      <c r="CW95" s="63">
        <f>+MAX(CF!CW52,0)</f>
        <v>0</v>
      </c>
      <c r="CX95" s="63">
        <f>+MAX(CF!CX52,0)</f>
        <v>0</v>
      </c>
      <c r="CY95" s="63">
        <f>+MAX(CF!CY52,0)</f>
        <v>0</v>
      </c>
      <c r="CZ95" s="63">
        <f>+MAX(CF!CZ52,0)</f>
        <v>0</v>
      </c>
      <c r="DA95" s="63">
        <f>+MAX(CF!DA52,0)</f>
        <v>0</v>
      </c>
      <c r="DB95" s="63">
        <f>+MAX(CF!DB52,0)</f>
        <v>0</v>
      </c>
      <c r="DC95" s="63">
        <f>+MAX(CF!DC52,0)</f>
        <v>0</v>
      </c>
      <c r="DD95" s="63">
        <f>+MAX(CF!DD52,0)</f>
        <v>0</v>
      </c>
      <c r="DE95" s="63">
        <f>+MAX(CF!DE52,0)</f>
        <v>0</v>
      </c>
      <c r="DF95" s="63">
        <f>+MAX(CF!DF52,0)</f>
        <v>0</v>
      </c>
      <c r="DG95" s="63">
        <f>+MAX(CF!DG52,0)</f>
        <v>0</v>
      </c>
      <c r="DH95" s="63">
        <f>+MAX(CF!DH52,0)</f>
        <v>0</v>
      </c>
      <c r="DI95" s="63">
        <f>+MAX(CF!DI52,0)</f>
        <v>0</v>
      </c>
      <c r="DJ95" s="63">
        <f>+MAX(CF!DJ52,0)</f>
        <v>0</v>
      </c>
      <c r="DK95" s="63">
        <f>+MAX(CF!DK52,0)</f>
        <v>0</v>
      </c>
      <c r="DL95" s="63">
        <f>+MAX(CF!DL52,0)</f>
        <v>0</v>
      </c>
      <c r="DM95" s="63">
        <f>+MAX(CF!DM52,0)</f>
        <v>0</v>
      </c>
      <c r="DN95" s="63">
        <f>+MAX(CF!DN52,0)</f>
        <v>0</v>
      </c>
      <c r="DO95" s="63">
        <f>+MAX(CF!DO52,0)</f>
        <v>0</v>
      </c>
      <c r="DP95" s="63">
        <f>+MAX(CF!DP52,0)</f>
        <v>0</v>
      </c>
      <c r="DQ95" s="16"/>
    </row>
    <row r="96" spans="3:121" x14ac:dyDescent="0.2">
      <c r="C96" s="81" t="s">
        <v>318</v>
      </c>
      <c r="K96" s="144" t="s">
        <v>63</v>
      </c>
      <c r="N96" s="63">
        <f t="shared" si="68"/>
        <v>-7.2759576141834259E-12</v>
      </c>
      <c r="P96" s="61"/>
      <c r="Q96" s="63"/>
      <c r="R96" s="63"/>
      <c r="S96" s="63">
        <f>-CF!S30-CF!S31</f>
        <v>0</v>
      </c>
      <c r="T96" s="63">
        <f>-CF!T30-CF!T31</f>
        <v>0</v>
      </c>
      <c r="U96" s="63">
        <f>-CF!U30-CF!U31</f>
        <v>0</v>
      </c>
      <c r="V96" s="63">
        <f>-CF!V30-CF!V31</f>
        <v>0</v>
      </c>
      <c r="W96" s="63">
        <f>-CF!W30-CF!W31</f>
        <v>0</v>
      </c>
      <c r="X96" s="63">
        <f>-CF!X30-CF!X31</f>
        <v>0</v>
      </c>
      <c r="Y96" s="63">
        <f>-CF!Y30-CF!Y31</f>
        <v>0</v>
      </c>
      <c r="Z96" s="63">
        <f>-CF!Z30-CF!Z31</f>
        <v>0</v>
      </c>
      <c r="AA96" s="63">
        <f>-CF!AA30-CF!AA31</f>
        <v>0</v>
      </c>
      <c r="AB96" s="63">
        <f>-CF!AB30-CF!AB31</f>
        <v>0</v>
      </c>
      <c r="AC96" s="63">
        <f>-CF!AC30-CF!AC31</f>
        <v>0</v>
      </c>
      <c r="AD96" s="63">
        <f>-CF!AD30-CF!AD31</f>
        <v>0</v>
      </c>
      <c r="AE96" s="63">
        <f>-CF!AE30-CF!AE31</f>
        <v>0</v>
      </c>
      <c r="AF96" s="63">
        <f>-CF!AF30-CF!AF31</f>
        <v>0</v>
      </c>
      <c r="AG96" s="63">
        <f>-CF!AG30-CF!AG31</f>
        <v>0</v>
      </c>
      <c r="AH96" s="63">
        <f>-CF!AH30-CF!AH31</f>
        <v>0</v>
      </c>
      <c r="AI96" s="63">
        <f>-CF!AI30-CF!AI31</f>
        <v>0</v>
      </c>
      <c r="AJ96" s="63">
        <f>-CF!AJ30-CF!AJ31</f>
        <v>0</v>
      </c>
      <c r="AK96" s="63">
        <f>-CF!AK30-CF!AK31</f>
        <v>0</v>
      </c>
      <c r="AL96" s="63">
        <f>-CF!AL30-CF!AL31</f>
        <v>0</v>
      </c>
      <c r="AM96" s="63">
        <f>-CF!AM30-CF!AM31</f>
        <v>0</v>
      </c>
      <c r="AN96" s="63">
        <f>-CF!AN30-CF!AN31</f>
        <v>0</v>
      </c>
      <c r="AO96" s="63">
        <f>-CF!AO30-CF!AO31</f>
        <v>0</v>
      </c>
      <c r="AP96" s="63">
        <f>-CF!AP30-CF!AP31</f>
        <v>0</v>
      </c>
      <c r="AQ96" s="63">
        <f>-CF!AQ30-CF!AQ31</f>
        <v>0</v>
      </c>
      <c r="AR96" s="63">
        <f>-CF!AR30-CF!AR31</f>
        <v>0</v>
      </c>
      <c r="AS96" s="63">
        <f>-CF!AS30-CF!AS31</f>
        <v>0</v>
      </c>
      <c r="AT96" s="63">
        <f>-CF!AT30-CF!AT31</f>
        <v>0</v>
      </c>
      <c r="AU96" s="63">
        <f>-CF!AU30-CF!AU31</f>
        <v>0</v>
      </c>
      <c r="AV96" s="63">
        <f>-CF!AV30-CF!AV31</f>
        <v>0</v>
      </c>
      <c r="AW96" s="63">
        <f>-CF!AW30-CF!AW31</f>
        <v>0</v>
      </c>
      <c r="AX96" s="63">
        <f>-CF!AX30-CF!AX31</f>
        <v>0</v>
      </c>
      <c r="AY96" s="63">
        <f>-CF!AY30-CF!AY31</f>
        <v>0</v>
      </c>
      <c r="AZ96" s="63">
        <f>-CF!AZ30-CF!AZ31</f>
        <v>0</v>
      </c>
      <c r="BA96" s="63">
        <f>-CF!BA30-CF!BA31</f>
        <v>0</v>
      </c>
      <c r="BB96" s="63">
        <f>-CF!BB30-CF!BB31</f>
        <v>0</v>
      </c>
      <c r="BC96" s="63">
        <f>-CF!BC30-CF!BC31</f>
        <v>0</v>
      </c>
      <c r="BD96" s="63">
        <f>-CF!BD30-CF!BD31</f>
        <v>0</v>
      </c>
      <c r="BE96" s="63">
        <f>-CF!BE30-CF!BE31</f>
        <v>225722.64849710948</v>
      </c>
      <c r="BF96" s="63">
        <f>-CF!BF30-CF!BF31</f>
        <v>-34373.648331668155</v>
      </c>
      <c r="BG96" s="63">
        <f>-CF!BG30-CF!BG31</f>
        <v>-39071.852193292965</v>
      </c>
      <c r="BH96" s="63">
        <f>-CF!BH30-CF!BH31</f>
        <v>-44412.208418623974</v>
      </c>
      <c r="BI96" s="63">
        <f>-CF!BI30-CF!BI31</f>
        <v>-50482.486646944315</v>
      </c>
      <c r="BJ96" s="63">
        <f>-CF!BJ30-CF!BJ31</f>
        <v>-57382.45290658006</v>
      </c>
      <c r="BK96" s="63">
        <f>-CF!BK30-CF!BK31</f>
        <v>0</v>
      </c>
      <c r="BL96" s="63">
        <f>-CF!BL30-CF!BL31</f>
        <v>0</v>
      </c>
      <c r="BM96" s="63">
        <f>-CF!BM30-CF!BM31</f>
        <v>0</v>
      </c>
      <c r="BN96" s="63">
        <f>-CF!BN30-CF!BN31</f>
        <v>0</v>
      </c>
      <c r="BO96" s="63">
        <f>-CF!BO30-CF!BO31</f>
        <v>0</v>
      </c>
      <c r="BP96" s="63">
        <f>-CF!BP30-CF!BP31</f>
        <v>0</v>
      </c>
      <c r="BQ96" s="63">
        <f>-CF!BQ30-CF!BQ31</f>
        <v>0</v>
      </c>
      <c r="BR96" s="63">
        <f>-CF!BR30-CF!BR31</f>
        <v>0</v>
      </c>
      <c r="BS96" s="63">
        <f>-CF!BS30-CF!BS31</f>
        <v>0</v>
      </c>
      <c r="BT96" s="63">
        <f>-CF!BT30-CF!BT31</f>
        <v>0</v>
      </c>
      <c r="BU96" s="63">
        <f>-CF!BU30-CF!BU31</f>
        <v>0</v>
      </c>
      <c r="BV96" s="63">
        <f>-CF!BV30-CF!BV31</f>
        <v>0</v>
      </c>
      <c r="BW96" s="63">
        <f>-CF!BW30-CF!BW31</f>
        <v>0</v>
      </c>
      <c r="BX96" s="63">
        <f>-CF!BX30-CF!BX31</f>
        <v>0</v>
      </c>
      <c r="BY96" s="63">
        <f>-CF!BY30-CF!BY31</f>
        <v>0</v>
      </c>
      <c r="BZ96" s="63">
        <f>-CF!BZ30-CF!BZ31</f>
        <v>0</v>
      </c>
      <c r="CA96" s="63">
        <f>-CF!CA30-CF!CA31</f>
        <v>0</v>
      </c>
      <c r="CB96" s="63">
        <f>-CF!CB30-CF!CB31</f>
        <v>0</v>
      </c>
      <c r="CC96" s="63">
        <f>-CF!CC30-CF!CC31</f>
        <v>0</v>
      </c>
      <c r="CD96" s="63">
        <f>-CF!CD30-CF!CD31</f>
        <v>0</v>
      </c>
      <c r="CE96" s="63">
        <f>-CF!CE30-CF!CE31</f>
        <v>0</v>
      </c>
      <c r="CF96" s="63">
        <f>-CF!CF30-CF!CF31</f>
        <v>0</v>
      </c>
      <c r="CG96" s="63">
        <f>-CF!CG30-CF!CG31</f>
        <v>0</v>
      </c>
      <c r="CH96" s="63">
        <f>-CF!CH30-CF!CH31</f>
        <v>0</v>
      </c>
      <c r="CI96" s="63">
        <f>-CF!CI30-CF!CI31</f>
        <v>0</v>
      </c>
      <c r="CJ96" s="63">
        <f>-CF!CJ30-CF!CJ31</f>
        <v>0</v>
      </c>
      <c r="CK96" s="63">
        <f>-CF!CK30-CF!CK31</f>
        <v>0</v>
      </c>
      <c r="CL96" s="63">
        <f>-CF!CL30-CF!CL31</f>
        <v>0</v>
      </c>
      <c r="CM96" s="63">
        <f>-CF!CM30-CF!CM31</f>
        <v>0</v>
      </c>
      <c r="CN96" s="63">
        <f>-CF!CN30-CF!CN31</f>
        <v>0</v>
      </c>
      <c r="CO96" s="63">
        <f>-CF!CO30-CF!CO31</f>
        <v>0</v>
      </c>
      <c r="CP96" s="63">
        <f>-CF!CP30-CF!CP31</f>
        <v>0</v>
      </c>
      <c r="CQ96" s="63">
        <f>-CF!CQ30-CF!CQ31</f>
        <v>0</v>
      </c>
      <c r="CR96" s="63">
        <f>-CF!CR30-CF!CR31</f>
        <v>0</v>
      </c>
      <c r="CS96" s="63">
        <f>-CF!CS30-CF!CS31</f>
        <v>0</v>
      </c>
      <c r="CT96" s="63">
        <f>-CF!CT30-CF!CT31</f>
        <v>0</v>
      </c>
      <c r="CU96" s="63">
        <f>-CF!CU30-CF!CU31</f>
        <v>0</v>
      </c>
      <c r="CV96" s="63">
        <f>-CF!CV30-CF!CV31</f>
        <v>0</v>
      </c>
      <c r="CW96" s="63">
        <f>-CF!CW30-CF!CW31</f>
        <v>0</v>
      </c>
      <c r="CX96" s="63">
        <f>-CF!CX30-CF!CX31</f>
        <v>0</v>
      </c>
      <c r="CY96" s="63">
        <f>-CF!CY30-CF!CY31</f>
        <v>0</v>
      </c>
      <c r="CZ96" s="63">
        <f>-CF!CZ30-CF!CZ31</f>
        <v>0</v>
      </c>
      <c r="DA96" s="63">
        <f>-CF!DA30-CF!DA31</f>
        <v>0</v>
      </c>
      <c r="DB96" s="63">
        <f>-CF!DB30-CF!DB31</f>
        <v>0</v>
      </c>
      <c r="DC96" s="63">
        <f>-CF!DC30-CF!DC31</f>
        <v>0</v>
      </c>
      <c r="DD96" s="63">
        <f>-CF!DD30-CF!DD31</f>
        <v>0</v>
      </c>
      <c r="DE96" s="63">
        <f>-CF!DE30-CF!DE31</f>
        <v>0</v>
      </c>
      <c r="DF96" s="63">
        <f>-CF!DF30-CF!DF31</f>
        <v>0</v>
      </c>
      <c r="DG96" s="63">
        <f>-CF!DG30-CF!DG31</f>
        <v>0</v>
      </c>
      <c r="DH96" s="63">
        <f>-CF!DH30-CF!DH31</f>
        <v>0</v>
      </c>
      <c r="DI96" s="63">
        <f>-CF!DI30-CF!DI31</f>
        <v>0</v>
      </c>
      <c r="DJ96" s="63">
        <f>-CF!DJ30-CF!DJ31</f>
        <v>0</v>
      </c>
      <c r="DK96" s="63">
        <f>-CF!DK30-CF!DK31</f>
        <v>0</v>
      </c>
      <c r="DL96" s="63">
        <f>-CF!DL30-CF!DL31</f>
        <v>0</v>
      </c>
      <c r="DM96" s="63">
        <f>-CF!DM30-CF!DM31</f>
        <v>0</v>
      </c>
      <c r="DN96" s="63">
        <f>-CF!DN30-CF!DN31</f>
        <v>0</v>
      </c>
      <c r="DO96" s="63">
        <f>-CF!DO30-CF!DO31</f>
        <v>0</v>
      </c>
      <c r="DP96" s="63">
        <f>-CF!DP30-CF!DP31</f>
        <v>0</v>
      </c>
      <c r="DQ96" s="16"/>
    </row>
    <row r="97" spans="3:121" x14ac:dyDescent="0.2">
      <c r="DQ97" s="42"/>
    </row>
    <row r="98" spans="3:121" x14ac:dyDescent="0.2">
      <c r="C98" s="32" t="s">
        <v>117</v>
      </c>
      <c r="D98" s="32"/>
      <c r="E98" s="32"/>
      <c r="F98" s="32"/>
      <c r="G98" s="32"/>
      <c r="H98" s="32"/>
      <c r="I98" s="32"/>
      <c r="J98" s="32"/>
      <c r="K98" s="639" t="s">
        <v>63</v>
      </c>
      <c r="L98" s="33"/>
      <c r="M98" s="33"/>
      <c r="N98" s="745">
        <f>SUM(Q98:DQ98)</f>
        <v>42927543.363656767</v>
      </c>
      <c r="O98" s="32"/>
      <c r="P98" s="32"/>
      <c r="Q98" s="153"/>
      <c r="R98" s="33"/>
      <c r="S98" s="745">
        <f t="shared" ref="S98:AW98" si="69">SUM(S86:S96)</f>
        <v>121385.88824258334</v>
      </c>
      <c r="T98" s="745">
        <f t="shared" si="69"/>
        <v>140493.28477060871</v>
      </c>
      <c r="U98" s="745">
        <f t="shared" si="69"/>
        <v>1057152.6237302932</v>
      </c>
      <c r="V98" s="745">
        <f t="shared" si="69"/>
        <v>184023.538824488</v>
      </c>
      <c r="W98" s="745">
        <f t="shared" si="69"/>
        <v>198950.71772877814</v>
      </c>
      <c r="X98" s="745">
        <f t="shared" si="69"/>
        <v>215170.70262206998</v>
      </c>
      <c r="Y98" s="745">
        <f t="shared" si="69"/>
        <v>232817.90258656669</v>
      </c>
      <c r="Z98" s="745">
        <f t="shared" si="69"/>
        <v>268205.30673240748</v>
      </c>
      <c r="AA98" s="745">
        <f t="shared" si="69"/>
        <v>291696.17178436345</v>
      </c>
      <c r="AB98" s="745">
        <f t="shared" si="69"/>
        <v>314733.25046550762</v>
      </c>
      <c r="AC98" s="745">
        <f t="shared" si="69"/>
        <v>339318.03630572988</v>
      </c>
      <c r="AD98" s="745">
        <f t="shared" si="69"/>
        <v>366996.28641752148</v>
      </c>
      <c r="AE98" s="745">
        <f t="shared" si="69"/>
        <v>455455.66028175945</v>
      </c>
      <c r="AF98" s="745">
        <f t="shared" si="69"/>
        <v>429413.93175077101</v>
      </c>
      <c r="AG98" s="745">
        <f t="shared" si="69"/>
        <v>461174.94047544827</v>
      </c>
      <c r="AH98" s="745">
        <f t="shared" si="69"/>
        <v>495785.90948944399</v>
      </c>
      <c r="AI98" s="745">
        <f t="shared" si="69"/>
        <v>533613.51629356737</v>
      </c>
      <c r="AJ98" s="745">
        <f t="shared" si="69"/>
        <v>589616.68845500448</v>
      </c>
      <c r="AK98" s="745">
        <f t="shared" si="69"/>
        <v>655826.08148997661</v>
      </c>
      <c r="AL98" s="745">
        <f t="shared" si="69"/>
        <v>684139.31242921238</v>
      </c>
      <c r="AM98" s="745">
        <f t="shared" si="69"/>
        <v>719416.77077855682</v>
      </c>
      <c r="AN98" s="745">
        <f t="shared" si="69"/>
        <v>800591.6565500414</v>
      </c>
      <c r="AO98" s="745">
        <f t="shared" si="69"/>
        <v>962046.32181830425</v>
      </c>
      <c r="AP98" s="745">
        <f t="shared" si="69"/>
        <v>899415.07293332112</v>
      </c>
      <c r="AQ98" s="745">
        <f t="shared" si="69"/>
        <v>930534.86994557176</v>
      </c>
      <c r="AR98" s="745">
        <f t="shared" si="69"/>
        <v>955681.32458184962</v>
      </c>
      <c r="AS98" s="745">
        <f t="shared" si="69"/>
        <v>939184.96440676344</v>
      </c>
      <c r="AT98" s="745">
        <f t="shared" si="69"/>
        <v>1002142.6384941516</v>
      </c>
      <c r="AU98" s="745">
        <f t="shared" si="69"/>
        <v>1072716.0923948733</v>
      </c>
      <c r="AV98" s="745">
        <f t="shared" si="69"/>
        <v>1138004.1198201468</v>
      </c>
      <c r="AW98" s="745">
        <f t="shared" si="69"/>
        <v>1205789.7623329847</v>
      </c>
      <c r="AX98" s="745">
        <f t="shared" ref="AX98:CC98" si="70">SUM(AX86:AX96)</f>
        <v>1278454.7805410342</v>
      </c>
      <c r="AY98" s="745">
        <f t="shared" si="70"/>
        <v>1470409.0188297229</v>
      </c>
      <c r="AZ98" s="745">
        <f t="shared" si="70"/>
        <v>1420991.5195992191</v>
      </c>
      <c r="BA98" s="745">
        <f t="shared" si="70"/>
        <v>1510717.0493484854</v>
      </c>
      <c r="BB98" s="745">
        <f t="shared" si="70"/>
        <v>1605638.0383632851</v>
      </c>
      <c r="BC98" s="745">
        <f t="shared" si="70"/>
        <v>1706725.7836547655</v>
      </c>
      <c r="BD98" s="745">
        <f t="shared" si="70"/>
        <v>1949406.6921931203</v>
      </c>
      <c r="BE98" s="745">
        <f t="shared" si="70"/>
        <v>2163540.2466444247</v>
      </c>
      <c r="BF98" s="745">
        <f t="shared" si="70"/>
        <v>2071999.6689690491</v>
      </c>
      <c r="BG98" s="745">
        <f t="shared" si="70"/>
        <v>2229330.8715145774</v>
      </c>
      <c r="BH98" s="745">
        <f t="shared" si="70"/>
        <v>2398689.9764172002</v>
      </c>
      <c r="BI98" s="745">
        <f t="shared" si="70"/>
        <v>2580955.6843443979</v>
      </c>
      <c r="BJ98" s="745">
        <f t="shared" si="70"/>
        <v>1879190.6883048331</v>
      </c>
      <c r="BK98" s="745">
        <f t="shared" si="70"/>
        <v>0</v>
      </c>
      <c r="BL98" s="745">
        <f t="shared" si="70"/>
        <v>0</v>
      </c>
      <c r="BM98" s="745">
        <f t="shared" si="70"/>
        <v>0</v>
      </c>
      <c r="BN98" s="745">
        <f t="shared" si="70"/>
        <v>0</v>
      </c>
      <c r="BO98" s="745">
        <f t="shared" si="70"/>
        <v>0</v>
      </c>
      <c r="BP98" s="745">
        <f t="shared" si="70"/>
        <v>0</v>
      </c>
      <c r="BQ98" s="745">
        <f t="shared" si="70"/>
        <v>0</v>
      </c>
      <c r="BR98" s="745">
        <f t="shared" si="70"/>
        <v>0</v>
      </c>
      <c r="BS98" s="745">
        <f t="shared" si="70"/>
        <v>0</v>
      </c>
      <c r="BT98" s="745">
        <f t="shared" si="70"/>
        <v>0</v>
      </c>
      <c r="BU98" s="745">
        <f t="shared" si="70"/>
        <v>0</v>
      </c>
      <c r="BV98" s="745">
        <f t="shared" si="70"/>
        <v>0</v>
      </c>
      <c r="BW98" s="745">
        <f t="shared" si="70"/>
        <v>0</v>
      </c>
      <c r="BX98" s="745">
        <f t="shared" si="70"/>
        <v>0</v>
      </c>
      <c r="BY98" s="745">
        <f t="shared" si="70"/>
        <v>0</v>
      </c>
      <c r="BZ98" s="745">
        <f t="shared" si="70"/>
        <v>0</v>
      </c>
      <c r="CA98" s="745">
        <f t="shared" si="70"/>
        <v>0</v>
      </c>
      <c r="CB98" s="745">
        <f t="shared" si="70"/>
        <v>0</v>
      </c>
      <c r="CC98" s="745">
        <f t="shared" si="70"/>
        <v>0</v>
      </c>
      <c r="CD98" s="745">
        <f t="shared" ref="CD98:DI98" si="71">SUM(CD86:CD96)</f>
        <v>0</v>
      </c>
      <c r="CE98" s="745">
        <f t="shared" si="71"/>
        <v>0</v>
      </c>
      <c r="CF98" s="745">
        <f t="shared" si="71"/>
        <v>0</v>
      </c>
      <c r="CG98" s="745">
        <f t="shared" si="71"/>
        <v>0</v>
      </c>
      <c r="CH98" s="745">
        <f t="shared" si="71"/>
        <v>0</v>
      </c>
      <c r="CI98" s="745">
        <f t="shared" si="71"/>
        <v>0</v>
      </c>
      <c r="CJ98" s="745">
        <f t="shared" si="71"/>
        <v>0</v>
      </c>
      <c r="CK98" s="745">
        <f t="shared" si="71"/>
        <v>0</v>
      </c>
      <c r="CL98" s="745">
        <f t="shared" si="71"/>
        <v>0</v>
      </c>
      <c r="CM98" s="745">
        <f t="shared" si="71"/>
        <v>0</v>
      </c>
      <c r="CN98" s="745">
        <f t="shared" si="71"/>
        <v>0</v>
      </c>
      <c r="CO98" s="745">
        <f t="shared" si="71"/>
        <v>0</v>
      </c>
      <c r="CP98" s="745">
        <f t="shared" si="71"/>
        <v>0</v>
      </c>
      <c r="CQ98" s="745">
        <f t="shared" si="71"/>
        <v>0</v>
      </c>
      <c r="CR98" s="745">
        <f t="shared" si="71"/>
        <v>0</v>
      </c>
      <c r="CS98" s="745">
        <f t="shared" si="71"/>
        <v>0</v>
      </c>
      <c r="CT98" s="745">
        <f t="shared" si="71"/>
        <v>0</v>
      </c>
      <c r="CU98" s="745">
        <f t="shared" si="71"/>
        <v>0</v>
      </c>
      <c r="CV98" s="745">
        <f t="shared" si="71"/>
        <v>0</v>
      </c>
      <c r="CW98" s="745">
        <f t="shared" si="71"/>
        <v>0</v>
      </c>
      <c r="CX98" s="745">
        <f t="shared" si="71"/>
        <v>0</v>
      </c>
      <c r="CY98" s="745">
        <f t="shared" si="71"/>
        <v>0</v>
      </c>
      <c r="CZ98" s="745">
        <f t="shared" si="71"/>
        <v>0</v>
      </c>
      <c r="DA98" s="745">
        <f t="shared" si="71"/>
        <v>0</v>
      </c>
      <c r="DB98" s="745">
        <f t="shared" si="71"/>
        <v>0</v>
      </c>
      <c r="DC98" s="745">
        <f t="shared" si="71"/>
        <v>0</v>
      </c>
      <c r="DD98" s="745">
        <f t="shared" si="71"/>
        <v>0</v>
      </c>
      <c r="DE98" s="745">
        <f t="shared" si="71"/>
        <v>0</v>
      </c>
      <c r="DF98" s="745">
        <f t="shared" si="71"/>
        <v>0</v>
      </c>
      <c r="DG98" s="745">
        <f t="shared" si="71"/>
        <v>0</v>
      </c>
      <c r="DH98" s="745">
        <f t="shared" si="71"/>
        <v>0</v>
      </c>
      <c r="DI98" s="745">
        <f t="shared" si="71"/>
        <v>0</v>
      </c>
      <c r="DJ98" s="745">
        <f t="shared" ref="DJ98:DP98" si="72">SUM(DJ86:DJ96)</f>
        <v>0</v>
      </c>
      <c r="DK98" s="745">
        <f t="shared" si="72"/>
        <v>0</v>
      </c>
      <c r="DL98" s="745">
        <f t="shared" si="72"/>
        <v>0</v>
      </c>
      <c r="DM98" s="745">
        <f t="shared" si="72"/>
        <v>0</v>
      </c>
      <c r="DN98" s="745">
        <f t="shared" si="72"/>
        <v>0</v>
      </c>
      <c r="DO98" s="745">
        <f t="shared" si="72"/>
        <v>0</v>
      </c>
      <c r="DP98" s="745">
        <f t="shared" si="72"/>
        <v>0</v>
      </c>
      <c r="DQ98" s="16"/>
    </row>
    <row r="99" spans="3:121" x14ac:dyDescent="0.2">
      <c r="DQ99" s="42"/>
    </row>
    <row r="100" spans="3:121" ht="13.5" thickBot="1" x14ac:dyDescent="0.25">
      <c r="DQ100" s="42"/>
    </row>
    <row r="101" spans="3:121" ht="13.5" thickBot="1" x14ac:dyDescent="0.25">
      <c r="C101" t="s">
        <v>118</v>
      </c>
      <c r="N101" s="744">
        <f>IF(ROUND(SUM(Q101:DQ101),1)&lt;&gt;0,1,0)</f>
        <v>0</v>
      </c>
      <c r="Q101" s="63"/>
      <c r="R101" s="63"/>
      <c r="S101" s="63">
        <f t="shared" ref="S101:AV101" si="73">ROUND(+S98-S82,0)</f>
        <v>0</v>
      </c>
      <c r="T101" s="63">
        <f t="shared" si="73"/>
        <v>0</v>
      </c>
      <c r="U101" s="63">
        <f t="shared" si="73"/>
        <v>0</v>
      </c>
      <c r="V101" s="63">
        <f t="shared" si="73"/>
        <v>0</v>
      </c>
      <c r="W101" s="63">
        <f t="shared" si="73"/>
        <v>0</v>
      </c>
      <c r="X101" s="63">
        <f t="shared" si="73"/>
        <v>0</v>
      </c>
      <c r="Y101" s="63">
        <f t="shared" si="73"/>
        <v>0</v>
      </c>
      <c r="Z101" s="63">
        <f t="shared" si="73"/>
        <v>0</v>
      </c>
      <c r="AA101" s="63">
        <f t="shared" si="73"/>
        <v>0</v>
      </c>
      <c r="AB101" s="63">
        <f t="shared" si="73"/>
        <v>0</v>
      </c>
      <c r="AC101" s="63">
        <f t="shared" si="73"/>
        <v>0</v>
      </c>
      <c r="AD101" s="63">
        <f t="shared" si="73"/>
        <v>0</v>
      </c>
      <c r="AE101" s="63">
        <f t="shared" si="73"/>
        <v>0</v>
      </c>
      <c r="AF101" s="63">
        <f t="shared" si="73"/>
        <v>0</v>
      </c>
      <c r="AG101" s="63">
        <f t="shared" si="73"/>
        <v>0</v>
      </c>
      <c r="AH101" s="63">
        <f t="shared" si="73"/>
        <v>0</v>
      </c>
      <c r="AI101" s="63">
        <f t="shared" si="73"/>
        <v>0</v>
      </c>
      <c r="AJ101" s="63">
        <f t="shared" si="73"/>
        <v>0</v>
      </c>
      <c r="AK101" s="63">
        <f t="shared" si="73"/>
        <v>0</v>
      </c>
      <c r="AL101" s="63">
        <f t="shared" si="73"/>
        <v>0</v>
      </c>
      <c r="AM101" s="63">
        <f t="shared" si="73"/>
        <v>0</v>
      </c>
      <c r="AN101" s="63">
        <f t="shared" si="73"/>
        <v>0</v>
      </c>
      <c r="AO101" s="63">
        <f t="shared" si="73"/>
        <v>0</v>
      </c>
      <c r="AP101" s="63">
        <f t="shared" si="73"/>
        <v>0</v>
      </c>
      <c r="AQ101" s="63">
        <f t="shared" si="73"/>
        <v>0</v>
      </c>
      <c r="AR101" s="63">
        <f t="shared" si="73"/>
        <v>0</v>
      </c>
      <c r="AS101" s="63">
        <f t="shared" si="73"/>
        <v>0</v>
      </c>
      <c r="AT101" s="63">
        <f t="shared" si="73"/>
        <v>0</v>
      </c>
      <c r="AU101" s="63">
        <f t="shared" si="73"/>
        <v>0</v>
      </c>
      <c r="AV101" s="63">
        <f t="shared" si="73"/>
        <v>0</v>
      </c>
      <c r="AW101" s="63">
        <f t="shared" ref="AW101:CB101" si="74">ROUND(+AW98-AW82,0)</f>
        <v>0</v>
      </c>
      <c r="AX101" s="63">
        <f t="shared" si="74"/>
        <v>0</v>
      </c>
      <c r="AY101" s="63">
        <f t="shared" si="74"/>
        <v>0</v>
      </c>
      <c r="AZ101" s="63">
        <f t="shared" si="74"/>
        <v>0</v>
      </c>
      <c r="BA101" s="63">
        <f t="shared" si="74"/>
        <v>0</v>
      </c>
      <c r="BB101" s="63">
        <f t="shared" si="74"/>
        <v>0</v>
      </c>
      <c r="BC101" s="63">
        <f t="shared" si="74"/>
        <v>0</v>
      </c>
      <c r="BD101" s="63">
        <f t="shared" si="74"/>
        <v>0</v>
      </c>
      <c r="BE101" s="63">
        <f t="shared" si="74"/>
        <v>0</v>
      </c>
      <c r="BF101" s="63">
        <f t="shared" si="74"/>
        <v>0</v>
      </c>
      <c r="BG101" s="63">
        <f t="shared" si="74"/>
        <v>0</v>
      </c>
      <c r="BH101" s="63">
        <f t="shared" si="74"/>
        <v>0</v>
      </c>
      <c r="BI101" s="63">
        <f t="shared" si="74"/>
        <v>0</v>
      </c>
      <c r="BJ101" s="63">
        <f t="shared" si="74"/>
        <v>0</v>
      </c>
      <c r="BK101" s="63">
        <f t="shared" si="74"/>
        <v>0</v>
      </c>
      <c r="BL101" s="63">
        <f t="shared" si="74"/>
        <v>0</v>
      </c>
      <c r="BM101" s="63">
        <f t="shared" si="74"/>
        <v>0</v>
      </c>
      <c r="BN101" s="63">
        <f t="shared" si="74"/>
        <v>0</v>
      </c>
      <c r="BO101" s="63">
        <f t="shared" si="74"/>
        <v>0</v>
      </c>
      <c r="BP101" s="63">
        <f t="shared" si="74"/>
        <v>0</v>
      </c>
      <c r="BQ101" s="63">
        <f t="shared" si="74"/>
        <v>0</v>
      </c>
      <c r="BR101" s="63">
        <f t="shared" si="74"/>
        <v>0</v>
      </c>
      <c r="BS101" s="63">
        <f t="shared" si="74"/>
        <v>0</v>
      </c>
      <c r="BT101" s="63">
        <f t="shared" si="74"/>
        <v>0</v>
      </c>
      <c r="BU101" s="63">
        <f t="shared" si="74"/>
        <v>0</v>
      </c>
      <c r="BV101" s="63">
        <f t="shared" si="74"/>
        <v>0</v>
      </c>
      <c r="BW101" s="63">
        <f t="shared" si="74"/>
        <v>0</v>
      </c>
      <c r="BX101" s="63">
        <f t="shared" si="74"/>
        <v>0</v>
      </c>
      <c r="BY101" s="63">
        <f t="shared" si="74"/>
        <v>0</v>
      </c>
      <c r="BZ101" s="63">
        <f t="shared" si="74"/>
        <v>0</v>
      </c>
      <c r="CA101" s="63">
        <f t="shared" si="74"/>
        <v>0</v>
      </c>
      <c r="CB101" s="63">
        <f t="shared" si="74"/>
        <v>0</v>
      </c>
      <c r="CC101" s="63">
        <f t="shared" ref="CC101:DH101" si="75">ROUND(+CC98-CC82,0)</f>
        <v>0</v>
      </c>
      <c r="CD101" s="63">
        <f t="shared" si="75"/>
        <v>0</v>
      </c>
      <c r="CE101" s="63">
        <f t="shared" si="75"/>
        <v>0</v>
      </c>
      <c r="CF101" s="63">
        <f t="shared" si="75"/>
        <v>0</v>
      </c>
      <c r="CG101" s="63">
        <f t="shared" si="75"/>
        <v>0</v>
      </c>
      <c r="CH101" s="63">
        <f t="shared" si="75"/>
        <v>0</v>
      </c>
      <c r="CI101" s="63">
        <f t="shared" si="75"/>
        <v>0</v>
      </c>
      <c r="CJ101" s="63">
        <f t="shared" si="75"/>
        <v>0</v>
      </c>
      <c r="CK101" s="63">
        <f t="shared" si="75"/>
        <v>0</v>
      </c>
      <c r="CL101" s="63">
        <f t="shared" si="75"/>
        <v>0</v>
      </c>
      <c r="CM101" s="63">
        <f t="shared" si="75"/>
        <v>0</v>
      </c>
      <c r="CN101" s="63">
        <f t="shared" si="75"/>
        <v>0</v>
      </c>
      <c r="CO101" s="63">
        <f t="shared" si="75"/>
        <v>0</v>
      </c>
      <c r="CP101" s="63">
        <f t="shared" si="75"/>
        <v>0</v>
      </c>
      <c r="CQ101" s="63">
        <f t="shared" si="75"/>
        <v>0</v>
      </c>
      <c r="CR101" s="63">
        <f t="shared" si="75"/>
        <v>0</v>
      </c>
      <c r="CS101" s="63">
        <f t="shared" si="75"/>
        <v>0</v>
      </c>
      <c r="CT101" s="63">
        <f t="shared" si="75"/>
        <v>0</v>
      </c>
      <c r="CU101" s="63">
        <f t="shared" si="75"/>
        <v>0</v>
      </c>
      <c r="CV101" s="63">
        <f t="shared" si="75"/>
        <v>0</v>
      </c>
      <c r="CW101" s="63">
        <f t="shared" si="75"/>
        <v>0</v>
      </c>
      <c r="CX101" s="63">
        <f t="shared" si="75"/>
        <v>0</v>
      </c>
      <c r="CY101" s="63">
        <f t="shared" si="75"/>
        <v>0</v>
      </c>
      <c r="CZ101" s="63">
        <f t="shared" si="75"/>
        <v>0</v>
      </c>
      <c r="DA101" s="63">
        <f t="shared" si="75"/>
        <v>0</v>
      </c>
      <c r="DB101" s="63">
        <f t="shared" si="75"/>
        <v>0</v>
      </c>
      <c r="DC101" s="63">
        <f t="shared" si="75"/>
        <v>0</v>
      </c>
      <c r="DD101" s="63">
        <f t="shared" si="75"/>
        <v>0</v>
      </c>
      <c r="DE101" s="63">
        <f t="shared" si="75"/>
        <v>0</v>
      </c>
      <c r="DF101" s="63">
        <f t="shared" si="75"/>
        <v>0</v>
      </c>
      <c r="DG101" s="63">
        <f t="shared" si="75"/>
        <v>0</v>
      </c>
      <c r="DH101" s="63">
        <f t="shared" si="75"/>
        <v>0</v>
      </c>
      <c r="DI101" s="63">
        <f t="shared" ref="DI101:DP101" si="76">ROUND(+DI98-DI82,0)</f>
        <v>0</v>
      </c>
      <c r="DJ101" s="63">
        <f t="shared" si="76"/>
        <v>0</v>
      </c>
      <c r="DK101" s="63">
        <f t="shared" si="76"/>
        <v>0</v>
      </c>
      <c r="DL101" s="63">
        <f t="shared" si="76"/>
        <v>0</v>
      </c>
      <c r="DM101" s="63">
        <f t="shared" si="76"/>
        <v>0</v>
      </c>
      <c r="DN101" s="63">
        <f t="shared" si="76"/>
        <v>0</v>
      </c>
      <c r="DO101" s="63">
        <f t="shared" si="76"/>
        <v>0</v>
      </c>
      <c r="DP101" s="63">
        <f t="shared" si="76"/>
        <v>0</v>
      </c>
      <c r="DQ101" s="16"/>
    </row>
    <row r="102" spans="3:121" x14ac:dyDescent="0.2">
      <c r="Q102" s="109"/>
      <c r="DQ102" s="42"/>
    </row>
    <row r="104" spans="3:121" x14ac:dyDescent="0.2">
      <c r="R104" s="89"/>
      <c r="T104" s="89"/>
    </row>
    <row r="105" spans="3:121" x14ac:dyDescent="0.2">
      <c r="R105" s="89"/>
      <c r="T105" s="89"/>
    </row>
    <row r="106" spans="3:121" x14ac:dyDescent="0.2">
      <c r="R106" s="89"/>
      <c r="T106" s="89"/>
    </row>
    <row r="107" spans="3:121" x14ac:dyDescent="0.2">
      <c r="R107" s="89"/>
      <c r="T107" s="89"/>
    </row>
    <row r="108" spans="3:121" x14ac:dyDescent="0.2">
      <c r="R108" s="89"/>
      <c r="T108" s="89"/>
    </row>
    <row r="109" spans="3:121" x14ac:dyDescent="0.2">
      <c r="R109" s="89"/>
      <c r="T109" s="89"/>
    </row>
    <row r="110" spans="3:121" x14ac:dyDescent="0.2">
      <c r="R110" s="89"/>
      <c r="T110" s="89"/>
    </row>
    <row r="111" spans="3:121" x14ac:dyDescent="0.2">
      <c r="R111" s="89"/>
      <c r="T111" s="89"/>
    </row>
    <row r="112" spans="3:121" x14ac:dyDescent="0.2">
      <c r="R112" s="89"/>
      <c r="T112" s="89"/>
    </row>
    <row r="113" spans="18:20" x14ac:dyDescent="0.2">
      <c r="R113" s="89"/>
      <c r="T113" s="89"/>
    </row>
    <row r="114" spans="18:20" x14ac:dyDescent="0.2">
      <c r="R114" s="89"/>
      <c r="T114" s="89"/>
    </row>
    <row r="115" spans="18:20" x14ac:dyDescent="0.2">
      <c r="R115" s="89"/>
      <c r="T115" s="89"/>
    </row>
    <row r="116" spans="18:20" x14ac:dyDescent="0.2">
      <c r="R116" s="89"/>
      <c r="T116" s="89"/>
    </row>
    <row r="117" spans="18:20" x14ac:dyDescent="0.2">
      <c r="R117" s="89"/>
      <c r="T117" s="89"/>
    </row>
    <row r="118" spans="18:20" x14ac:dyDescent="0.2">
      <c r="R118" s="89"/>
      <c r="T118" s="89"/>
    </row>
    <row r="119" spans="18:20" x14ac:dyDescent="0.2">
      <c r="R119" s="89"/>
      <c r="T119" s="89"/>
    </row>
    <row r="120" spans="18:20" x14ac:dyDescent="0.2">
      <c r="R120" s="89"/>
      <c r="T120" s="89"/>
    </row>
    <row r="121" spans="18:20" x14ac:dyDescent="0.2">
      <c r="R121" s="89"/>
      <c r="T121" s="89"/>
    </row>
    <row r="122" spans="18:20" x14ac:dyDescent="0.2">
      <c r="R122" s="89"/>
      <c r="T122" s="89"/>
    </row>
    <row r="123" spans="18:20" x14ac:dyDescent="0.2">
      <c r="R123" s="89"/>
      <c r="T123" s="89"/>
    </row>
    <row r="124" spans="18:20" x14ac:dyDescent="0.2">
      <c r="R124" s="89"/>
      <c r="T124" s="89"/>
    </row>
    <row r="125" spans="18:20" x14ac:dyDescent="0.2">
      <c r="R125" s="89"/>
      <c r="T125" s="89"/>
    </row>
    <row r="126" spans="18:20" x14ac:dyDescent="0.2">
      <c r="R126" s="89"/>
      <c r="T126" s="89"/>
    </row>
    <row r="127" spans="18:20" x14ac:dyDescent="0.2">
      <c r="R127" s="89"/>
      <c r="T127" s="89"/>
    </row>
    <row r="128" spans="18:20" x14ac:dyDescent="0.2">
      <c r="R128" s="89"/>
      <c r="T128" s="89"/>
    </row>
    <row r="129" spans="18:20" x14ac:dyDescent="0.2">
      <c r="R129" s="89"/>
      <c r="T129" s="89"/>
    </row>
    <row r="130" spans="18:20" x14ac:dyDescent="0.2">
      <c r="R130" s="89"/>
      <c r="T130" s="89"/>
    </row>
    <row r="131" spans="18:20" x14ac:dyDescent="0.2">
      <c r="R131" s="89"/>
      <c r="T131" s="89"/>
    </row>
  </sheetData>
  <sheetProtection algorithmName="SHA-512" hashValue="598mhCe5dqkz+C4+smEB7NcT2HP7QFDduKEhyG2OzlNGentny9IE/7s9yiiIrHuAj1Cs9etY4QlKoQcBxiqZ/g==" saltValue="OYRbouaSAok1QWlzzopqIw==" spinCount="100000" sheet="1" objects="1" scenarios="1"/>
  <customSheetViews>
    <customSheetView guid="{A171ABFC-BD20-4BE9-8F97-F532286F0C2D}" scale="70" showGridLines="0">
      <pane xSplit="15" ySplit="11" topLeftCell="P66" activePane="bottomRight" state="frozen"/>
      <selection pane="bottomRight" activeCell="X45" sqref="X45:X72"/>
      <pageMargins left="0.7" right="0.7" top="0.75" bottom="0.75" header="0.3" footer="0.3"/>
    </customSheetView>
    <customSheetView guid="{5F88CBE0-3291-4A41-996B-A8A1DC273A84}" scale="70" showGridLines="0">
      <pane xSplit="15" ySplit="11" topLeftCell="R57" activePane="bottomRight" state="frozen"/>
      <selection pane="bottomRight" activeCell="R69" sqref="R69"/>
      <pageMargins left="0.7" right="0.7" top="0.75" bottom="0.75" header="0.3" footer="0.3"/>
    </customSheetView>
  </customSheetViews>
  <conditionalFormatting sqref="N101 N67">
    <cfRule type="cellIs" dxfId="15" priority="3" stopIfTrue="1" operator="equal">
      <formula>0</formula>
    </cfRule>
    <cfRule type="cellIs" dxfId="14" priority="4" stopIfTrue="1" operator="equal">
      <formula>1</formula>
    </cfRule>
  </conditionalFormatting>
  <conditionalFormatting sqref="F4">
    <cfRule type="cellIs" dxfId="13" priority="1" stopIfTrue="1" operator="equal">
      <formula>0</formula>
    </cfRule>
    <cfRule type="cellIs" dxfId="12" priority="2" stopIfTrue="1" operator="equal">
      <formula>1</formula>
    </cfRule>
  </conditionalFormatting>
  <pageMargins left="0.70866141732283472" right="0.70866141732283472" top="0.74803149606299213" bottom="0.74803149606299213" header="0.31496062992125984" footer="0.31496062992125984"/>
  <pageSetup paperSize="9" scale="35" orientation="landscape" r:id="rId1"/>
  <colBreaks count="2" manualBreakCount="2">
    <brk id="30" max="106" man="1"/>
    <brk id="48" max="10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
  <dimension ref="A1:DQ98"/>
  <sheetViews>
    <sheetView showGridLines="0" tabSelected="1" view="pageBreakPreview" zoomScale="70" zoomScaleNormal="70" zoomScaleSheetLayoutView="70" workbookViewId="0">
      <pane xSplit="15" ySplit="10" topLeftCell="V11" activePane="bottomRight" state="frozen"/>
      <selection pane="topRight" activeCell="P1" sqref="P1"/>
      <selection pane="bottomLeft" activeCell="A11" sqref="A11"/>
      <selection pane="bottomRight" activeCell="W14" sqref="W14:BJ14"/>
    </sheetView>
  </sheetViews>
  <sheetFormatPr baseColWidth="10" defaultColWidth="0" defaultRowHeight="12.75" x14ac:dyDescent="0.2"/>
  <cols>
    <col min="1" max="2" width="2.42578125" customWidth="1"/>
    <col min="3" max="3" width="13" customWidth="1"/>
    <col min="4" max="5" width="9.140625" customWidth="1"/>
    <col min="6" max="6" width="7.7109375" customWidth="1"/>
    <col min="7" max="7" width="9" customWidth="1"/>
    <col min="8" max="8" width="22" bestFit="1" customWidth="1"/>
    <col min="9" max="9" width="7.42578125" customWidth="1"/>
    <col min="10" max="10" width="2.28515625" customWidth="1"/>
    <col min="11" max="11" width="9.140625" style="144" customWidth="1"/>
    <col min="12" max="12" width="15" customWidth="1"/>
    <col min="13" max="13" width="1.7109375" customWidth="1"/>
    <col min="14" max="14" width="16.28515625" customWidth="1"/>
    <col min="15" max="16" width="2.7109375" customWidth="1"/>
    <col min="17" max="62" width="15.28515625" customWidth="1"/>
    <col min="63" max="120" width="15.28515625" hidden="1" customWidth="1"/>
    <col min="121" max="16384" width="9.140625" hidden="1"/>
  </cols>
  <sheetData>
    <row r="1" spans="1:121" x14ac:dyDescent="0.2">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42"/>
    </row>
    <row r="2" spans="1:121" x14ac:dyDescent="0.2">
      <c r="C2" t="s">
        <v>2</v>
      </c>
      <c r="F2" s="61" t="str">
        <f>+Inputs!$G$2</f>
        <v xml:space="preserve">LBJ Infrastructure Group LLC IH-635 Mananged Lanes Project </v>
      </c>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42"/>
    </row>
    <row r="3" spans="1:121" ht="13.5" thickBot="1" x14ac:dyDescent="0.25">
      <c r="C3" t="s">
        <v>3</v>
      </c>
      <c r="F3" t="s">
        <v>444</v>
      </c>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42"/>
    </row>
    <row r="4" spans="1:121" ht="13.5" thickBot="1" x14ac:dyDescent="0.25">
      <c r="C4" t="s">
        <v>4</v>
      </c>
      <c r="F4" s="728">
        <f ca="1">+Inputs!G4</f>
        <v>0</v>
      </c>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42"/>
    </row>
    <row r="5" spans="1:121" x14ac:dyDescent="0.2">
      <c r="BJ5" s="117"/>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42"/>
    </row>
    <row r="6" spans="1:121" x14ac:dyDescent="0.2">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42"/>
    </row>
    <row r="7" spans="1:121" x14ac:dyDescent="0.2">
      <c r="C7" t="s">
        <v>19</v>
      </c>
      <c r="Q7" s="667">
        <f t="shared" ref="Q7:BJ7" si="0">+YEAR(Q9)</f>
        <v>2016</v>
      </c>
      <c r="R7" s="667">
        <f t="shared" si="0"/>
        <v>2017</v>
      </c>
      <c r="S7" s="667">
        <f t="shared" si="0"/>
        <v>2018</v>
      </c>
      <c r="T7" s="667">
        <f t="shared" si="0"/>
        <v>2019</v>
      </c>
      <c r="U7" s="667">
        <f t="shared" si="0"/>
        <v>2020</v>
      </c>
      <c r="V7" s="667">
        <f t="shared" si="0"/>
        <v>2021</v>
      </c>
      <c r="W7" s="667">
        <f t="shared" si="0"/>
        <v>2022</v>
      </c>
      <c r="X7" s="667">
        <f t="shared" si="0"/>
        <v>2023</v>
      </c>
      <c r="Y7" s="667">
        <f t="shared" si="0"/>
        <v>2024</v>
      </c>
      <c r="Z7" s="667">
        <f t="shared" si="0"/>
        <v>2025</v>
      </c>
      <c r="AA7" s="667">
        <f t="shared" si="0"/>
        <v>2026</v>
      </c>
      <c r="AB7" s="667">
        <f t="shared" si="0"/>
        <v>2027</v>
      </c>
      <c r="AC7" s="667">
        <f t="shared" si="0"/>
        <v>2028</v>
      </c>
      <c r="AD7" s="667">
        <f t="shared" si="0"/>
        <v>2029</v>
      </c>
      <c r="AE7" s="667">
        <f t="shared" si="0"/>
        <v>2030</v>
      </c>
      <c r="AF7" s="667">
        <f t="shared" si="0"/>
        <v>2031</v>
      </c>
      <c r="AG7" s="667">
        <f t="shared" si="0"/>
        <v>2032</v>
      </c>
      <c r="AH7" s="667">
        <f t="shared" si="0"/>
        <v>2033</v>
      </c>
      <c r="AI7" s="667">
        <f t="shared" si="0"/>
        <v>2034</v>
      </c>
      <c r="AJ7" s="667">
        <f t="shared" si="0"/>
        <v>2035</v>
      </c>
      <c r="AK7" s="667">
        <f t="shared" si="0"/>
        <v>2036</v>
      </c>
      <c r="AL7" s="667">
        <f t="shared" si="0"/>
        <v>2037</v>
      </c>
      <c r="AM7" s="667">
        <f t="shared" si="0"/>
        <v>2038</v>
      </c>
      <c r="AN7" s="667">
        <f t="shared" si="0"/>
        <v>2039</v>
      </c>
      <c r="AO7" s="667">
        <f t="shared" si="0"/>
        <v>2040</v>
      </c>
      <c r="AP7" s="667">
        <f t="shared" si="0"/>
        <v>2041</v>
      </c>
      <c r="AQ7" s="667">
        <f t="shared" si="0"/>
        <v>2042</v>
      </c>
      <c r="AR7" s="667">
        <f t="shared" si="0"/>
        <v>2043</v>
      </c>
      <c r="AS7" s="667">
        <f t="shared" si="0"/>
        <v>2044</v>
      </c>
      <c r="AT7" s="667">
        <f t="shared" si="0"/>
        <v>2045</v>
      </c>
      <c r="AU7" s="667">
        <f t="shared" si="0"/>
        <v>2046</v>
      </c>
      <c r="AV7" s="667">
        <f t="shared" si="0"/>
        <v>2047</v>
      </c>
      <c r="AW7" s="667">
        <f t="shared" si="0"/>
        <v>2048</v>
      </c>
      <c r="AX7" s="667">
        <f t="shared" si="0"/>
        <v>2049</v>
      </c>
      <c r="AY7" s="667">
        <f t="shared" si="0"/>
        <v>2050</v>
      </c>
      <c r="AZ7" s="667">
        <f t="shared" si="0"/>
        <v>2051</v>
      </c>
      <c r="BA7" s="667">
        <f t="shared" si="0"/>
        <v>2052</v>
      </c>
      <c r="BB7" s="667">
        <f t="shared" si="0"/>
        <v>2053</v>
      </c>
      <c r="BC7" s="667">
        <f t="shared" si="0"/>
        <v>2054</v>
      </c>
      <c r="BD7" s="667">
        <f t="shared" si="0"/>
        <v>2055</v>
      </c>
      <c r="BE7" s="667">
        <f t="shared" si="0"/>
        <v>2056</v>
      </c>
      <c r="BF7" s="667">
        <f t="shared" si="0"/>
        <v>2057</v>
      </c>
      <c r="BG7" s="667">
        <f t="shared" si="0"/>
        <v>2058</v>
      </c>
      <c r="BH7" s="667">
        <f t="shared" si="0"/>
        <v>2059</v>
      </c>
      <c r="BI7" s="667">
        <f t="shared" si="0"/>
        <v>2060</v>
      </c>
      <c r="BJ7" s="667">
        <f t="shared" si="0"/>
        <v>2061</v>
      </c>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5"/>
    </row>
    <row r="8" spans="1:121" x14ac:dyDescent="0.2">
      <c r="C8" t="s">
        <v>46</v>
      </c>
      <c r="Q8" s="148">
        <v>42370</v>
      </c>
      <c r="R8" s="70">
        <f t="shared" ref="R8:BJ8" si="1">+Q9+1</f>
        <v>42736</v>
      </c>
      <c r="S8" s="70">
        <f t="shared" si="1"/>
        <v>43101</v>
      </c>
      <c r="T8" s="70">
        <f t="shared" si="1"/>
        <v>43466</v>
      </c>
      <c r="U8" s="70">
        <f t="shared" si="1"/>
        <v>43831</v>
      </c>
      <c r="V8" s="70">
        <f t="shared" si="1"/>
        <v>44197</v>
      </c>
      <c r="W8" s="70">
        <f t="shared" si="1"/>
        <v>44562</v>
      </c>
      <c r="X8" s="70">
        <f t="shared" si="1"/>
        <v>44927</v>
      </c>
      <c r="Y8" s="70">
        <f t="shared" si="1"/>
        <v>45292</v>
      </c>
      <c r="Z8" s="70">
        <f t="shared" si="1"/>
        <v>45658</v>
      </c>
      <c r="AA8" s="70">
        <f t="shared" si="1"/>
        <v>46023</v>
      </c>
      <c r="AB8" s="70">
        <f t="shared" si="1"/>
        <v>46388</v>
      </c>
      <c r="AC8" s="70">
        <f t="shared" si="1"/>
        <v>46753</v>
      </c>
      <c r="AD8" s="70">
        <f t="shared" si="1"/>
        <v>47119</v>
      </c>
      <c r="AE8" s="70">
        <f t="shared" si="1"/>
        <v>47484</v>
      </c>
      <c r="AF8" s="70">
        <f t="shared" si="1"/>
        <v>47849</v>
      </c>
      <c r="AG8" s="70">
        <f t="shared" si="1"/>
        <v>48214</v>
      </c>
      <c r="AH8" s="70">
        <f t="shared" si="1"/>
        <v>48580</v>
      </c>
      <c r="AI8" s="70">
        <f t="shared" si="1"/>
        <v>48945</v>
      </c>
      <c r="AJ8" s="70">
        <f t="shared" si="1"/>
        <v>49310</v>
      </c>
      <c r="AK8" s="70">
        <f t="shared" si="1"/>
        <v>49675</v>
      </c>
      <c r="AL8" s="70">
        <f t="shared" si="1"/>
        <v>50041</v>
      </c>
      <c r="AM8" s="70">
        <f t="shared" si="1"/>
        <v>50406</v>
      </c>
      <c r="AN8" s="70">
        <f t="shared" si="1"/>
        <v>50771</v>
      </c>
      <c r="AO8" s="70">
        <f t="shared" si="1"/>
        <v>51136</v>
      </c>
      <c r="AP8" s="70">
        <f t="shared" si="1"/>
        <v>51502</v>
      </c>
      <c r="AQ8" s="70">
        <f t="shared" si="1"/>
        <v>51867</v>
      </c>
      <c r="AR8" s="70">
        <f t="shared" si="1"/>
        <v>52232</v>
      </c>
      <c r="AS8" s="70">
        <f t="shared" si="1"/>
        <v>52597</v>
      </c>
      <c r="AT8" s="70">
        <f t="shared" si="1"/>
        <v>52963</v>
      </c>
      <c r="AU8" s="70">
        <f t="shared" si="1"/>
        <v>53328</v>
      </c>
      <c r="AV8" s="70">
        <f t="shared" si="1"/>
        <v>53693</v>
      </c>
      <c r="AW8" s="70">
        <f t="shared" si="1"/>
        <v>54058</v>
      </c>
      <c r="AX8" s="70">
        <f t="shared" si="1"/>
        <v>54424</v>
      </c>
      <c r="AY8" s="70">
        <f t="shared" si="1"/>
        <v>54789</v>
      </c>
      <c r="AZ8" s="70">
        <f t="shared" si="1"/>
        <v>55154</v>
      </c>
      <c r="BA8" s="70">
        <f t="shared" si="1"/>
        <v>55519</v>
      </c>
      <c r="BB8" s="70">
        <f t="shared" si="1"/>
        <v>55885</v>
      </c>
      <c r="BC8" s="70">
        <f t="shared" si="1"/>
        <v>56250</v>
      </c>
      <c r="BD8" s="70">
        <f t="shared" si="1"/>
        <v>56615</v>
      </c>
      <c r="BE8" s="70">
        <f t="shared" si="1"/>
        <v>56980</v>
      </c>
      <c r="BF8" s="70">
        <f t="shared" si="1"/>
        <v>57346</v>
      </c>
      <c r="BG8" s="70">
        <f t="shared" si="1"/>
        <v>57711</v>
      </c>
      <c r="BH8" s="70">
        <f t="shared" si="1"/>
        <v>58076</v>
      </c>
      <c r="BI8" s="70">
        <f t="shared" si="1"/>
        <v>58441</v>
      </c>
      <c r="BJ8" s="70">
        <f t="shared" si="1"/>
        <v>58807</v>
      </c>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30"/>
    </row>
    <row r="9" spans="1:121" x14ac:dyDescent="0.2">
      <c r="C9" t="s">
        <v>47</v>
      </c>
      <c r="Q9" s="70">
        <f t="shared" ref="Q9:BJ9" si="2">+EOMONTH(Q8,11)</f>
        <v>42735</v>
      </c>
      <c r="R9" s="70">
        <f t="shared" si="2"/>
        <v>43100</v>
      </c>
      <c r="S9" s="70">
        <f t="shared" si="2"/>
        <v>43465</v>
      </c>
      <c r="T9" s="70">
        <f t="shared" si="2"/>
        <v>43830</v>
      </c>
      <c r="U9" s="70">
        <f t="shared" si="2"/>
        <v>44196</v>
      </c>
      <c r="V9" s="70">
        <f t="shared" si="2"/>
        <v>44561</v>
      </c>
      <c r="W9" s="70">
        <f t="shared" si="2"/>
        <v>44926</v>
      </c>
      <c r="X9" s="70">
        <f t="shared" si="2"/>
        <v>45291</v>
      </c>
      <c r="Y9" s="70">
        <f t="shared" si="2"/>
        <v>45657</v>
      </c>
      <c r="Z9" s="70">
        <f t="shared" si="2"/>
        <v>46022</v>
      </c>
      <c r="AA9" s="70">
        <f t="shared" si="2"/>
        <v>46387</v>
      </c>
      <c r="AB9" s="70">
        <f t="shared" si="2"/>
        <v>46752</v>
      </c>
      <c r="AC9" s="70">
        <f t="shared" si="2"/>
        <v>47118</v>
      </c>
      <c r="AD9" s="70">
        <f t="shared" si="2"/>
        <v>47483</v>
      </c>
      <c r="AE9" s="70">
        <f t="shared" si="2"/>
        <v>47848</v>
      </c>
      <c r="AF9" s="70">
        <f t="shared" si="2"/>
        <v>48213</v>
      </c>
      <c r="AG9" s="70">
        <f t="shared" si="2"/>
        <v>48579</v>
      </c>
      <c r="AH9" s="70">
        <f t="shared" si="2"/>
        <v>48944</v>
      </c>
      <c r="AI9" s="70">
        <f t="shared" si="2"/>
        <v>49309</v>
      </c>
      <c r="AJ9" s="70">
        <f t="shared" si="2"/>
        <v>49674</v>
      </c>
      <c r="AK9" s="70">
        <f t="shared" si="2"/>
        <v>50040</v>
      </c>
      <c r="AL9" s="70">
        <f t="shared" si="2"/>
        <v>50405</v>
      </c>
      <c r="AM9" s="70">
        <f t="shared" si="2"/>
        <v>50770</v>
      </c>
      <c r="AN9" s="70">
        <f t="shared" si="2"/>
        <v>51135</v>
      </c>
      <c r="AO9" s="70">
        <f t="shared" si="2"/>
        <v>51501</v>
      </c>
      <c r="AP9" s="70">
        <f t="shared" si="2"/>
        <v>51866</v>
      </c>
      <c r="AQ9" s="70">
        <f t="shared" si="2"/>
        <v>52231</v>
      </c>
      <c r="AR9" s="70">
        <f t="shared" si="2"/>
        <v>52596</v>
      </c>
      <c r="AS9" s="70">
        <f t="shared" si="2"/>
        <v>52962</v>
      </c>
      <c r="AT9" s="70">
        <f t="shared" si="2"/>
        <v>53327</v>
      </c>
      <c r="AU9" s="70">
        <f t="shared" si="2"/>
        <v>53692</v>
      </c>
      <c r="AV9" s="70">
        <f t="shared" si="2"/>
        <v>54057</v>
      </c>
      <c r="AW9" s="70">
        <f t="shared" si="2"/>
        <v>54423</v>
      </c>
      <c r="AX9" s="70">
        <f t="shared" si="2"/>
        <v>54788</v>
      </c>
      <c r="AY9" s="70">
        <f t="shared" si="2"/>
        <v>55153</v>
      </c>
      <c r="AZ9" s="70">
        <f t="shared" si="2"/>
        <v>55518</v>
      </c>
      <c r="BA9" s="70">
        <f t="shared" si="2"/>
        <v>55884</v>
      </c>
      <c r="BB9" s="70">
        <f t="shared" si="2"/>
        <v>56249</v>
      </c>
      <c r="BC9" s="70">
        <f t="shared" si="2"/>
        <v>56614</v>
      </c>
      <c r="BD9" s="70">
        <f t="shared" si="2"/>
        <v>56979</v>
      </c>
      <c r="BE9" s="70">
        <f t="shared" si="2"/>
        <v>57345</v>
      </c>
      <c r="BF9" s="70">
        <f t="shared" si="2"/>
        <v>57710</v>
      </c>
      <c r="BG9" s="70">
        <f t="shared" si="2"/>
        <v>58075</v>
      </c>
      <c r="BH9" s="70">
        <f t="shared" si="2"/>
        <v>58440</v>
      </c>
      <c r="BI9" s="70">
        <f t="shared" si="2"/>
        <v>58806</v>
      </c>
      <c r="BJ9" s="70">
        <f t="shared" si="2"/>
        <v>59171</v>
      </c>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30"/>
    </row>
    <row r="10" spans="1:121" x14ac:dyDescent="0.2">
      <c r="K10" s="144" t="s">
        <v>48</v>
      </c>
      <c r="L10" s="6" t="s">
        <v>49</v>
      </c>
      <c r="M10" s="6"/>
      <c r="N10" s="6" t="s">
        <v>50</v>
      </c>
      <c r="DQ10" s="42"/>
    </row>
    <row r="11" spans="1:121" x14ac:dyDescent="0.2">
      <c r="L11" s="6"/>
      <c r="M11" s="6"/>
      <c r="N11" s="6"/>
      <c r="DQ11" s="42"/>
    </row>
    <row r="12" spans="1:121" ht="15.75" x14ac:dyDescent="0.25">
      <c r="A12" s="120"/>
      <c r="B12" s="120" t="s">
        <v>353</v>
      </c>
      <c r="C12" s="120"/>
      <c r="D12" s="120"/>
      <c r="E12" s="120"/>
      <c r="F12" s="120"/>
      <c r="G12" s="120"/>
      <c r="H12" s="120"/>
      <c r="I12" s="120"/>
      <c r="J12" s="120"/>
      <c r="K12" s="562"/>
      <c r="L12" s="120"/>
      <c r="M12" s="120"/>
      <c r="N12" s="120"/>
      <c r="O12" s="121"/>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row>
    <row r="13" spans="1:121" x14ac:dyDescent="0.2">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row>
    <row r="14" spans="1:121" x14ac:dyDescent="0.2">
      <c r="C14" s="42" t="s">
        <v>354</v>
      </c>
      <c r="K14" s="657" t="s">
        <v>63</v>
      </c>
      <c r="N14" s="63">
        <f ca="1">SUM(Q14:DQ14)</f>
        <v>-6133833.3057498662</v>
      </c>
      <c r="O14" s="63"/>
      <c r="P14" s="63"/>
      <c r="Q14" s="63"/>
      <c r="R14" s="63"/>
      <c r="S14" s="63">
        <f t="shared" ref="S14:BJ14" ca="1" si="3">-S21</f>
        <v>0</v>
      </c>
      <c r="T14" s="63">
        <f t="shared" ca="1" si="3"/>
        <v>0</v>
      </c>
      <c r="U14" s="63">
        <f t="shared" ca="1" si="3"/>
        <v>0</v>
      </c>
      <c r="V14" s="63">
        <f t="shared" ca="1" si="3"/>
        <v>0</v>
      </c>
      <c r="W14" s="63">
        <f t="shared" ca="1" si="3"/>
        <v>-780.47775198182228</v>
      </c>
      <c r="X14" s="63">
        <f t="shared" ca="1" si="3"/>
        <v>-1164.4991811465022</v>
      </c>
      <c r="Y14" s="63">
        <f t="shared" ca="1" si="3"/>
        <v>-1577.4291556687028</v>
      </c>
      <c r="Z14" s="63">
        <f t="shared" ca="1" si="3"/>
        <v>-2021.174779777821</v>
      </c>
      <c r="AA14" s="63">
        <f t="shared" ca="1" si="3"/>
        <v>-2497.6332852815908</v>
      </c>
      <c r="AB14" s="63">
        <f t="shared" ca="1" si="3"/>
        <v>-3045.1476984471396</v>
      </c>
      <c r="AC14" s="63">
        <f t="shared" ca="1" si="3"/>
        <v>-3641.3909924200379</v>
      </c>
      <c r="AD14" s="63">
        <f t="shared" ca="1" si="3"/>
        <v>-4290.19534956196</v>
      </c>
      <c r="AE14" s="63">
        <f t="shared" ca="1" si="3"/>
        <v>-4995.6732313366201</v>
      </c>
      <c r="AF14" s="63">
        <f t="shared" ca="1" si="3"/>
        <v>-5762.32110288694</v>
      </c>
      <c r="AG14" s="63">
        <f t="shared" ca="1" si="3"/>
        <v>-21907.555049245388</v>
      </c>
      <c r="AH14" s="63">
        <f t="shared" ca="1" si="3"/>
        <v>-56072.340952049773</v>
      </c>
      <c r="AI14" s="63">
        <f t="shared" ca="1" si="3"/>
        <v>-60056.505532768781</v>
      </c>
      <c r="AJ14" s="63">
        <f t="shared" ca="1" si="3"/>
        <v>-64185.140125869671</v>
      </c>
      <c r="AK14" s="63">
        <f t="shared" ca="1" si="3"/>
        <v>-68434.360881708388</v>
      </c>
      <c r="AL14" s="63">
        <f t="shared" ca="1" si="3"/>
        <v>-73430.810545692395</v>
      </c>
      <c r="AM14" s="63">
        <f t="shared" ca="1" si="3"/>
        <v>-78902.460215317784</v>
      </c>
      <c r="AN14" s="63">
        <f t="shared" ca="1" si="3"/>
        <v>-84853.573476029589</v>
      </c>
      <c r="AO14" s="63">
        <f t="shared" ca="1" si="3"/>
        <v>-91300.245528631654</v>
      </c>
      <c r="AP14" s="63">
        <f t="shared" ca="1" si="3"/>
        <v>-98265.584697702259</v>
      </c>
      <c r="AQ14" s="63">
        <f t="shared" ca="1" si="3"/>
        <v>-104857.38156882711</v>
      </c>
      <c r="AR14" s="63">
        <f t="shared" ca="1" si="3"/>
        <v>-129480.65791657509</v>
      </c>
      <c r="AS14" s="63">
        <f t="shared" ca="1" si="3"/>
        <v>-149918.14847945186</v>
      </c>
      <c r="AT14" s="63">
        <f t="shared" ca="1" si="3"/>
        <v>-161202.89434504759</v>
      </c>
      <c r="AU14" s="63">
        <f t="shared" ca="1" si="3"/>
        <v>-173594.48933773427</v>
      </c>
      <c r="AV14" s="63">
        <f t="shared" ca="1" si="3"/>
        <v>-186983.15263826633</v>
      </c>
      <c r="AW14" s="63">
        <f t="shared" ca="1" si="3"/>
        <v>-201530.42915781628</v>
      </c>
      <c r="AX14" s="63">
        <f t="shared" ca="1" si="3"/>
        <v>-217173.48623306019</v>
      </c>
      <c r="AY14" s="63">
        <f t="shared" ca="1" si="3"/>
        <v>-230148.99450671673</v>
      </c>
      <c r="AZ14" s="63">
        <f t="shared" ca="1" si="3"/>
        <v>-251905.67056709318</v>
      </c>
      <c r="BA14" s="63">
        <f t="shared" ca="1" si="3"/>
        <v>-271602.71523679845</v>
      </c>
      <c r="BB14" s="63">
        <f t="shared" ca="1" si="3"/>
        <v>-292448.02318743081</v>
      </c>
      <c r="BC14" s="63">
        <f t="shared" ca="1" si="3"/>
        <v>-314460.19370689074</v>
      </c>
      <c r="BD14" s="63">
        <f t="shared" ca="1" si="3"/>
        <v>-337774.35444222571</v>
      </c>
      <c r="BE14" s="63">
        <f t="shared" ca="1" si="3"/>
        <v>-361560.5291733343</v>
      </c>
      <c r="BF14" s="63">
        <f t="shared" ca="1" si="3"/>
        <v>-390657.44932356075</v>
      </c>
      <c r="BG14" s="63">
        <f t="shared" ca="1" si="3"/>
        <v>-420680.82391730789</v>
      </c>
      <c r="BH14" s="63">
        <f t="shared" ca="1" si="3"/>
        <v>-453021.68358548247</v>
      </c>
      <c r="BI14" s="63">
        <f t="shared" ca="1" si="3"/>
        <v>-487854.95606015594</v>
      </c>
      <c r="BJ14" s="63">
        <f t="shared" ca="1" si="3"/>
        <v>-269792.75283256453</v>
      </c>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row>
    <row r="15" spans="1:121" x14ac:dyDescent="0.2">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row>
    <row r="16" spans="1:121" ht="15.75" x14ac:dyDescent="0.25">
      <c r="A16" s="120"/>
      <c r="B16" s="120" t="s">
        <v>119</v>
      </c>
      <c r="C16" s="120"/>
      <c r="D16" s="120"/>
      <c r="E16" s="120"/>
      <c r="F16" s="120"/>
      <c r="G16" s="120"/>
      <c r="H16" s="120"/>
      <c r="I16" s="120"/>
      <c r="J16" s="120"/>
      <c r="K16" s="562"/>
      <c r="L16" s="120"/>
      <c r="M16" s="120"/>
      <c r="N16" s="120"/>
      <c r="O16" s="12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0"/>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2"/>
    </row>
    <row r="17" spans="1:121" x14ac:dyDescent="0.2">
      <c r="DQ17" s="42"/>
    </row>
    <row r="18" spans="1:121" x14ac:dyDescent="0.2">
      <c r="C18" t="s">
        <v>481</v>
      </c>
      <c r="K18" s="657" t="s">
        <v>63</v>
      </c>
      <c r="R18" s="177"/>
      <c r="S18" s="177">
        <f t="shared" ref="S18:BJ18" ca="1" si="4">+S80</f>
        <v>-68251.518084501149</v>
      </c>
      <c r="T18" s="177">
        <f t="shared" ca="1" si="4"/>
        <v>-57874.506294508901</v>
      </c>
      <c r="U18" s="177">
        <f t="shared" ca="1" si="4"/>
        <v>-45565.836348123339</v>
      </c>
      <c r="V18" s="177">
        <f t="shared" ca="1" si="4"/>
        <v>-31333.756292302263</v>
      </c>
      <c r="W18" s="177">
        <f t="shared" ca="1" si="4"/>
        <v>18582.803618614817</v>
      </c>
      <c r="X18" s="177">
        <f t="shared" ca="1" si="4"/>
        <v>27726.170979678634</v>
      </c>
      <c r="Y18" s="177">
        <f t="shared" ca="1" si="4"/>
        <v>37557.837039731035</v>
      </c>
      <c r="Z18" s="177">
        <f t="shared" ca="1" si="4"/>
        <v>48123.209042329087</v>
      </c>
      <c r="AA18" s="177">
        <f t="shared" ca="1" si="4"/>
        <v>59467.459173371215</v>
      </c>
      <c r="AB18" s="177">
        <f t="shared" ca="1" si="4"/>
        <v>72503.516629693811</v>
      </c>
      <c r="AC18" s="177">
        <f t="shared" ca="1" si="4"/>
        <v>86699.785533810471</v>
      </c>
      <c r="AD18" s="177">
        <f t="shared" ca="1" si="4"/>
        <v>102147.50832290386</v>
      </c>
      <c r="AE18" s="177">
        <f t="shared" ca="1" si="4"/>
        <v>118944.60074611002</v>
      </c>
      <c r="AF18" s="177">
        <f t="shared" ca="1" si="4"/>
        <v>137198.12149730811</v>
      </c>
      <c r="AG18" s="177">
        <f t="shared" ca="1" si="4"/>
        <v>212085.87525236118</v>
      </c>
      <c r="AH18" s="177">
        <f t="shared" ca="1" si="4"/>
        <v>267011.14739071322</v>
      </c>
      <c r="AI18" s="177">
        <f t="shared" ca="1" si="4"/>
        <v>285983.35967985133</v>
      </c>
      <c r="AJ18" s="177">
        <f t="shared" ca="1" si="4"/>
        <v>305643.52440890321</v>
      </c>
      <c r="AK18" s="177">
        <f t="shared" ca="1" si="4"/>
        <v>325877.90896051616</v>
      </c>
      <c r="AL18" s="177">
        <f t="shared" ca="1" si="4"/>
        <v>349670.52640805906</v>
      </c>
      <c r="AM18" s="177">
        <f t="shared" ca="1" si="4"/>
        <v>375726.00102532282</v>
      </c>
      <c r="AN18" s="177">
        <f t="shared" ca="1" si="4"/>
        <v>404064.6356001409</v>
      </c>
      <c r="AO18" s="177">
        <f t="shared" ca="1" si="4"/>
        <v>434763.07394586504</v>
      </c>
      <c r="AP18" s="177">
        <f t="shared" ca="1" si="4"/>
        <v>467931.3557033441</v>
      </c>
      <c r="AQ18" s="177">
        <f t="shared" ca="1" si="4"/>
        <v>499320.86461346247</v>
      </c>
      <c r="AR18" s="177">
        <f t="shared" ca="1" si="4"/>
        <v>616574.56150750048</v>
      </c>
      <c r="AS18" s="177">
        <f t="shared" ca="1" si="4"/>
        <v>713895.945140247</v>
      </c>
      <c r="AT18" s="177">
        <f t="shared" ca="1" si="4"/>
        <v>767632.83021451242</v>
      </c>
      <c r="AU18" s="177">
        <f t="shared" ca="1" si="4"/>
        <v>826640.42541778227</v>
      </c>
      <c r="AV18" s="177">
        <f t="shared" ca="1" si="4"/>
        <v>890395.96494412539</v>
      </c>
      <c r="AW18" s="177">
        <f t="shared" ca="1" si="4"/>
        <v>959668.71027531568</v>
      </c>
      <c r="AX18" s="177">
        <f t="shared" ca="1" si="4"/>
        <v>1034159.4582526676</v>
      </c>
      <c r="AY18" s="177">
        <f t="shared" ca="1" si="4"/>
        <v>1095947.5928891273</v>
      </c>
      <c r="AZ18" s="177">
        <f t="shared" ca="1" si="4"/>
        <v>1199550.8122242533</v>
      </c>
      <c r="BA18" s="177">
        <f t="shared" ca="1" si="4"/>
        <v>1293346.2630323735</v>
      </c>
      <c r="BB18" s="177">
        <f t="shared" ca="1" si="4"/>
        <v>1392609.6342258612</v>
      </c>
      <c r="BC18" s="177">
        <f t="shared" ca="1" si="4"/>
        <v>1497429.4938423368</v>
      </c>
      <c r="BD18" s="177">
        <f t="shared" ca="1" si="4"/>
        <v>1608449.3068677415</v>
      </c>
      <c r="BE18" s="177">
        <f t="shared" ca="1" si="4"/>
        <v>1721716.8055873064</v>
      </c>
      <c r="BF18" s="177">
        <f t="shared" ca="1" si="4"/>
        <v>1860273.5682074323</v>
      </c>
      <c r="BG18" s="177">
        <f t="shared" ca="1" si="4"/>
        <v>2003242.0186538473</v>
      </c>
      <c r="BH18" s="177">
        <f t="shared" ca="1" si="4"/>
        <v>2157246.1123118214</v>
      </c>
      <c r="BI18" s="177">
        <f t="shared" ca="1" si="4"/>
        <v>2323118.8383816951</v>
      </c>
      <c r="BJ18" s="177">
        <f t="shared" ca="1" si="4"/>
        <v>1284727.3944407834</v>
      </c>
      <c r="DQ18" s="42"/>
    </row>
    <row r="19" spans="1:121" x14ac:dyDescent="0.2">
      <c r="DQ19" s="42"/>
    </row>
    <row r="20" spans="1:121" x14ac:dyDescent="0.2">
      <c r="C20" t="s">
        <v>482</v>
      </c>
      <c r="K20" s="144" t="s">
        <v>20</v>
      </c>
      <c r="L20" s="568">
        <f>+Inputs!L89</f>
        <v>0.21</v>
      </c>
      <c r="R20" s="175"/>
      <c r="S20" s="763">
        <f t="shared" ref="S20:BJ20" si="5">+$L$20</f>
        <v>0.21</v>
      </c>
      <c r="T20" s="763">
        <f t="shared" si="5"/>
        <v>0.21</v>
      </c>
      <c r="U20" s="763">
        <f t="shared" si="5"/>
        <v>0.21</v>
      </c>
      <c r="V20" s="763">
        <f t="shared" si="5"/>
        <v>0.21</v>
      </c>
      <c r="W20" s="763">
        <f t="shared" si="5"/>
        <v>0.21</v>
      </c>
      <c r="X20" s="763">
        <f t="shared" si="5"/>
        <v>0.21</v>
      </c>
      <c r="Y20" s="763">
        <f t="shared" si="5"/>
        <v>0.21</v>
      </c>
      <c r="Z20" s="763">
        <f t="shared" si="5"/>
        <v>0.21</v>
      </c>
      <c r="AA20" s="763">
        <f t="shared" si="5"/>
        <v>0.21</v>
      </c>
      <c r="AB20" s="763">
        <f t="shared" si="5"/>
        <v>0.21</v>
      </c>
      <c r="AC20" s="763">
        <f t="shared" si="5"/>
        <v>0.21</v>
      </c>
      <c r="AD20" s="763">
        <f t="shared" si="5"/>
        <v>0.21</v>
      </c>
      <c r="AE20" s="763">
        <f t="shared" si="5"/>
        <v>0.21</v>
      </c>
      <c r="AF20" s="763">
        <f t="shared" si="5"/>
        <v>0.21</v>
      </c>
      <c r="AG20" s="763">
        <f t="shared" si="5"/>
        <v>0.21</v>
      </c>
      <c r="AH20" s="763">
        <f t="shared" si="5"/>
        <v>0.21</v>
      </c>
      <c r="AI20" s="763">
        <f t="shared" si="5"/>
        <v>0.21</v>
      </c>
      <c r="AJ20" s="763">
        <f t="shared" si="5"/>
        <v>0.21</v>
      </c>
      <c r="AK20" s="763">
        <f t="shared" si="5"/>
        <v>0.21</v>
      </c>
      <c r="AL20" s="763">
        <f t="shared" si="5"/>
        <v>0.21</v>
      </c>
      <c r="AM20" s="763">
        <f t="shared" si="5"/>
        <v>0.21</v>
      </c>
      <c r="AN20" s="763">
        <f t="shared" si="5"/>
        <v>0.21</v>
      </c>
      <c r="AO20" s="763">
        <f t="shared" si="5"/>
        <v>0.21</v>
      </c>
      <c r="AP20" s="763">
        <f t="shared" si="5"/>
        <v>0.21</v>
      </c>
      <c r="AQ20" s="763">
        <f t="shared" si="5"/>
        <v>0.21</v>
      </c>
      <c r="AR20" s="763">
        <f t="shared" si="5"/>
        <v>0.21</v>
      </c>
      <c r="AS20" s="763">
        <f t="shared" si="5"/>
        <v>0.21</v>
      </c>
      <c r="AT20" s="763">
        <f t="shared" si="5"/>
        <v>0.21</v>
      </c>
      <c r="AU20" s="763">
        <f t="shared" si="5"/>
        <v>0.21</v>
      </c>
      <c r="AV20" s="763">
        <f t="shared" si="5"/>
        <v>0.21</v>
      </c>
      <c r="AW20" s="763">
        <f t="shared" si="5"/>
        <v>0.21</v>
      </c>
      <c r="AX20" s="763">
        <f t="shared" si="5"/>
        <v>0.21</v>
      </c>
      <c r="AY20" s="763">
        <f t="shared" si="5"/>
        <v>0.21</v>
      </c>
      <c r="AZ20" s="763">
        <f t="shared" si="5"/>
        <v>0.21</v>
      </c>
      <c r="BA20" s="763">
        <f t="shared" si="5"/>
        <v>0.21</v>
      </c>
      <c r="BB20" s="763">
        <f t="shared" si="5"/>
        <v>0.21</v>
      </c>
      <c r="BC20" s="763">
        <f t="shared" si="5"/>
        <v>0.21</v>
      </c>
      <c r="BD20" s="763">
        <f t="shared" si="5"/>
        <v>0.21</v>
      </c>
      <c r="BE20" s="763">
        <f t="shared" si="5"/>
        <v>0.21</v>
      </c>
      <c r="BF20" s="763">
        <f t="shared" si="5"/>
        <v>0.21</v>
      </c>
      <c r="BG20" s="763">
        <f t="shared" si="5"/>
        <v>0.21</v>
      </c>
      <c r="BH20" s="763">
        <f t="shared" si="5"/>
        <v>0.21</v>
      </c>
      <c r="BI20" s="763">
        <f t="shared" si="5"/>
        <v>0.21</v>
      </c>
      <c r="BJ20" s="763">
        <f t="shared" si="5"/>
        <v>0.21</v>
      </c>
      <c r="DQ20" s="42"/>
    </row>
    <row r="21" spans="1:121" x14ac:dyDescent="0.2">
      <c r="C21" t="s">
        <v>483</v>
      </c>
      <c r="K21" s="657" t="s">
        <v>63</v>
      </c>
      <c r="R21" s="177"/>
      <c r="S21" s="177">
        <f t="shared" ref="S21:BJ21" ca="1" si="6">+IF(S34&gt;0,S34*S20,0)</f>
        <v>0</v>
      </c>
      <c r="T21" s="177">
        <f t="shared" ca="1" si="6"/>
        <v>0</v>
      </c>
      <c r="U21" s="177">
        <f t="shared" ca="1" si="6"/>
        <v>0</v>
      </c>
      <c r="V21" s="177">
        <f t="shared" ca="1" si="6"/>
        <v>0</v>
      </c>
      <c r="W21" s="177">
        <f t="shared" ca="1" si="6"/>
        <v>780.47775198182228</v>
      </c>
      <c r="X21" s="177">
        <f t="shared" ca="1" si="6"/>
        <v>1164.4991811465022</v>
      </c>
      <c r="Y21" s="177">
        <f t="shared" ca="1" si="6"/>
        <v>1577.4291556687028</v>
      </c>
      <c r="Z21" s="177">
        <f t="shared" ca="1" si="6"/>
        <v>2021.174779777821</v>
      </c>
      <c r="AA21" s="177">
        <f t="shared" ca="1" si="6"/>
        <v>2497.6332852815908</v>
      </c>
      <c r="AB21" s="177">
        <f t="shared" ca="1" si="6"/>
        <v>3045.1476984471396</v>
      </c>
      <c r="AC21" s="177">
        <f t="shared" ca="1" si="6"/>
        <v>3641.3909924200379</v>
      </c>
      <c r="AD21" s="177">
        <f t="shared" ca="1" si="6"/>
        <v>4290.19534956196</v>
      </c>
      <c r="AE21" s="177">
        <f t="shared" ca="1" si="6"/>
        <v>4995.6732313366201</v>
      </c>
      <c r="AF21" s="177">
        <f t="shared" ca="1" si="6"/>
        <v>5762.32110288694</v>
      </c>
      <c r="AG21" s="177">
        <f t="shared" ca="1" si="6"/>
        <v>21907.555049245388</v>
      </c>
      <c r="AH21" s="177">
        <f t="shared" ca="1" si="6"/>
        <v>56072.340952049773</v>
      </c>
      <c r="AI21" s="177">
        <f t="shared" ca="1" si="6"/>
        <v>60056.505532768781</v>
      </c>
      <c r="AJ21" s="177">
        <f t="shared" ca="1" si="6"/>
        <v>64185.140125869671</v>
      </c>
      <c r="AK21" s="177">
        <f t="shared" ca="1" si="6"/>
        <v>68434.360881708388</v>
      </c>
      <c r="AL21" s="177">
        <f t="shared" ca="1" si="6"/>
        <v>73430.810545692395</v>
      </c>
      <c r="AM21" s="177">
        <f t="shared" ca="1" si="6"/>
        <v>78902.460215317784</v>
      </c>
      <c r="AN21" s="177">
        <f t="shared" ca="1" si="6"/>
        <v>84853.573476029589</v>
      </c>
      <c r="AO21" s="177">
        <f t="shared" ca="1" si="6"/>
        <v>91300.245528631654</v>
      </c>
      <c r="AP21" s="177">
        <f t="shared" ca="1" si="6"/>
        <v>98265.584697702259</v>
      </c>
      <c r="AQ21" s="177">
        <f t="shared" ca="1" si="6"/>
        <v>104857.38156882711</v>
      </c>
      <c r="AR21" s="177">
        <f t="shared" ca="1" si="6"/>
        <v>129480.65791657509</v>
      </c>
      <c r="AS21" s="177">
        <f t="shared" ca="1" si="6"/>
        <v>149918.14847945186</v>
      </c>
      <c r="AT21" s="177">
        <f t="shared" ca="1" si="6"/>
        <v>161202.89434504759</v>
      </c>
      <c r="AU21" s="177">
        <f t="shared" ca="1" si="6"/>
        <v>173594.48933773427</v>
      </c>
      <c r="AV21" s="177">
        <f t="shared" ca="1" si="6"/>
        <v>186983.15263826633</v>
      </c>
      <c r="AW21" s="177">
        <f t="shared" ca="1" si="6"/>
        <v>201530.42915781628</v>
      </c>
      <c r="AX21" s="177">
        <f t="shared" ca="1" si="6"/>
        <v>217173.48623306019</v>
      </c>
      <c r="AY21" s="177">
        <f t="shared" ca="1" si="6"/>
        <v>230148.99450671673</v>
      </c>
      <c r="AZ21" s="177">
        <f t="shared" ca="1" si="6"/>
        <v>251905.67056709318</v>
      </c>
      <c r="BA21" s="177">
        <f t="shared" ca="1" si="6"/>
        <v>271602.71523679845</v>
      </c>
      <c r="BB21" s="177">
        <f t="shared" ca="1" si="6"/>
        <v>292448.02318743081</v>
      </c>
      <c r="BC21" s="177">
        <f t="shared" ca="1" si="6"/>
        <v>314460.19370689074</v>
      </c>
      <c r="BD21" s="177">
        <f t="shared" ca="1" si="6"/>
        <v>337774.35444222571</v>
      </c>
      <c r="BE21" s="177">
        <f t="shared" ca="1" si="6"/>
        <v>361560.5291733343</v>
      </c>
      <c r="BF21" s="177">
        <f t="shared" ca="1" si="6"/>
        <v>390657.44932356075</v>
      </c>
      <c r="BG21" s="177">
        <f t="shared" ca="1" si="6"/>
        <v>420680.82391730789</v>
      </c>
      <c r="BH21" s="177">
        <f t="shared" ca="1" si="6"/>
        <v>453021.68358548247</v>
      </c>
      <c r="BI21" s="177">
        <f t="shared" ca="1" si="6"/>
        <v>487854.95606015594</v>
      </c>
      <c r="BJ21" s="177">
        <f t="shared" ca="1" si="6"/>
        <v>269792.75283256453</v>
      </c>
      <c r="DQ21" s="42"/>
    </row>
    <row r="22" spans="1:121" x14ac:dyDescent="0.2">
      <c r="DQ22" s="42"/>
    </row>
    <row r="23" spans="1:121" ht="15.75" x14ac:dyDescent="0.25">
      <c r="A23" s="120"/>
      <c r="B23" s="120" t="s">
        <v>485</v>
      </c>
      <c r="C23" s="120"/>
      <c r="D23" s="120"/>
      <c r="E23" s="120"/>
      <c r="F23" s="120"/>
      <c r="G23" s="120"/>
      <c r="H23" s="120"/>
      <c r="I23" s="120"/>
      <c r="J23" s="120"/>
      <c r="K23" s="562"/>
      <c r="L23" s="120"/>
      <c r="M23" s="120"/>
      <c r="N23" s="120"/>
      <c r="O23" s="121"/>
      <c r="DQ23" s="42"/>
    </row>
    <row r="24" spans="1:121" x14ac:dyDescent="0.2">
      <c r="DQ24" s="42"/>
    </row>
    <row r="25" spans="1:121" x14ac:dyDescent="0.2">
      <c r="C25" t="s">
        <v>125</v>
      </c>
      <c r="K25" s="144" t="s">
        <v>63</v>
      </c>
      <c r="R25" s="177"/>
      <c r="S25" s="177">
        <f t="shared" ref="S25:BJ25" ca="1" si="7">+S18*(S18&lt;0)</f>
        <v>-68251.518084501149</v>
      </c>
      <c r="T25" s="177">
        <f t="shared" ca="1" si="7"/>
        <v>-57874.506294508901</v>
      </c>
      <c r="U25" s="177">
        <f t="shared" ca="1" si="7"/>
        <v>-45565.836348123339</v>
      </c>
      <c r="V25" s="177">
        <f t="shared" ca="1" si="7"/>
        <v>-31333.756292302263</v>
      </c>
      <c r="W25" s="177">
        <f t="shared" ca="1" si="7"/>
        <v>0</v>
      </c>
      <c r="X25" s="177">
        <f t="shared" ca="1" si="7"/>
        <v>0</v>
      </c>
      <c r="Y25" s="177">
        <f t="shared" ca="1" si="7"/>
        <v>0</v>
      </c>
      <c r="Z25" s="177">
        <f t="shared" ca="1" si="7"/>
        <v>0</v>
      </c>
      <c r="AA25" s="177">
        <f t="shared" ca="1" si="7"/>
        <v>0</v>
      </c>
      <c r="AB25" s="177">
        <f t="shared" ca="1" si="7"/>
        <v>0</v>
      </c>
      <c r="AC25" s="177">
        <f t="shared" ca="1" si="7"/>
        <v>0</v>
      </c>
      <c r="AD25" s="177">
        <f t="shared" ca="1" si="7"/>
        <v>0</v>
      </c>
      <c r="AE25" s="177">
        <f t="shared" ca="1" si="7"/>
        <v>0</v>
      </c>
      <c r="AF25" s="177">
        <f t="shared" ca="1" si="7"/>
        <v>0</v>
      </c>
      <c r="AG25" s="177">
        <f t="shared" ca="1" si="7"/>
        <v>0</v>
      </c>
      <c r="AH25" s="177">
        <f t="shared" ca="1" si="7"/>
        <v>0</v>
      </c>
      <c r="AI25" s="177">
        <f t="shared" ca="1" si="7"/>
        <v>0</v>
      </c>
      <c r="AJ25" s="177">
        <f t="shared" ca="1" si="7"/>
        <v>0</v>
      </c>
      <c r="AK25" s="177">
        <f t="shared" ca="1" si="7"/>
        <v>0</v>
      </c>
      <c r="AL25" s="177">
        <f t="shared" ca="1" si="7"/>
        <v>0</v>
      </c>
      <c r="AM25" s="177">
        <f t="shared" ca="1" si="7"/>
        <v>0</v>
      </c>
      <c r="AN25" s="177">
        <f t="shared" ca="1" si="7"/>
        <v>0</v>
      </c>
      <c r="AO25" s="177">
        <f t="shared" ca="1" si="7"/>
        <v>0</v>
      </c>
      <c r="AP25" s="177">
        <f t="shared" ca="1" si="7"/>
        <v>0</v>
      </c>
      <c r="AQ25" s="177">
        <f t="shared" ca="1" si="7"/>
        <v>0</v>
      </c>
      <c r="AR25" s="177">
        <f t="shared" ca="1" si="7"/>
        <v>0</v>
      </c>
      <c r="AS25" s="177">
        <f t="shared" ca="1" si="7"/>
        <v>0</v>
      </c>
      <c r="AT25" s="177">
        <f t="shared" ca="1" si="7"/>
        <v>0</v>
      </c>
      <c r="AU25" s="177">
        <f t="shared" ca="1" si="7"/>
        <v>0</v>
      </c>
      <c r="AV25" s="177">
        <f t="shared" ca="1" si="7"/>
        <v>0</v>
      </c>
      <c r="AW25" s="177">
        <f t="shared" ca="1" si="7"/>
        <v>0</v>
      </c>
      <c r="AX25" s="177">
        <f t="shared" ca="1" si="7"/>
        <v>0</v>
      </c>
      <c r="AY25" s="177">
        <f t="shared" ca="1" si="7"/>
        <v>0</v>
      </c>
      <c r="AZ25" s="177">
        <f t="shared" ca="1" si="7"/>
        <v>0</v>
      </c>
      <c r="BA25" s="177">
        <f t="shared" ca="1" si="7"/>
        <v>0</v>
      </c>
      <c r="BB25" s="177">
        <f t="shared" ca="1" si="7"/>
        <v>0</v>
      </c>
      <c r="BC25" s="177">
        <f t="shared" ca="1" si="7"/>
        <v>0</v>
      </c>
      <c r="BD25" s="177">
        <f t="shared" ca="1" si="7"/>
        <v>0</v>
      </c>
      <c r="BE25" s="177">
        <f t="shared" ca="1" si="7"/>
        <v>0</v>
      </c>
      <c r="BF25" s="177">
        <f t="shared" ca="1" si="7"/>
        <v>0</v>
      </c>
      <c r="BG25" s="177">
        <f t="shared" ca="1" si="7"/>
        <v>0</v>
      </c>
      <c r="BH25" s="177">
        <f t="shared" ca="1" si="7"/>
        <v>0</v>
      </c>
      <c r="BI25" s="177">
        <f t="shared" ca="1" si="7"/>
        <v>0</v>
      </c>
      <c r="BJ25" s="177">
        <f t="shared" ca="1" si="7"/>
        <v>0</v>
      </c>
      <c r="DQ25" s="42"/>
    </row>
    <row r="26" spans="1:121" x14ac:dyDescent="0.2">
      <c r="C26" t="s">
        <v>122</v>
      </c>
      <c r="K26" s="144" t="s">
        <v>63</v>
      </c>
      <c r="L26" s="568">
        <f>+Inputs!L91</f>
        <v>0.8</v>
      </c>
      <c r="R26" s="177"/>
      <c r="S26" s="177">
        <f t="shared" ref="S26:BJ26" ca="1" si="8">+(S18*$L$26)*(S18&gt;0)</f>
        <v>0</v>
      </c>
      <c r="T26" s="177">
        <f t="shared" ca="1" si="8"/>
        <v>0</v>
      </c>
      <c r="U26" s="177">
        <f t="shared" ca="1" si="8"/>
        <v>0</v>
      </c>
      <c r="V26" s="177">
        <f t="shared" ca="1" si="8"/>
        <v>0</v>
      </c>
      <c r="W26" s="177">
        <f t="shared" ca="1" si="8"/>
        <v>14866.242894891853</v>
      </c>
      <c r="X26" s="177">
        <f t="shared" ca="1" si="8"/>
        <v>22180.936783742909</v>
      </c>
      <c r="Y26" s="177">
        <f t="shared" ca="1" si="8"/>
        <v>30046.269631784831</v>
      </c>
      <c r="Z26" s="177">
        <f t="shared" ca="1" si="8"/>
        <v>38498.567233863272</v>
      </c>
      <c r="AA26" s="177">
        <f t="shared" ca="1" si="8"/>
        <v>47573.967338696973</v>
      </c>
      <c r="AB26" s="177">
        <f t="shared" ca="1" si="8"/>
        <v>58002.813303755051</v>
      </c>
      <c r="AC26" s="177">
        <f t="shared" ca="1" si="8"/>
        <v>69359.828427048385</v>
      </c>
      <c r="AD26" s="177">
        <f t="shared" ca="1" si="8"/>
        <v>81718.006658323095</v>
      </c>
      <c r="AE26" s="177">
        <f t="shared" ca="1" si="8"/>
        <v>95155.680596888022</v>
      </c>
      <c r="AF26" s="177">
        <f t="shared" ca="1" si="8"/>
        <v>109758.49719784649</v>
      </c>
      <c r="AG26" s="177">
        <f t="shared" ca="1" si="8"/>
        <v>169668.70020188895</v>
      </c>
      <c r="AH26" s="177">
        <f t="shared" ca="1" si="8"/>
        <v>213608.91791257059</v>
      </c>
      <c r="AI26" s="177">
        <f t="shared" ca="1" si="8"/>
        <v>228786.68774388108</v>
      </c>
      <c r="AJ26" s="177">
        <f t="shared" ca="1" si="8"/>
        <v>244514.81952712257</v>
      </c>
      <c r="AK26" s="177">
        <f t="shared" ca="1" si="8"/>
        <v>260702.32716841294</v>
      </c>
      <c r="AL26" s="177">
        <f t="shared" ca="1" si="8"/>
        <v>279736.42112644727</v>
      </c>
      <c r="AM26" s="177">
        <f t="shared" ca="1" si="8"/>
        <v>300580.80082025827</v>
      </c>
      <c r="AN26" s="177">
        <f t="shared" ca="1" si="8"/>
        <v>323251.70848011272</v>
      </c>
      <c r="AO26" s="177">
        <f t="shared" ca="1" si="8"/>
        <v>347810.45915669203</v>
      </c>
      <c r="AP26" s="177">
        <f t="shared" ca="1" si="8"/>
        <v>374345.08456267533</v>
      </c>
      <c r="AQ26" s="177">
        <f t="shared" ca="1" si="8"/>
        <v>399456.69169076998</v>
      </c>
      <c r="AR26" s="177">
        <f t="shared" ca="1" si="8"/>
        <v>493259.64920600038</v>
      </c>
      <c r="AS26" s="177">
        <f t="shared" ca="1" si="8"/>
        <v>571116.75611219765</v>
      </c>
      <c r="AT26" s="177">
        <f t="shared" ca="1" si="8"/>
        <v>614106.26417161</v>
      </c>
      <c r="AU26" s="177">
        <f t="shared" ca="1" si="8"/>
        <v>661312.34033422591</v>
      </c>
      <c r="AV26" s="177">
        <f t="shared" ca="1" si="8"/>
        <v>712316.77195530036</v>
      </c>
      <c r="AW26" s="177">
        <f t="shared" ca="1" si="8"/>
        <v>767734.96822025254</v>
      </c>
      <c r="AX26" s="177">
        <f t="shared" ca="1" si="8"/>
        <v>827327.56660213415</v>
      </c>
      <c r="AY26" s="177">
        <f t="shared" ca="1" si="8"/>
        <v>876758.07431130193</v>
      </c>
      <c r="AZ26" s="177">
        <f t="shared" ca="1" si="8"/>
        <v>959640.64977940265</v>
      </c>
      <c r="BA26" s="177">
        <f t="shared" ca="1" si="8"/>
        <v>1034677.0104258988</v>
      </c>
      <c r="BB26" s="177">
        <f t="shared" ca="1" si="8"/>
        <v>1114087.707380689</v>
      </c>
      <c r="BC26" s="177">
        <f t="shared" ca="1" si="8"/>
        <v>1197943.5950738695</v>
      </c>
      <c r="BD26" s="177">
        <f t="shared" ca="1" si="8"/>
        <v>1286759.4454941934</v>
      </c>
      <c r="BE26" s="177">
        <f t="shared" ca="1" si="8"/>
        <v>1377373.4444698452</v>
      </c>
      <c r="BF26" s="177">
        <f t="shared" ca="1" si="8"/>
        <v>1488218.8545659459</v>
      </c>
      <c r="BG26" s="177">
        <f t="shared" ca="1" si="8"/>
        <v>1602593.6149230779</v>
      </c>
      <c r="BH26" s="177">
        <f t="shared" ca="1" si="8"/>
        <v>1725796.8898494572</v>
      </c>
      <c r="BI26" s="177">
        <f t="shared" ca="1" si="8"/>
        <v>1858495.0707053561</v>
      </c>
      <c r="BJ26" s="177">
        <f t="shared" ca="1" si="8"/>
        <v>1027781.9155526268</v>
      </c>
      <c r="DQ26" s="42"/>
    </row>
    <row r="27" spans="1:121" x14ac:dyDescent="0.2">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DQ27" s="42"/>
    </row>
    <row r="28" spans="1:121" x14ac:dyDescent="0.2">
      <c r="C28" t="s">
        <v>121</v>
      </c>
      <c r="R28" s="177"/>
      <c r="S28" s="177">
        <f t="shared" ref="S28" si="9">+R32</f>
        <v>471899.37758907408</v>
      </c>
      <c r="T28" s="177">
        <f t="shared" ref="T28" ca="1" si="10">+S32</f>
        <v>540150.89567357523</v>
      </c>
      <c r="U28" s="177">
        <f t="shared" ref="U28" ca="1" si="11">+T32</f>
        <v>598025.40196808416</v>
      </c>
      <c r="V28" s="177">
        <f t="shared" ref="V28" ca="1" si="12">+U32</f>
        <v>643591.23831620754</v>
      </c>
      <c r="W28" s="177">
        <f t="shared" ref="W28" ca="1" si="13">+V32</f>
        <v>674924.99460850982</v>
      </c>
      <c r="X28" s="177">
        <f t="shared" ref="X28" ca="1" si="14">+W32</f>
        <v>660058.75171361794</v>
      </c>
      <c r="Y28" s="177">
        <f t="shared" ref="Y28" ca="1" si="15">+X32</f>
        <v>637877.81492987508</v>
      </c>
      <c r="Z28" s="177">
        <f t="shared" ref="Z28" ca="1" si="16">+Y32</f>
        <v>607831.5452980902</v>
      </c>
      <c r="AA28" s="177">
        <f t="shared" ref="AA28" ca="1" si="17">+Z32</f>
        <v>569332.97806422692</v>
      </c>
      <c r="AB28" s="177">
        <f t="shared" ref="AB28" ca="1" si="18">+AA32</f>
        <v>521759.01072552992</v>
      </c>
      <c r="AC28" s="177">
        <f t="shared" ref="AC28" ca="1" si="19">+AB32</f>
        <v>463756.19742177485</v>
      </c>
      <c r="AD28" s="177">
        <f t="shared" ref="AD28" ca="1" si="20">+AC32</f>
        <v>394396.36899472645</v>
      </c>
      <c r="AE28" s="177">
        <f t="shared" ref="AE28" ca="1" si="21">+AD32</f>
        <v>312678.36233640334</v>
      </c>
      <c r="AF28" s="177">
        <f t="shared" ref="AF28" ca="1" si="22">+AE32</f>
        <v>217522.68173951533</v>
      </c>
      <c r="AG28" s="177">
        <f t="shared" ref="AG28" ca="1" si="23">+AF32</f>
        <v>107764.18454166884</v>
      </c>
      <c r="AH28" s="177">
        <f t="shared" ref="AH28" ca="1" si="24">+AG32</f>
        <v>0</v>
      </c>
      <c r="AI28" s="177">
        <f t="shared" ref="AI28" ca="1" si="25">+AH32</f>
        <v>0</v>
      </c>
      <c r="AJ28" s="177">
        <f t="shared" ref="AJ28" ca="1" si="26">+AI32</f>
        <v>0</v>
      </c>
      <c r="AK28" s="177">
        <f t="shared" ref="AK28" ca="1" si="27">+AJ32</f>
        <v>0</v>
      </c>
      <c r="AL28" s="177">
        <f t="shared" ref="AL28" ca="1" si="28">+AK32</f>
        <v>0</v>
      </c>
      <c r="AM28" s="177">
        <f t="shared" ref="AM28" ca="1" si="29">+AL32</f>
        <v>0</v>
      </c>
      <c r="AN28" s="177">
        <f t="shared" ref="AN28" ca="1" si="30">+AM32</f>
        <v>0</v>
      </c>
      <c r="AO28" s="177">
        <f t="shared" ref="AO28" ca="1" si="31">+AN32</f>
        <v>0</v>
      </c>
      <c r="AP28" s="177">
        <f t="shared" ref="AP28" ca="1" si="32">+AO32</f>
        <v>0</v>
      </c>
      <c r="AQ28" s="177">
        <f t="shared" ref="AQ28" ca="1" si="33">+AP32</f>
        <v>0</v>
      </c>
      <c r="AR28" s="177">
        <f t="shared" ref="AR28" ca="1" si="34">+AQ32</f>
        <v>0</v>
      </c>
      <c r="AS28" s="177">
        <f t="shared" ref="AS28" ca="1" si="35">+AR32</f>
        <v>0</v>
      </c>
      <c r="AT28" s="177">
        <f t="shared" ref="AT28" ca="1" si="36">+AS32</f>
        <v>0</v>
      </c>
      <c r="AU28" s="177">
        <f t="shared" ref="AU28" ca="1" si="37">+AT32</f>
        <v>0</v>
      </c>
      <c r="AV28" s="177">
        <f t="shared" ref="AV28" ca="1" si="38">+AU32</f>
        <v>0</v>
      </c>
      <c r="AW28" s="177">
        <f t="shared" ref="AW28" ca="1" si="39">+AV32</f>
        <v>0</v>
      </c>
      <c r="AX28" s="177">
        <f t="shared" ref="AX28" ca="1" si="40">+AW32</f>
        <v>0</v>
      </c>
      <c r="AY28" s="177">
        <f t="shared" ref="AY28" ca="1" si="41">+AX32</f>
        <v>0</v>
      </c>
      <c r="AZ28" s="177">
        <f t="shared" ref="AZ28" ca="1" si="42">+AY32</f>
        <v>0</v>
      </c>
      <c r="BA28" s="177">
        <f t="shared" ref="BA28" ca="1" si="43">+AZ32</f>
        <v>0</v>
      </c>
      <c r="BB28" s="177">
        <f t="shared" ref="BB28" ca="1" si="44">+BA32</f>
        <v>0</v>
      </c>
      <c r="BC28" s="177">
        <f t="shared" ref="BC28" ca="1" si="45">+BB32</f>
        <v>0</v>
      </c>
      <c r="BD28" s="177">
        <f t="shared" ref="BD28" ca="1" si="46">+BC32</f>
        <v>0</v>
      </c>
      <c r="BE28" s="177">
        <f t="shared" ref="BE28" ca="1" si="47">+BD32</f>
        <v>0</v>
      </c>
      <c r="BF28" s="177">
        <f t="shared" ref="BF28" ca="1" si="48">+BE32</f>
        <v>0</v>
      </c>
      <c r="BG28" s="177">
        <f t="shared" ref="BG28" ca="1" si="49">+BF32</f>
        <v>0</v>
      </c>
      <c r="BH28" s="177">
        <f t="shared" ref="BH28" ca="1" si="50">+BG32</f>
        <v>0</v>
      </c>
      <c r="BI28" s="177">
        <f t="shared" ref="BI28" ca="1" si="51">+BH32</f>
        <v>0</v>
      </c>
      <c r="BJ28" s="177">
        <f t="shared" ref="BJ28" ca="1" si="52">+BI32</f>
        <v>0</v>
      </c>
      <c r="DQ28" s="42"/>
    </row>
    <row r="29" spans="1:121" x14ac:dyDescent="0.2">
      <c r="C29" s="556" t="s">
        <v>126</v>
      </c>
      <c r="D29" s="96"/>
      <c r="E29" s="96"/>
      <c r="F29" s="96"/>
      <c r="G29" s="96"/>
      <c r="H29" s="96"/>
      <c r="I29" s="96"/>
      <c r="J29" s="96"/>
      <c r="K29" s="559" t="s">
        <v>63</v>
      </c>
      <c r="L29" s="96"/>
      <c r="M29" s="96"/>
      <c r="N29" s="100">
        <f ca="1">+SUM(Q29:BJ29)</f>
        <v>203025.61701943568</v>
      </c>
      <c r="O29" s="96"/>
      <c r="P29" s="96"/>
      <c r="Q29" s="96"/>
      <c r="R29" s="570"/>
      <c r="S29" s="570">
        <f ca="1">-S25</f>
        <v>68251.518084501149</v>
      </c>
      <c r="T29" s="570">
        <f t="shared" ref="T29:BJ29" ca="1" si="53">-T25</f>
        <v>57874.506294508901</v>
      </c>
      <c r="U29" s="570">
        <f t="shared" ca="1" si="53"/>
        <v>45565.836348123339</v>
      </c>
      <c r="V29" s="570">
        <f t="shared" ca="1" si="53"/>
        <v>31333.756292302263</v>
      </c>
      <c r="W29" s="570">
        <f t="shared" ca="1" si="53"/>
        <v>0</v>
      </c>
      <c r="X29" s="570">
        <f t="shared" ca="1" si="53"/>
        <v>0</v>
      </c>
      <c r="Y29" s="570">
        <f t="shared" ca="1" si="53"/>
        <v>0</v>
      </c>
      <c r="Z29" s="570">
        <f t="shared" ca="1" si="53"/>
        <v>0</v>
      </c>
      <c r="AA29" s="570">
        <f t="shared" ca="1" si="53"/>
        <v>0</v>
      </c>
      <c r="AB29" s="570">
        <f t="shared" ca="1" si="53"/>
        <v>0</v>
      </c>
      <c r="AC29" s="570">
        <f t="shared" ca="1" si="53"/>
        <v>0</v>
      </c>
      <c r="AD29" s="570">
        <f t="shared" ca="1" si="53"/>
        <v>0</v>
      </c>
      <c r="AE29" s="570">
        <f t="shared" ca="1" si="53"/>
        <v>0</v>
      </c>
      <c r="AF29" s="570">
        <f t="shared" ca="1" si="53"/>
        <v>0</v>
      </c>
      <c r="AG29" s="570">
        <f t="shared" ca="1" si="53"/>
        <v>0</v>
      </c>
      <c r="AH29" s="570">
        <f t="shared" ca="1" si="53"/>
        <v>0</v>
      </c>
      <c r="AI29" s="570">
        <f t="shared" ca="1" si="53"/>
        <v>0</v>
      </c>
      <c r="AJ29" s="570">
        <f t="shared" ca="1" si="53"/>
        <v>0</v>
      </c>
      <c r="AK29" s="570">
        <f t="shared" ca="1" si="53"/>
        <v>0</v>
      </c>
      <c r="AL29" s="570">
        <f t="shared" ca="1" si="53"/>
        <v>0</v>
      </c>
      <c r="AM29" s="570">
        <f t="shared" ca="1" si="53"/>
        <v>0</v>
      </c>
      <c r="AN29" s="570">
        <f t="shared" ca="1" si="53"/>
        <v>0</v>
      </c>
      <c r="AO29" s="570">
        <f t="shared" ca="1" si="53"/>
        <v>0</v>
      </c>
      <c r="AP29" s="570">
        <f t="shared" ca="1" si="53"/>
        <v>0</v>
      </c>
      <c r="AQ29" s="570">
        <f t="shared" ca="1" si="53"/>
        <v>0</v>
      </c>
      <c r="AR29" s="570">
        <f t="shared" ca="1" si="53"/>
        <v>0</v>
      </c>
      <c r="AS29" s="570">
        <f t="shared" ca="1" si="53"/>
        <v>0</v>
      </c>
      <c r="AT29" s="570">
        <f t="shared" ca="1" si="53"/>
        <v>0</v>
      </c>
      <c r="AU29" s="570">
        <f t="shared" ca="1" si="53"/>
        <v>0</v>
      </c>
      <c r="AV29" s="570">
        <f t="shared" ca="1" si="53"/>
        <v>0</v>
      </c>
      <c r="AW29" s="570">
        <f t="shared" ca="1" si="53"/>
        <v>0</v>
      </c>
      <c r="AX29" s="570">
        <f t="shared" ca="1" si="53"/>
        <v>0</v>
      </c>
      <c r="AY29" s="570">
        <f t="shared" ca="1" si="53"/>
        <v>0</v>
      </c>
      <c r="AZ29" s="570">
        <f t="shared" ca="1" si="53"/>
        <v>0</v>
      </c>
      <c r="BA29" s="570">
        <f t="shared" ca="1" si="53"/>
        <v>0</v>
      </c>
      <c r="BB29" s="570">
        <f t="shared" ca="1" si="53"/>
        <v>0</v>
      </c>
      <c r="BC29" s="570">
        <f t="shared" ca="1" si="53"/>
        <v>0</v>
      </c>
      <c r="BD29" s="570">
        <f t="shared" ca="1" si="53"/>
        <v>0</v>
      </c>
      <c r="BE29" s="570">
        <f t="shared" ca="1" si="53"/>
        <v>0</v>
      </c>
      <c r="BF29" s="570">
        <f t="shared" ca="1" si="53"/>
        <v>0</v>
      </c>
      <c r="BG29" s="570">
        <f t="shared" ca="1" si="53"/>
        <v>0</v>
      </c>
      <c r="BH29" s="570">
        <f t="shared" ca="1" si="53"/>
        <v>0</v>
      </c>
      <c r="BI29" s="570">
        <f t="shared" ca="1" si="53"/>
        <v>0</v>
      </c>
      <c r="BJ29" s="570">
        <f t="shared" ca="1" si="53"/>
        <v>0</v>
      </c>
      <c r="DQ29" s="42"/>
    </row>
    <row r="30" spans="1:121" x14ac:dyDescent="0.2">
      <c r="C30" s="557" t="s">
        <v>127</v>
      </c>
      <c r="D30" s="58"/>
      <c r="E30" s="58"/>
      <c r="F30" s="58"/>
      <c r="G30" s="58"/>
      <c r="H30" s="58"/>
      <c r="I30" s="58"/>
      <c r="J30" s="58"/>
      <c r="K30" s="560" t="s">
        <v>63</v>
      </c>
      <c r="L30" s="58"/>
      <c r="M30" s="58"/>
      <c r="N30" s="63">
        <f ca="1">+SUM(Q30:BJ30)</f>
        <v>-674924.9946085097</v>
      </c>
      <c r="O30" s="58"/>
      <c r="P30" s="58"/>
      <c r="Q30" s="58"/>
      <c r="R30" s="571"/>
      <c r="S30" s="571">
        <f ca="1">-MIN(S26,SUM(S28:S29))</f>
        <v>0</v>
      </c>
      <c r="T30" s="571">
        <f t="shared" ref="T30:BJ30" ca="1" si="54">-MIN(T26,SUM(T28:T29))</f>
        <v>0</v>
      </c>
      <c r="U30" s="571">
        <f t="shared" ca="1" si="54"/>
        <v>0</v>
      </c>
      <c r="V30" s="571">
        <f t="shared" ca="1" si="54"/>
        <v>0</v>
      </c>
      <c r="W30" s="571">
        <f t="shared" ca="1" si="54"/>
        <v>-14866.242894891853</v>
      </c>
      <c r="X30" s="571">
        <f t="shared" ca="1" si="54"/>
        <v>-22180.936783742909</v>
      </c>
      <c r="Y30" s="571">
        <f t="shared" ca="1" si="54"/>
        <v>-30046.269631784831</v>
      </c>
      <c r="Z30" s="571">
        <f t="shared" ca="1" si="54"/>
        <v>-38498.567233863272</v>
      </c>
      <c r="AA30" s="571">
        <f t="shared" ca="1" si="54"/>
        <v>-47573.967338696973</v>
      </c>
      <c r="AB30" s="571">
        <f t="shared" ca="1" si="54"/>
        <v>-58002.813303755051</v>
      </c>
      <c r="AC30" s="571">
        <f t="shared" ca="1" si="54"/>
        <v>-69359.828427048385</v>
      </c>
      <c r="AD30" s="571">
        <f t="shared" ca="1" si="54"/>
        <v>-81718.006658323095</v>
      </c>
      <c r="AE30" s="571">
        <f t="shared" ca="1" si="54"/>
        <v>-95155.680596888022</v>
      </c>
      <c r="AF30" s="571">
        <f t="shared" ca="1" si="54"/>
        <v>-109758.49719784649</v>
      </c>
      <c r="AG30" s="571">
        <f t="shared" ca="1" si="54"/>
        <v>-107764.18454166884</v>
      </c>
      <c r="AH30" s="571">
        <f t="shared" ca="1" si="54"/>
        <v>0</v>
      </c>
      <c r="AI30" s="571">
        <f t="shared" ca="1" si="54"/>
        <v>0</v>
      </c>
      <c r="AJ30" s="571">
        <f t="shared" ca="1" si="54"/>
        <v>0</v>
      </c>
      <c r="AK30" s="571">
        <f t="shared" ca="1" si="54"/>
        <v>0</v>
      </c>
      <c r="AL30" s="571">
        <f t="shared" ca="1" si="54"/>
        <v>0</v>
      </c>
      <c r="AM30" s="571">
        <f t="shared" ca="1" si="54"/>
        <v>0</v>
      </c>
      <c r="AN30" s="571">
        <f t="shared" ca="1" si="54"/>
        <v>0</v>
      </c>
      <c r="AO30" s="571">
        <f t="shared" ca="1" si="54"/>
        <v>0</v>
      </c>
      <c r="AP30" s="571">
        <f t="shared" ca="1" si="54"/>
        <v>0</v>
      </c>
      <c r="AQ30" s="571">
        <f t="shared" ca="1" si="54"/>
        <v>0</v>
      </c>
      <c r="AR30" s="571">
        <f t="shared" ca="1" si="54"/>
        <v>0</v>
      </c>
      <c r="AS30" s="571">
        <f t="shared" ca="1" si="54"/>
        <v>0</v>
      </c>
      <c r="AT30" s="571">
        <f t="shared" ca="1" si="54"/>
        <v>0</v>
      </c>
      <c r="AU30" s="571">
        <f t="shared" ca="1" si="54"/>
        <v>0</v>
      </c>
      <c r="AV30" s="571">
        <f t="shared" ca="1" si="54"/>
        <v>0</v>
      </c>
      <c r="AW30" s="571">
        <f t="shared" ca="1" si="54"/>
        <v>0</v>
      </c>
      <c r="AX30" s="571">
        <f t="shared" ca="1" si="54"/>
        <v>0</v>
      </c>
      <c r="AY30" s="571">
        <f t="shared" ca="1" si="54"/>
        <v>0</v>
      </c>
      <c r="AZ30" s="571">
        <f t="shared" ca="1" si="54"/>
        <v>0</v>
      </c>
      <c r="BA30" s="571">
        <f t="shared" ca="1" si="54"/>
        <v>0</v>
      </c>
      <c r="BB30" s="571">
        <f t="shared" ca="1" si="54"/>
        <v>0</v>
      </c>
      <c r="BC30" s="571">
        <f t="shared" ca="1" si="54"/>
        <v>0</v>
      </c>
      <c r="BD30" s="571">
        <f t="shared" ca="1" si="54"/>
        <v>0</v>
      </c>
      <c r="BE30" s="571">
        <f t="shared" ca="1" si="54"/>
        <v>0</v>
      </c>
      <c r="BF30" s="571">
        <f t="shared" ca="1" si="54"/>
        <v>0</v>
      </c>
      <c r="BG30" s="571">
        <f t="shared" ca="1" si="54"/>
        <v>0</v>
      </c>
      <c r="BH30" s="571">
        <f t="shared" ca="1" si="54"/>
        <v>0</v>
      </c>
      <c r="BI30" s="571">
        <f t="shared" ca="1" si="54"/>
        <v>0</v>
      </c>
      <c r="BJ30" s="571">
        <f t="shared" ca="1" si="54"/>
        <v>0</v>
      </c>
      <c r="DQ30" s="42"/>
    </row>
    <row r="31" spans="1:121" x14ac:dyDescent="0.2">
      <c r="C31" s="558" t="s">
        <v>123</v>
      </c>
      <c r="D31" s="93"/>
      <c r="E31" s="93"/>
      <c r="F31" s="93"/>
      <c r="G31" s="93"/>
      <c r="H31" s="93"/>
      <c r="I31" s="93"/>
      <c r="J31" s="93"/>
      <c r="K31" s="561" t="s">
        <v>63</v>
      </c>
      <c r="L31" s="93"/>
      <c r="M31" s="93"/>
      <c r="N31" s="93"/>
      <c r="O31" s="93"/>
      <c r="P31" s="93"/>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DQ31" s="42"/>
    </row>
    <row r="32" spans="1:121" ht="13.5" thickBot="1" x14ac:dyDescent="0.25">
      <c r="C32" t="s">
        <v>128</v>
      </c>
      <c r="R32" s="177">
        <f>+Inputs!L248</f>
        <v>471899.37758907408</v>
      </c>
      <c r="S32" s="177">
        <f t="shared" ref="S32:BJ32" ca="1" si="55">+SUM(S28:S31)</f>
        <v>540150.89567357523</v>
      </c>
      <c r="T32" s="177">
        <f t="shared" ca="1" si="55"/>
        <v>598025.40196808416</v>
      </c>
      <c r="U32" s="177">
        <f t="shared" ca="1" si="55"/>
        <v>643591.23831620754</v>
      </c>
      <c r="V32" s="177">
        <f t="shared" ca="1" si="55"/>
        <v>674924.99460850982</v>
      </c>
      <c r="W32" s="177">
        <f t="shared" ca="1" si="55"/>
        <v>660058.75171361794</v>
      </c>
      <c r="X32" s="177">
        <f t="shared" ca="1" si="55"/>
        <v>637877.81492987508</v>
      </c>
      <c r="Y32" s="177">
        <f t="shared" ca="1" si="55"/>
        <v>607831.5452980902</v>
      </c>
      <c r="Z32" s="177">
        <f t="shared" ca="1" si="55"/>
        <v>569332.97806422692</v>
      </c>
      <c r="AA32" s="177">
        <f t="shared" ca="1" si="55"/>
        <v>521759.01072552992</v>
      </c>
      <c r="AB32" s="177">
        <f t="shared" ca="1" si="55"/>
        <v>463756.19742177485</v>
      </c>
      <c r="AC32" s="177">
        <f t="shared" ca="1" si="55"/>
        <v>394396.36899472645</v>
      </c>
      <c r="AD32" s="177">
        <f t="shared" ca="1" si="55"/>
        <v>312678.36233640334</v>
      </c>
      <c r="AE32" s="177">
        <f t="shared" ca="1" si="55"/>
        <v>217522.68173951533</v>
      </c>
      <c r="AF32" s="177">
        <f t="shared" ca="1" si="55"/>
        <v>107764.18454166884</v>
      </c>
      <c r="AG32" s="177">
        <f t="shared" ca="1" si="55"/>
        <v>0</v>
      </c>
      <c r="AH32" s="177">
        <f t="shared" ca="1" si="55"/>
        <v>0</v>
      </c>
      <c r="AI32" s="177">
        <f t="shared" ca="1" si="55"/>
        <v>0</v>
      </c>
      <c r="AJ32" s="177">
        <f t="shared" ca="1" si="55"/>
        <v>0</v>
      </c>
      <c r="AK32" s="177">
        <f t="shared" ca="1" si="55"/>
        <v>0</v>
      </c>
      <c r="AL32" s="177">
        <f t="shared" ca="1" si="55"/>
        <v>0</v>
      </c>
      <c r="AM32" s="177">
        <f t="shared" ca="1" si="55"/>
        <v>0</v>
      </c>
      <c r="AN32" s="177">
        <f t="shared" ca="1" si="55"/>
        <v>0</v>
      </c>
      <c r="AO32" s="177">
        <f t="shared" ca="1" si="55"/>
        <v>0</v>
      </c>
      <c r="AP32" s="177">
        <f t="shared" ca="1" si="55"/>
        <v>0</v>
      </c>
      <c r="AQ32" s="177">
        <f t="shared" ca="1" si="55"/>
        <v>0</v>
      </c>
      <c r="AR32" s="177">
        <f t="shared" ca="1" si="55"/>
        <v>0</v>
      </c>
      <c r="AS32" s="177">
        <f t="shared" ca="1" si="55"/>
        <v>0</v>
      </c>
      <c r="AT32" s="177">
        <f t="shared" ca="1" si="55"/>
        <v>0</v>
      </c>
      <c r="AU32" s="177">
        <f t="shared" ca="1" si="55"/>
        <v>0</v>
      </c>
      <c r="AV32" s="177">
        <f t="shared" ca="1" si="55"/>
        <v>0</v>
      </c>
      <c r="AW32" s="177">
        <f t="shared" ca="1" si="55"/>
        <v>0</v>
      </c>
      <c r="AX32" s="177">
        <f t="shared" ca="1" si="55"/>
        <v>0</v>
      </c>
      <c r="AY32" s="177">
        <f t="shared" ca="1" si="55"/>
        <v>0</v>
      </c>
      <c r="AZ32" s="177">
        <f t="shared" ca="1" si="55"/>
        <v>0</v>
      </c>
      <c r="BA32" s="177">
        <f t="shared" ca="1" si="55"/>
        <v>0</v>
      </c>
      <c r="BB32" s="177">
        <f t="shared" ca="1" si="55"/>
        <v>0</v>
      </c>
      <c r="BC32" s="177">
        <f t="shared" ca="1" si="55"/>
        <v>0</v>
      </c>
      <c r="BD32" s="177">
        <f t="shared" ca="1" si="55"/>
        <v>0</v>
      </c>
      <c r="BE32" s="177">
        <f t="shared" ca="1" si="55"/>
        <v>0</v>
      </c>
      <c r="BF32" s="177">
        <f t="shared" ca="1" si="55"/>
        <v>0</v>
      </c>
      <c r="BG32" s="177">
        <f t="shared" ca="1" si="55"/>
        <v>0</v>
      </c>
      <c r="BH32" s="177">
        <f t="shared" ca="1" si="55"/>
        <v>0</v>
      </c>
      <c r="BI32" s="177">
        <f t="shared" ca="1" si="55"/>
        <v>0</v>
      </c>
      <c r="BJ32" s="177">
        <f t="shared" ca="1" si="55"/>
        <v>0</v>
      </c>
      <c r="DQ32" s="42"/>
    </row>
    <row r="33" spans="1:121" ht="13.5" thickBot="1" x14ac:dyDescent="0.25">
      <c r="N33" s="744">
        <f ca="1">IF(ROUND((N29+N30+R32),0)=0,0,1)</f>
        <v>0</v>
      </c>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DQ33" s="42"/>
    </row>
    <row r="34" spans="1:121" x14ac:dyDescent="0.2">
      <c r="C34" t="s">
        <v>486</v>
      </c>
      <c r="R34" s="177"/>
      <c r="S34" s="177">
        <f t="shared" ref="S34:BJ34" ca="1" si="56">+S18+S30</f>
        <v>-68251.518084501149</v>
      </c>
      <c r="T34" s="177">
        <f t="shared" ca="1" si="56"/>
        <v>-57874.506294508901</v>
      </c>
      <c r="U34" s="177">
        <f t="shared" ca="1" si="56"/>
        <v>-45565.836348123339</v>
      </c>
      <c r="V34" s="177">
        <f t="shared" ca="1" si="56"/>
        <v>-31333.756292302263</v>
      </c>
      <c r="W34" s="177">
        <f t="shared" ca="1" si="56"/>
        <v>3716.5607237229633</v>
      </c>
      <c r="X34" s="177">
        <f t="shared" ca="1" si="56"/>
        <v>5545.2341959357254</v>
      </c>
      <c r="Y34" s="177">
        <f t="shared" ca="1" si="56"/>
        <v>7511.5674079462042</v>
      </c>
      <c r="Z34" s="177">
        <f t="shared" ca="1" si="56"/>
        <v>9624.6418084658144</v>
      </c>
      <c r="AA34" s="177">
        <f t="shared" ca="1" si="56"/>
        <v>11893.491834674242</v>
      </c>
      <c r="AB34" s="177">
        <f t="shared" ca="1" si="56"/>
        <v>14500.703325938761</v>
      </c>
      <c r="AC34" s="177">
        <f t="shared" ca="1" si="56"/>
        <v>17339.957106762085</v>
      </c>
      <c r="AD34" s="177">
        <f t="shared" ca="1" si="56"/>
        <v>20429.501664580763</v>
      </c>
      <c r="AE34" s="177">
        <f t="shared" ca="1" si="56"/>
        <v>23788.920149222002</v>
      </c>
      <c r="AF34" s="177">
        <f t="shared" ca="1" si="56"/>
        <v>27439.624299461619</v>
      </c>
      <c r="AG34" s="177">
        <f t="shared" ca="1" si="56"/>
        <v>104321.69071069233</v>
      </c>
      <c r="AH34" s="177">
        <f t="shared" ca="1" si="56"/>
        <v>267011.14739071322</v>
      </c>
      <c r="AI34" s="177">
        <f t="shared" ca="1" si="56"/>
        <v>285983.35967985133</v>
      </c>
      <c r="AJ34" s="177">
        <f t="shared" ca="1" si="56"/>
        <v>305643.52440890321</v>
      </c>
      <c r="AK34" s="177">
        <f t="shared" ca="1" si="56"/>
        <v>325877.90896051616</v>
      </c>
      <c r="AL34" s="177">
        <f t="shared" ca="1" si="56"/>
        <v>349670.52640805906</v>
      </c>
      <c r="AM34" s="177">
        <f t="shared" ca="1" si="56"/>
        <v>375726.00102532282</v>
      </c>
      <c r="AN34" s="177">
        <f t="shared" ca="1" si="56"/>
        <v>404064.6356001409</v>
      </c>
      <c r="AO34" s="177">
        <f t="shared" ca="1" si="56"/>
        <v>434763.07394586504</v>
      </c>
      <c r="AP34" s="177">
        <f t="shared" ca="1" si="56"/>
        <v>467931.3557033441</v>
      </c>
      <c r="AQ34" s="177">
        <f t="shared" ca="1" si="56"/>
        <v>499320.86461346247</v>
      </c>
      <c r="AR34" s="177">
        <f t="shared" ca="1" si="56"/>
        <v>616574.56150750048</v>
      </c>
      <c r="AS34" s="177">
        <f t="shared" ca="1" si="56"/>
        <v>713895.945140247</v>
      </c>
      <c r="AT34" s="177">
        <f t="shared" ca="1" si="56"/>
        <v>767632.83021451242</v>
      </c>
      <c r="AU34" s="177">
        <f t="shared" ca="1" si="56"/>
        <v>826640.42541778227</v>
      </c>
      <c r="AV34" s="177">
        <f t="shared" ca="1" si="56"/>
        <v>890395.96494412539</v>
      </c>
      <c r="AW34" s="177">
        <f t="shared" ca="1" si="56"/>
        <v>959668.71027531568</v>
      </c>
      <c r="AX34" s="177">
        <f t="shared" ca="1" si="56"/>
        <v>1034159.4582526676</v>
      </c>
      <c r="AY34" s="177">
        <f t="shared" ca="1" si="56"/>
        <v>1095947.5928891273</v>
      </c>
      <c r="AZ34" s="177">
        <f t="shared" ca="1" si="56"/>
        <v>1199550.8122242533</v>
      </c>
      <c r="BA34" s="177">
        <f t="shared" ca="1" si="56"/>
        <v>1293346.2630323735</v>
      </c>
      <c r="BB34" s="177">
        <f t="shared" ca="1" si="56"/>
        <v>1392609.6342258612</v>
      </c>
      <c r="BC34" s="177">
        <f t="shared" ca="1" si="56"/>
        <v>1497429.4938423368</v>
      </c>
      <c r="BD34" s="177">
        <f t="shared" ca="1" si="56"/>
        <v>1608449.3068677415</v>
      </c>
      <c r="BE34" s="177">
        <f t="shared" ca="1" si="56"/>
        <v>1721716.8055873064</v>
      </c>
      <c r="BF34" s="177">
        <f t="shared" ca="1" si="56"/>
        <v>1860273.5682074323</v>
      </c>
      <c r="BG34" s="177">
        <f t="shared" ca="1" si="56"/>
        <v>2003242.0186538473</v>
      </c>
      <c r="BH34" s="177">
        <f t="shared" ca="1" si="56"/>
        <v>2157246.1123118214</v>
      </c>
      <c r="BI34" s="177">
        <f t="shared" ca="1" si="56"/>
        <v>2323118.8383816951</v>
      </c>
      <c r="BJ34" s="177">
        <f t="shared" ca="1" si="56"/>
        <v>1284727.3944407834</v>
      </c>
      <c r="DQ34" s="42"/>
    </row>
    <row r="35" spans="1:121" x14ac:dyDescent="0.2">
      <c r="DQ35" s="42"/>
    </row>
    <row r="36" spans="1:121" ht="15.75" x14ac:dyDescent="0.25">
      <c r="A36" s="120"/>
      <c r="B36" s="120" t="s">
        <v>39</v>
      </c>
      <c r="C36" s="120"/>
      <c r="D36" s="120"/>
      <c r="E36" s="120"/>
      <c r="F36" s="120"/>
      <c r="G36" s="120"/>
      <c r="H36" s="120"/>
      <c r="I36" s="120"/>
      <c r="J36" s="120"/>
      <c r="K36" s="562"/>
      <c r="L36" s="120"/>
      <c r="M36" s="120"/>
      <c r="N36" s="120"/>
      <c r="O36" s="121"/>
      <c r="DQ36" s="42"/>
    </row>
    <row r="37" spans="1:121" x14ac:dyDescent="0.2">
      <c r="DQ37" s="42"/>
    </row>
    <row r="38" spans="1:121" ht="13.5" thickBot="1" x14ac:dyDescent="0.25">
      <c r="A38" s="61"/>
      <c r="B38" s="61"/>
      <c r="C38" s="61" t="s">
        <v>66</v>
      </c>
      <c r="D38" s="61"/>
      <c r="E38" s="61"/>
      <c r="F38" s="78"/>
      <c r="G38" s="168"/>
      <c r="H38" s="168"/>
      <c r="I38" s="39"/>
      <c r="J38" s="61"/>
      <c r="K38" s="636" t="s">
        <v>63</v>
      </c>
      <c r="L38" s="104"/>
      <c r="M38" s="61"/>
      <c r="N38" s="63">
        <f>+SUM(Q38:DQ38)</f>
        <v>690996.72836553829</v>
      </c>
      <c r="O38" s="61"/>
      <c r="P38" s="61"/>
      <c r="Q38" s="126"/>
      <c r="R38" s="63">
        <f>+Oper!R49-CF!R29</f>
        <v>0</v>
      </c>
      <c r="S38" s="63">
        <f>+Oper!S49-CF!S29</f>
        <v>6393.0040000000026</v>
      </c>
      <c r="T38" s="63">
        <f>+Oper!T49-CF!T29</f>
        <v>4923.1641749466244</v>
      </c>
      <c r="U38" s="63">
        <f>+Oper!U49-CF!U29</f>
        <v>3516.2529273851965</v>
      </c>
      <c r="V38" s="63">
        <f>+Oper!V49-CF!V29</f>
        <v>2511.4000285149973</v>
      </c>
      <c r="W38" s="63">
        <f>+Oper!W49-CF!W29</f>
        <v>3207.5042996959728</v>
      </c>
      <c r="X38" s="63">
        <f>+Oper!X49-CF!X29</f>
        <v>4096.5532036931381</v>
      </c>
      <c r="Y38" s="63">
        <f>+Oper!Y49-CF!Y29</f>
        <v>5232.0267044627799</v>
      </c>
      <c r="Z38" s="63">
        <f>+Oper!Z49-CF!Z29</f>
        <v>6682.2282233593996</v>
      </c>
      <c r="AA38" s="63">
        <f>+Oper!AA49-CF!AA29</f>
        <v>8534.3933720700988</v>
      </c>
      <c r="AB38" s="63">
        <f>+Oper!AB49-CF!AB29</f>
        <v>7834.4943124637866</v>
      </c>
      <c r="AC38" s="63">
        <f>+Oper!AC49-CF!AC29</f>
        <v>7191.9934383267437</v>
      </c>
      <c r="AD38" s="63">
        <f>+Oper!AD49-CF!AD29</f>
        <v>6602.1835684591333</v>
      </c>
      <c r="AE38" s="63">
        <f>+Oper!AE49-CF!AE29</f>
        <v>6060.7435539836861</v>
      </c>
      <c r="AF38" s="63">
        <f>+Oper!AF49-CF!AF29</f>
        <v>5563.7066201307889</v>
      </c>
      <c r="AG38" s="63">
        <f>+Oper!AG49-CF!AG29</f>
        <v>7543.7883632894109</v>
      </c>
      <c r="AH38" s="63">
        <f>+Oper!AH49-CF!AH29</f>
        <v>10228.566449602433</v>
      </c>
      <c r="AI38" s="63">
        <f>+Oper!AI49-CF!AI29</f>
        <v>13868.837058455365</v>
      </c>
      <c r="AJ38" s="63">
        <f>+Oper!AJ49-CF!AJ29</f>
        <v>18804.652861346072</v>
      </c>
      <c r="AK38" s="63">
        <f>+Oper!AK49-CF!AK29</f>
        <v>25497.088742573676</v>
      </c>
      <c r="AL38" s="63">
        <f>+Oper!AL49-CF!AL29</f>
        <v>17257.519856207484</v>
      </c>
      <c r="AM38" s="63">
        <f>+Oper!AM49-CF!AM29</f>
        <v>11680.62732942951</v>
      </c>
      <c r="AN38" s="63">
        <f>+Oper!AN49-CF!AN29</f>
        <v>7905.9480125667942</v>
      </c>
      <c r="AO38" s="63">
        <f>+Oper!AO49-CF!AO29</f>
        <v>5351.0836545507345</v>
      </c>
      <c r="AP38" s="63">
        <f>+Oper!AP49-CF!AP29</f>
        <v>3621.8422170858075</v>
      </c>
      <c r="AQ38" s="63">
        <f>+Oper!AQ49-CF!AQ29</f>
        <v>5031.5595961266754</v>
      </c>
      <c r="AR38" s="63">
        <f>+Oper!AR49-CF!AR29</f>
        <v>6989.9764959238264</v>
      </c>
      <c r="AS38" s="63">
        <f>+Oper!AS49-CF!AS29</f>
        <v>9710.6613725056704</v>
      </c>
      <c r="AT38" s="63">
        <f>+Oper!AT49-CF!AT29</f>
        <v>13490.309208687973</v>
      </c>
      <c r="AU38" s="63">
        <f>+Oper!AU49-CF!AU29</f>
        <v>18741.096570547237</v>
      </c>
      <c r="AV38" s="63">
        <f>+Oper!AV49-CF!AV29</f>
        <v>18421.350964280813</v>
      </c>
      <c r="AW38" s="63">
        <f>+Oper!AW49-CF!AW29</f>
        <v>18107.060601913374</v>
      </c>
      <c r="AX38" s="63">
        <f>+Oper!AX49-CF!AX29</f>
        <v>17798.132410434951</v>
      </c>
      <c r="AY38" s="63">
        <f>+Oper!AY49-CF!AY29</f>
        <v>17494.474904772869</v>
      </c>
      <c r="AZ38" s="63">
        <f>+Oper!AZ49-CF!AZ29</f>
        <v>17195.998160699615</v>
      </c>
      <c r="BA38" s="63">
        <f>+Oper!BA49-CF!BA29</f>
        <v>19251.269063199168</v>
      </c>
      <c r="BB38" s="63">
        <f>+Oper!BB49-CF!BB29</f>
        <v>21552.186565749842</v>
      </c>
      <c r="BC38" s="63">
        <f>+Oper!BC49-CF!BC29</f>
        <v>24128.110424305614</v>
      </c>
      <c r="BD38" s="63">
        <f>+Oper!BD49-CF!BD29</f>
        <v>27011.909481734325</v>
      </c>
      <c r="BE38" s="63">
        <f>+Oper!BE49-CF!BE29</f>
        <v>30240.38107494725</v>
      </c>
      <c r="BF38" s="63">
        <f>+Oper!BF49-CF!BF29</f>
        <v>34373.648331668155</v>
      </c>
      <c r="BG38" s="63">
        <f>+Oper!BG49-CF!BG29</f>
        <v>39071.852193292965</v>
      </c>
      <c r="BH38" s="63">
        <f>+Oper!BH49-CF!BH29</f>
        <v>44412.208418623974</v>
      </c>
      <c r="BI38" s="63">
        <f>+Oper!BI49-CF!BI29</f>
        <v>50482.486646944315</v>
      </c>
      <c r="BJ38" s="63">
        <f>+Oper!BJ49-CF!BJ29</f>
        <v>57382.452906580089</v>
      </c>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row>
    <row r="39" spans="1:121" ht="13.5" thickBot="1" x14ac:dyDescent="0.25">
      <c r="A39" s="61"/>
      <c r="B39" s="61"/>
      <c r="C39" s="61" t="s">
        <v>422</v>
      </c>
      <c r="D39" s="61"/>
      <c r="E39" s="61"/>
      <c r="F39" s="61"/>
      <c r="G39" s="105"/>
      <c r="H39" s="105"/>
      <c r="I39" s="39"/>
      <c r="J39" s="61"/>
      <c r="K39" s="636" t="s">
        <v>63</v>
      </c>
      <c r="L39" s="104"/>
      <c r="M39" s="61"/>
      <c r="N39" s="63">
        <f>+SUM(Q39:DQ39)</f>
        <v>833.00000000000023</v>
      </c>
      <c r="O39" s="61"/>
      <c r="P39" s="61"/>
      <c r="Q39" s="63"/>
      <c r="R39" s="63">
        <f>+Oper!R20</f>
        <v>0</v>
      </c>
      <c r="S39" s="63">
        <f>+Oper!S20</f>
        <v>833.00000000000023</v>
      </c>
      <c r="T39" s="63">
        <f>+Oper!T20</f>
        <v>0</v>
      </c>
      <c r="U39" s="63">
        <f>+Oper!U20</f>
        <v>0</v>
      </c>
      <c r="V39" s="63">
        <f>+Oper!V20</f>
        <v>0</v>
      </c>
      <c r="W39" s="63">
        <f>+Oper!W20</f>
        <v>0</v>
      </c>
      <c r="X39" s="63">
        <f>+Oper!X20</f>
        <v>0</v>
      </c>
      <c r="Y39" s="63">
        <f>+Oper!Y20</f>
        <v>0</v>
      </c>
      <c r="Z39" s="63">
        <f>+Oper!Z20</f>
        <v>0</v>
      </c>
      <c r="AA39" s="63">
        <f>+Oper!AA20</f>
        <v>0</v>
      </c>
      <c r="AB39" s="63">
        <f>+Oper!AB20</f>
        <v>0</v>
      </c>
      <c r="AC39" s="63">
        <f>+Oper!AC20</f>
        <v>0</v>
      </c>
      <c r="AD39" s="63">
        <f>+Oper!AD20</f>
        <v>0</v>
      </c>
      <c r="AE39" s="63">
        <f>+Oper!AE20</f>
        <v>0</v>
      </c>
      <c r="AF39" s="63">
        <f>+Oper!AF20</f>
        <v>0</v>
      </c>
      <c r="AG39" s="63">
        <f>+Oper!AG20</f>
        <v>0</v>
      </c>
      <c r="AH39" s="63">
        <f>+Oper!AH20</f>
        <v>0</v>
      </c>
      <c r="AI39" s="63">
        <f>+Oper!AI20</f>
        <v>0</v>
      </c>
      <c r="AJ39" s="63">
        <f>+Oper!AJ20</f>
        <v>0</v>
      </c>
      <c r="AK39" s="63">
        <f>+Oper!AK20</f>
        <v>0</v>
      </c>
      <c r="AL39" s="63">
        <f>+Oper!AL20</f>
        <v>0</v>
      </c>
      <c r="AM39" s="63">
        <f>+Oper!AM20</f>
        <v>0</v>
      </c>
      <c r="AN39" s="63">
        <f>+Oper!AN20</f>
        <v>0</v>
      </c>
      <c r="AO39" s="63">
        <f>+Oper!AO20</f>
        <v>0</v>
      </c>
      <c r="AP39" s="63">
        <f>+Oper!AP20</f>
        <v>0</v>
      </c>
      <c r="AQ39" s="63">
        <f>+Oper!AQ20</f>
        <v>0</v>
      </c>
      <c r="AR39" s="63">
        <f>+Oper!AR20</f>
        <v>0</v>
      </c>
      <c r="AS39" s="63">
        <f>+Oper!AS20</f>
        <v>0</v>
      </c>
      <c r="AT39" s="63">
        <f>+Oper!AT20</f>
        <v>0</v>
      </c>
      <c r="AU39" s="63">
        <f>+Oper!AU20</f>
        <v>0</v>
      </c>
      <c r="AV39" s="63">
        <f>+Oper!AV20</f>
        <v>0</v>
      </c>
      <c r="AW39" s="63">
        <f>+Oper!AW20</f>
        <v>0</v>
      </c>
      <c r="AX39" s="63">
        <f>+Oper!AX20</f>
        <v>0</v>
      </c>
      <c r="AY39" s="63">
        <f>+Oper!AY20</f>
        <v>0</v>
      </c>
      <c r="AZ39" s="63">
        <f>+Oper!AZ20</f>
        <v>0</v>
      </c>
      <c r="BA39" s="63">
        <f>+Oper!BA20</f>
        <v>0</v>
      </c>
      <c r="BB39" s="63">
        <f>+Oper!BB20</f>
        <v>0</v>
      </c>
      <c r="BC39" s="63">
        <f>+Oper!BC20</f>
        <v>0</v>
      </c>
      <c r="BD39" s="63">
        <f>+Oper!BD20</f>
        <v>0</v>
      </c>
      <c r="BE39" s="63">
        <f>+Oper!BE20</f>
        <v>0</v>
      </c>
      <c r="BF39" s="63">
        <f>+Oper!BF20</f>
        <v>0</v>
      </c>
      <c r="BG39" s="63">
        <f>+Oper!BG20</f>
        <v>0</v>
      </c>
      <c r="BH39" s="63">
        <f>+Oper!BH20</f>
        <v>0</v>
      </c>
      <c r="BI39" s="63">
        <f>+Oper!BI20</f>
        <v>0</v>
      </c>
      <c r="BJ39" s="63">
        <f>+Oper!BJ20</f>
        <v>0</v>
      </c>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row>
    <row r="40" spans="1:121" ht="13.5" thickBot="1" x14ac:dyDescent="0.25">
      <c r="A40" s="61"/>
      <c r="B40" s="61"/>
      <c r="C40" s="61"/>
      <c r="D40" s="61"/>
      <c r="E40" s="61"/>
      <c r="F40" s="61"/>
      <c r="G40" s="105"/>
      <c r="H40" s="105"/>
      <c r="I40" s="61"/>
      <c r="J40" s="61"/>
      <c r="K40" s="636"/>
      <c r="L40" s="61"/>
      <c r="M40" s="61"/>
      <c r="N40" s="63"/>
      <c r="O40" s="61"/>
      <c r="P40" s="61"/>
      <c r="Q40" s="125"/>
      <c r="R40" s="128"/>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63"/>
    </row>
    <row r="41" spans="1:121" x14ac:dyDescent="0.2">
      <c r="C41" s="32" t="s">
        <v>133</v>
      </c>
      <c r="D41" s="32"/>
      <c r="E41" s="32"/>
      <c r="F41" s="32"/>
      <c r="G41" s="32"/>
      <c r="H41" s="32"/>
      <c r="I41" s="32"/>
      <c r="J41" s="32"/>
      <c r="K41" s="664" t="s">
        <v>63</v>
      </c>
      <c r="L41" s="32"/>
      <c r="M41" s="32"/>
      <c r="N41" s="745">
        <f>SUM(Q41:DQ41)</f>
        <v>691829.72836553829</v>
      </c>
      <c r="O41" s="32"/>
      <c r="P41" s="32"/>
      <c r="Q41" s="33"/>
      <c r="R41" s="745">
        <f t="shared" ref="R41:AV41" si="57">SUM(R38:R40)</f>
        <v>0</v>
      </c>
      <c r="S41" s="745">
        <f t="shared" si="57"/>
        <v>7226.0040000000026</v>
      </c>
      <c r="T41" s="745">
        <f t="shared" si="57"/>
        <v>4923.1641749466244</v>
      </c>
      <c r="U41" s="745">
        <f t="shared" si="57"/>
        <v>3516.2529273851965</v>
      </c>
      <c r="V41" s="745">
        <f t="shared" si="57"/>
        <v>2511.4000285149973</v>
      </c>
      <c r="W41" s="745">
        <f t="shared" si="57"/>
        <v>3207.5042996959728</v>
      </c>
      <c r="X41" s="745">
        <f t="shared" si="57"/>
        <v>4096.5532036931381</v>
      </c>
      <c r="Y41" s="745">
        <f t="shared" si="57"/>
        <v>5232.0267044627799</v>
      </c>
      <c r="Z41" s="745">
        <f t="shared" si="57"/>
        <v>6682.2282233593996</v>
      </c>
      <c r="AA41" s="745">
        <f t="shared" si="57"/>
        <v>8534.3933720700988</v>
      </c>
      <c r="AB41" s="745">
        <f t="shared" si="57"/>
        <v>7834.4943124637866</v>
      </c>
      <c r="AC41" s="745">
        <f t="shared" si="57"/>
        <v>7191.9934383267437</v>
      </c>
      <c r="AD41" s="745">
        <f t="shared" si="57"/>
        <v>6602.1835684591333</v>
      </c>
      <c r="AE41" s="745">
        <f t="shared" si="57"/>
        <v>6060.7435539836861</v>
      </c>
      <c r="AF41" s="745">
        <f t="shared" si="57"/>
        <v>5563.7066201307889</v>
      </c>
      <c r="AG41" s="745">
        <f t="shared" si="57"/>
        <v>7543.7883632894109</v>
      </c>
      <c r="AH41" s="745">
        <f t="shared" si="57"/>
        <v>10228.566449602433</v>
      </c>
      <c r="AI41" s="745">
        <f t="shared" si="57"/>
        <v>13868.837058455365</v>
      </c>
      <c r="AJ41" s="745">
        <f t="shared" si="57"/>
        <v>18804.652861346072</v>
      </c>
      <c r="AK41" s="745">
        <f t="shared" si="57"/>
        <v>25497.088742573676</v>
      </c>
      <c r="AL41" s="745">
        <f t="shared" si="57"/>
        <v>17257.519856207484</v>
      </c>
      <c r="AM41" s="745">
        <f t="shared" si="57"/>
        <v>11680.62732942951</v>
      </c>
      <c r="AN41" s="745">
        <f t="shared" si="57"/>
        <v>7905.9480125667942</v>
      </c>
      <c r="AO41" s="745">
        <f t="shared" si="57"/>
        <v>5351.0836545507345</v>
      </c>
      <c r="AP41" s="745">
        <f t="shared" si="57"/>
        <v>3621.8422170858075</v>
      </c>
      <c r="AQ41" s="745">
        <f t="shared" si="57"/>
        <v>5031.5595961266754</v>
      </c>
      <c r="AR41" s="745">
        <f t="shared" si="57"/>
        <v>6989.9764959238264</v>
      </c>
      <c r="AS41" s="745">
        <f t="shared" si="57"/>
        <v>9710.6613725056704</v>
      </c>
      <c r="AT41" s="745">
        <f t="shared" si="57"/>
        <v>13490.309208687973</v>
      </c>
      <c r="AU41" s="745">
        <f t="shared" si="57"/>
        <v>18741.096570547237</v>
      </c>
      <c r="AV41" s="745">
        <f t="shared" si="57"/>
        <v>18421.350964280813</v>
      </c>
      <c r="AW41" s="745">
        <f t="shared" ref="AW41:BJ41" si="58">SUM(AW38:AW40)</f>
        <v>18107.060601913374</v>
      </c>
      <c r="AX41" s="745">
        <f t="shared" si="58"/>
        <v>17798.132410434951</v>
      </c>
      <c r="AY41" s="745">
        <f t="shared" si="58"/>
        <v>17494.474904772869</v>
      </c>
      <c r="AZ41" s="745">
        <f t="shared" si="58"/>
        <v>17195.998160699615</v>
      </c>
      <c r="BA41" s="745">
        <f t="shared" si="58"/>
        <v>19251.269063199168</v>
      </c>
      <c r="BB41" s="745">
        <f t="shared" si="58"/>
        <v>21552.186565749842</v>
      </c>
      <c r="BC41" s="745">
        <f t="shared" si="58"/>
        <v>24128.110424305614</v>
      </c>
      <c r="BD41" s="745">
        <f t="shared" si="58"/>
        <v>27011.909481734325</v>
      </c>
      <c r="BE41" s="745">
        <f t="shared" si="58"/>
        <v>30240.38107494725</v>
      </c>
      <c r="BF41" s="745">
        <f t="shared" si="58"/>
        <v>34373.648331668155</v>
      </c>
      <c r="BG41" s="745">
        <f t="shared" si="58"/>
        <v>39071.852193292965</v>
      </c>
      <c r="BH41" s="745">
        <f t="shared" si="58"/>
        <v>44412.208418623974</v>
      </c>
      <c r="BI41" s="745">
        <f t="shared" si="58"/>
        <v>50482.486646944315</v>
      </c>
      <c r="BJ41" s="745">
        <f t="shared" si="58"/>
        <v>57382.452906580089</v>
      </c>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42"/>
    </row>
    <row r="42" spans="1:121" x14ac:dyDescent="0.2">
      <c r="DQ42" s="42"/>
    </row>
    <row r="43" spans="1:121" ht="15" x14ac:dyDescent="0.25">
      <c r="C43" s="12" t="s">
        <v>141</v>
      </c>
      <c r="D43" s="12"/>
      <c r="E43" s="12"/>
      <c r="F43" s="12"/>
      <c r="DQ43" s="42"/>
    </row>
    <row r="44" spans="1:121" x14ac:dyDescent="0.2">
      <c r="N44" s="98"/>
      <c r="DQ44" s="42"/>
    </row>
    <row r="45" spans="1:121" x14ac:dyDescent="0.2">
      <c r="C45" s="82" t="s">
        <v>325</v>
      </c>
      <c r="DQ45" s="42"/>
    </row>
    <row r="46" spans="1:121" x14ac:dyDescent="0.2">
      <c r="C46" s="102" t="s">
        <v>143</v>
      </c>
      <c r="D46" s="102"/>
      <c r="E46" s="102"/>
      <c r="F46" s="102"/>
      <c r="G46" s="102"/>
      <c r="H46" s="102"/>
      <c r="I46" s="102"/>
      <c r="J46" s="102"/>
      <c r="K46" s="665"/>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42"/>
    </row>
    <row r="47" spans="1:121" x14ac:dyDescent="0.2">
      <c r="C47" s="102" t="s">
        <v>134</v>
      </c>
      <c r="D47" s="102"/>
      <c r="E47" s="102"/>
      <c r="F47" s="102"/>
      <c r="G47" s="102"/>
      <c r="H47" s="102"/>
      <c r="I47" s="102"/>
      <c r="J47" s="102"/>
      <c r="K47" s="665"/>
      <c r="L47" s="102"/>
      <c r="M47" s="102"/>
      <c r="N47" s="103"/>
      <c r="O47" s="102"/>
      <c r="P47" s="102"/>
      <c r="Q47" s="103"/>
      <c r="R47" s="761">
        <f t="shared" ref="R47:AO47" si="59">+Q50</f>
        <v>0</v>
      </c>
      <c r="S47" s="761">
        <f t="shared" si="59"/>
        <v>1915503.307443745</v>
      </c>
      <c r="T47" s="761">
        <f t="shared" ca="1" si="59"/>
        <v>1786660.5202994675</v>
      </c>
      <c r="U47" s="761">
        <f t="shared" ca="1" si="59"/>
        <v>1655033.1597301369</v>
      </c>
      <c r="V47" s="761">
        <f t="shared" ca="1" si="59"/>
        <v>1521670.6769682483</v>
      </c>
      <c r="W47" s="761">
        <f t="shared" ca="1" si="59"/>
        <v>1387068.9244456636</v>
      </c>
      <c r="X47" s="761">
        <f t="shared" ca="1" si="59"/>
        <v>1252995.8495256924</v>
      </c>
      <c r="Y47" s="761">
        <f t="shared" ca="1" si="59"/>
        <v>1119597.9898897386</v>
      </c>
      <c r="Z47" s="761">
        <f t="shared" ca="1" si="59"/>
        <v>987062.50020764151</v>
      </c>
      <c r="AA47" s="761">
        <f t="shared" ca="1" si="59"/>
        <v>855628.4102641436</v>
      </c>
      <c r="AB47" s="761">
        <f t="shared" ca="1" si="59"/>
        <v>725601.00358779903</v>
      </c>
      <c r="AC47" s="761">
        <f t="shared" ca="1" si="59"/>
        <v>594304.73829371016</v>
      </c>
      <c r="AD47" s="761">
        <f t="shared" ca="1" si="59"/>
        <v>461843.67250465334</v>
      </c>
      <c r="AE47" s="761">
        <f t="shared" ca="1" si="59"/>
        <v>328313.3306165071</v>
      </c>
      <c r="AF47" s="761">
        <f t="shared" ca="1" si="59"/>
        <v>193801.4031426548</v>
      </c>
      <c r="AG47" s="761">
        <f t="shared" ca="1" si="59"/>
        <v>58388.38916468402</v>
      </c>
      <c r="AH47" s="761">
        <f t="shared" ca="1" si="59"/>
        <v>7543.7883632894082</v>
      </c>
      <c r="AI47" s="761">
        <f t="shared" ca="1" si="59"/>
        <v>11990.592360173057</v>
      </c>
      <c r="AJ47" s="761">
        <f t="shared" ca="1" si="59"/>
        <v>19877.496135936148</v>
      </c>
      <c r="AK47" s="761">
        <f t="shared" ca="1" si="59"/>
        <v>32103.837522356022</v>
      </c>
      <c r="AL47" s="761">
        <f t="shared" ca="1" si="59"/>
        <v>50003.388127739447</v>
      </c>
      <c r="AM47" s="761">
        <f t="shared" ca="1" si="59"/>
        <v>58130.99059915277</v>
      </c>
      <c r="AN47" s="761">
        <f t="shared" ca="1" si="59"/>
        <v>59745.032840020678</v>
      </c>
      <c r="AO47" s="761">
        <f t="shared" ca="1" si="59"/>
        <v>57078.790822310111</v>
      </c>
      <c r="AP47" s="761">
        <f t="shared" ref="AP47:BJ47" ca="1" si="60">+AO50</f>
        <v>51679.423026043223</v>
      </c>
      <c r="AQ47" s="761">
        <f t="shared" ca="1" si="60"/>
        <v>44639.556763565321</v>
      </c>
      <c r="AR47" s="761">
        <f t="shared" ca="1" si="60"/>
        <v>39336.911290460564</v>
      </c>
      <c r="AS47" s="761">
        <f t="shared" ca="1" si="60"/>
        <v>36179.545031575435</v>
      </c>
      <c r="AT47" s="761">
        <f t="shared" ca="1" si="60"/>
        <v>35756.331445432348</v>
      </c>
      <c r="AU47" s="761">
        <f t="shared" ca="1" si="60"/>
        <v>38905.533841868455</v>
      </c>
      <c r="AV47" s="761">
        <f t="shared" ca="1" si="60"/>
        <v>46810.219223183536</v>
      </c>
      <c r="AW47" s="761">
        <f t="shared" ca="1" si="60"/>
        <v>53516.666334871101</v>
      </c>
      <c r="AX47" s="761">
        <f t="shared" ca="1" si="60"/>
        <v>59183.652244125129</v>
      </c>
      <c r="AY47" s="761">
        <f t="shared" ca="1" si="60"/>
        <v>64016.477018413345</v>
      </c>
      <c r="AZ47" s="761">
        <f t="shared" ca="1" si="60"/>
        <v>68283.691263574176</v>
      </c>
      <c r="BA47" s="761">
        <f t="shared" ca="1" si="60"/>
        <v>72339.773961766638</v>
      </c>
      <c r="BB47" s="761">
        <f t="shared" ca="1" si="60"/>
        <v>79004.533601250252</v>
      </c>
      <c r="BC47" s="761">
        <f t="shared" ca="1" si="60"/>
        <v>87837.29412948509</v>
      </c>
      <c r="BD47" s="761">
        <f t="shared" ca="1" si="60"/>
        <v>98587.874567187682</v>
      </c>
      <c r="BE47" s="761">
        <f t="shared" ca="1" si="60"/>
        <v>111140.77656820306</v>
      </c>
      <c r="BF47" s="761">
        <f t="shared" ca="1" si="60"/>
        <v>125478.09510728579</v>
      </c>
      <c r="BG47" s="761">
        <f t="shared" ca="1" si="60"/>
        <v>142174.11164589867</v>
      </c>
      <c r="BH47" s="761">
        <f t="shared" ca="1" si="60"/>
        <v>161612.19279710023</v>
      </c>
      <c r="BI47" s="761">
        <f t="shared" ca="1" si="60"/>
        <v>184251.83846047489</v>
      </c>
      <c r="BJ47" s="761">
        <f t="shared" ca="1" si="60"/>
        <v>210648.32588242865</v>
      </c>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42"/>
    </row>
    <row r="48" spans="1:121" x14ac:dyDescent="0.2">
      <c r="C48" s="102" t="s">
        <v>140</v>
      </c>
      <c r="D48" s="102"/>
      <c r="E48" s="102"/>
      <c r="F48" s="102"/>
      <c r="G48" s="102"/>
      <c r="H48" s="102"/>
      <c r="I48" s="102"/>
      <c r="J48" s="102"/>
      <c r="K48" s="665" t="s">
        <v>63</v>
      </c>
      <c r="L48" s="102"/>
      <c r="M48" s="102"/>
      <c r="N48" s="761">
        <f>+SUM(Q48:DQ48)</f>
        <v>2732861.5955297006</v>
      </c>
      <c r="O48" s="102"/>
      <c r="P48" s="102"/>
      <c r="Q48" s="103"/>
      <c r="R48" s="762">
        <f>+R59</f>
        <v>2041031.8671641615</v>
      </c>
      <c r="S48" s="761">
        <f t="shared" ref="S48:BJ48" si="61">+S59</f>
        <v>7226.0040000000026</v>
      </c>
      <c r="T48" s="761">
        <f t="shared" si="61"/>
        <v>4923.1641749466244</v>
      </c>
      <c r="U48" s="761">
        <f t="shared" si="61"/>
        <v>3516.2529273851965</v>
      </c>
      <c r="V48" s="761">
        <f t="shared" si="61"/>
        <v>2511.4000285149973</v>
      </c>
      <c r="W48" s="761">
        <f t="shared" si="61"/>
        <v>3207.5042996959728</v>
      </c>
      <c r="X48" s="761">
        <f t="shared" si="61"/>
        <v>4096.5532036931381</v>
      </c>
      <c r="Y48" s="761">
        <f t="shared" si="61"/>
        <v>5232.0267044627799</v>
      </c>
      <c r="Z48" s="761">
        <f t="shared" si="61"/>
        <v>6682.2282233593996</v>
      </c>
      <c r="AA48" s="761">
        <f t="shared" si="61"/>
        <v>8534.3933720700988</v>
      </c>
      <c r="AB48" s="761">
        <f t="shared" si="61"/>
        <v>7834.4943124637866</v>
      </c>
      <c r="AC48" s="761">
        <f t="shared" si="61"/>
        <v>7191.9934383267437</v>
      </c>
      <c r="AD48" s="761">
        <f t="shared" si="61"/>
        <v>6602.1835684591333</v>
      </c>
      <c r="AE48" s="761">
        <f t="shared" si="61"/>
        <v>6060.7435539836861</v>
      </c>
      <c r="AF48" s="761">
        <f t="shared" si="61"/>
        <v>5563.7066201307889</v>
      </c>
      <c r="AG48" s="761">
        <f t="shared" si="61"/>
        <v>7543.7883632894109</v>
      </c>
      <c r="AH48" s="761">
        <f t="shared" si="61"/>
        <v>10228.566449602433</v>
      </c>
      <c r="AI48" s="761">
        <f t="shared" si="61"/>
        <v>13868.837058455365</v>
      </c>
      <c r="AJ48" s="761">
        <f t="shared" si="61"/>
        <v>18804.652861346072</v>
      </c>
      <c r="AK48" s="761">
        <f t="shared" si="61"/>
        <v>25497.088742573676</v>
      </c>
      <c r="AL48" s="761">
        <f t="shared" si="61"/>
        <v>17257.519856207484</v>
      </c>
      <c r="AM48" s="761">
        <f t="shared" si="61"/>
        <v>11680.62732942951</v>
      </c>
      <c r="AN48" s="761">
        <f t="shared" si="61"/>
        <v>7905.9480125667942</v>
      </c>
      <c r="AO48" s="761">
        <f t="shared" si="61"/>
        <v>5351.0836545507345</v>
      </c>
      <c r="AP48" s="761">
        <f t="shared" si="61"/>
        <v>3621.8422170858075</v>
      </c>
      <c r="AQ48" s="761">
        <f t="shared" si="61"/>
        <v>5031.5595961266754</v>
      </c>
      <c r="AR48" s="761">
        <f t="shared" si="61"/>
        <v>6989.9764959238264</v>
      </c>
      <c r="AS48" s="761">
        <f t="shared" si="61"/>
        <v>9710.6613725056704</v>
      </c>
      <c r="AT48" s="761">
        <f t="shared" si="61"/>
        <v>13490.309208687973</v>
      </c>
      <c r="AU48" s="761">
        <f t="shared" si="61"/>
        <v>18741.096570547237</v>
      </c>
      <c r="AV48" s="761">
        <f t="shared" si="61"/>
        <v>18421.350964280813</v>
      </c>
      <c r="AW48" s="761">
        <f t="shared" si="61"/>
        <v>18107.060601913374</v>
      </c>
      <c r="AX48" s="761">
        <f t="shared" si="61"/>
        <v>17798.132410434951</v>
      </c>
      <c r="AY48" s="761">
        <f t="shared" si="61"/>
        <v>17494.474904772869</v>
      </c>
      <c r="AZ48" s="761">
        <f t="shared" si="61"/>
        <v>17195.998160699615</v>
      </c>
      <c r="BA48" s="761">
        <f t="shared" si="61"/>
        <v>19251.269063199168</v>
      </c>
      <c r="BB48" s="761">
        <f t="shared" si="61"/>
        <v>21552.186565749842</v>
      </c>
      <c r="BC48" s="761">
        <f t="shared" si="61"/>
        <v>24128.110424305614</v>
      </c>
      <c r="BD48" s="761">
        <f t="shared" si="61"/>
        <v>27011.909481734325</v>
      </c>
      <c r="BE48" s="761">
        <f t="shared" si="61"/>
        <v>30240.38107494725</v>
      </c>
      <c r="BF48" s="761">
        <f t="shared" si="61"/>
        <v>34373.648331668155</v>
      </c>
      <c r="BG48" s="761">
        <f t="shared" si="61"/>
        <v>39071.852193292965</v>
      </c>
      <c r="BH48" s="761">
        <f t="shared" si="61"/>
        <v>44412.208418623974</v>
      </c>
      <c r="BI48" s="761">
        <f t="shared" si="61"/>
        <v>50482.486646944315</v>
      </c>
      <c r="BJ48" s="761">
        <f t="shared" si="61"/>
        <v>57382.452906580089</v>
      </c>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42"/>
    </row>
    <row r="49" spans="1:121" x14ac:dyDescent="0.2">
      <c r="C49" s="102" t="s">
        <v>39</v>
      </c>
      <c r="D49" s="102"/>
      <c r="E49" s="102"/>
      <c r="F49" s="102"/>
      <c r="G49" s="102"/>
      <c r="H49" s="102"/>
      <c r="I49" s="102"/>
      <c r="J49" s="102"/>
      <c r="K49" s="665" t="s">
        <v>63</v>
      </c>
      <c r="L49" s="102"/>
      <c r="M49" s="102"/>
      <c r="N49" s="761">
        <f ca="1">+SUM(Q49:DQ49)</f>
        <v>-2732861.5955297006</v>
      </c>
      <c r="O49" s="102"/>
      <c r="P49" s="102"/>
      <c r="Q49" s="103"/>
      <c r="R49" s="761">
        <f>+R60+R61</f>
        <v>-125528.55972041667</v>
      </c>
      <c r="S49" s="761">
        <f t="shared" ref="S49:BJ49" ca="1" si="62">+S60+S61</f>
        <v>-136068.79114427743</v>
      </c>
      <c r="T49" s="761">
        <f t="shared" ca="1" si="62"/>
        <v>-136550.52474427744</v>
      </c>
      <c r="U49" s="761">
        <f t="shared" ca="1" si="62"/>
        <v>-136878.73568927389</v>
      </c>
      <c r="V49" s="761">
        <f t="shared" ca="1" si="62"/>
        <v>-137113.15255109957</v>
      </c>
      <c r="W49" s="761">
        <f t="shared" ca="1" si="62"/>
        <v>-137280.57921966724</v>
      </c>
      <c r="X49" s="761">
        <f t="shared" ca="1" si="62"/>
        <v>-137494.41283964698</v>
      </c>
      <c r="Y49" s="761">
        <f t="shared" ca="1" si="62"/>
        <v>-137767.51638655984</v>
      </c>
      <c r="Z49" s="761">
        <f t="shared" ca="1" si="62"/>
        <v>-138116.31816685735</v>
      </c>
      <c r="AA49" s="761">
        <f t="shared" ca="1" si="62"/>
        <v>-138561.80004841465</v>
      </c>
      <c r="AB49" s="761">
        <f t="shared" ca="1" si="62"/>
        <v>-139130.75960655266</v>
      </c>
      <c r="AC49" s="761">
        <f t="shared" ca="1" si="62"/>
        <v>-139653.05922738358</v>
      </c>
      <c r="AD49" s="761">
        <f t="shared" ca="1" si="62"/>
        <v>-140132.52545660536</v>
      </c>
      <c r="AE49" s="761">
        <f t="shared" ca="1" si="62"/>
        <v>-140572.67102783598</v>
      </c>
      <c r="AF49" s="761">
        <f t="shared" ca="1" si="62"/>
        <v>-140976.72059810156</v>
      </c>
      <c r="AG49" s="761">
        <f t="shared" ca="1" si="62"/>
        <v>-58388.38916468402</v>
      </c>
      <c r="AH49" s="761">
        <f t="shared" ca="1" si="62"/>
        <v>-5781.7624527187836</v>
      </c>
      <c r="AI49" s="761">
        <f t="shared" ca="1" si="62"/>
        <v>-5981.9332826922782</v>
      </c>
      <c r="AJ49" s="761">
        <f t="shared" ca="1" si="62"/>
        <v>-6578.3114749261949</v>
      </c>
      <c r="AK49" s="761">
        <f t="shared" ca="1" si="62"/>
        <v>-7597.538137190254</v>
      </c>
      <c r="AL49" s="761">
        <f t="shared" ca="1" si="62"/>
        <v>-9129.9173847941656</v>
      </c>
      <c r="AM49" s="761">
        <f t="shared" ca="1" si="62"/>
        <v>-10066.585088561598</v>
      </c>
      <c r="AN49" s="761">
        <f t="shared" ca="1" si="62"/>
        <v>-10572.190030277356</v>
      </c>
      <c r="AO49" s="761">
        <f t="shared" ca="1" si="62"/>
        <v>-10750.451450817625</v>
      </c>
      <c r="AP49" s="761">
        <f t="shared" ca="1" si="62"/>
        <v>-10661.708479563715</v>
      </c>
      <c r="AQ49" s="761">
        <f t="shared" ca="1" si="62"/>
        <v>-10334.205069231428</v>
      </c>
      <c r="AR49" s="761">
        <f t="shared" ca="1" si="62"/>
        <v>-10147.342754808955</v>
      </c>
      <c r="AS49" s="761">
        <f t="shared" ca="1" si="62"/>
        <v>-10133.874958648759</v>
      </c>
      <c r="AT49" s="761">
        <f t="shared" ca="1" si="62"/>
        <v>-10341.106812251863</v>
      </c>
      <c r="AU49" s="761">
        <f t="shared" ca="1" si="62"/>
        <v>-10836.411189232149</v>
      </c>
      <c r="AV49" s="761">
        <f t="shared" ca="1" si="62"/>
        <v>-11714.903852593245</v>
      </c>
      <c r="AW49" s="761">
        <f t="shared" ca="1" si="62"/>
        <v>-12440.074692659338</v>
      </c>
      <c r="AX49" s="761">
        <f t="shared" ca="1" si="62"/>
        <v>-12965.307636146734</v>
      </c>
      <c r="AY49" s="761">
        <f t="shared" ca="1" si="62"/>
        <v>-13227.260659612039</v>
      </c>
      <c r="AZ49" s="761">
        <f t="shared" ca="1" si="62"/>
        <v>-13139.915462507159</v>
      </c>
      <c r="BA49" s="761">
        <f t="shared" ca="1" si="62"/>
        <v>-12586.509423715554</v>
      </c>
      <c r="BB49" s="761">
        <f t="shared" ca="1" si="62"/>
        <v>-12719.426037515001</v>
      </c>
      <c r="BC49" s="761">
        <f t="shared" ca="1" si="62"/>
        <v>-13377.529986603024</v>
      </c>
      <c r="BD49" s="761">
        <f t="shared" ca="1" si="62"/>
        <v>-14459.007480718947</v>
      </c>
      <c r="BE49" s="761">
        <f t="shared" ca="1" si="62"/>
        <v>-15903.062535864519</v>
      </c>
      <c r="BF49" s="761">
        <f t="shared" ca="1" si="62"/>
        <v>-17677.631793055283</v>
      </c>
      <c r="BG49" s="761">
        <f t="shared" ca="1" si="62"/>
        <v>-19633.771042091379</v>
      </c>
      <c r="BH49" s="761">
        <f t="shared" ca="1" si="62"/>
        <v>-21772.562755249321</v>
      </c>
      <c r="BI49" s="761">
        <f t="shared" ca="1" si="62"/>
        <v>-24085.999224990541</v>
      </c>
      <c r="BJ49" s="761">
        <f t="shared" ca="1" si="62"/>
        <v>-268030.77878900873</v>
      </c>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42"/>
    </row>
    <row r="50" spans="1:121" x14ac:dyDescent="0.2">
      <c r="C50" s="102" t="s">
        <v>138</v>
      </c>
      <c r="D50" s="102"/>
      <c r="E50" s="102"/>
      <c r="F50" s="102"/>
      <c r="G50" s="102"/>
      <c r="H50" s="102"/>
      <c r="I50" s="102"/>
      <c r="J50" s="102"/>
      <c r="K50" s="665"/>
      <c r="L50" s="102"/>
      <c r="M50" s="102"/>
      <c r="N50" s="103"/>
      <c r="O50" s="102"/>
      <c r="P50" s="102"/>
      <c r="Q50" s="103"/>
      <c r="R50" s="761">
        <f t="shared" ref="R50:AO50" si="63">SUM(R47:R49)</f>
        <v>1915503.307443745</v>
      </c>
      <c r="S50" s="761">
        <f t="shared" ca="1" si="63"/>
        <v>1786660.5202994675</v>
      </c>
      <c r="T50" s="761">
        <f t="shared" ca="1" si="63"/>
        <v>1655033.1597301369</v>
      </c>
      <c r="U50" s="761">
        <f t="shared" ca="1" si="63"/>
        <v>1521670.6769682483</v>
      </c>
      <c r="V50" s="761">
        <f t="shared" ca="1" si="63"/>
        <v>1387068.9244456636</v>
      </c>
      <c r="W50" s="761">
        <f t="shared" ca="1" si="63"/>
        <v>1252995.8495256924</v>
      </c>
      <c r="X50" s="761">
        <f t="shared" ca="1" si="63"/>
        <v>1119597.9898897386</v>
      </c>
      <c r="Y50" s="761">
        <f t="shared" ca="1" si="63"/>
        <v>987062.50020764151</v>
      </c>
      <c r="Z50" s="761">
        <f t="shared" ca="1" si="63"/>
        <v>855628.4102641436</v>
      </c>
      <c r="AA50" s="761">
        <f t="shared" ca="1" si="63"/>
        <v>725601.00358779903</v>
      </c>
      <c r="AB50" s="761">
        <f t="shared" ca="1" si="63"/>
        <v>594304.73829371016</v>
      </c>
      <c r="AC50" s="761">
        <f t="shared" ca="1" si="63"/>
        <v>461843.67250465334</v>
      </c>
      <c r="AD50" s="761">
        <f t="shared" ca="1" si="63"/>
        <v>328313.3306165071</v>
      </c>
      <c r="AE50" s="761">
        <f t="shared" ca="1" si="63"/>
        <v>193801.4031426548</v>
      </c>
      <c r="AF50" s="761">
        <f t="shared" ca="1" si="63"/>
        <v>58388.38916468402</v>
      </c>
      <c r="AG50" s="761">
        <f t="shared" ca="1" si="63"/>
        <v>7543.7883632894082</v>
      </c>
      <c r="AH50" s="761">
        <f t="shared" ca="1" si="63"/>
        <v>11990.592360173057</v>
      </c>
      <c r="AI50" s="761">
        <f t="shared" ca="1" si="63"/>
        <v>19877.496135936148</v>
      </c>
      <c r="AJ50" s="761">
        <f t="shared" ca="1" si="63"/>
        <v>32103.837522356022</v>
      </c>
      <c r="AK50" s="761">
        <f t="shared" ca="1" si="63"/>
        <v>50003.388127739447</v>
      </c>
      <c r="AL50" s="761">
        <f t="shared" ca="1" si="63"/>
        <v>58130.99059915277</v>
      </c>
      <c r="AM50" s="761">
        <f t="shared" ca="1" si="63"/>
        <v>59745.032840020678</v>
      </c>
      <c r="AN50" s="761">
        <f t="shared" ca="1" si="63"/>
        <v>57078.790822310111</v>
      </c>
      <c r="AO50" s="761">
        <f t="shared" ca="1" si="63"/>
        <v>51679.423026043223</v>
      </c>
      <c r="AP50" s="761">
        <f t="shared" ref="AP50:BJ50" ca="1" si="64">SUM(AP47:AP49)</f>
        <v>44639.556763565321</v>
      </c>
      <c r="AQ50" s="761">
        <f t="shared" ca="1" si="64"/>
        <v>39336.911290460564</v>
      </c>
      <c r="AR50" s="761">
        <f t="shared" ca="1" si="64"/>
        <v>36179.545031575435</v>
      </c>
      <c r="AS50" s="761">
        <f t="shared" ca="1" si="64"/>
        <v>35756.331445432348</v>
      </c>
      <c r="AT50" s="761">
        <f t="shared" ca="1" si="64"/>
        <v>38905.533841868455</v>
      </c>
      <c r="AU50" s="761">
        <f t="shared" ca="1" si="64"/>
        <v>46810.219223183536</v>
      </c>
      <c r="AV50" s="761">
        <f t="shared" ca="1" si="64"/>
        <v>53516.666334871101</v>
      </c>
      <c r="AW50" s="761">
        <f t="shared" ca="1" si="64"/>
        <v>59183.652244125129</v>
      </c>
      <c r="AX50" s="761">
        <f t="shared" ca="1" si="64"/>
        <v>64016.477018413345</v>
      </c>
      <c r="AY50" s="761">
        <f t="shared" ca="1" si="64"/>
        <v>68283.691263574176</v>
      </c>
      <c r="AZ50" s="761">
        <f t="shared" ca="1" si="64"/>
        <v>72339.773961766638</v>
      </c>
      <c r="BA50" s="761">
        <f t="shared" ca="1" si="64"/>
        <v>79004.533601250252</v>
      </c>
      <c r="BB50" s="761">
        <f t="shared" ca="1" si="64"/>
        <v>87837.29412948509</v>
      </c>
      <c r="BC50" s="761">
        <f t="shared" ca="1" si="64"/>
        <v>98587.874567187682</v>
      </c>
      <c r="BD50" s="761">
        <f t="shared" ca="1" si="64"/>
        <v>111140.77656820306</v>
      </c>
      <c r="BE50" s="761">
        <f t="shared" ca="1" si="64"/>
        <v>125478.09510728579</v>
      </c>
      <c r="BF50" s="761">
        <f t="shared" ca="1" si="64"/>
        <v>142174.11164589867</v>
      </c>
      <c r="BG50" s="761">
        <f t="shared" ca="1" si="64"/>
        <v>161612.19279710023</v>
      </c>
      <c r="BH50" s="761">
        <f t="shared" ca="1" si="64"/>
        <v>184251.83846047489</v>
      </c>
      <c r="BI50" s="761">
        <f t="shared" ca="1" si="64"/>
        <v>210648.32588242865</v>
      </c>
      <c r="BJ50" s="761">
        <f t="shared" ca="1" si="64"/>
        <v>0</v>
      </c>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42"/>
    </row>
    <row r="51" spans="1:121" ht="13.5" thickBot="1" x14ac:dyDescent="0.25">
      <c r="DQ51" s="42"/>
    </row>
    <row r="52" spans="1:121" ht="13.5" thickBot="1" x14ac:dyDescent="0.25">
      <c r="N52" s="744">
        <f ca="1">IF(ROUND(N48,0) =- ROUND(N49,0),0,1)</f>
        <v>0</v>
      </c>
      <c r="Q52" s="98"/>
      <c r="DQ52" s="42"/>
    </row>
    <row r="53" spans="1:121" x14ac:dyDescent="0.2">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DQ53" s="42"/>
    </row>
    <row r="54" spans="1:121" x14ac:dyDescent="0.2">
      <c r="B54" s="64" t="s">
        <v>356</v>
      </c>
      <c r="Q54" s="101"/>
      <c r="DQ54" s="42"/>
    </row>
    <row r="55" spans="1:121" x14ac:dyDescent="0.2">
      <c r="B55" s="810">
        <v>15</v>
      </c>
      <c r="C55" s="811"/>
      <c r="D55" s="714">
        <f>1/B55</f>
        <v>6.6666666666666666E-2</v>
      </c>
      <c r="G55" s="61" t="str">
        <f ca="1">IF(ROUND(SUM(N59:N61),3) = 0, "OK", "Error")</f>
        <v>OK</v>
      </c>
      <c r="Q55" s="66">
        <f t="shared" ref="Q55:BJ55" si="65">+IF(Q56&gt;($BJ$56-$B$55),$D$55,0)</f>
        <v>0</v>
      </c>
      <c r="R55" s="66">
        <f t="shared" si="65"/>
        <v>0</v>
      </c>
      <c r="S55" s="66">
        <f t="shared" si="65"/>
        <v>0</v>
      </c>
      <c r="T55" s="66">
        <f t="shared" si="65"/>
        <v>0</v>
      </c>
      <c r="U55" s="66">
        <f t="shared" si="65"/>
        <v>0</v>
      </c>
      <c r="V55" s="66">
        <f t="shared" si="65"/>
        <v>0</v>
      </c>
      <c r="W55" s="66">
        <f t="shared" si="65"/>
        <v>0</v>
      </c>
      <c r="X55" s="66">
        <f t="shared" si="65"/>
        <v>0</v>
      </c>
      <c r="Y55" s="66">
        <f t="shared" si="65"/>
        <v>0</v>
      </c>
      <c r="Z55" s="66">
        <f t="shared" si="65"/>
        <v>0</v>
      </c>
      <c r="AA55" s="66">
        <f t="shared" si="65"/>
        <v>0</v>
      </c>
      <c r="AB55" s="66">
        <f t="shared" si="65"/>
        <v>0</v>
      </c>
      <c r="AC55" s="66">
        <f t="shared" si="65"/>
        <v>0</v>
      </c>
      <c r="AD55" s="66">
        <f t="shared" si="65"/>
        <v>0</v>
      </c>
      <c r="AE55" s="66">
        <f t="shared" si="65"/>
        <v>0</v>
      </c>
      <c r="AF55" s="66">
        <f t="shared" si="65"/>
        <v>0</v>
      </c>
      <c r="AG55" s="66">
        <f t="shared" si="65"/>
        <v>0</v>
      </c>
      <c r="AH55" s="66">
        <f t="shared" si="65"/>
        <v>0</v>
      </c>
      <c r="AI55" s="66">
        <f t="shared" si="65"/>
        <v>0</v>
      </c>
      <c r="AJ55" s="66">
        <f t="shared" si="65"/>
        <v>0</v>
      </c>
      <c r="AK55" s="66">
        <f t="shared" si="65"/>
        <v>0</v>
      </c>
      <c r="AL55" s="66">
        <f t="shared" si="65"/>
        <v>0</v>
      </c>
      <c r="AM55" s="66">
        <f t="shared" si="65"/>
        <v>0</v>
      </c>
      <c r="AN55" s="66">
        <f t="shared" si="65"/>
        <v>0</v>
      </c>
      <c r="AO55" s="66">
        <f t="shared" si="65"/>
        <v>0</v>
      </c>
      <c r="AP55" s="66">
        <f t="shared" si="65"/>
        <v>0</v>
      </c>
      <c r="AQ55" s="66">
        <f t="shared" si="65"/>
        <v>0</v>
      </c>
      <c r="AR55" s="66">
        <f t="shared" si="65"/>
        <v>0</v>
      </c>
      <c r="AS55" s="66">
        <f t="shared" si="65"/>
        <v>0</v>
      </c>
      <c r="AT55" s="66">
        <f t="shared" si="65"/>
        <v>0</v>
      </c>
      <c r="AU55" s="66">
        <f t="shared" si="65"/>
        <v>0</v>
      </c>
      <c r="AV55" s="66">
        <f t="shared" si="65"/>
        <v>6.6666666666666666E-2</v>
      </c>
      <c r="AW55" s="66">
        <f t="shared" si="65"/>
        <v>6.6666666666666666E-2</v>
      </c>
      <c r="AX55" s="66">
        <f t="shared" si="65"/>
        <v>6.6666666666666666E-2</v>
      </c>
      <c r="AY55" s="66">
        <f t="shared" si="65"/>
        <v>6.6666666666666666E-2</v>
      </c>
      <c r="AZ55" s="66">
        <f t="shared" si="65"/>
        <v>6.6666666666666666E-2</v>
      </c>
      <c r="BA55" s="66">
        <f t="shared" si="65"/>
        <v>6.6666666666666666E-2</v>
      </c>
      <c r="BB55" s="66">
        <f t="shared" si="65"/>
        <v>6.6666666666666666E-2</v>
      </c>
      <c r="BC55" s="66">
        <f t="shared" si="65"/>
        <v>6.6666666666666666E-2</v>
      </c>
      <c r="BD55" s="66">
        <f t="shared" si="65"/>
        <v>6.6666666666666666E-2</v>
      </c>
      <c r="BE55" s="66">
        <f t="shared" si="65"/>
        <v>6.6666666666666666E-2</v>
      </c>
      <c r="BF55" s="66">
        <f t="shared" si="65"/>
        <v>6.6666666666666666E-2</v>
      </c>
      <c r="BG55" s="66">
        <f t="shared" si="65"/>
        <v>6.6666666666666666E-2</v>
      </c>
      <c r="BH55" s="66">
        <f t="shared" si="65"/>
        <v>6.6666666666666666E-2</v>
      </c>
      <c r="BI55" s="66">
        <f t="shared" si="65"/>
        <v>6.6666666666666666E-2</v>
      </c>
      <c r="BJ55" s="66">
        <f t="shared" si="65"/>
        <v>6.6666666666666666E-2</v>
      </c>
      <c r="BK55" s="66"/>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42"/>
    </row>
    <row r="56" spans="1:121" x14ac:dyDescent="0.2">
      <c r="C56" t="s">
        <v>142</v>
      </c>
      <c r="K56" s="144" t="s">
        <v>57</v>
      </c>
      <c r="Q56" s="63">
        <f>+SUM(CF!$P$13:Q13)</f>
        <v>1</v>
      </c>
      <c r="R56" s="63">
        <f>+SUM(CF!$P$13:R13)</f>
        <v>2</v>
      </c>
      <c r="S56" s="63">
        <f>+SUM(CF!$P$13:S13)</f>
        <v>3</v>
      </c>
      <c r="T56" s="63">
        <f>+SUM(CF!$P$13:T13)</f>
        <v>4</v>
      </c>
      <c r="U56" s="63">
        <f>+SUM(CF!$P$13:U13)</f>
        <v>5</v>
      </c>
      <c r="V56" s="63">
        <f>+SUM(CF!$P$13:V13)</f>
        <v>6</v>
      </c>
      <c r="W56" s="63">
        <f>+SUM(CF!$P$13:W13)</f>
        <v>7</v>
      </c>
      <c r="X56" s="63">
        <f>+SUM(CF!$P$13:X13)</f>
        <v>8</v>
      </c>
      <c r="Y56" s="63">
        <f>+SUM(CF!$P$13:Y13)</f>
        <v>9</v>
      </c>
      <c r="Z56" s="63">
        <f>+SUM(CF!$P$13:Z13)</f>
        <v>10</v>
      </c>
      <c r="AA56" s="63">
        <f>+SUM(CF!$P$13:AA13)</f>
        <v>11</v>
      </c>
      <c r="AB56" s="63">
        <f>+SUM(CF!$P$13:AB13)</f>
        <v>12</v>
      </c>
      <c r="AC56" s="63">
        <f>+SUM(CF!$P$13:AC13)</f>
        <v>13</v>
      </c>
      <c r="AD56" s="63">
        <f>+SUM(CF!$P$13:AD13)</f>
        <v>14</v>
      </c>
      <c r="AE56" s="63">
        <f>+SUM(CF!$P$13:AE13)</f>
        <v>15</v>
      </c>
      <c r="AF56" s="63">
        <f>+SUM(CF!$P$13:AF13)</f>
        <v>16</v>
      </c>
      <c r="AG56" s="63">
        <f>+SUM(CF!$P$13:AG13)</f>
        <v>17</v>
      </c>
      <c r="AH56" s="63">
        <f>+SUM(CF!$P$13:AH13)</f>
        <v>18</v>
      </c>
      <c r="AI56" s="63">
        <f>+SUM(CF!$P$13:AI13)</f>
        <v>19</v>
      </c>
      <c r="AJ56" s="63">
        <f>+SUM(CF!$P$13:AJ13)</f>
        <v>20</v>
      </c>
      <c r="AK56" s="63">
        <f>+SUM(CF!$P$13:AK13)</f>
        <v>21</v>
      </c>
      <c r="AL56" s="63">
        <f>+SUM(CF!$P$13:AL13)</f>
        <v>22</v>
      </c>
      <c r="AM56" s="63">
        <f>+SUM(CF!$P$13:AM13)</f>
        <v>23</v>
      </c>
      <c r="AN56" s="63">
        <f>+SUM(CF!$P$13:AN13)</f>
        <v>24</v>
      </c>
      <c r="AO56" s="63">
        <f>+SUM(CF!$P$13:AO13)</f>
        <v>25</v>
      </c>
      <c r="AP56" s="63">
        <f>+SUM(CF!$P$13:AP13)</f>
        <v>26</v>
      </c>
      <c r="AQ56" s="63">
        <f>+SUM(CF!$P$13:AQ13)</f>
        <v>27</v>
      </c>
      <c r="AR56" s="63">
        <f>+SUM(CF!$P$13:AR13)</f>
        <v>28</v>
      </c>
      <c r="AS56" s="63">
        <f>+SUM(CF!$P$13:AS13)</f>
        <v>29</v>
      </c>
      <c r="AT56" s="63">
        <f>+SUM(CF!$P$13:AT13)</f>
        <v>30</v>
      </c>
      <c r="AU56" s="63">
        <f>+SUM(CF!$P$13:AU13)</f>
        <v>31</v>
      </c>
      <c r="AV56" s="63">
        <f>+SUM(CF!$P$13:AV13)</f>
        <v>32</v>
      </c>
      <c r="AW56" s="63">
        <f>+SUM(CF!$P$13:AW13)</f>
        <v>33</v>
      </c>
      <c r="AX56" s="63">
        <f>+SUM(CF!$P$13:AX13)</f>
        <v>34</v>
      </c>
      <c r="AY56" s="63">
        <f>+SUM(CF!$P$13:AY13)</f>
        <v>35</v>
      </c>
      <c r="AZ56" s="63">
        <f>+SUM(CF!$P$13:AZ13)</f>
        <v>36</v>
      </c>
      <c r="BA56" s="63">
        <f>+SUM(CF!$P$13:BA13)</f>
        <v>37</v>
      </c>
      <c r="BB56" s="63">
        <f>+SUM(CF!$P$13:BB13)</f>
        <v>38</v>
      </c>
      <c r="BC56" s="63">
        <f>+SUM(CF!$P$13:BC13)</f>
        <v>39</v>
      </c>
      <c r="BD56" s="63">
        <f>+SUM(CF!$P$13:BD13)</f>
        <v>40</v>
      </c>
      <c r="BE56" s="63">
        <f>+SUM(CF!$P$13:BE13)</f>
        <v>41</v>
      </c>
      <c r="BF56" s="63">
        <f>+SUM(CF!$P$13:BF13)</f>
        <v>42</v>
      </c>
      <c r="BG56" s="63">
        <f>+SUM(CF!$P$13:BG13)</f>
        <v>43</v>
      </c>
      <c r="BH56" s="63">
        <f>+SUM(CF!$P$13:BH13)</f>
        <v>44</v>
      </c>
      <c r="BI56" s="63">
        <f>+SUM(CF!$P$13:BI13)</f>
        <v>45</v>
      </c>
      <c r="BJ56" s="63">
        <f>+SUM(CF!$P$13:BJ13)</f>
        <v>46</v>
      </c>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42"/>
    </row>
    <row r="57" spans="1:121" x14ac:dyDescent="0.2">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42"/>
    </row>
    <row r="58" spans="1:121" x14ac:dyDescent="0.2">
      <c r="C58" t="s">
        <v>134</v>
      </c>
      <c r="Q58" s="169"/>
      <c r="R58" s="751">
        <f>R62-R60</f>
        <v>2041031.8671641615</v>
      </c>
      <c r="S58" s="63">
        <f t="shared" ref="S58:AO58" si="66">+R62</f>
        <v>1915503.307443745</v>
      </c>
      <c r="T58" s="63">
        <f t="shared" ca="1" si="66"/>
        <v>1786660.5202994675</v>
      </c>
      <c r="U58" s="63">
        <f t="shared" ca="1" si="66"/>
        <v>1655033.1597301369</v>
      </c>
      <c r="V58" s="63">
        <f t="shared" ca="1" si="66"/>
        <v>1521670.6769682483</v>
      </c>
      <c r="W58" s="63">
        <f t="shared" ca="1" si="66"/>
        <v>1387068.9244456636</v>
      </c>
      <c r="X58" s="63">
        <f t="shared" ca="1" si="66"/>
        <v>1252995.8495256924</v>
      </c>
      <c r="Y58" s="63">
        <f t="shared" ca="1" si="66"/>
        <v>1119597.9898897386</v>
      </c>
      <c r="Z58" s="63">
        <f t="shared" ca="1" si="66"/>
        <v>987062.50020764151</v>
      </c>
      <c r="AA58" s="63">
        <f t="shared" ca="1" si="66"/>
        <v>855628.4102641436</v>
      </c>
      <c r="AB58" s="63">
        <f t="shared" ca="1" si="66"/>
        <v>725601.00358779903</v>
      </c>
      <c r="AC58" s="63">
        <f t="shared" ca="1" si="66"/>
        <v>594304.73829371016</v>
      </c>
      <c r="AD58" s="63">
        <f t="shared" ca="1" si="66"/>
        <v>461843.67250465334</v>
      </c>
      <c r="AE58" s="63">
        <f t="shared" ca="1" si="66"/>
        <v>328313.3306165071</v>
      </c>
      <c r="AF58" s="63">
        <f t="shared" ca="1" si="66"/>
        <v>193801.4031426548</v>
      </c>
      <c r="AG58" s="63">
        <f t="shared" ca="1" si="66"/>
        <v>58388.38916468402</v>
      </c>
      <c r="AH58" s="63">
        <f t="shared" ca="1" si="66"/>
        <v>7543.7883632894082</v>
      </c>
      <c r="AI58" s="63">
        <f t="shared" ca="1" si="66"/>
        <v>11990.592360173057</v>
      </c>
      <c r="AJ58" s="63">
        <f t="shared" ca="1" si="66"/>
        <v>19877.496135936148</v>
      </c>
      <c r="AK58" s="63">
        <f t="shared" ca="1" si="66"/>
        <v>32103.837522356022</v>
      </c>
      <c r="AL58" s="63">
        <f t="shared" ca="1" si="66"/>
        <v>50003.388127739447</v>
      </c>
      <c r="AM58" s="63">
        <f t="shared" ca="1" si="66"/>
        <v>58130.99059915277</v>
      </c>
      <c r="AN58" s="63">
        <f t="shared" ca="1" si="66"/>
        <v>59745.032840020678</v>
      </c>
      <c r="AO58" s="63">
        <f t="shared" ca="1" si="66"/>
        <v>57078.790822310111</v>
      </c>
      <c r="AP58" s="63">
        <f t="shared" ref="AP58:BJ58" ca="1" si="67">+AO62</f>
        <v>51679.423026043223</v>
      </c>
      <c r="AQ58" s="63">
        <f t="shared" ca="1" si="67"/>
        <v>44639.556763565321</v>
      </c>
      <c r="AR58" s="63">
        <f t="shared" ca="1" si="67"/>
        <v>39336.911290460564</v>
      </c>
      <c r="AS58" s="63">
        <f t="shared" ca="1" si="67"/>
        <v>36179.545031575435</v>
      </c>
      <c r="AT58" s="63">
        <f t="shared" ca="1" si="67"/>
        <v>35756.331445432348</v>
      </c>
      <c r="AU58" s="63">
        <f t="shared" ca="1" si="67"/>
        <v>38905.533841868455</v>
      </c>
      <c r="AV58" s="63">
        <f t="shared" ca="1" si="67"/>
        <v>46810.219223183536</v>
      </c>
      <c r="AW58" s="63">
        <f t="shared" ca="1" si="67"/>
        <v>53516.666334871101</v>
      </c>
      <c r="AX58" s="63">
        <f t="shared" ca="1" si="67"/>
        <v>59183.652244125129</v>
      </c>
      <c r="AY58" s="63">
        <f t="shared" ca="1" si="67"/>
        <v>64016.477018413345</v>
      </c>
      <c r="AZ58" s="63">
        <f t="shared" ca="1" si="67"/>
        <v>68283.691263574176</v>
      </c>
      <c r="BA58" s="63">
        <f t="shared" ca="1" si="67"/>
        <v>72339.773961766638</v>
      </c>
      <c r="BB58" s="63">
        <f t="shared" ca="1" si="67"/>
        <v>79004.533601250252</v>
      </c>
      <c r="BC58" s="63">
        <f t="shared" ca="1" si="67"/>
        <v>87837.29412948509</v>
      </c>
      <c r="BD58" s="63">
        <f t="shared" ca="1" si="67"/>
        <v>98587.874567187682</v>
      </c>
      <c r="BE58" s="63">
        <f t="shared" ca="1" si="67"/>
        <v>111140.77656820306</v>
      </c>
      <c r="BF58" s="63">
        <f t="shared" ca="1" si="67"/>
        <v>125478.09510728579</v>
      </c>
      <c r="BG58" s="63">
        <f t="shared" ca="1" si="67"/>
        <v>142174.11164589867</v>
      </c>
      <c r="BH58" s="63">
        <f t="shared" ca="1" si="67"/>
        <v>161612.19279710023</v>
      </c>
      <c r="BI58" s="63">
        <f t="shared" ca="1" si="67"/>
        <v>184251.83846047489</v>
      </c>
      <c r="BJ58" s="63">
        <f t="shared" ca="1" si="67"/>
        <v>210648.32588242865</v>
      </c>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42"/>
    </row>
    <row r="59" spans="1:121" x14ac:dyDescent="0.2">
      <c r="C59" t="s">
        <v>135</v>
      </c>
      <c r="K59" s="144" t="s">
        <v>63</v>
      </c>
      <c r="N59" s="63">
        <f>SUM(Q59:DQ59)</f>
        <v>2732861.5955297006</v>
      </c>
      <c r="Q59" s="84"/>
      <c r="R59" s="84">
        <f>+R58</f>
        <v>2041031.8671641615</v>
      </c>
      <c r="S59" s="84">
        <f t="shared" ref="S59:BJ59" si="68">+ SUM(S$38:S$39)</f>
        <v>7226.0040000000026</v>
      </c>
      <c r="T59" s="84">
        <f t="shared" si="68"/>
        <v>4923.1641749466244</v>
      </c>
      <c r="U59" s="84">
        <f t="shared" si="68"/>
        <v>3516.2529273851965</v>
      </c>
      <c r="V59" s="84">
        <f t="shared" si="68"/>
        <v>2511.4000285149973</v>
      </c>
      <c r="W59" s="84">
        <f t="shared" si="68"/>
        <v>3207.5042996959728</v>
      </c>
      <c r="X59" s="84">
        <f t="shared" si="68"/>
        <v>4096.5532036931381</v>
      </c>
      <c r="Y59" s="84">
        <f t="shared" si="68"/>
        <v>5232.0267044627799</v>
      </c>
      <c r="Z59" s="84">
        <f t="shared" si="68"/>
        <v>6682.2282233593996</v>
      </c>
      <c r="AA59" s="84">
        <f t="shared" si="68"/>
        <v>8534.3933720700988</v>
      </c>
      <c r="AB59" s="84">
        <f t="shared" si="68"/>
        <v>7834.4943124637866</v>
      </c>
      <c r="AC59" s="84">
        <f t="shared" si="68"/>
        <v>7191.9934383267437</v>
      </c>
      <c r="AD59" s="84">
        <f t="shared" si="68"/>
        <v>6602.1835684591333</v>
      </c>
      <c r="AE59" s="84">
        <f t="shared" si="68"/>
        <v>6060.7435539836861</v>
      </c>
      <c r="AF59" s="84">
        <f t="shared" si="68"/>
        <v>5563.7066201307889</v>
      </c>
      <c r="AG59" s="84">
        <f t="shared" si="68"/>
        <v>7543.7883632894109</v>
      </c>
      <c r="AH59" s="84">
        <f t="shared" si="68"/>
        <v>10228.566449602433</v>
      </c>
      <c r="AI59" s="84">
        <f t="shared" si="68"/>
        <v>13868.837058455365</v>
      </c>
      <c r="AJ59" s="84">
        <f t="shared" si="68"/>
        <v>18804.652861346072</v>
      </c>
      <c r="AK59" s="84">
        <f t="shared" si="68"/>
        <v>25497.088742573676</v>
      </c>
      <c r="AL59" s="84">
        <f t="shared" si="68"/>
        <v>17257.519856207484</v>
      </c>
      <c r="AM59" s="84">
        <f t="shared" si="68"/>
        <v>11680.62732942951</v>
      </c>
      <c r="AN59" s="84">
        <f t="shared" si="68"/>
        <v>7905.9480125667942</v>
      </c>
      <c r="AO59" s="84">
        <f t="shared" si="68"/>
        <v>5351.0836545507345</v>
      </c>
      <c r="AP59" s="84">
        <f t="shared" si="68"/>
        <v>3621.8422170858075</v>
      </c>
      <c r="AQ59" s="84">
        <f t="shared" si="68"/>
        <v>5031.5595961266754</v>
      </c>
      <c r="AR59" s="84">
        <f t="shared" si="68"/>
        <v>6989.9764959238264</v>
      </c>
      <c r="AS59" s="84">
        <f t="shared" si="68"/>
        <v>9710.6613725056704</v>
      </c>
      <c r="AT59" s="84">
        <f t="shared" si="68"/>
        <v>13490.309208687973</v>
      </c>
      <c r="AU59" s="84">
        <f t="shared" si="68"/>
        <v>18741.096570547237</v>
      </c>
      <c r="AV59" s="84">
        <f t="shared" si="68"/>
        <v>18421.350964280813</v>
      </c>
      <c r="AW59" s="84">
        <f t="shared" si="68"/>
        <v>18107.060601913374</v>
      </c>
      <c r="AX59" s="84">
        <f t="shared" si="68"/>
        <v>17798.132410434951</v>
      </c>
      <c r="AY59" s="84">
        <f t="shared" si="68"/>
        <v>17494.474904772869</v>
      </c>
      <c r="AZ59" s="84">
        <f t="shared" si="68"/>
        <v>17195.998160699615</v>
      </c>
      <c r="BA59" s="84">
        <f t="shared" si="68"/>
        <v>19251.269063199168</v>
      </c>
      <c r="BB59" s="84">
        <f t="shared" si="68"/>
        <v>21552.186565749842</v>
      </c>
      <c r="BC59" s="84">
        <f t="shared" si="68"/>
        <v>24128.110424305614</v>
      </c>
      <c r="BD59" s="84">
        <f t="shared" si="68"/>
        <v>27011.909481734325</v>
      </c>
      <c r="BE59" s="84">
        <f t="shared" si="68"/>
        <v>30240.38107494725</v>
      </c>
      <c r="BF59" s="84">
        <f t="shared" si="68"/>
        <v>34373.648331668155</v>
      </c>
      <c r="BG59" s="84">
        <f t="shared" si="68"/>
        <v>39071.852193292965</v>
      </c>
      <c r="BH59" s="84">
        <f t="shared" si="68"/>
        <v>44412.208418623974</v>
      </c>
      <c r="BI59" s="84">
        <f t="shared" si="68"/>
        <v>50482.486646944315</v>
      </c>
      <c r="BJ59" s="84">
        <f t="shared" si="68"/>
        <v>57382.452906580089</v>
      </c>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42"/>
    </row>
    <row r="60" spans="1:121" x14ac:dyDescent="0.2">
      <c r="C60" t="s">
        <v>136</v>
      </c>
      <c r="K60" s="144" t="s">
        <v>63</v>
      </c>
      <c r="N60" s="63">
        <f ca="1">SUM(Q60:DQ60)</f>
        <v>-2491382.961128233</v>
      </c>
      <c r="Q60" s="169"/>
      <c r="R60" s="177">
        <f>Inputs!$L$246</f>
        <v>-125528.55972041667</v>
      </c>
      <c r="S60" s="177">
        <f t="shared" ref="S60:BJ60" ca="1" si="69">-MIN(SUMPRODUCT(OFFSET(S59,0,-1,1,-MIN($B55,S56)),OFFSET($BK55,0,-1,1,-MIN($B55,S56))),S58)</f>
        <v>-136068.79114427743</v>
      </c>
      <c r="T60" s="177">
        <f t="shared" ca="1" si="69"/>
        <v>-136550.52474427744</v>
      </c>
      <c r="U60" s="177">
        <f t="shared" ca="1" si="69"/>
        <v>-136878.73568927389</v>
      </c>
      <c r="V60" s="177">
        <f t="shared" ca="1" si="69"/>
        <v>-137113.15255109957</v>
      </c>
      <c r="W60" s="177">
        <f t="shared" ca="1" si="69"/>
        <v>-137280.57921966724</v>
      </c>
      <c r="X60" s="177">
        <f t="shared" ca="1" si="69"/>
        <v>-137494.41283964698</v>
      </c>
      <c r="Y60" s="177">
        <f t="shared" ca="1" si="69"/>
        <v>-137767.51638655984</v>
      </c>
      <c r="Z60" s="177">
        <f t="shared" ca="1" si="69"/>
        <v>-138116.31816685735</v>
      </c>
      <c r="AA60" s="177">
        <f t="shared" ca="1" si="69"/>
        <v>-138561.80004841465</v>
      </c>
      <c r="AB60" s="177">
        <f t="shared" ca="1" si="69"/>
        <v>-139130.75960655266</v>
      </c>
      <c r="AC60" s="177">
        <f t="shared" ca="1" si="69"/>
        <v>-139653.05922738358</v>
      </c>
      <c r="AD60" s="177">
        <f t="shared" ca="1" si="69"/>
        <v>-140132.52545660536</v>
      </c>
      <c r="AE60" s="177">
        <f t="shared" ca="1" si="69"/>
        <v>-140572.67102783598</v>
      </c>
      <c r="AF60" s="177">
        <f t="shared" ca="1" si="69"/>
        <v>-140976.72059810156</v>
      </c>
      <c r="AG60" s="177">
        <f t="shared" ca="1" si="69"/>
        <v>-58388.38916468402</v>
      </c>
      <c r="AH60" s="177">
        <f t="shared" ca="1" si="69"/>
        <v>-5781.7624527187836</v>
      </c>
      <c r="AI60" s="177">
        <f t="shared" ca="1" si="69"/>
        <v>-5981.9332826922782</v>
      </c>
      <c r="AJ60" s="177">
        <f t="shared" ca="1" si="69"/>
        <v>-6578.3114749261949</v>
      </c>
      <c r="AK60" s="177">
        <f t="shared" ca="1" si="69"/>
        <v>-7597.538137190254</v>
      </c>
      <c r="AL60" s="177">
        <f t="shared" ca="1" si="69"/>
        <v>-9129.9173847941656</v>
      </c>
      <c r="AM60" s="177">
        <f t="shared" ca="1" si="69"/>
        <v>-10066.585088561598</v>
      </c>
      <c r="AN60" s="177">
        <f t="shared" ca="1" si="69"/>
        <v>-10572.190030277356</v>
      </c>
      <c r="AO60" s="177">
        <f t="shared" ca="1" si="69"/>
        <v>-10750.451450817625</v>
      </c>
      <c r="AP60" s="177">
        <f t="shared" ca="1" si="69"/>
        <v>-10661.708479563715</v>
      </c>
      <c r="AQ60" s="177">
        <f t="shared" ca="1" si="69"/>
        <v>-10334.205069231428</v>
      </c>
      <c r="AR60" s="177">
        <f t="shared" ca="1" si="69"/>
        <v>-10147.342754808955</v>
      </c>
      <c r="AS60" s="177">
        <f t="shared" ca="1" si="69"/>
        <v>-10133.874958648759</v>
      </c>
      <c r="AT60" s="177">
        <f t="shared" ca="1" si="69"/>
        <v>-10341.106812251863</v>
      </c>
      <c r="AU60" s="177">
        <f t="shared" ca="1" si="69"/>
        <v>-10836.411189232149</v>
      </c>
      <c r="AV60" s="177">
        <f t="shared" ca="1" si="69"/>
        <v>-11714.903852593245</v>
      </c>
      <c r="AW60" s="177">
        <f t="shared" ca="1" si="69"/>
        <v>-12440.074692659338</v>
      </c>
      <c r="AX60" s="177">
        <f t="shared" ca="1" si="69"/>
        <v>-12965.307636146734</v>
      </c>
      <c r="AY60" s="177">
        <f t="shared" ca="1" si="69"/>
        <v>-13227.260659612039</v>
      </c>
      <c r="AZ60" s="177">
        <f t="shared" ca="1" si="69"/>
        <v>-13139.915462507159</v>
      </c>
      <c r="BA60" s="177">
        <f t="shared" ca="1" si="69"/>
        <v>-12586.509423715554</v>
      </c>
      <c r="BB60" s="177">
        <f t="shared" ca="1" si="69"/>
        <v>-12719.426037515001</v>
      </c>
      <c r="BC60" s="177">
        <f t="shared" ca="1" si="69"/>
        <v>-13377.529986603024</v>
      </c>
      <c r="BD60" s="177">
        <f t="shared" ca="1" si="69"/>
        <v>-14459.007480718947</v>
      </c>
      <c r="BE60" s="177">
        <f t="shared" ca="1" si="69"/>
        <v>-15903.062535864519</v>
      </c>
      <c r="BF60" s="177">
        <f t="shared" ca="1" si="69"/>
        <v>-17677.631793055283</v>
      </c>
      <c r="BG60" s="177">
        <f t="shared" ca="1" si="69"/>
        <v>-19633.771042091379</v>
      </c>
      <c r="BH60" s="177">
        <f t="shared" ca="1" si="69"/>
        <v>-21772.562755249321</v>
      </c>
      <c r="BI60" s="177">
        <f t="shared" ca="1" si="69"/>
        <v>-24085.999224990541</v>
      </c>
      <c r="BJ60" s="177">
        <f t="shared" ca="1" si="69"/>
        <v>-26552.144387540964</v>
      </c>
      <c r="BK60" s="177"/>
      <c r="BL60" s="177"/>
      <c r="BM60" s="177"/>
      <c r="BN60" s="177"/>
      <c r="BO60" s="177"/>
      <c r="BP60" s="177"/>
      <c r="BQ60" s="177"/>
      <c r="BR60" s="177"/>
      <c r="BS60" s="177"/>
      <c r="BT60" s="177"/>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42"/>
    </row>
    <row r="61" spans="1:121" x14ac:dyDescent="0.2">
      <c r="C61" t="s">
        <v>137</v>
      </c>
      <c r="K61" s="144" t="s">
        <v>63</v>
      </c>
      <c r="N61" s="63">
        <f ca="1">SUM(Q61:DQ61)</f>
        <v>-241478.63440146777</v>
      </c>
      <c r="Q61" s="63"/>
      <c r="R61" s="63">
        <f>0 - SUM(R58:R60) * CF!R$14</f>
        <v>0</v>
      </c>
      <c r="S61" s="63">
        <f ca="1">0 - SUM(S58:S60) * CF!S$14</f>
        <v>0</v>
      </c>
      <c r="T61" s="63">
        <f ca="1">0 - SUM(T58:T60) * CF!T$14</f>
        <v>0</v>
      </c>
      <c r="U61" s="63">
        <f ca="1">0 - SUM(U58:U60) * CF!U$14</f>
        <v>0</v>
      </c>
      <c r="V61" s="63">
        <f ca="1">0 - SUM(V58:V60) * CF!V$14</f>
        <v>0</v>
      </c>
      <c r="W61" s="63">
        <f ca="1">0 - SUM(W58:W60) * CF!W$14</f>
        <v>0</v>
      </c>
      <c r="X61" s="63">
        <f ca="1">0 - SUM(X58:X60) * CF!X$14</f>
        <v>0</v>
      </c>
      <c r="Y61" s="63">
        <f ca="1">0 - SUM(Y58:Y60) * CF!Y$14</f>
        <v>0</v>
      </c>
      <c r="Z61" s="63">
        <f ca="1">0 - SUM(Z58:Z60) * CF!Z$14</f>
        <v>0</v>
      </c>
      <c r="AA61" s="63">
        <f ca="1">0 - SUM(AA58:AA60) * CF!AA$14</f>
        <v>0</v>
      </c>
      <c r="AB61" s="63">
        <f ca="1">0 - SUM(AB58:AB60) * CF!AB$14</f>
        <v>0</v>
      </c>
      <c r="AC61" s="63">
        <f ca="1">0 - SUM(AC58:AC60) * CF!AC$14</f>
        <v>0</v>
      </c>
      <c r="AD61" s="63">
        <f ca="1">0 - SUM(AD58:AD60) * CF!AD$14</f>
        <v>0</v>
      </c>
      <c r="AE61" s="63">
        <f ca="1">0 - SUM(AE58:AE60) * CF!AE$14</f>
        <v>0</v>
      </c>
      <c r="AF61" s="63">
        <f ca="1">0 - SUM(AF58:AF60) * CF!AF$14</f>
        <v>0</v>
      </c>
      <c r="AG61" s="63">
        <f ca="1">0 - SUM(AG58:AG60) * CF!AG$14</f>
        <v>0</v>
      </c>
      <c r="AH61" s="63">
        <f ca="1">0 - SUM(AH58:AH60) * CF!AH$14</f>
        <v>0</v>
      </c>
      <c r="AI61" s="63">
        <f ca="1">0 - SUM(AI58:AI60) * CF!AI$14</f>
        <v>0</v>
      </c>
      <c r="AJ61" s="63">
        <f ca="1">0 - SUM(AJ58:AJ60) * CF!AJ$14</f>
        <v>0</v>
      </c>
      <c r="AK61" s="63">
        <f ca="1">0 - SUM(AK58:AK60) * CF!AK$14</f>
        <v>0</v>
      </c>
      <c r="AL61" s="63">
        <f ca="1">0 - SUM(AL58:AL60) * CF!AL$14</f>
        <v>0</v>
      </c>
      <c r="AM61" s="63">
        <f ca="1">0 - SUM(AM58:AM60) * CF!AM$14</f>
        <v>0</v>
      </c>
      <c r="AN61" s="63">
        <f ca="1">0 - SUM(AN58:AN60) * CF!AN$14</f>
        <v>0</v>
      </c>
      <c r="AO61" s="63">
        <f ca="1">0 - SUM(AO58:AO60) * CF!AO$14</f>
        <v>0</v>
      </c>
      <c r="AP61" s="63">
        <f ca="1">0 - SUM(AP58:AP60) * CF!AP$14</f>
        <v>0</v>
      </c>
      <c r="AQ61" s="63">
        <f ca="1">0 - SUM(AQ58:AQ60) * CF!AQ$14</f>
        <v>0</v>
      </c>
      <c r="AR61" s="63">
        <f ca="1">0 - SUM(AR58:AR60) * CF!AR$14</f>
        <v>0</v>
      </c>
      <c r="AS61" s="63">
        <f ca="1">0 - SUM(AS58:AS60) * CF!AS$14</f>
        <v>0</v>
      </c>
      <c r="AT61" s="63">
        <f ca="1">0 - SUM(AT58:AT60) * CF!AT$14</f>
        <v>0</v>
      </c>
      <c r="AU61" s="63">
        <f ca="1">0 - SUM(AU58:AU60) * CF!AU$14</f>
        <v>0</v>
      </c>
      <c r="AV61" s="63">
        <f ca="1">0 - SUM(AV58:AV60) * CF!AV$14</f>
        <v>0</v>
      </c>
      <c r="AW61" s="63">
        <f ca="1">0 - SUM(AW58:AW60) * CF!AW$14</f>
        <v>0</v>
      </c>
      <c r="AX61" s="63">
        <f ca="1">0 - SUM(AX58:AX60) * CF!AX$14</f>
        <v>0</v>
      </c>
      <c r="AY61" s="63">
        <f ca="1">0 - SUM(AY58:AY60) * CF!AY$14</f>
        <v>0</v>
      </c>
      <c r="AZ61" s="63">
        <f ca="1">0 - SUM(AZ58:AZ60) * CF!AZ$14</f>
        <v>0</v>
      </c>
      <c r="BA61" s="63">
        <f ca="1">0 - SUM(BA58:BA60) * CF!BA$14</f>
        <v>0</v>
      </c>
      <c r="BB61" s="63">
        <f ca="1">0 - SUM(BB58:BB60) * CF!BB$14</f>
        <v>0</v>
      </c>
      <c r="BC61" s="63">
        <f ca="1">0 - SUM(BC58:BC60) * CF!BC$14</f>
        <v>0</v>
      </c>
      <c r="BD61" s="63">
        <f ca="1">0 - SUM(BD58:BD60) * CF!BD$14</f>
        <v>0</v>
      </c>
      <c r="BE61" s="63">
        <f ca="1">0 - SUM(BE58:BE60) * CF!BE$14</f>
        <v>0</v>
      </c>
      <c r="BF61" s="63">
        <f ca="1">0 - SUM(BF58:BF60) * CF!BF$14</f>
        <v>0</v>
      </c>
      <c r="BG61" s="63">
        <f ca="1">0 - SUM(BG58:BG60) * CF!BG$14</f>
        <v>0</v>
      </c>
      <c r="BH61" s="63">
        <f ca="1">0 - SUM(BH58:BH60) * CF!BH$14</f>
        <v>0</v>
      </c>
      <c r="BI61" s="63">
        <f ca="1">0 - SUM(BI58:BI60) * CF!BI$14</f>
        <v>0</v>
      </c>
      <c r="BJ61" s="63">
        <f ca="1">0 - SUM(BJ58:BJ60) * CF!BJ$14</f>
        <v>-241478.63440146777</v>
      </c>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42"/>
    </row>
    <row r="62" spans="1:121" x14ac:dyDescent="0.2">
      <c r="C62" t="s">
        <v>138</v>
      </c>
      <c r="N62" s="63"/>
      <c r="Q62" s="106"/>
      <c r="R62" s="760">
        <v>1915503.307443745</v>
      </c>
      <c r="S62" s="63">
        <f t="shared" ref="S62:AO62" ca="1" si="70">SUM(S58:S61)</f>
        <v>1786660.5202994675</v>
      </c>
      <c r="T62" s="63">
        <f t="shared" ca="1" si="70"/>
        <v>1655033.1597301369</v>
      </c>
      <c r="U62" s="63">
        <f t="shared" ca="1" si="70"/>
        <v>1521670.6769682483</v>
      </c>
      <c r="V62" s="63">
        <f t="shared" ca="1" si="70"/>
        <v>1387068.9244456636</v>
      </c>
      <c r="W62" s="63">
        <f t="shared" ca="1" si="70"/>
        <v>1252995.8495256924</v>
      </c>
      <c r="X62" s="63">
        <f t="shared" ca="1" si="70"/>
        <v>1119597.9898897386</v>
      </c>
      <c r="Y62" s="63">
        <f t="shared" ca="1" si="70"/>
        <v>987062.50020764151</v>
      </c>
      <c r="Z62" s="63">
        <f t="shared" ca="1" si="70"/>
        <v>855628.4102641436</v>
      </c>
      <c r="AA62" s="63">
        <f t="shared" ca="1" si="70"/>
        <v>725601.00358779903</v>
      </c>
      <c r="AB62" s="63">
        <f t="shared" ca="1" si="70"/>
        <v>594304.73829371016</v>
      </c>
      <c r="AC62" s="63">
        <f t="shared" ca="1" si="70"/>
        <v>461843.67250465334</v>
      </c>
      <c r="AD62" s="63">
        <f t="shared" ca="1" si="70"/>
        <v>328313.3306165071</v>
      </c>
      <c r="AE62" s="63">
        <f t="shared" ca="1" si="70"/>
        <v>193801.4031426548</v>
      </c>
      <c r="AF62" s="63">
        <f t="shared" ca="1" si="70"/>
        <v>58388.38916468402</v>
      </c>
      <c r="AG62" s="63">
        <f t="shared" ca="1" si="70"/>
        <v>7543.7883632894082</v>
      </c>
      <c r="AH62" s="63">
        <f t="shared" ca="1" si="70"/>
        <v>11990.592360173057</v>
      </c>
      <c r="AI62" s="63">
        <f t="shared" ca="1" si="70"/>
        <v>19877.496135936148</v>
      </c>
      <c r="AJ62" s="63">
        <f t="shared" ca="1" si="70"/>
        <v>32103.837522356022</v>
      </c>
      <c r="AK62" s="63">
        <f t="shared" ca="1" si="70"/>
        <v>50003.388127739447</v>
      </c>
      <c r="AL62" s="63">
        <f t="shared" ca="1" si="70"/>
        <v>58130.99059915277</v>
      </c>
      <c r="AM62" s="63">
        <f t="shared" ca="1" si="70"/>
        <v>59745.032840020678</v>
      </c>
      <c r="AN62" s="63">
        <f t="shared" ca="1" si="70"/>
        <v>57078.790822310111</v>
      </c>
      <c r="AO62" s="63">
        <f t="shared" ca="1" si="70"/>
        <v>51679.423026043223</v>
      </c>
      <c r="AP62" s="63">
        <f t="shared" ref="AP62:BJ62" ca="1" si="71">SUM(AP58:AP61)</f>
        <v>44639.556763565321</v>
      </c>
      <c r="AQ62" s="63">
        <f t="shared" ca="1" si="71"/>
        <v>39336.911290460564</v>
      </c>
      <c r="AR62" s="63">
        <f t="shared" ca="1" si="71"/>
        <v>36179.545031575435</v>
      </c>
      <c r="AS62" s="63">
        <f t="shared" ca="1" si="71"/>
        <v>35756.331445432348</v>
      </c>
      <c r="AT62" s="63">
        <f t="shared" ca="1" si="71"/>
        <v>38905.533841868455</v>
      </c>
      <c r="AU62" s="63">
        <f t="shared" ca="1" si="71"/>
        <v>46810.219223183536</v>
      </c>
      <c r="AV62" s="63">
        <f t="shared" ca="1" si="71"/>
        <v>53516.666334871101</v>
      </c>
      <c r="AW62" s="63">
        <f t="shared" ca="1" si="71"/>
        <v>59183.652244125129</v>
      </c>
      <c r="AX62" s="63">
        <f t="shared" ca="1" si="71"/>
        <v>64016.477018413345</v>
      </c>
      <c r="AY62" s="63">
        <f t="shared" ca="1" si="71"/>
        <v>68283.691263574176</v>
      </c>
      <c r="AZ62" s="63">
        <f t="shared" ca="1" si="71"/>
        <v>72339.773961766638</v>
      </c>
      <c r="BA62" s="63">
        <f t="shared" ca="1" si="71"/>
        <v>79004.533601250252</v>
      </c>
      <c r="BB62" s="63">
        <f t="shared" ca="1" si="71"/>
        <v>87837.29412948509</v>
      </c>
      <c r="BC62" s="63">
        <f t="shared" ca="1" si="71"/>
        <v>98587.874567187682</v>
      </c>
      <c r="BD62" s="63">
        <f t="shared" ca="1" si="71"/>
        <v>111140.77656820306</v>
      </c>
      <c r="BE62" s="63">
        <f t="shared" ca="1" si="71"/>
        <v>125478.09510728579</v>
      </c>
      <c r="BF62" s="63">
        <f t="shared" ca="1" si="71"/>
        <v>142174.11164589867</v>
      </c>
      <c r="BG62" s="63">
        <f t="shared" ca="1" si="71"/>
        <v>161612.19279710023</v>
      </c>
      <c r="BH62" s="63">
        <f t="shared" ca="1" si="71"/>
        <v>184251.83846047489</v>
      </c>
      <c r="BI62" s="63">
        <f t="shared" ca="1" si="71"/>
        <v>210648.32588242865</v>
      </c>
      <c r="BJ62" s="63">
        <f t="shared" ca="1" si="71"/>
        <v>0</v>
      </c>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42"/>
    </row>
    <row r="63" spans="1:121" x14ac:dyDescent="0.2">
      <c r="DQ63" s="42"/>
    </row>
    <row r="64" spans="1:121" ht="15.75" x14ac:dyDescent="0.25">
      <c r="A64" s="120"/>
      <c r="B64" s="120" t="s">
        <v>487</v>
      </c>
      <c r="C64" s="120"/>
      <c r="D64" s="120"/>
      <c r="E64" s="120"/>
      <c r="F64" s="120"/>
      <c r="G64" s="120"/>
      <c r="H64" s="120"/>
      <c r="I64" s="120"/>
      <c r="J64" s="120"/>
      <c r="K64" s="562"/>
      <c r="L64" s="120"/>
      <c r="M64" s="120"/>
      <c r="N64" s="120"/>
      <c r="O64" s="121"/>
      <c r="R64" s="759">
        <v>1</v>
      </c>
      <c r="S64" s="61">
        <f>+R64+1</f>
        <v>2</v>
      </c>
      <c r="T64" s="61">
        <f t="shared" ref="T64:BJ64" si="72">+S64+1</f>
        <v>3</v>
      </c>
      <c r="U64" s="61">
        <f t="shared" si="72"/>
        <v>4</v>
      </c>
      <c r="V64" s="61">
        <f t="shared" si="72"/>
        <v>5</v>
      </c>
      <c r="W64" s="61">
        <f t="shared" si="72"/>
        <v>6</v>
      </c>
      <c r="X64" s="61">
        <f t="shared" si="72"/>
        <v>7</v>
      </c>
      <c r="Y64" s="61">
        <f t="shared" si="72"/>
        <v>8</v>
      </c>
      <c r="Z64" s="61">
        <f t="shared" si="72"/>
        <v>9</v>
      </c>
      <c r="AA64" s="61">
        <f t="shared" si="72"/>
        <v>10</v>
      </c>
      <c r="AB64" s="61">
        <f t="shared" si="72"/>
        <v>11</v>
      </c>
      <c r="AC64" s="61">
        <f t="shared" si="72"/>
        <v>12</v>
      </c>
      <c r="AD64" s="61">
        <f t="shared" si="72"/>
        <v>13</v>
      </c>
      <c r="AE64" s="61">
        <f t="shared" si="72"/>
        <v>14</v>
      </c>
      <c r="AF64" s="61">
        <f t="shared" si="72"/>
        <v>15</v>
      </c>
      <c r="AG64" s="61">
        <f t="shared" si="72"/>
        <v>16</v>
      </c>
      <c r="AH64" s="61">
        <f t="shared" si="72"/>
        <v>17</v>
      </c>
      <c r="AI64" s="61">
        <f t="shared" si="72"/>
        <v>18</v>
      </c>
      <c r="AJ64" s="61">
        <f t="shared" si="72"/>
        <v>19</v>
      </c>
      <c r="AK64" s="61">
        <f t="shared" si="72"/>
        <v>20</v>
      </c>
      <c r="AL64" s="61">
        <f t="shared" si="72"/>
        <v>21</v>
      </c>
      <c r="AM64" s="61">
        <f t="shared" si="72"/>
        <v>22</v>
      </c>
      <c r="AN64" s="61">
        <f t="shared" si="72"/>
        <v>23</v>
      </c>
      <c r="AO64" s="61">
        <f t="shared" si="72"/>
        <v>24</v>
      </c>
      <c r="AP64" s="61">
        <f t="shared" si="72"/>
        <v>25</v>
      </c>
      <c r="AQ64" s="61">
        <f t="shared" si="72"/>
        <v>26</v>
      </c>
      <c r="AR64" s="61">
        <f t="shared" si="72"/>
        <v>27</v>
      </c>
      <c r="AS64" s="61">
        <f t="shared" si="72"/>
        <v>28</v>
      </c>
      <c r="AT64" s="61">
        <f t="shared" si="72"/>
        <v>29</v>
      </c>
      <c r="AU64" s="61">
        <f t="shared" si="72"/>
        <v>30</v>
      </c>
      <c r="AV64" s="61">
        <f t="shared" si="72"/>
        <v>31</v>
      </c>
      <c r="AW64" s="61">
        <f t="shared" si="72"/>
        <v>32</v>
      </c>
      <c r="AX64" s="61">
        <f t="shared" si="72"/>
        <v>33</v>
      </c>
      <c r="AY64" s="61">
        <f t="shared" si="72"/>
        <v>34</v>
      </c>
      <c r="AZ64" s="61">
        <f t="shared" si="72"/>
        <v>35</v>
      </c>
      <c r="BA64" s="61">
        <f t="shared" si="72"/>
        <v>36</v>
      </c>
      <c r="BB64" s="61">
        <f t="shared" si="72"/>
        <v>37</v>
      </c>
      <c r="BC64" s="61">
        <f t="shared" si="72"/>
        <v>38</v>
      </c>
      <c r="BD64" s="61">
        <f t="shared" si="72"/>
        <v>39</v>
      </c>
      <c r="BE64" s="61">
        <f t="shared" si="72"/>
        <v>40</v>
      </c>
      <c r="BF64" s="61">
        <f t="shared" si="72"/>
        <v>41</v>
      </c>
      <c r="BG64" s="61">
        <f t="shared" si="72"/>
        <v>42</v>
      </c>
      <c r="BH64" s="61">
        <f t="shared" si="72"/>
        <v>43</v>
      </c>
      <c r="BI64" s="61">
        <f t="shared" si="72"/>
        <v>44</v>
      </c>
      <c r="BJ64" s="61">
        <f t="shared" si="72"/>
        <v>45</v>
      </c>
      <c r="DQ64" s="42"/>
    </row>
    <row r="65" spans="1:121" x14ac:dyDescent="0.2">
      <c r="A65" s="61"/>
      <c r="B65" s="61"/>
      <c r="C65" s="61"/>
      <c r="D65" s="61"/>
      <c r="E65" s="61"/>
      <c r="F65" s="78"/>
      <c r="G65" s="78"/>
      <c r="H65" s="78"/>
      <c r="I65" s="61"/>
      <c r="J65" s="61"/>
      <c r="K65" s="636"/>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39"/>
    </row>
    <row r="66" spans="1:121" x14ac:dyDescent="0.2">
      <c r="C66" s="55" t="s">
        <v>488</v>
      </c>
    </row>
    <row r="67" spans="1:121" x14ac:dyDescent="0.2">
      <c r="C67" s="555" t="s">
        <v>489</v>
      </c>
      <c r="K67" s="144" t="s">
        <v>63</v>
      </c>
      <c r="L67" s="563">
        <f>+Inputs!L94</f>
        <v>2021</v>
      </c>
      <c r="R67" s="177">
        <f>+IF(Acc!R7&lt;=$L$67,Acc!R18,Acc!R22)</f>
        <v>0</v>
      </c>
      <c r="S67" s="177">
        <f>+IF(Acc!S7&lt;=$L$67,Acc!S18,Acc!S22)</f>
        <v>97518.961513966118</v>
      </c>
      <c r="T67" s="177">
        <f>+IF(Acc!T7&lt;=$L$67,Acc!T18,Acc!T22)</f>
        <v>113448.01170687749</v>
      </c>
      <c r="U67" s="177">
        <f>+IF(Acc!U7&lt;=$L$67,Acc!U18,Acc!U22)</f>
        <v>131654.28087360124</v>
      </c>
      <c r="V67" s="177">
        <f>+IF(Acc!V7&lt;=$L$67,Acc!V18,Acc!V22)</f>
        <v>152466.66874446542</v>
      </c>
      <c r="W67" s="177">
        <f ca="1">+IF(Acc!W7&lt;=$L$67,Acc!W18,Acc!W22)</f>
        <v>26546.862312306883</v>
      </c>
      <c r="X67" s="177">
        <f ca="1">+IF(Acc!X7&lt;=$L$67,Acc!X18,Acc!X22)</f>
        <v>39608.815685255191</v>
      </c>
      <c r="Y67" s="177">
        <f ca="1">+IF(Acc!Y7&lt;=$L$67,Acc!Y18,Acc!Y22)</f>
        <v>53654.052913901483</v>
      </c>
      <c r="Z67" s="177">
        <f ca="1">+IF(Acc!Z7&lt;=$L$67,Acc!Z18,Acc!Z22)</f>
        <v>68747.44148904155</v>
      </c>
      <c r="AA67" s="177">
        <f ca="1">+IF(Acc!AA7&lt;=$L$67,Acc!AA18,Acc!AA22)</f>
        <v>84953.513104816026</v>
      </c>
      <c r="AB67" s="177">
        <f ca="1">+IF(Acc!AB7&lt;=$L$67,Acc!AB18,Acc!AB22)</f>
        <v>103576.45232813401</v>
      </c>
      <c r="AC67" s="177">
        <f ca="1">+IF(Acc!AC7&lt;=$L$67,Acc!AC18,Acc!AC22)</f>
        <v>123856.83647687209</v>
      </c>
      <c r="AD67" s="177">
        <f ca="1">+IF(Acc!AD7&lt;=$L$67,Acc!AD18,Acc!AD22)</f>
        <v>145925.01188986265</v>
      </c>
      <c r="AE67" s="177">
        <f ca="1">+IF(Acc!AE7&lt;=$L$67,Acc!AE18,Acc!AE22)</f>
        <v>169920.8582087286</v>
      </c>
      <c r="AF67" s="177">
        <f ca="1">+IF(Acc!AF7&lt;=$L$67,Acc!AF18,Acc!AF22)</f>
        <v>195997.31642472587</v>
      </c>
      <c r="AG67" s="177">
        <f ca="1">+IF(Acc!AG7&lt;=$L$67,Acc!AG18,Acc!AG22)</f>
        <v>302979.82178908738</v>
      </c>
      <c r="AH67" s="177">
        <f ca="1">+IF(Acc!AH7&lt;=$L$67,Acc!AH18,Acc!AH22)</f>
        <v>381444.49627244746</v>
      </c>
      <c r="AI67" s="177">
        <f ca="1">+IF(Acc!AI7&lt;=$L$67,Acc!AI18,Acc!AI22)</f>
        <v>408547.65668550192</v>
      </c>
      <c r="AJ67" s="177">
        <f ca="1">+IF(Acc!AJ7&lt;=$L$67,Acc!AJ18,Acc!AJ22)</f>
        <v>436633.60629843315</v>
      </c>
      <c r="AK67" s="177">
        <f ca="1">+IF(Acc!AK7&lt;=$L$67,Acc!AK18,Acc!AK22)</f>
        <v>465539.8699435945</v>
      </c>
      <c r="AL67" s="177">
        <f ca="1">+IF(Acc!AL7&lt;=$L$67,Acc!AL18,Acc!AL22)</f>
        <v>499529.32344008435</v>
      </c>
      <c r="AM67" s="177">
        <f ca="1">+IF(Acc!AM7&lt;=$L$67,Acc!AM18,Acc!AM22)</f>
        <v>536751.43003617541</v>
      </c>
      <c r="AN67" s="177">
        <f ca="1">+IF(Acc!AN7&lt;=$L$67,Acc!AN18,Acc!AN22)</f>
        <v>577235.19371448702</v>
      </c>
      <c r="AO67" s="177">
        <f ca="1">+IF(Acc!AO7&lt;=$L$67,Acc!AO18,Acc!AO22)</f>
        <v>621090.10563695</v>
      </c>
      <c r="AP67" s="177">
        <f ca="1">+IF(Acc!AP7&lt;=$L$67,Acc!AP18,Acc!AP22)</f>
        <v>668473.36529049161</v>
      </c>
      <c r="AQ67" s="177">
        <f ca="1">+IF(Acc!AQ7&lt;=$L$67,Acc!AQ18,Acc!AQ22)</f>
        <v>713315.52087637491</v>
      </c>
      <c r="AR67" s="177">
        <f ca="1">+IF(Acc!AR7&lt;=$L$67,Acc!AR18,Acc!AR22)</f>
        <v>760906.97175255592</v>
      </c>
      <c r="AS67" s="177">
        <f ca="1">+IF(Acc!AS7&lt;=$L$67,Acc!AS18,Acc!AS22)</f>
        <v>811401.47637834353</v>
      </c>
      <c r="AT67" s="177">
        <f ca="1">+IF(Acc!AT7&lt;=$L$67,Acc!AT18,Acc!AT22)</f>
        <v>864949.95180047513</v>
      </c>
      <c r="AU67" s="177">
        <f ca="1">+IF(Acc!AU7&lt;=$L$67,Acc!AU18,Acc!AU22)</f>
        <v>921688.73427544744</v>
      </c>
      <c r="AV67" s="177">
        <f ca="1">+IF(Acc!AV7&lt;=$L$67,Acc!AV18,Acc!AV22)</f>
        <v>979690.61012271675</v>
      </c>
      <c r="AW67" s="177">
        <f ca="1">+IF(Acc!AW7&lt;=$L$67,Acc!AW18,Acc!AW22)</f>
        <v>1041548.3158080911</v>
      </c>
      <c r="AX67" s="177">
        <f ca="1">+IF(Acc!AX7&lt;=$L$67,Acc!AX18,Acc!AX22)</f>
        <v>1107531.3760981997</v>
      </c>
      <c r="AY67" s="177">
        <f ca="1">+IF(Acc!AY7&lt;=$L$67,Acc!AY18,Acc!AY22)</f>
        <v>1177948.0913329574</v>
      </c>
      <c r="AZ67" s="177">
        <f ca="1">+IF(Acc!AZ7&lt;=$L$67,Acc!AZ18,Acc!AZ22)</f>
        <v>1253145.669682876</v>
      </c>
      <c r="BA67" s="177">
        <f ca="1">+IF(Acc!BA7&lt;=$L$67,Acc!BA18,Acc!BA22)</f>
        <v>1335314.9999716408</v>
      </c>
      <c r="BB67" s="177">
        <f ca="1">+IF(Acc!BB7&lt;=$L$67,Acc!BB18,Acc!BB22)</f>
        <v>1422028.0549075315</v>
      </c>
      <c r="BC67" s="177">
        <f ca="1">+IF(Acc!BC7&lt;=$L$67,Acc!BC18,Acc!BC22)</f>
        <v>1513779.6891628662</v>
      </c>
      <c r="BD67" s="177">
        <f ca="1">+IF(Acc!BD7&lt;=$L$67,Acc!BD18,Acc!BD22)</f>
        <v>1611026.7346383305</v>
      </c>
      <c r="BE67" s="177">
        <f ca="1">+IF(Acc!BE7&lt;=$L$67,Acc!BE18,Acc!BE22)</f>
        <v>1714221.2661784331</v>
      </c>
      <c r="BF67" s="177">
        <f ca="1">+IF(Acc!BF7&lt;=$L$67,Acc!BF18,Acc!BF22)</f>
        <v>1847007.4936257056</v>
      </c>
      <c r="BG67" s="177">
        <f ca="1">+IF(Acc!BG7&lt;=$L$67,Acc!BG18,Acc!BG22)</f>
        <v>1990032.3987215236</v>
      </c>
      <c r="BH67" s="177">
        <f ca="1">+IF(Acc!BH7&lt;=$L$67,Acc!BH18,Acc!BH22)</f>
        <v>2144097.1379474201</v>
      </c>
      <c r="BI67" s="177">
        <f ca="1">+IF(Acc!BI7&lt;=$L$67,Acc!BI18,Acc!BI22)</f>
        <v>2310075.8386036251</v>
      </c>
      <c r="BJ67" s="177">
        <f ca="1">+IF(Acc!BJ7&lt;=$L$67,Acc!BJ18,Acc!BJ22)</f>
        <v>1276122.8300634094</v>
      </c>
    </row>
    <row r="68" spans="1:121" x14ac:dyDescent="0.2">
      <c r="C68" s="555" t="s">
        <v>490</v>
      </c>
      <c r="K68" s="144" t="s">
        <v>63</v>
      </c>
      <c r="L68" s="758">
        <f>+Inputs!L95</f>
        <v>0.3</v>
      </c>
      <c r="R68" s="177">
        <f>+MAX(R67*$L$68,0)</f>
        <v>0</v>
      </c>
      <c r="S68" s="177">
        <f t="shared" ref="S68:BJ68" si="73">+MAX(S67*$L$68,0)</f>
        <v>29255.688454189836</v>
      </c>
      <c r="T68" s="177">
        <f t="shared" si="73"/>
        <v>34034.403512063247</v>
      </c>
      <c r="U68" s="177">
        <f t="shared" si="73"/>
        <v>39496.284262080371</v>
      </c>
      <c r="V68" s="177">
        <f t="shared" si="73"/>
        <v>45740.000623339627</v>
      </c>
      <c r="W68" s="177">
        <f t="shared" ca="1" si="73"/>
        <v>7964.0586936920645</v>
      </c>
      <c r="X68" s="177">
        <f t="shared" ca="1" si="73"/>
        <v>11882.644705576557</v>
      </c>
      <c r="Y68" s="177">
        <f t="shared" ca="1" si="73"/>
        <v>16096.215874170444</v>
      </c>
      <c r="Z68" s="177">
        <f t="shared" ca="1" si="73"/>
        <v>20624.232446712464</v>
      </c>
      <c r="AA68" s="177">
        <f t="shared" ca="1" si="73"/>
        <v>25486.053931444807</v>
      </c>
      <c r="AB68" s="177">
        <f t="shared" ca="1" si="73"/>
        <v>31072.9356984402</v>
      </c>
      <c r="AC68" s="177">
        <f t="shared" ca="1" si="73"/>
        <v>37157.050943061629</v>
      </c>
      <c r="AD68" s="177">
        <f t="shared" ca="1" si="73"/>
        <v>43777.503566958796</v>
      </c>
      <c r="AE68" s="177">
        <f t="shared" ca="1" si="73"/>
        <v>50976.257462618581</v>
      </c>
      <c r="AF68" s="177">
        <f t="shared" ca="1" si="73"/>
        <v>58799.19492741776</v>
      </c>
      <c r="AG68" s="177">
        <f t="shared" ca="1" si="73"/>
        <v>90893.946536726216</v>
      </c>
      <c r="AH68" s="177">
        <f t="shared" ca="1" si="73"/>
        <v>114433.34888173423</v>
      </c>
      <c r="AI68" s="177">
        <f t="shared" ca="1" si="73"/>
        <v>122564.29700565057</v>
      </c>
      <c r="AJ68" s="177">
        <f t="shared" ca="1" si="73"/>
        <v>130990.08188952995</v>
      </c>
      <c r="AK68" s="177">
        <f t="shared" ca="1" si="73"/>
        <v>139661.96098307834</v>
      </c>
      <c r="AL68" s="177">
        <f t="shared" ca="1" si="73"/>
        <v>149858.79703202529</v>
      </c>
      <c r="AM68" s="177">
        <f t="shared" ca="1" si="73"/>
        <v>161025.42901085262</v>
      </c>
      <c r="AN68" s="177">
        <f t="shared" ca="1" si="73"/>
        <v>173170.55811434609</v>
      </c>
      <c r="AO68" s="177">
        <f t="shared" ca="1" si="73"/>
        <v>186327.03169108499</v>
      </c>
      <c r="AP68" s="177">
        <f t="shared" ca="1" si="73"/>
        <v>200542.00958714748</v>
      </c>
      <c r="AQ68" s="177">
        <f t="shared" ca="1" si="73"/>
        <v>213994.65626291247</v>
      </c>
      <c r="AR68" s="177">
        <f t="shared" ca="1" si="73"/>
        <v>228272.09152576677</v>
      </c>
      <c r="AS68" s="177">
        <f t="shared" ca="1" si="73"/>
        <v>243420.44291350304</v>
      </c>
      <c r="AT68" s="177">
        <f t="shared" ca="1" si="73"/>
        <v>259484.98554014252</v>
      </c>
      <c r="AU68" s="177">
        <f t="shared" ca="1" si="73"/>
        <v>276506.62028263422</v>
      </c>
      <c r="AV68" s="177">
        <f t="shared" ca="1" si="73"/>
        <v>293907.18303681503</v>
      </c>
      <c r="AW68" s="177">
        <f t="shared" ca="1" si="73"/>
        <v>312464.49474242731</v>
      </c>
      <c r="AX68" s="177">
        <f t="shared" ca="1" si="73"/>
        <v>332259.41282945994</v>
      </c>
      <c r="AY68" s="177">
        <f t="shared" ca="1" si="73"/>
        <v>353384.42739988718</v>
      </c>
      <c r="AZ68" s="177">
        <f t="shared" ca="1" si="73"/>
        <v>375943.70090486278</v>
      </c>
      <c r="BA68" s="177">
        <f t="shared" ca="1" si="73"/>
        <v>400594.49999149219</v>
      </c>
      <c r="BB68" s="177">
        <f t="shared" ca="1" si="73"/>
        <v>426608.41647225944</v>
      </c>
      <c r="BC68" s="177">
        <f t="shared" ca="1" si="73"/>
        <v>454133.90674885985</v>
      </c>
      <c r="BD68" s="177">
        <f t="shared" ca="1" si="73"/>
        <v>483308.02039149916</v>
      </c>
      <c r="BE68" s="177">
        <f t="shared" ca="1" si="73"/>
        <v>514266.37985352991</v>
      </c>
      <c r="BF68" s="177">
        <f t="shared" ca="1" si="73"/>
        <v>554102.24808771163</v>
      </c>
      <c r="BG68" s="177">
        <f t="shared" ca="1" si="73"/>
        <v>597009.71961645701</v>
      </c>
      <c r="BH68" s="177">
        <f t="shared" ca="1" si="73"/>
        <v>643229.14138422604</v>
      </c>
      <c r="BI68" s="177">
        <f t="shared" ca="1" si="73"/>
        <v>693022.75158108748</v>
      </c>
      <c r="BJ68" s="177">
        <f t="shared" ca="1" si="73"/>
        <v>382836.84901902283</v>
      </c>
    </row>
    <row r="69" spans="1:121" x14ac:dyDescent="0.2">
      <c r="C69" s="555" t="s">
        <v>491</v>
      </c>
      <c r="I69" s="93"/>
      <c r="K69" s="144" t="s">
        <v>63</v>
      </c>
      <c r="R69" s="177">
        <f>-SUM(Acc!R24:R28)</f>
        <v>0</v>
      </c>
      <c r="S69" s="177">
        <f>-SUM(Acc!S24:S28)</f>
        <v>87868.862052494471</v>
      </c>
      <c r="T69" s="177">
        <f>-SUM(Acc!T24:T28)</f>
        <v>87243.48042103622</v>
      </c>
      <c r="U69" s="177">
        <f>-SUM(Acc!U24:U28)</f>
        <v>90215.502521259405</v>
      </c>
      <c r="V69" s="177">
        <f>-SUM(Acc!V24:V28)</f>
        <v>79871.395055124711</v>
      </c>
      <c r="W69" s="177">
        <f>-SUM(Acc!W24:W28)</f>
        <v>79811.955909834389</v>
      </c>
      <c r="X69" s="177">
        <f>-SUM(Acc!X24:X28)</f>
        <v>79770.421937849896</v>
      </c>
      <c r="Y69" s="177">
        <f>-SUM(Acc!Y24:Y28)</f>
        <v>79848.801238170039</v>
      </c>
      <c r="Z69" s="177">
        <f>-SUM(Acc!Z24:Z28)</f>
        <v>80260.763351799571</v>
      </c>
      <c r="AA69" s="177">
        <f>-SUM(Acc!AA24:AA28)</f>
        <v>80612.36442872278</v>
      </c>
      <c r="AB69" s="177">
        <f>-SUM(Acc!AB24:AB28)</f>
        <v>81098.492682128737</v>
      </c>
      <c r="AC69" s="177">
        <f>-SUM(Acc!AC24:AC28)</f>
        <v>81659.284673110145</v>
      </c>
      <c r="AD69" s="177">
        <f>-SUM(Acc!AD24:AD28)</f>
        <v>82132.531375139501</v>
      </c>
      <c r="AE69" s="177">
        <f>-SUM(Acc!AE24:AE28)</f>
        <v>93800.524656202178</v>
      </c>
      <c r="AF69" s="177">
        <f>-SUM(Acc!AF24:AF28)</f>
        <v>83567.852877652404</v>
      </c>
      <c r="AG69" s="177">
        <f>-SUM(Acc!AG24:AG28)</f>
        <v>84174.017608703842</v>
      </c>
      <c r="AH69" s="177">
        <f>-SUM(Acc!AH24:AH28)</f>
        <v>84571.300426672038</v>
      </c>
      <c r="AI69" s="177">
        <f>-SUM(Acc!AI24:AI28)</f>
        <v>85215.946979241155</v>
      </c>
      <c r="AJ69" s="177">
        <f>-SUM(Acc!AJ24:AJ28)</f>
        <v>86359.718612458659</v>
      </c>
      <c r="AK69" s="177">
        <f>-SUM(Acc!AK24:AK28)</f>
        <v>88195.883638133426</v>
      </c>
      <c r="AL69" s="177">
        <f>-SUM(Acc!AL24:AL28)</f>
        <v>90250.552034446024</v>
      </c>
      <c r="AM69" s="177">
        <f>-SUM(Acc!AM24:AM28)</f>
        <v>91887.03268254963</v>
      </c>
      <c r="AN69" s="177">
        <f>-SUM(Acc!AN24:AN28)</f>
        <v>93689.982631522696</v>
      </c>
      <c r="AO69" s="177">
        <f>-SUM(Acc!AO24:AO28)</f>
        <v>115430.82738521576</v>
      </c>
      <c r="AP69" s="177">
        <f>-SUM(Acc!AP24:AP28)</f>
        <v>96868.086798434422</v>
      </c>
      <c r="AQ69" s="177">
        <f>-SUM(Acc!AQ24:AQ28)</f>
        <v>97687.810574921721</v>
      </c>
      <c r="AR69" s="177">
        <f>-SUM(Acc!AR24:AR28)</f>
        <v>98063.659789086014</v>
      </c>
      <c r="AS69" s="177">
        <f>-SUM(Acc!AS24:AS28)</f>
        <v>97505.531238096519</v>
      </c>
      <c r="AT69" s="177">
        <f>-SUM(Acc!AT24:AT28)</f>
        <v>97317.121585962697</v>
      </c>
      <c r="AU69" s="177">
        <f>-SUM(Acc!AU24:AU28)</f>
        <v>95048.308857665179</v>
      </c>
      <c r="AV69" s="177">
        <f>-SUM(Acc!AV24:AV28)</f>
        <v>89294.645178591352</v>
      </c>
      <c r="AW69" s="177">
        <f>-SUM(Acc!AW24:AW28)</f>
        <v>81879.605532775458</v>
      </c>
      <c r="AX69" s="177">
        <f>-SUM(Acc!AX24:AX28)</f>
        <v>73371.917845532153</v>
      </c>
      <c r="AY69" s="177">
        <f>-SUM(Acc!AY24:AY28)</f>
        <v>82000.498443829973</v>
      </c>
      <c r="AZ69" s="177">
        <f>-SUM(Acc!AZ24:AZ28)</f>
        <v>53594.857458622631</v>
      </c>
      <c r="BA69" s="177">
        <f>-SUM(Acc!BA24:BA28)</f>
        <v>41968.736939267168</v>
      </c>
      <c r="BB69" s="177">
        <f>-SUM(Acc!BB24:BB28)</f>
        <v>29418.420681670425</v>
      </c>
      <c r="BC69" s="177">
        <f>-SUM(Acc!BC24:BC28)</f>
        <v>16350.195320529452</v>
      </c>
      <c r="BD69" s="177">
        <f>-SUM(Acc!BD24:BD28)</f>
        <v>2577.4277705890236</v>
      </c>
      <c r="BE69" s="177">
        <f>-SUM(Acc!BE24:BE28)</f>
        <v>-7495.5394088732746</v>
      </c>
      <c r="BF69" s="177">
        <f>-SUM(Acc!BF24:BF28)</f>
        <v>-13266.074581726716</v>
      </c>
      <c r="BG69" s="177">
        <f>-SUM(Acc!BG24:BG28)</f>
        <v>-13209.619932323629</v>
      </c>
      <c r="BH69" s="177">
        <f>-SUM(Acc!BH24:BH28)</f>
        <v>-13148.974364401478</v>
      </c>
      <c r="BI69" s="177">
        <f>-SUM(Acc!BI24:BI28)</f>
        <v>-13042.999778069923</v>
      </c>
      <c r="BJ69" s="177">
        <f>-SUM(Acc!BJ24:BJ28)</f>
        <v>-8604.564377373923</v>
      </c>
    </row>
    <row r="70" spans="1:121" x14ac:dyDescent="0.2">
      <c r="C70" s="556" t="s">
        <v>492</v>
      </c>
      <c r="D70" s="96"/>
      <c r="E70" s="96"/>
      <c r="F70" s="96"/>
      <c r="G70" s="96"/>
      <c r="H70" s="96"/>
      <c r="J70" s="96"/>
      <c r="K70" s="559"/>
      <c r="L70" s="559"/>
      <c r="M70" s="96"/>
      <c r="N70" s="96"/>
      <c r="O70" s="96"/>
      <c r="P70" s="96"/>
      <c r="Q70" s="96"/>
      <c r="R70" s="570">
        <f>-R75</f>
        <v>0</v>
      </c>
      <c r="S70" s="570">
        <f t="shared" ref="S70:BJ70" si="74">-S75</f>
        <v>29255.688454189836</v>
      </c>
      <c r="T70" s="570">
        <f t="shared" si="74"/>
        <v>34034.403512063247</v>
      </c>
      <c r="U70" s="570">
        <f t="shared" si="74"/>
        <v>39496.284262080371</v>
      </c>
      <c r="V70" s="570">
        <f t="shared" si="74"/>
        <v>45740.000623339627</v>
      </c>
      <c r="W70" s="570">
        <f t="shared" ca="1" si="74"/>
        <v>7964.0586936920645</v>
      </c>
      <c r="X70" s="570">
        <f t="shared" ca="1" si="74"/>
        <v>11882.644705576557</v>
      </c>
      <c r="Y70" s="570">
        <f t="shared" ca="1" si="74"/>
        <v>16096.215874170444</v>
      </c>
      <c r="Z70" s="570">
        <f t="shared" ca="1" si="74"/>
        <v>20624.232446712464</v>
      </c>
      <c r="AA70" s="570">
        <f t="shared" ca="1" si="74"/>
        <v>25486.053931444807</v>
      </c>
      <c r="AB70" s="570">
        <f t="shared" ca="1" si="74"/>
        <v>31072.9356984402</v>
      </c>
      <c r="AC70" s="570">
        <f t="shared" ca="1" si="74"/>
        <v>37157.050943061629</v>
      </c>
      <c r="AD70" s="570">
        <f t="shared" ca="1" si="74"/>
        <v>43777.503566958796</v>
      </c>
      <c r="AE70" s="570">
        <f t="shared" ca="1" si="74"/>
        <v>50976.257462618581</v>
      </c>
      <c r="AF70" s="570">
        <f t="shared" ca="1" si="74"/>
        <v>58799.19492741776</v>
      </c>
      <c r="AG70" s="570">
        <f t="shared" ca="1" si="74"/>
        <v>90893.946536726216</v>
      </c>
      <c r="AH70" s="570">
        <f t="shared" ca="1" si="74"/>
        <v>114433.34888173423</v>
      </c>
      <c r="AI70" s="570">
        <f t="shared" ca="1" si="74"/>
        <v>122564.29700565057</v>
      </c>
      <c r="AJ70" s="570">
        <f t="shared" ca="1" si="74"/>
        <v>130990.08188952995</v>
      </c>
      <c r="AK70" s="570">
        <f t="shared" ca="1" si="74"/>
        <v>139661.96098307834</v>
      </c>
      <c r="AL70" s="570">
        <f t="shared" ca="1" si="74"/>
        <v>149858.79703202529</v>
      </c>
      <c r="AM70" s="570">
        <f t="shared" ca="1" si="74"/>
        <v>161025.42901085262</v>
      </c>
      <c r="AN70" s="570">
        <f t="shared" ca="1" si="74"/>
        <v>173170.55811434609</v>
      </c>
      <c r="AO70" s="570">
        <f t="shared" ca="1" si="74"/>
        <v>186327.03169108499</v>
      </c>
      <c r="AP70" s="570">
        <f t="shared" ca="1" si="74"/>
        <v>200542.00958714748</v>
      </c>
      <c r="AQ70" s="570">
        <f t="shared" ca="1" si="74"/>
        <v>213994.65626291247</v>
      </c>
      <c r="AR70" s="570">
        <f t="shared" ca="1" si="74"/>
        <v>144332.41024505539</v>
      </c>
      <c r="AS70" s="570">
        <f t="shared" ca="1" si="74"/>
        <v>97505.531238096519</v>
      </c>
      <c r="AT70" s="570">
        <f t="shared" ca="1" si="74"/>
        <v>97317.121585962697</v>
      </c>
      <c r="AU70" s="570">
        <f t="shared" ca="1" si="74"/>
        <v>95048.308857665179</v>
      </c>
      <c r="AV70" s="570">
        <f t="shared" ca="1" si="74"/>
        <v>89294.645178591352</v>
      </c>
      <c r="AW70" s="570">
        <f t="shared" ca="1" si="74"/>
        <v>81879.605532775458</v>
      </c>
      <c r="AX70" s="570">
        <f t="shared" ca="1" si="74"/>
        <v>73371.917845532153</v>
      </c>
      <c r="AY70" s="570">
        <f t="shared" ca="1" si="74"/>
        <v>82000.498443829973</v>
      </c>
      <c r="AZ70" s="570">
        <f t="shared" ca="1" si="74"/>
        <v>53594.857458622631</v>
      </c>
      <c r="BA70" s="570">
        <f t="shared" ca="1" si="74"/>
        <v>41968.736939267168</v>
      </c>
      <c r="BB70" s="570">
        <f t="shared" ca="1" si="74"/>
        <v>29418.420681670425</v>
      </c>
      <c r="BC70" s="570">
        <f t="shared" ca="1" si="74"/>
        <v>16350.195320529452</v>
      </c>
      <c r="BD70" s="570">
        <f t="shared" ca="1" si="74"/>
        <v>2577.4277705890236</v>
      </c>
      <c r="BE70" s="570">
        <f t="shared" ca="1" si="74"/>
        <v>-7495.5394088732746</v>
      </c>
      <c r="BF70" s="570">
        <f t="shared" ca="1" si="74"/>
        <v>-13266.074581726716</v>
      </c>
      <c r="BG70" s="570">
        <f t="shared" ca="1" si="74"/>
        <v>-13209.619932323629</v>
      </c>
      <c r="BH70" s="570">
        <f t="shared" ca="1" si="74"/>
        <v>-13148.974364401478</v>
      </c>
      <c r="BI70" s="570">
        <f t="shared" ca="1" si="74"/>
        <v>-13042.999778069923</v>
      </c>
      <c r="BJ70" s="570">
        <f t="shared" ca="1" si="74"/>
        <v>-8604.564377373923</v>
      </c>
    </row>
    <row r="71" spans="1:121" x14ac:dyDescent="0.2">
      <c r="R71" s="177"/>
    </row>
    <row r="72" spans="1:121" x14ac:dyDescent="0.2">
      <c r="C72" s="55" t="s">
        <v>493</v>
      </c>
      <c r="R72" s="177"/>
    </row>
    <row r="73" spans="1:121" x14ac:dyDescent="0.2">
      <c r="C73" s="555" t="s">
        <v>134</v>
      </c>
      <c r="R73" s="177">
        <f t="shared" ref="R73" si="75">+Q78</f>
        <v>0</v>
      </c>
      <c r="S73" s="177">
        <f t="shared" ref="S73" si="76">+R78</f>
        <v>0</v>
      </c>
      <c r="T73" s="177">
        <f t="shared" ref="T73" si="77">+S78</f>
        <v>58613.173598304638</v>
      </c>
      <c r="U73" s="177">
        <f t="shared" ref="U73" si="78">+T78</f>
        <v>111822.25050727763</v>
      </c>
      <c r="V73" s="177">
        <f t="shared" ref="V73" si="79">+U78</f>
        <v>162541.46876645664</v>
      </c>
      <c r="W73" s="177">
        <f t="shared" ref="W73" si="80">+V78</f>
        <v>196672.86319824174</v>
      </c>
      <c r="X73" s="177">
        <f t="shared" ref="X73" ca="1" si="81">+W78</f>
        <v>268520.76041438407</v>
      </c>
      <c r="Y73" s="177">
        <f t="shared" ref="Y73" ca="1" si="82">+X78</f>
        <v>336408.53764665744</v>
      </c>
      <c r="Z73" s="177">
        <f t="shared" ref="Z73" ca="1" si="83">+Y78</f>
        <v>400161.12301065703</v>
      </c>
      <c r="AA73" s="177">
        <f t="shared" ref="AA73" ca="1" si="84">+Z78</f>
        <v>459797.65391574416</v>
      </c>
      <c r="AB73" s="177">
        <f t="shared" ref="AB73" ca="1" si="85">+AA78</f>
        <v>514923.9644130221</v>
      </c>
      <c r="AC73" s="177">
        <f t="shared" ref="AC73" ca="1" si="86">+AB78</f>
        <v>564949.52139671065</v>
      </c>
      <c r="AD73" s="177">
        <f t="shared" ref="AD73" ca="1" si="87">+AC78</f>
        <v>609451.75512675918</v>
      </c>
      <c r="AE73" s="177">
        <f t="shared" ref="AE73" ca="1" si="88">+AD78</f>
        <v>647806.78293493984</v>
      </c>
      <c r="AF73" s="177">
        <f t="shared" ref="AF73" ca="1" si="89">+AE78</f>
        <v>690631.05012852349</v>
      </c>
      <c r="AG73" s="177">
        <f t="shared" ref="AG73" ca="1" si="90">+AF78</f>
        <v>715399.70807875809</v>
      </c>
      <c r="AH73" s="177">
        <f t="shared" ref="AH73" ca="1" si="91">+AG78</f>
        <v>708679.7791507357</v>
      </c>
      <c r="AI73" s="177">
        <f t="shared" ref="AI73" ca="1" si="92">+AH78</f>
        <v>678817.73069567361</v>
      </c>
      <c r="AJ73" s="177">
        <f t="shared" ref="AJ73" ca="1" si="93">+AI78</f>
        <v>641469.38066926412</v>
      </c>
      <c r="AK73" s="177">
        <f t="shared" ref="AK73" ca="1" si="94">+AJ78</f>
        <v>596839.01739219285</v>
      </c>
      <c r="AL73" s="177">
        <f t="shared" ref="AL73" ca="1" si="95">+AK78</f>
        <v>545372.94004724792</v>
      </c>
      <c r="AM73" s="177">
        <f t="shared" ref="AM73" ca="1" si="96">+AL78</f>
        <v>485764.69504966866</v>
      </c>
      <c r="AN73" s="177">
        <f t="shared" ref="AN73" ca="1" si="97">+AM78</f>
        <v>416626.29872136575</v>
      </c>
      <c r="AO73" s="177">
        <f t="shared" ref="AO73" ca="1" si="98">+AN78</f>
        <v>337145.72323854233</v>
      </c>
      <c r="AP73" s="177">
        <f t="shared" ref="AP73" ca="1" si="99">+AO78</f>
        <v>266249.51893267315</v>
      </c>
      <c r="AQ73" s="177">
        <f t="shared" ref="AQ73" ca="1" si="100">+AP78</f>
        <v>162575.59614396011</v>
      </c>
      <c r="AR73" s="177">
        <f t="shared" ref="AR73" ca="1" si="101">+AQ78</f>
        <v>46268.750455969363</v>
      </c>
      <c r="AS73" s="177">
        <f t="shared" ref="AS73" ca="1" si="102">+AR78</f>
        <v>0</v>
      </c>
      <c r="AT73" s="177">
        <f t="shared" ref="AT73" ca="1" si="103">+AS78</f>
        <v>0</v>
      </c>
      <c r="AU73" s="177">
        <f t="shared" ref="AU73" ca="1" si="104">+AT78</f>
        <v>0</v>
      </c>
      <c r="AV73" s="177">
        <f t="shared" ref="AV73" ca="1" si="105">+AU78</f>
        <v>0</v>
      </c>
      <c r="AW73" s="177">
        <f t="shared" ref="AW73" ca="1" si="106">+AV78</f>
        <v>0</v>
      </c>
      <c r="AX73" s="177">
        <f t="shared" ref="AX73" ca="1" si="107">+AW78</f>
        <v>0</v>
      </c>
      <c r="AY73" s="177">
        <f t="shared" ref="AY73" ca="1" si="108">+AX78</f>
        <v>0</v>
      </c>
      <c r="AZ73" s="177">
        <f t="shared" ref="AZ73" ca="1" si="109">+AY78</f>
        <v>0</v>
      </c>
      <c r="BA73" s="177">
        <f t="shared" ref="BA73" ca="1" si="110">+AZ78</f>
        <v>0</v>
      </c>
      <c r="BB73" s="177">
        <f t="shared" ref="BB73" ca="1" si="111">+BA78</f>
        <v>0</v>
      </c>
      <c r="BC73" s="177">
        <f t="shared" ref="BC73" ca="1" si="112">+BB78</f>
        <v>0</v>
      </c>
      <c r="BD73" s="177">
        <f t="shared" ref="BD73" ca="1" si="113">+BC78</f>
        <v>0</v>
      </c>
      <c r="BE73" s="177">
        <f t="shared" ref="BE73" ca="1" si="114">+BD78</f>
        <v>0</v>
      </c>
      <c r="BF73" s="177">
        <f t="shared" ref="BF73" ca="1" si="115">+BE78</f>
        <v>0</v>
      </c>
      <c r="BG73" s="177">
        <f t="shared" ref="BG73" ca="1" si="116">+BF78</f>
        <v>0</v>
      </c>
      <c r="BH73" s="177">
        <f t="shared" ref="BH73" ca="1" si="117">+BG78</f>
        <v>0</v>
      </c>
      <c r="BI73" s="177">
        <f t="shared" ref="BI73" ca="1" si="118">+BH78</f>
        <v>0</v>
      </c>
      <c r="BJ73" s="177">
        <f t="shared" ref="BJ73" ca="1" si="119">+BI78</f>
        <v>0</v>
      </c>
    </row>
    <row r="74" spans="1:121" x14ac:dyDescent="0.2">
      <c r="C74" s="556" t="s">
        <v>494</v>
      </c>
      <c r="D74" s="96"/>
      <c r="E74" s="96"/>
      <c r="F74" s="96"/>
      <c r="G74" s="96"/>
      <c r="H74" s="96"/>
      <c r="I74" s="96"/>
      <c r="J74" s="96"/>
      <c r="K74" s="559" t="s">
        <v>63</v>
      </c>
      <c r="L74" s="96"/>
      <c r="M74" s="96"/>
      <c r="N74" s="570">
        <f>+SUM(R74:BJ74)</f>
        <v>2971716.5467522726</v>
      </c>
      <c r="O74" s="564"/>
      <c r="P74" s="564"/>
      <c r="Q74" s="564"/>
      <c r="R74" s="570">
        <f t="shared" ref="R74:BJ74" si="120">+R69</f>
        <v>0</v>
      </c>
      <c r="S74" s="570">
        <f t="shared" si="120"/>
        <v>87868.862052494471</v>
      </c>
      <c r="T74" s="570">
        <f t="shared" si="120"/>
        <v>87243.48042103622</v>
      </c>
      <c r="U74" s="570">
        <f t="shared" si="120"/>
        <v>90215.502521259405</v>
      </c>
      <c r="V74" s="570">
        <f t="shared" si="120"/>
        <v>79871.395055124711</v>
      </c>
      <c r="W74" s="570">
        <f t="shared" si="120"/>
        <v>79811.955909834389</v>
      </c>
      <c r="X74" s="570">
        <f t="shared" si="120"/>
        <v>79770.421937849896</v>
      </c>
      <c r="Y74" s="570">
        <f t="shared" si="120"/>
        <v>79848.801238170039</v>
      </c>
      <c r="Z74" s="570">
        <f t="shared" si="120"/>
        <v>80260.763351799571</v>
      </c>
      <c r="AA74" s="570">
        <f t="shared" si="120"/>
        <v>80612.36442872278</v>
      </c>
      <c r="AB74" s="570">
        <f t="shared" si="120"/>
        <v>81098.492682128737</v>
      </c>
      <c r="AC74" s="570">
        <f t="shared" si="120"/>
        <v>81659.284673110145</v>
      </c>
      <c r="AD74" s="570">
        <f t="shared" si="120"/>
        <v>82132.531375139501</v>
      </c>
      <c r="AE74" s="570">
        <f t="shared" si="120"/>
        <v>93800.524656202178</v>
      </c>
      <c r="AF74" s="570">
        <f t="shared" si="120"/>
        <v>83567.852877652404</v>
      </c>
      <c r="AG74" s="570">
        <f t="shared" si="120"/>
        <v>84174.017608703842</v>
      </c>
      <c r="AH74" s="570">
        <f t="shared" si="120"/>
        <v>84571.300426672038</v>
      </c>
      <c r="AI74" s="570">
        <f t="shared" si="120"/>
        <v>85215.946979241155</v>
      </c>
      <c r="AJ74" s="570">
        <f t="shared" si="120"/>
        <v>86359.718612458659</v>
      </c>
      <c r="AK74" s="570">
        <f t="shared" si="120"/>
        <v>88195.883638133426</v>
      </c>
      <c r="AL74" s="570">
        <f t="shared" si="120"/>
        <v>90250.552034446024</v>
      </c>
      <c r="AM74" s="570">
        <f t="shared" si="120"/>
        <v>91887.03268254963</v>
      </c>
      <c r="AN74" s="570">
        <f t="shared" si="120"/>
        <v>93689.982631522696</v>
      </c>
      <c r="AO74" s="570">
        <f t="shared" si="120"/>
        <v>115430.82738521576</v>
      </c>
      <c r="AP74" s="570">
        <f t="shared" si="120"/>
        <v>96868.086798434422</v>
      </c>
      <c r="AQ74" s="570">
        <f t="shared" si="120"/>
        <v>97687.810574921721</v>
      </c>
      <c r="AR74" s="570">
        <f t="shared" si="120"/>
        <v>98063.659789086014</v>
      </c>
      <c r="AS74" s="570">
        <f t="shared" si="120"/>
        <v>97505.531238096519</v>
      </c>
      <c r="AT74" s="570">
        <f t="shared" si="120"/>
        <v>97317.121585962697</v>
      </c>
      <c r="AU74" s="570">
        <f t="shared" si="120"/>
        <v>95048.308857665179</v>
      </c>
      <c r="AV74" s="570">
        <f t="shared" si="120"/>
        <v>89294.645178591352</v>
      </c>
      <c r="AW74" s="570">
        <f t="shared" si="120"/>
        <v>81879.605532775458</v>
      </c>
      <c r="AX74" s="570">
        <f t="shared" si="120"/>
        <v>73371.917845532153</v>
      </c>
      <c r="AY74" s="570">
        <f t="shared" si="120"/>
        <v>82000.498443829973</v>
      </c>
      <c r="AZ74" s="570">
        <f t="shared" si="120"/>
        <v>53594.857458622631</v>
      </c>
      <c r="BA74" s="570">
        <f t="shared" si="120"/>
        <v>41968.736939267168</v>
      </c>
      <c r="BB74" s="570">
        <f t="shared" si="120"/>
        <v>29418.420681670425</v>
      </c>
      <c r="BC74" s="570">
        <f t="shared" si="120"/>
        <v>16350.195320529452</v>
      </c>
      <c r="BD74" s="570">
        <f t="shared" si="120"/>
        <v>2577.4277705890236</v>
      </c>
      <c r="BE74" s="570">
        <f t="shared" si="120"/>
        <v>-7495.5394088732746</v>
      </c>
      <c r="BF74" s="570">
        <f t="shared" si="120"/>
        <v>-13266.074581726716</v>
      </c>
      <c r="BG74" s="570">
        <f t="shared" si="120"/>
        <v>-13209.619932323629</v>
      </c>
      <c r="BH74" s="570">
        <f t="shared" si="120"/>
        <v>-13148.974364401478</v>
      </c>
      <c r="BI74" s="570">
        <f t="shared" si="120"/>
        <v>-13042.999778069923</v>
      </c>
      <c r="BJ74" s="570">
        <f t="shared" si="120"/>
        <v>-8604.564377373923</v>
      </c>
    </row>
    <row r="75" spans="1:121" x14ac:dyDescent="0.2">
      <c r="C75" s="557" t="s">
        <v>495</v>
      </c>
      <c r="D75" s="58"/>
      <c r="E75" s="58"/>
      <c r="F75" s="58"/>
      <c r="G75" s="58"/>
      <c r="H75" s="58"/>
      <c r="I75" s="58"/>
      <c r="J75" s="58"/>
      <c r="K75" s="560" t="s">
        <v>63</v>
      </c>
      <c r="L75" s="58"/>
      <c r="M75" s="58"/>
      <c r="N75" s="571">
        <f ca="1">+SUM(R75:BJ75)</f>
        <v>-2971716.5467522731</v>
      </c>
      <c r="O75" s="174"/>
      <c r="P75" s="174"/>
      <c r="Q75" s="174"/>
      <c r="R75" s="571">
        <f t="shared" ref="R75:BJ75" si="121">-MIN(MAX(R68,0),SUM(R73:R74))</f>
        <v>0</v>
      </c>
      <c r="S75" s="571">
        <f t="shared" si="121"/>
        <v>-29255.688454189836</v>
      </c>
      <c r="T75" s="571">
        <f t="shared" si="121"/>
        <v>-34034.403512063247</v>
      </c>
      <c r="U75" s="571">
        <f t="shared" si="121"/>
        <v>-39496.284262080371</v>
      </c>
      <c r="V75" s="571">
        <f t="shared" si="121"/>
        <v>-45740.000623339627</v>
      </c>
      <c r="W75" s="571">
        <f t="shared" ca="1" si="121"/>
        <v>-7964.0586936920645</v>
      </c>
      <c r="X75" s="571">
        <f t="shared" ca="1" si="121"/>
        <v>-11882.644705576557</v>
      </c>
      <c r="Y75" s="571">
        <f t="shared" ca="1" si="121"/>
        <v>-16096.215874170444</v>
      </c>
      <c r="Z75" s="571">
        <f t="shared" ca="1" si="121"/>
        <v>-20624.232446712464</v>
      </c>
      <c r="AA75" s="571">
        <f t="shared" ca="1" si="121"/>
        <v>-25486.053931444807</v>
      </c>
      <c r="AB75" s="571">
        <f t="shared" ca="1" si="121"/>
        <v>-31072.9356984402</v>
      </c>
      <c r="AC75" s="571">
        <f t="shared" ca="1" si="121"/>
        <v>-37157.050943061629</v>
      </c>
      <c r="AD75" s="571">
        <f t="shared" ca="1" si="121"/>
        <v>-43777.503566958796</v>
      </c>
      <c r="AE75" s="571">
        <f t="shared" ca="1" si="121"/>
        <v>-50976.257462618581</v>
      </c>
      <c r="AF75" s="571">
        <f t="shared" ca="1" si="121"/>
        <v>-58799.19492741776</v>
      </c>
      <c r="AG75" s="571">
        <f t="shared" ca="1" si="121"/>
        <v>-90893.946536726216</v>
      </c>
      <c r="AH75" s="571">
        <f t="shared" ca="1" si="121"/>
        <v>-114433.34888173423</v>
      </c>
      <c r="AI75" s="571">
        <f t="shared" ca="1" si="121"/>
        <v>-122564.29700565057</v>
      </c>
      <c r="AJ75" s="571">
        <f t="shared" ca="1" si="121"/>
        <v>-130990.08188952995</v>
      </c>
      <c r="AK75" s="571">
        <f t="shared" ca="1" si="121"/>
        <v>-139661.96098307834</v>
      </c>
      <c r="AL75" s="571">
        <f t="shared" ca="1" si="121"/>
        <v>-149858.79703202529</v>
      </c>
      <c r="AM75" s="571">
        <f t="shared" ca="1" si="121"/>
        <v>-161025.42901085262</v>
      </c>
      <c r="AN75" s="571">
        <f t="shared" ca="1" si="121"/>
        <v>-173170.55811434609</v>
      </c>
      <c r="AO75" s="571">
        <f t="shared" ca="1" si="121"/>
        <v>-186327.03169108499</v>
      </c>
      <c r="AP75" s="571">
        <f t="shared" ca="1" si="121"/>
        <v>-200542.00958714748</v>
      </c>
      <c r="AQ75" s="571">
        <f t="shared" ca="1" si="121"/>
        <v>-213994.65626291247</v>
      </c>
      <c r="AR75" s="571">
        <f t="shared" ca="1" si="121"/>
        <v>-144332.41024505539</v>
      </c>
      <c r="AS75" s="571">
        <f t="shared" ca="1" si="121"/>
        <v>-97505.531238096519</v>
      </c>
      <c r="AT75" s="571">
        <f t="shared" ca="1" si="121"/>
        <v>-97317.121585962697</v>
      </c>
      <c r="AU75" s="571">
        <f t="shared" ca="1" si="121"/>
        <v>-95048.308857665179</v>
      </c>
      <c r="AV75" s="571">
        <f t="shared" ca="1" si="121"/>
        <v>-89294.645178591352</v>
      </c>
      <c r="AW75" s="571">
        <f t="shared" ca="1" si="121"/>
        <v>-81879.605532775458</v>
      </c>
      <c r="AX75" s="571">
        <f t="shared" ca="1" si="121"/>
        <v>-73371.917845532153</v>
      </c>
      <c r="AY75" s="571">
        <f t="shared" ca="1" si="121"/>
        <v>-82000.498443829973</v>
      </c>
      <c r="AZ75" s="571">
        <f t="shared" ca="1" si="121"/>
        <v>-53594.857458622631</v>
      </c>
      <c r="BA75" s="571">
        <f t="shared" ca="1" si="121"/>
        <v>-41968.736939267168</v>
      </c>
      <c r="BB75" s="571">
        <f t="shared" ca="1" si="121"/>
        <v>-29418.420681670425</v>
      </c>
      <c r="BC75" s="571">
        <f t="shared" ca="1" si="121"/>
        <v>-16350.195320529452</v>
      </c>
      <c r="BD75" s="571">
        <f t="shared" ca="1" si="121"/>
        <v>-2577.4277705890236</v>
      </c>
      <c r="BE75" s="571">
        <f t="shared" ca="1" si="121"/>
        <v>7495.5394088732746</v>
      </c>
      <c r="BF75" s="571">
        <f t="shared" ca="1" si="121"/>
        <v>13266.074581726716</v>
      </c>
      <c r="BG75" s="571">
        <f t="shared" ca="1" si="121"/>
        <v>13209.619932323629</v>
      </c>
      <c r="BH75" s="571">
        <f t="shared" ca="1" si="121"/>
        <v>13148.974364401478</v>
      </c>
      <c r="BI75" s="571">
        <f t="shared" ca="1" si="121"/>
        <v>13042.999778069923</v>
      </c>
      <c r="BJ75" s="571">
        <f t="shared" ca="1" si="121"/>
        <v>8604.564377373923</v>
      </c>
    </row>
    <row r="76" spans="1:121" x14ac:dyDescent="0.2">
      <c r="C76" s="557" t="s">
        <v>496</v>
      </c>
      <c r="D76" s="58"/>
      <c r="E76" s="58"/>
      <c r="F76" s="58"/>
      <c r="G76" s="58"/>
      <c r="H76" s="58"/>
      <c r="I76" s="58"/>
      <c r="J76" s="58"/>
      <c r="K76" s="560" t="s">
        <v>63</v>
      </c>
      <c r="L76" s="757">
        <f>+Inputs!L96</f>
        <v>100</v>
      </c>
      <c r="M76" s="58"/>
      <c r="N76" s="571">
        <f ca="1">+SUM(R76:BJ76)</f>
        <v>0</v>
      </c>
      <c r="O76" s="174"/>
      <c r="P76" s="174"/>
      <c r="Q76" s="174"/>
      <c r="R76" s="571">
        <f>MIN(SUM($Q77:R77)-SUM($Q76:Q76)-SUM($Q75:R75),0)</f>
        <v>0</v>
      </c>
      <c r="S76" s="571">
        <f>MIN(SUM($Q77:S77)-SUM($Q76:R76)-SUM($Q75:S75),0)</f>
        <v>0</v>
      </c>
      <c r="T76" s="571">
        <f>MIN(SUM($Q77:T77)-SUM($Q76:S76)-SUM($Q75:T75),0)</f>
        <v>0</v>
      </c>
      <c r="U76" s="571">
        <f>MIN(SUM($Q77:U77)-SUM($Q76:T76)-SUM($Q75:U75),0)</f>
        <v>0</v>
      </c>
      <c r="V76" s="571">
        <f>MIN(SUM($Q77:V77)-SUM($Q76:U76)-SUM($Q75:V75),0)</f>
        <v>0</v>
      </c>
      <c r="W76" s="571">
        <f ca="1">MIN(SUM($Q77:W77)-SUM($Q76:V76)-SUM($Q75:W75),0)</f>
        <v>0</v>
      </c>
      <c r="X76" s="571">
        <f ca="1">MIN(SUM($Q77:X77)-SUM($Q76:W76)-SUM($Q75:X75),0)</f>
        <v>0</v>
      </c>
      <c r="Y76" s="571">
        <f ca="1">MIN(SUM($Q77:Y77)-SUM($Q76:X76)-SUM($Q75:Y75),0)</f>
        <v>0</v>
      </c>
      <c r="Z76" s="571">
        <f ca="1">MIN(SUM($Q77:Z77)-SUM($Q76:Y76)-SUM($Q75:Z75),0)</f>
        <v>0</v>
      </c>
      <c r="AA76" s="571">
        <f ca="1">MIN(SUM($Q77:AA77)-SUM($Q76:Z76)-SUM($Q75:AA75),0)</f>
        <v>0</v>
      </c>
      <c r="AB76" s="571">
        <f ca="1">MIN(SUM($Q77:AB77)-SUM($Q76:AA76)-SUM($Q75:AB75),0)</f>
        <v>0</v>
      </c>
      <c r="AC76" s="571">
        <f ca="1">MIN(SUM($Q77:AC77)-SUM($Q76:AB76)-SUM($Q75:AC75),0)</f>
        <v>0</v>
      </c>
      <c r="AD76" s="571">
        <f ca="1">MIN(SUM($Q77:AD77)-SUM($Q76:AC76)-SUM($Q75:AD75),0)</f>
        <v>0</v>
      </c>
      <c r="AE76" s="571">
        <f ca="1">MIN(SUM($Q77:AE77)-SUM($Q76:AD76)-SUM($Q75:AE75),0)</f>
        <v>0</v>
      </c>
      <c r="AF76" s="571">
        <f ca="1">MIN(SUM($Q77:AF77)-SUM($Q76:AE76)-SUM($Q75:AF75),0)</f>
        <v>0</v>
      </c>
      <c r="AG76" s="571">
        <f ca="1">MIN(SUM($Q77:AG77)-SUM($Q76:AF76)-SUM($Q75:AG75),0)</f>
        <v>0</v>
      </c>
      <c r="AH76" s="571">
        <f ca="1">MIN(SUM($Q77:AH77)-SUM($Q76:AG76)-SUM($Q75:AH75),0)</f>
        <v>0</v>
      </c>
      <c r="AI76" s="571">
        <f ca="1">MIN(SUM($Q77:AI77)-SUM($Q76:AH76)-SUM($Q75:AI75),0)</f>
        <v>0</v>
      </c>
      <c r="AJ76" s="571">
        <f ca="1">MIN(SUM($Q77:AJ77)-SUM($Q76:AI76)-SUM($Q75:AJ75),0)</f>
        <v>0</v>
      </c>
      <c r="AK76" s="571">
        <f ca="1">MIN(SUM($Q77:AK77)-SUM($Q76:AJ76)-SUM($Q75:AK75),0)</f>
        <v>0</v>
      </c>
      <c r="AL76" s="571">
        <f ca="1">MIN(SUM($Q77:AL77)-SUM($Q76:AK76)-SUM($Q75:AL75),0)</f>
        <v>0</v>
      </c>
      <c r="AM76" s="571">
        <f ca="1">MIN(SUM($Q77:AM77)-SUM($Q76:AL76)-SUM($Q75:AM75),0)</f>
        <v>0</v>
      </c>
      <c r="AN76" s="571">
        <f ca="1">MIN(SUM($Q77:AN77)-SUM($Q76:AM76)-SUM($Q75:AN75),0)</f>
        <v>0</v>
      </c>
      <c r="AO76" s="571">
        <f ca="1">MIN(SUM($Q77:AO77)-SUM($Q76:AN76)-SUM($Q75:AO75),0)</f>
        <v>0</v>
      </c>
      <c r="AP76" s="571">
        <f ca="1">MIN(SUM($Q77:AP77)-SUM($Q76:AO76)-SUM($Q75:AP75),0)</f>
        <v>0</v>
      </c>
      <c r="AQ76" s="571">
        <f ca="1">MIN(SUM($Q77:AQ77)-SUM($Q76:AP76)-SUM($Q75:AQ75),0)</f>
        <v>0</v>
      </c>
      <c r="AR76" s="571">
        <f ca="1">MIN(SUM($Q77:AR77)-SUM($Q76:AQ76)-SUM($Q75:AR75),0)</f>
        <v>0</v>
      </c>
      <c r="AS76" s="571">
        <f ca="1">MIN(SUM($Q77:AS77)-SUM($Q76:AR76)-SUM($Q75:AS75),0)</f>
        <v>0</v>
      </c>
      <c r="AT76" s="571">
        <f ca="1">MIN(SUM($Q77:AT77)-SUM($Q76:AS76)-SUM($Q75:AT75),0)</f>
        <v>0</v>
      </c>
      <c r="AU76" s="571">
        <f ca="1">MIN(SUM($Q77:AU77)-SUM($Q76:AT76)-SUM($Q75:AU75),0)</f>
        <v>0</v>
      </c>
      <c r="AV76" s="571">
        <f ca="1">MIN(SUM($Q77:AV77)-SUM($Q76:AU76)-SUM($Q75:AV75),0)</f>
        <v>0</v>
      </c>
      <c r="AW76" s="571">
        <f ca="1">MIN(SUM($Q77:AW77)-SUM($Q76:AV76)-SUM($Q75:AW75),0)</f>
        <v>0</v>
      </c>
      <c r="AX76" s="571">
        <f ca="1">MIN(SUM($Q77:AX77)-SUM($Q76:AW76)-SUM($Q75:AX75),0)</f>
        <v>0</v>
      </c>
      <c r="AY76" s="571">
        <f ca="1">MIN(SUM($Q77:AY77)-SUM($Q76:AX76)-SUM($Q75:AY75),0)</f>
        <v>0</v>
      </c>
      <c r="AZ76" s="571">
        <f ca="1">MIN(SUM($Q77:AZ77)-SUM($Q76:AY76)-SUM($Q75:AZ75),0)</f>
        <v>0</v>
      </c>
      <c r="BA76" s="571">
        <f ca="1">MIN(SUM($Q77:BA77)-SUM($Q76:AZ76)-SUM($Q75:BA75),0)</f>
        <v>0</v>
      </c>
      <c r="BB76" s="571">
        <f ca="1">MIN(SUM($Q77:BB77)-SUM($Q76:BA76)-SUM($Q75:BB75),0)</f>
        <v>0</v>
      </c>
      <c r="BC76" s="571">
        <f ca="1">MIN(SUM($Q77:BC77)-SUM($Q76:BB76)-SUM($Q75:BC75),0)</f>
        <v>0</v>
      </c>
      <c r="BD76" s="571">
        <f ca="1">MIN(SUM($Q77:BD77)-SUM($Q76:BC76)-SUM($Q75:BD75),0)</f>
        <v>0</v>
      </c>
      <c r="BE76" s="571">
        <f ca="1">MIN(SUM($Q77:BE77)-SUM($Q76:BD76)-SUM($Q75:BE75),0)</f>
        <v>0</v>
      </c>
      <c r="BF76" s="571">
        <f ca="1">MIN(SUM($Q77:BF77)-SUM($Q76:BE76)-SUM($Q75:BF75),0)</f>
        <v>0</v>
      </c>
      <c r="BG76" s="571">
        <f ca="1">MIN(SUM($Q77:BG77)-SUM($Q76:BF76)-SUM($Q75:BG75),0)</f>
        <v>0</v>
      </c>
      <c r="BH76" s="571">
        <f ca="1">MIN(SUM($Q77:BH77)-SUM($Q76:BG76)-SUM($Q75:BH75),0)</f>
        <v>0</v>
      </c>
      <c r="BI76" s="571">
        <f ca="1">MIN(SUM($Q77:BI77)-SUM($Q76:BH76)-SUM($Q75:BI75),0)</f>
        <v>0</v>
      </c>
      <c r="BJ76" s="571">
        <f ca="1">MIN(SUM($Q77:BJ77)-SUM($Q76:BI76)-SUM($Q75:BJ75),0)</f>
        <v>0</v>
      </c>
    </row>
    <row r="77" spans="1:121" x14ac:dyDescent="0.2">
      <c r="C77" s="558" t="s">
        <v>497</v>
      </c>
      <c r="D77" s="93"/>
      <c r="E77" s="93"/>
      <c r="F77" s="93"/>
      <c r="G77" s="93"/>
      <c r="H77" s="93"/>
      <c r="I77" s="93"/>
      <c r="J77" s="93"/>
      <c r="K77" s="561" t="s">
        <v>63</v>
      </c>
      <c r="L77" s="93"/>
      <c r="M77" s="93"/>
      <c r="N77" s="572">
        <f>+SUM(R77:BJ77)</f>
        <v>0</v>
      </c>
      <c r="O77" s="90"/>
      <c r="P77" s="90"/>
      <c r="Q77" s="90"/>
      <c r="R77" s="572">
        <f t="shared" ref="R77" si="122">-SUMIF($R$64:$BR$64,R$64-$L76-1,$R74:$BR74)</f>
        <v>0</v>
      </c>
      <c r="S77" s="572">
        <f>-SUMIF($R$64:$BR$64,S$64-$L76-1,$R74:$BR74)</f>
        <v>0</v>
      </c>
      <c r="T77" s="572">
        <f t="shared" ref="T77:BJ77" si="123">-SUMIF($R$64:$BR$64,T$64-$L76-1,$R74:$BR74)</f>
        <v>0</v>
      </c>
      <c r="U77" s="572">
        <f t="shared" si="123"/>
        <v>0</v>
      </c>
      <c r="V77" s="572">
        <f t="shared" si="123"/>
        <v>0</v>
      </c>
      <c r="W77" s="572">
        <f t="shared" si="123"/>
        <v>0</v>
      </c>
      <c r="X77" s="572">
        <f t="shared" si="123"/>
        <v>0</v>
      </c>
      <c r="Y77" s="572">
        <f t="shared" si="123"/>
        <v>0</v>
      </c>
      <c r="Z77" s="572">
        <f t="shared" si="123"/>
        <v>0</v>
      </c>
      <c r="AA77" s="572">
        <f t="shared" si="123"/>
        <v>0</v>
      </c>
      <c r="AB77" s="572">
        <f t="shared" si="123"/>
        <v>0</v>
      </c>
      <c r="AC77" s="572">
        <f t="shared" si="123"/>
        <v>0</v>
      </c>
      <c r="AD77" s="572">
        <f t="shared" si="123"/>
        <v>0</v>
      </c>
      <c r="AE77" s="572">
        <f t="shared" si="123"/>
        <v>0</v>
      </c>
      <c r="AF77" s="572">
        <f t="shared" si="123"/>
        <v>0</v>
      </c>
      <c r="AG77" s="572">
        <f t="shared" si="123"/>
        <v>0</v>
      </c>
      <c r="AH77" s="572">
        <f t="shared" si="123"/>
        <v>0</v>
      </c>
      <c r="AI77" s="572">
        <f t="shared" si="123"/>
        <v>0</v>
      </c>
      <c r="AJ77" s="572">
        <f t="shared" si="123"/>
        <v>0</v>
      </c>
      <c r="AK77" s="572">
        <f t="shared" si="123"/>
        <v>0</v>
      </c>
      <c r="AL77" s="572">
        <f t="shared" si="123"/>
        <v>0</v>
      </c>
      <c r="AM77" s="572">
        <f t="shared" si="123"/>
        <v>0</v>
      </c>
      <c r="AN77" s="572">
        <f t="shared" si="123"/>
        <v>0</v>
      </c>
      <c r="AO77" s="572">
        <f t="shared" si="123"/>
        <v>0</v>
      </c>
      <c r="AP77" s="572">
        <f t="shared" si="123"/>
        <v>0</v>
      </c>
      <c r="AQ77" s="572">
        <f t="shared" si="123"/>
        <v>0</v>
      </c>
      <c r="AR77" s="572">
        <f t="shared" si="123"/>
        <v>0</v>
      </c>
      <c r="AS77" s="572">
        <f t="shared" si="123"/>
        <v>0</v>
      </c>
      <c r="AT77" s="572">
        <f t="shared" si="123"/>
        <v>0</v>
      </c>
      <c r="AU77" s="572">
        <f t="shared" si="123"/>
        <v>0</v>
      </c>
      <c r="AV77" s="572">
        <f t="shared" si="123"/>
        <v>0</v>
      </c>
      <c r="AW77" s="572">
        <f t="shared" si="123"/>
        <v>0</v>
      </c>
      <c r="AX77" s="572">
        <f t="shared" si="123"/>
        <v>0</v>
      </c>
      <c r="AY77" s="572">
        <f t="shared" si="123"/>
        <v>0</v>
      </c>
      <c r="AZ77" s="572">
        <f t="shared" si="123"/>
        <v>0</v>
      </c>
      <c r="BA77" s="572">
        <f t="shared" si="123"/>
        <v>0</v>
      </c>
      <c r="BB77" s="572">
        <f t="shared" si="123"/>
        <v>0</v>
      </c>
      <c r="BC77" s="572">
        <f t="shared" si="123"/>
        <v>0</v>
      </c>
      <c r="BD77" s="572">
        <f t="shared" si="123"/>
        <v>0</v>
      </c>
      <c r="BE77" s="572">
        <f t="shared" si="123"/>
        <v>0</v>
      </c>
      <c r="BF77" s="572">
        <f t="shared" si="123"/>
        <v>0</v>
      </c>
      <c r="BG77" s="572">
        <f t="shared" si="123"/>
        <v>0</v>
      </c>
      <c r="BH77" s="572">
        <f t="shared" si="123"/>
        <v>0</v>
      </c>
      <c r="BI77" s="572">
        <f t="shared" si="123"/>
        <v>0</v>
      </c>
      <c r="BJ77" s="572">
        <f t="shared" si="123"/>
        <v>0</v>
      </c>
    </row>
    <row r="78" spans="1:121" x14ac:dyDescent="0.2">
      <c r="C78" s="555" t="s">
        <v>138</v>
      </c>
      <c r="R78" s="177">
        <f t="shared" ref="R78:BJ78" si="124">+SUM(R73:R77)</f>
        <v>0</v>
      </c>
      <c r="S78" s="177">
        <f t="shared" si="124"/>
        <v>58613.173598304638</v>
      </c>
      <c r="T78" s="177">
        <f t="shared" si="124"/>
        <v>111822.25050727763</v>
      </c>
      <c r="U78" s="177">
        <f t="shared" si="124"/>
        <v>162541.46876645664</v>
      </c>
      <c r="V78" s="177">
        <f t="shared" si="124"/>
        <v>196672.86319824174</v>
      </c>
      <c r="W78" s="177">
        <f t="shared" ca="1" si="124"/>
        <v>268520.76041438407</v>
      </c>
      <c r="X78" s="177">
        <f t="shared" ca="1" si="124"/>
        <v>336408.53764665744</v>
      </c>
      <c r="Y78" s="177">
        <f t="shared" ca="1" si="124"/>
        <v>400161.12301065703</v>
      </c>
      <c r="Z78" s="177">
        <f t="shared" ca="1" si="124"/>
        <v>459797.65391574416</v>
      </c>
      <c r="AA78" s="177">
        <f t="shared" ca="1" si="124"/>
        <v>514923.9644130221</v>
      </c>
      <c r="AB78" s="177">
        <f t="shared" ca="1" si="124"/>
        <v>564949.52139671065</v>
      </c>
      <c r="AC78" s="177">
        <f t="shared" ca="1" si="124"/>
        <v>609451.75512675918</v>
      </c>
      <c r="AD78" s="177">
        <f t="shared" ca="1" si="124"/>
        <v>647806.78293493984</v>
      </c>
      <c r="AE78" s="177">
        <f t="shared" ca="1" si="124"/>
        <v>690631.05012852349</v>
      </c>
      <c r="AF78" s="177">
        <f t="shared" ca="1" si="124"/>
        <v>715399.70807875809</v>
      </c>
      <c r="AG78" s="177">
        <f t="shared" ca="1" si="124"/>
        <v>708679.7791507357</v>
      </c>
      <c r="AH78" s="177">
        <f t="shared" ca="1" si="124"/>
        <v>678817.73069567361</v>
      </c>
      <c r="AI78" s="177">
        <f t="shared" ca="1" si="124"/>
        <v>641469.38066926412</v>
      </c>
      <c r="AJ78" s="177">
        <f t="shared" ca="1" si="124"/>
        <v>596839.01739219285</v>
      </c>
      <c r="AK78" s="177">
        <f t="shared" ca="1" si="124"/>
        <v>545372.94004724792</v>
      </c>
      <c r="AL78" s="177">
        <f t="shared" ca="1" si="124"/>
        <v>485764.69504966866</v>
      </c>
      <c r="AM78" s="177">
        <f t="shared" ca="1" si="124"/>
        <v>416626.29872136575</v>
      </c>
      <c r="AN78" s="177">
        <f t="shared" ca="1" si="124"/>
        <v>337145.72323854233</v>
      </c>
      <c r="AO78" s="177">
        <f t="shared" ca="1" si="124"/>
        <v>266249.51893267315</v>
      </c>
      <c r="AP78" s="177">
        <f t="shared" ca="1" si="124"/>
        <v>162575.59614396011</v>
      </c>
      <c r="AQ78" s="177">
        <f t="shared" ca="1" si="124"/>
        <v>46268.750455969363</v>
      </c>
      <c r="AR78" s="177">
        <f t="shared" ca="1" si="124"/>
        <v>0</v>
      </c>
      <c r="AS78" s="177">
        <f t="shared" ca="1" si="124"/>
        <v>0</v>
      </c>
      <c r="AT78" s="177">
        <f t="shared" ca="1" si="124"/>
        <v>0</v>
      </c>
      <c r="AU78" s="177">
        <f t="shared" ca="1" si="124"/>
        <v>0</v>
      </c>
      <c r="AV78" s="177">
        <f t="shared" ca="1" si="124"/>
        <v>0</v>
      </c>
      <c r="AW78" s="177">
        <f t="shared" ca="1" si="124"/>
        <v>0</v>
      </c>
      <c r="AX78" s="177">
        <f t="shared" ca="1" si="124"/>
        <v>0</v>
      </c>
      <c r="AY78" s="177">
        <f t="shared" ca="1" si="124"/>
        <v>0</v>
      </c>
      <c r="AZ78" s="177">
        <f t="shared" ca="1" si="124"/>
        <v>0</v>
      </c>
      <c r="BA78" s="177">
        <f t="shared" ca="1" si="124"/>
        <v>0</v>
      </c>
      <c r="BB78" s="177">
        <f t="shared" ca="1" si="124"/>
        <v>0</v>
      </c>
      <c r="BC78" s="177">
        <f t="shared" ca="1" si="124"/>
        <v>0</v>
      </c>
      <c r="BD78" s="177">
        <f t="shared" ca="1" si="124"/>
        <v>0</v>
      </c>
      <c r="BE78" s="177">
        <f t="shared" ca="1" si="124"/>
        <v>0</v>
      </c>
      <c r="BF78" s="177">
        <f t="shared" ca="1" si="124"/>
        <v>0</v>
      </c>
      <c r="BG78" s="177">
        <f t="shared" ca="1" si="124"/>
        <v>0</v>
      </c>
      <c r="BH78" s="177">
        <f t="shared" ca="1" si="124"/>
        <v>0</v>
      </c>
      <c r="BI78" s="177">
        <f t="shared" ca="1" si="124"/>
        <v>0</v>
      </c>
      <c r="BJ78" s="177">
        <f t="shared" ca="1" si="124"/>
        <v>0</v>
      </c>
    </row>
    <row r="79" spans="1:121" ht="13.5" thickBot="1" x14ac:dyDescent="0.25">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row>
    <row r="80" spans="1:121" ht="13.5" thickBot="1" x14ac:dyDescent="0.25">
      <c r="C80" s="55" t="s">
        <v>498</v>
      </c>
      <c r="D80" s="55"/>
      <c r="E80" s="55"/>
      <c r="F80" s="55"/>
      <c r="G80" s="55"/>
      <c r="H80" s="55"/>
      <c r="I80" s="55"/>
      <c r="J80" s="55"/>
      <c r="K80" s="165"/>
      <c r="L80" s="55"/>
      <c r="M80" s="55"/>
      <c r="N80" s="744">
        <f ca="1">IF((ROUND(N76,0)+ ROUND(N77,0)+ROUND(N74,0)+ROUND(N75,0))=0,0,1)</f>
        <v>0</v>
      </c>
      <c r="R80" s="177">
        <f>+Acc!R22-R70</f>
        <v>0</v>
      </c>
      <c r="S80" s="177">
        <f ca="1">+Acc!S22-S70</f>
        <v>-68251.518084501149</v>
      </c>
      <c r="T80" s="177">
        <f ca="1">+Acc!T22-T70</f>
        <v>-57874.506294508901</v>
      </c>
      <c r="U80" s="177">
        <f ca="1">+Acc!U22-U70</f>
        <v>-45565.836348123339</v>
      </c>
      <c r="V80" s="177">
        <f ca="1">+Acc!V22-V70</f>
        <v>-31333.756292302263</v>
      </c>
      <c r="W80" s="177">
        <f ca="1">+Acc!W22-W70</f>
        <v>18582.803618614817</v>
      </c>
      <c r="X80" s="177">
        <f ca="1">+Acc!X22-X70</f>
        <v>27726.170979678634</v>
      </c>
      <c r="Y80" s="177">
        <f ca="1">+Acc!Y22-Y70</f>
        <v>37557.837039731035</v>
      </c>
      <c r="Z80" s="177">
        <f ca="1">+Acc!Z22-Z70</f>
        <v>48123.209042329087</v>
      </c>
      <c r="AA80" s="177">
        <f ca="1">+Acc!AA22-AA70</f>
        <v>59467.459173371215</v>
      </c>
      <c r="AB80" s="177">
        <f ca="1">+Acc!AB22-AB70</f>
        <v>72503.516629693811</v>
      </c>
      <c r="AC80" s="177">
        <f ca="1">+Acc!AC22-AC70</f>
        <v>86699.785533810471</v>
      </c>
      <c r="AD80" s="177">
        <f ca="1">+Acc!AD22-AD70</f>
        <v>102147.50832290386</v>
      </c>
      <c r="AE80" s="177">
        <f ca="1">+Acc!AE22-AE70</f>
        <v>118944.60074611002</v>
      </c>
      <c r="AF80" s="177">
        <f ca="1">+Acc!AF22-AF70</f>
        <v>137198.12149730811</v>
      </c>
      <c r="AG80" s="177">
        <f ca="1">+Acc!AG22-AG70</f>
        <v>212085.87525236118</v>
      </c>
      <c r="AH80" s="177">
        <f ca="1">+Acc!AH22-AH70</f>
        <v>267011.14739071322</v>
      </c>
      <c r="AI80" s="177">
        <f ca="1">+Acc!AI22-AI70</f>
        <v>285983.35967985133</v>
      </c>
      <c r="AJ80" s="177">
        <f ca="1">+Acc!AJ22-AJ70</f>
        <v>305643.52440890321</v>
      </c>
      <c r="AK80" s="177">
        <f ca="1">+Acc!AK22-AK70</f>
        <v>325877.90896051616</v>
      </c>
      <c r="AL80" s="177">
        <f ca="1">+Acc!AL22-AL70</f>
        <v>349670.52640805906</v>
      </c>
      <c r="AM80" s="177">
        <f ca="1">+Acc!AM22-AM70</f>
        <v>375726.00102532282</v>
      </c>
      <c r="AN80" s="177">
        <f ca="1">+Acc!AN22-AN70</f>
        <v>404064.6356001409</v>
      </c>
      <c r="AO80" s="177">
        <f ca="1">+Acc!AO22-AO70</f>
        <v>434763.07394586504</v>
      </c>
      <c r="AP80" s="177">
        <f ca="1">+Acc!AP22-AP70</f>
        <v>467931.3557033441</v>
      </c>
      <c r="AQ80" s="177">
        <f ca="1">+Acc!AQ22-AQ70</f>
        <v>499320.86461346247</v>
      </c>
      <c r="AR80" s="177">
        <f ca="1">+Acc!AR22-AR70</f>
        <v>616574.56150750048</v>
      </c>
      <c r="AS80" s="177">
        <f ca="1">+Acc!AS22-AS70</f>
        <v>713895.945140247</v>
      </c>
      <c r="AT80" s="177">
        <f ca="1">+Acc!AT22-AT70</f>
        <v>767632.83021451242</v>
      </c>
      <c r="AU80" s="177">
        <f ca="1">+Acc!AU22-AU70</f>
        <v>826640.42541778227</v>
      </c>
      <c r="AV80" s="177">
        <f ca="1">+Acc!AV22-AV70</f>
        <v>890395.96494412539</v>
      </c>
      <c r="AW80" s="177">
        <f ca="1">+Acc!AW22-AW70</f>
        <v>959668.71027531568</v>
      </c>
      <c r="AX80" s="177">
        <f ca="1">+Acc!AX22-AX70</f>
        <v>1034159.4582526676</v>
      </c>
      <c r="AY80" s="177">
        <f ca="1">+Acc!AY22-AY70</f>
        <v>1095947.5928891273</v>
      </c>
      <c r="AZ80" s="177">
        <f ca="1">+Acc!AZ22-AZ70</f>
        <v>1199550.8122242533</v>
      </c>
      <c r="BA80" s="177">
        <f ca="1">+Acc!BA22-BA70</f>
        <v>1293346.2630323735</v>
      </c>
      <c r="BB80" s="177">
        <f ca="1">+Acc!BB22-BB70</f>
        <v>1392609.6342258612</v>
      </c>
      <c r="BC80" s="177">
        <f ca="1">+Acc!BC22-BC70</f>
        <v>1497429.4938423368</v>
      </c>
      <c r="BD80" s="177">
        <f ca="1">+Acc!BD22-BD70</f>
        <v>1608449.3068677415</v>
      </c>
      <c r="BE80" s="177">
        <f ca="1">+Acc!BE22-BE70</f>
        <v>1721716.8055873064</v>
      </c>
      <c r="BF80" s="177">
        <f ca="1">+Acc!BF22-BF70</f>
        <v>1860273.5682074323</v>
      </c>
      <c r="BG80" s="177">
        <f ca="1">+Acc!BG22-BG70</f>
        <v>2003242.0186538473</v>
      </c>
      <c r="BH80" s="177">
        <f ca="1">+Acc!BH22-BH70</f>
        <v>2157246.1123118214</v>
      </c>
      <c r="BI80" s="177">
        <f ca="1">+Acc!BI22-BI70</f>
        <v>2323118.8383816951</v>
      </c>
      <c r="BJ80" s="177">
        <f ca="1">+Acc!BJ22-BJ70</f>
        <v>1284727.3944407834</v>
      </c>
    </row>
    <row r="91" spans="12:121" x14ac:dyDescent="0.2">
      <c r="N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42"/>
    </row>
    <row r="92" spans="12:121" x14ac:dyDescent="0.2">
      <c r="L92" s="77"/>
      <c r="N92" s="63"/>
      <c r="Q92" s="66"/>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42"/>
    </row>
    <row r="93" spans="12:121" x14ac:dyDescent="0.2">
      <c r="DQ93" s="42"/>
    </row>
    <row r="94" spans="12:121" x14ac:dyDescent="0.2">
      <c r="DQ94" s="42"/>
    </row>
    <row r="96" spans="12:121" x14ac:dyDescent="0.2">
      <c r="Q96" s="98"/>
    </row>
    <row r="98" spans="18:121" x14ac:dyDescent="0.2">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DQ98" s="98"/>
    </row>
  </sheetData>
  <sheetProtection algorithmName="SHA-512" hashValue="Uw2cfCrv0KdPY/Bem8WFCDx2vmmv2q1YOWSTDIuvWhF8HFFsp52hA3Zl7rALwdP9lKbDQJpYVV5W95Oy5D1iSQ==" saltValue="4NqmtrZosmVVtKr9t6SCaw==" spinCount="100000" sheet="1" objects="1" scenarios="1"/>
  <customSheetViews>
    <customSheetView guid="{A171ABFC-BD20-4BE9-8F97-F532286F0C2D}" scale="70" showGridLines="0" hiddenRows="1" hiddenColumns="1">
      <pane xSplit="15" ySplit="10" topLeftCell="Y11" activePane="bottomRight" state="frozen"/>
      <selection pane="bottomRight" activeCell="N176" sqref="N176"/>
      <pageMargins left="0.7" right="0.7" top="0.75" bottom="0.75" header="0.3" footer="0.3"/>
      <pageSetup orientation="portrait" r:id="rId1"/>
    </customSheetView>
    <customSheetView guid="{5F88CBE0-3291-4A41-996B-A8A1DC273A84}" scale="70" showGridLines="0" hiddenRows="1" hiddenColumns="1">
      <pane xSplit="15" ySplit="10" topLeftCell="Y11" activePane="bottomRight" state="frozen"/>
      <selection pane="bottomRight" activeCell="N176" sqref="N176"/>
      <pageMargins left="0.7" right="0.7" top="0.75" bottom="0.75" header="0.3" footer="0.3"/>
      <pageSetup orientation="portrait" r:id="rId2"/>
    </customSheetView>
  </customSheetViews>
  <mergeCells count="1">
    <mergeCell ref="B55:C55"/>
  </mergeCells>
  <conditionalFormatting sqref="F4">
    <cfRule type="cellIs" dxfId="11" priority="25" stopIfTrue="1" operator="equal">
      <formula>0</formula>
    </cfRule>
    <cfRule type="cellIs" dxfId="10" priority="26" stopIfTrue="1" operator="equal">
      <formula>1</formula>
    </cfRule>
  </conditionalFormatting>
  <conditionalFormatting sqref="N52">
    <cfRule type="cellIs" dxfId="9" priority="14" stopIfTrue="1" operator="equal">
      <formula>0</formula>
    </cfRule>
    <cfRule type="cellIs" dxfId="8" priority="15" stopIfTrue="1" operator="equal">
      <formula>1</formula>
    </cfRule>
  </conditionalFormatting>
  <conditionalFormatting sqref="N80">
    <cfRule type="cellIs" dxfId="7" priority="3" stopIfTrue="1" operator="equal">
      <formula>0</formula>
    </cfRule>
    <cfRule type="cellIs" dxfId="6" priority="4" stopIfTrue="1" operator="equal">
      <formula>1</formula>
    </cfRule>
  </conditionalFormatting>
  <conditionalFormatting sqref="N33">
    <cfRule type="cellIs" dxfId="5" priority="1" stopIfTrue="1" operator="equal">
      <formula>0</formula>
    </cfRule>
    <cfRule type="cellIs" dxfId="4" priority="2" stopIfTrue="1" operator="equal">
      <formula>1</formula>
    </cfRule>
  </conditionalFormatting>
  <pageMargins left="0.70866141732283472" right="0.70866141732283472" top="0.74803149606299213" bottom="0.74803149606299213" header="0.31496062992125984" footer="0.31496062992125984"/>
  <pageSetup paperSize="9" scale="13"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IV65703"/>
  <sheetViews>
    <sheetView showGridLines="0" view="pageBreakPreview" zoomScale="70" zoomScaleNormal="70" zoomScaleSheetLayoutView="70" workbookViewId="0">
      <pane xSplit="15" ySplit="10" topLeftCell="P11" activePane="bottomRight" state="frozen"/>
      <selection pane="topRight" activeCell="P1" sqref="P1"/>
      <selection pane="bottomLeft" activeCell="A11" sqref="A11"/>
      <selection pane="bottomRight" activeCell="M69" sqref="M69"/>
    </sheetView>
  </sheetViews>
  <sheetFormatPr baseColWidth="10" defaultColWidth="0" defaultRowHeight="12.75" zeroHeight="1" outlineLevelCol="1" x14ac:dyDescent="0.2"/>
  <cols>
    <col min="1" max="2" width="2.7109375" style="166" customWidth="1"/>
    <col min="3" max="3" width="2.7109375" style="62" customWidth="1"/>
    <col min="4" max="4" width="11.5703125" style="166" bestFit="1" customWidth="1"/>
    <col min="5" max="7" width="11.5703125" style="166" customWidth="1"/>
    <col min="8" max="8" width="8.5703125" style="166" customWidth="1"/>
    <col min="9" max="10" width="9.140625" style="166" customWidth="1"/>
    <col min="11" max="11" width="23.140625" style="166" bestFit="1" customWidth="1"/>
    <col min="12" max="12" width="14.42578125" style="166" bestFit="1" customWidth="1"/>
    <col min="13" max="13" width="13" style="166" bestFit="1" customWidth="1"/>
    <col min="14" max="14" width="14.42578125" style="166" customWidth="1"/>
    <col min="15" max="15" width="4" style="166" customWidth="1"/>
    <col min="16" max="16" width="0.85546875" style="166" customWidth="1"/>
    <col min="17" max="23" width="13.7109375" style="166" customWidth="1" outlineLevel="1"/>
    <col min="24" max="24" width="15.42578125" style="166" customWidth="1" outlineLevel="1"/>
    <col min="25" max="69" width="13.7109375" style="166" customWidth="1"/>
    <col min="70" max="79" width="13.7109375" style="554" hidden="1" customWidth="1"/>
    <col min="80" max="80" width="12.85546875" style="554" hidden="1" customWidth="1"/>
    <col min="81" max="81" width="12.7109375" style="166" hidden="1" customWidth="1"/>
    <col min="82" max="195" width="13.7109375" hidden="1" customWidth="1"/>
    <col min="196" max="16384" width="13.7109375" style="166" hidden="1"/>
  </cols>
  <sheetData>
    <row r="1" spans="1:256" x14ac:dyDescent="0.2">
      <c r="C1" s="166"/>
    </row>
    <row r="2" spans="1:256" ht="13.5" customHeight="1" x14ac:dyDescent="0.2">
      <c r="C2" s="166" t="s">
        <v>2</v>
      </c>
      <c r="F2" s="667" t="str">
        <f>+Inputs!$G$2</f>
        <v xml:space="preserve">LBJ Infrastructure Group LLC IH-635 Mananged Lanes Project </v>
      </c>
      <c r="N2" s="74"/>
    </row>
    <row r="3" spans="1:256" ht="13.5" thickBot="1" x14ac:dyDescent="0.25">
      <c r="C3" s="166" t="s">
        <v>3</v>
      </c>
      <c r="F3" s="166" t="s">
        <v>445</v>
      </c>
      <c r="N3" s="75"/>
    </row>
    <row r="4" spans="1:256" ht="13.5" thickBot="1" x14ac:dyDescent="0.25">
      <c r="C4" s="166" t="s">
        <v>4</v>
      </c>
      <c r="F4" s="60">
        <f ca="1">+Inputs!G4</f>
        <v>0</v>
      </c>
    </row>
    <row r="5" spans="1:256" x14ac:dyDescent="0.2">
      <c r="C5" s="166"/>
    </row>
    <row r="6" spans="1:256" x14ac:dyDescent="0.2">
      <c r="C6" s="166"/>
      <c r="Q6" s="667">
        <v>1</v>
      </c>
      <c r="R6" s="667">
        <v>2</v>
      </c>
      <c r="S6" s="667">
        <v>3</v>
      </c>
      <c r="T6" s="667">
        <v>4</v>
      </c>
      <c r="U6" s="667">
        <v>5</v>
      </c>
      <c r="V6" s="667">
        <v>6</v>
      </c>
      <c r="W6" s="667">
        <v>7</v>
      </c>
      <c r="X6" s="667">
        <f t="shared" ref="X6:AW6" si="0">+W6+1</f>
        <v>8</v>
      </c>
      <c r="Y6" s="667">
        <f t="shared" si="0"/>
        <v>9</v>
      </c>
      <c r="Z6" s="667">
        <f t="shared" si="0"/>
        <v>10</v>
      </c>
      <c r="AA6" s="667">
        <f t="shared" si="0"/>
        <v>11</v>
      </c>
      <c r="AB6" s="667">
        <f t="shared" si="0"/>
        <v>12</v>
      </c>
      <c r="AC6" s="667">
        <f t="shared" si="0"/>
        <v>13</v>
      </c>
      <c r="AD6" s="667">
        <f t="shared" si="0"/>
        <v>14</v>
      </c>
      <c r="AE6" s="667">
        <f t="shared" si="0"/>
        <v>15</v>
      </c>
      <c r="AF6" s="667">
        <f t="shared" si="0"/>
        <v>16</v>
      </c>
      <c r="AG6" s="667">
        <f t="shared" si="0"/>
        <v>17</v>
      </c>
      <c r="AH6" s="667">
        <f t="shared" si="0"/>
        <v>18</v>
      </c>
      <c r="AI6" s="667">
        <f t="shared" si="0"/>
        <v>19</v>
      </c>
      <c r="AJ6" s="667">
        <f t="shared" si="0"/>
        <v>20</v>
      </c>
      <c r="AK6" s="667">
        <f t="shared" si="0"/>
        <v>21</v>
      </c>
      <c r="AL6" s="667">
        <f t="shared" si="0"/>
        <v>22</v>
      </c>
      <c r="AM6" s="667">
        <f t="shared" si="0"/>
        <v>23</v>
      </c>
      <c r="AN6" s="667">
        <f t="shared" si="0"/>
        <v>24</v>
      </c>
      <c r="AO6" s="667">
        <f t="shared" si="0"/>
        <v>25</v>
      </c>
      <c r="AP6" s="667">
        <f t="shared" si="0"/>
        <v>26</v>
      </c>
      <c r="AQ6" s="667">
        <f t="shared" si="0"/>
        <v>27</v>
      </c>
      <c r="AR6" s="667">
        <f t="shared" si="0"/>
        <v>28</v>
      </c>
      <c r="AS6" s="667">
        <f t="shared" si="0"/>
        <v>29</v>
      </c>
      <c r="AT6" s="667">
        <f t="shared" si="0"/>
        <v>30</v>
      </c>
      <c r="AU6" s="667">
        <f t="shared" si="0"/>
        <v>31</v>
      </c>
      <c r="AV6" s="667">
        <f t="shared" si="0"/>
        <v>32</v>
      </c>
      <c r="AW6" s="667">
        <f t="shared" si="0"/>
        <v>33</v>
      </c>
      <c r="AX6" s="667">
        <f t="shared" ref="AX6:BQ6" si="1">+AW6+1</f>
        <v>34</v>
      </c>
      <c r="AY6" s="667">
        <f t="shared" si="1"/>
        <v>35</v>
      </c>
      <c r="AZ6" s="667">
        <f t="shared" si="1"/>
        <v>36</v>
      </c>
      <c r="BA6" s="667">
        <f t="shared" si="1"/>
        <v>37</v>
      </c>
      <c r="BB6" s="667">
        <f t="shared" si="1"/>
        <v>38</v>
      </c>
      <c r="BC6" s="667">
        <f t="shared" si="1"/>
        <v>39</v>
      </c>
      <c r="BD6" s="667">
        <f t="shared" si="1"/>
        <v>40</v>
      </c>
      <c r="BE6" s="667">
        <f t="shared" si="1"/>
        <v>41</v>
      </c>
      <c r="BF6" s="667">
        <f t="shared" si="1"/>
        <v>42</v>
      </c>
      <c r="BG6" s="667">
        <f t="shared" si="1"/>
        <v>43</v>
      </c>
      <c r="BH6" s="667">
        <f t="shared" si="1"/>
        <v>44</v>
      </c>
      <c r="BI6" s="667">
        <f t="shared" si="1"/>
        <v>45</v>
      </c>
      <c r="BJ6" s="667">
        <f t="shared" si="1"/>
        <v>46</v>
      </c>
      <c r="BK6" s="667">
        <f t="shared" si="1"/>
        <v>47</v>
      </c>
      <c r="BL6" s="667">
        <f t="shared" si="1"/>
        <v>48</v>
      </c>
      <c r="BM6" s="667">
        <f t="shared" si="1"/>
        <v>49</v>
      </c>
      <c r="BN6" s="667">
        <f t="shared" si="1"/>
        <v>50</v>
      </c>
      <c r="BO6" s="667">
        <f t="shared" si="1"/>
        <v>51</v>
      </c>
      <c r="BP6" s="667">
        <f t="shared" si="1"/>
        <v>52</v>
      </c>
      <c r="BQ6" s="667">
        <f t="shared" si="1"/>
        <v>53</v>
      </c>
    </row>
    <row r="7" spans="1:256" x14ac:dyDescent="0.2">
      <c r="C7" s="166" t="s">
        <v>19</v>
      </c>
      <c r="Q7" s="667">
        <v>2009</v>
      </c>
      <c r="R7" s="667">
        <v>2010</v>
      </c>
      <c r="S7" s="667">
        <v>2011</v>
      </c>
      <c r="T7" s="667">
        <v>2012</v>
      </c>
      <c r="U7" s="667">
        <v>2013</v>
      </c>
      <c r="V7" s="667">
        <v>2014</v>
      </c>
      <c r="W7" s="667">
        <v>2015</v>
      </c>
      <c r="X7" s="667">
        <f t="shared" ref="X7:AV7" si="2">+YEAR(X9)</f>
        <v>2016</v>
      </c>
      <c r="Y7" s="667">
        <f t="shared" si="2"/>
        <v>2017</v>
      </c>
      <c r="Z7" s="667">
        <f t="shared" si="2"/>
        <v>2018</v>
      </c>
      <c r="AA7" s="667">
        <f t="shared" si="2"/>
        <v>2019</v>
      </c>
      <c r="AB7" s="667">
        <f t="shared" si="2"/>
        <v>2020</v>
      </c>
      <c r="AC7" s="667">
        <f t="shared" si="2"/>
        <v>2021</v>
      </c>
      <c r="AD7" s="667">
        <f t="shared" si="2"/>
        <v>2022</v>
      </c>
      <c r="AE7" s="667">
        <f t="shared" si="2"/>
        <v>2023</v>
      </c>
      <c r="AF7" s="667">
        <f t="shared" si="2"/>
        <v>2024</v>
      </c>
      <c r="AG7" s="667">
        <f t="shared" si="2"/>
        <v>2025</v>
      </c>
      <c r="AH7" s="667">
        <f t="shared" si="2"/>
        <v>2026</v>
      </c>
      <c r="AI7" s="667">
        <f t="shared" si="2"/>
        <v>2027</v>
      </c>
      <c r="AJ7" s="667">
        <f t="shared" si="2"/>
        <v>2028</v>
      </c>
      <c r="AK7" s="667">
        <f t="shared" si="2"/>
        <v>2029</v>
      </c>
      <c r="AL7" s="667">
        <f t="shared" si="2"/>
        <v>2030</v>
      </c>
      <c r="AM7" s="667">
        <f t="shared" si="2"/>
        <v>2031</v>
      </c>
      <c r="AN7" s="667">
        <f t="shared" si="2"/>
        <v>2032</v>
      </c>
      <c r="AO7" s="667">
        <f t="shared" si="2"/>
        <v>2033</v>
      </c>
      <c r="AP7" s="667">
        <f t="shared" si="2"/>
        <v>2034</v>
      </c>
      <c r="AQ7" s="667">
        <f t="shared" si="2"/>
        <v>2035</v>
      </c>
      <c r="AR7" s="667">
        <f t="shared" si="2"/>
        <v>2036</v>
      </c>
      <c r="AS7" s="667">
        <f t="shared" si="2"/>
        <v>2037</v>
      </c>
      <c r="AT7" s="667">
        <f t="shared" si="2"/>
        <v>2038</v>
      </c>
      <c r="AU7" s="667">
        <f t="shared" si="2"/>
        <v>2039</v>
      </c>
      <c r="AV7" s="667">
        <f t="shared" si="2"/>
        <v>2040</v>
      </c>
      <c r="AW7" s="667">
        <f t="shared" ref="AW7:BQ7" si="3">+YEAR(AW9)</f>
        <v>2041</v>
      </c>
      <c r="AX7" s="667">
        <f t="shared" si="3"/>
        <v>2042</v>
      </c>
      <c r="AY7" s="667">
        <f t="shared" si="3"/>
        <v>2043</v>
      </c>
      <c r="AZ7" s="667">
        <f t="shared" si="3"/>
        <v>2044</v>
      </c>
      <c r="BA7" s="667">
        <f t="shared" si="3"/>
        <v>2045</v>
      </c>
      <c r="BB7" s="667">
        <f t="shared" si="3"/>
        <v>2046</v>
      </c>
      <c r="BC7" s="667">
        <f t="shared" si="3"/>
        <v>2047</v>
      </c>
      <c r="BD7" s="667">
        <f t="shared" si="3"/>
        <v>2048</v>
      </c>
      <c r="BE7" s="667">
        <f t="shared" si="3"/>
        <v>2049</v>
      </c>
      <c r="BF7" s="667">
        <f t="shared" si="3"/>
        <v>2050</v>
      </c>
      <c r="BG7" s="667">
        <f t="shared" si="3"/>
        <v>2051</v>
      </c>
      <c r="BH7" s="667">
        <f t="shared" si="3"/>
        <v>2052</v>
      </c>
      <c r="BI7" s="667">
        <f t="shared" si="3"/>
        <v>2053</v>
      </c>
      <c r="BJ7" s="667">
        <f t="shared" si="3"/>
        <v>2054</v>
      </c>
      <c r="BK7" s="667">
        <f t="shared" si="3"/>
        <v>2055</v>
      </c>
      <c r="BL7" s="667">
        <f t="shared" si="3"/>
        <v>2056</v>
      </c>
      <c r="BM7" s="667">
        <f t="shared" si="3"/>
        <v>2057</v>
      </c>
      <c r="BN7" s="667">
        <f t="shared" si="3"/>
        <v>2058</v>
      </c>
      <c r="BO7" s="667">
        <f t="shared" si="3"/>
        <v>2059</v>
      </c>
      <c r="BP7" s="667">
        <f t="shared" si="3"/>
        <v>2060</v>
      </c>
      <c r="BQ7" s="667">
        <f t="shared" si="3"/>
        <v>2061</v>
      </c>
    </row>
    <row r="8" spans="1:256" x14ac:dyDescent="0.2">
      <c r="C8" s="166" t="s">
        <v>46</v>
      </c>
      <c r="Q8" s="70">
        <v>39814</v>
      </c>
      <c r="R8" s="70">
        <v>40179</v>
      </c>
      <c r="S8" s="70">
        <v>40544</v>
      </c>
      <c r="T8" s="70">
        <v>40909</v>
      </c>
      <c r="U8" s="70">
        <v>41275</v>
      </c>
      <c r="V8" s="70">
        <v>41640</v>
      </c>
      <c r="W8" s="70">
        <v>42005</v>
      </c>
      <c r="X8" s="70">
        <f>+CF!Q8</f>
        <v>42370</v>
      </c>
      <c r="Y8" s="70">
        <f>+CF!R8</f>
        <v>42736</v>
      </c>
      <c r="Z8" s="70">
        <f>+CF!S8</f>
        <v>43101</v>
      </c>
      <c r="AA8" s="70">
        <f>+CF!T8</f>
        <v>43466</v>
      </c>
      <c r="AB8" s="70">
        <f>+CF!U8</f>
        <v>43831</v>
      </c>
      <c r="AC8" s="70">
        <f>+CF!V8</f>
        <v>44197</v>
      </c>
      <c r="AD8" s="70">
        <f>+CF!W8</f>
        <v>44562</v>
      </c>
      <c r="AE8" s="70">
        <f>+CF!X8</f>
        <v>44927</v>
      </c>
      <c r="AF8" s="70">
        <f>+CF!Y8</f>
        <v>45292</v>
      </c>
      <c r="AG8" s="70">
        <f>+CF!Z8</f>
        <v>45658</v>
      </c>
      <c r="AH8" s="70">
        <f>+CF!AA8</f>
        <v>46023</v>
      </c>
      <c r="AI8" s="70">
        <f>+CF!AB8</f>
        <v>46388</v>
      </c>
      <c r="AJ8" s="70">
        <f>+CF!AC8</f>
        <v>46753</v>
      </c>
      <c r="AK8" s="70">
        <f>+CF!AD8</f>
        <v>47119</v>
      </c>
      <c r="AL8" s="70">
        <f>+CF!AE8</f>
        <v>47484</v>
      </c>
      <c r="AM8" s="70">
        <f>+CF!AF8</f>
        <v>47849</v>
      </c>
      <c r="AN8" s="70">
        <f>+CF!AG8</f>
        <v>48214</v>
      </c>
      <c r="AO8" s="70">
        <f>+CF!AH8</f>
        <v>48580</v>
      </c>
      <c r="AP8" s="70">
        <f>+CF!AI8</f>
        <v>48945</v>
      </c>
      <c r="AQ8" s="70">
        <f>+CF!AJ8</f>
        <v>49310</v>
      </c>
      <c r="AR8" s="70">
        <f>+CF!AK8</f>
        <v>49675</v>
      </c>
      <c r="AS8" s="70">
        <f>+CF!AL8</f>
        <v>50041</v>
      </c>
      <c r="AT8" s="70">
        <f>+CF!AM8</f>
        <v>50406</v>
      </c>
      <c r="AU8" s="70">
        <f>+CF!AN8</f>
        <v>50771</v>
      </c>
      <c r="AV8" s="70">
        <f>+CF!AO8</f>
        <v>51136</v>
      </c>
      <c r="AW8" s="70">
        <f>+CF!AP8</f>
        <v>51502</v>
      </c>
      <c r="AX8" s="70">
        <f>+CF!AQ8</f>
        <v>51867</v>
      </c>
      <c r="AY8" s="70">
        <f>+CF!AR8</f>
        <v>52232</v>
      </c>
      <c r="AZ8" s="70">
        <f>+CF!AS8</f>
        <v>52597</v>
      </c>
      <c r="BA8" s="70">
        <f>+CF!AT8</f>
        <v>52963</v>
      </c>
      <c r="BB8" s="70">
        <f>+CF!AU8</f>
        <v>53328</v>
      </c>
      <c r="BC8" s="70">
        <f>+CF!AV8</f>
        <v>53693</v>
      </c>
      <c r="BD8" s="70">
        <f>+CF!AW8</f>
        <v>54058</v>
      </c>
      <c r="BE8" s="70">
        <f>+CF!AX8</f>
        <v>54424</v>
      </c>
      <c r="BF8" s="70">
        <f>+CF!AY8</f>
        <v>54789</v>
      </c>
      <c r="BG8" s="70">
        <f>+CF!AZ8</f>
        <v>55154</v>
      </c>
      <c r="BH8" s="70">
        <f>+CF!BA8</f>
        <v>55519</v>
      </c>
      <c r="BI8" s="70">
        <f>+CF!BB8</f>
        <v>55885</v>
      </c>
      <c r="BJ8" s="70">
        <f>+CF!BC8</f>
        <v>56250</v>
      </c>
      <c r="BK8" s="70">
        <f>+CF!BD8</f>
        <v>56615</v>
      </c>
      <c r="BL8" s="70">
        <f>+CF!BE8</f>
        <v>56980</v>
      </c>
      <c r="BM8" s="70">
        <f>+CF!BF8</f>
        <v>57346</v>
      </c>
      <c r="BN8" s="70">
        <f>+CF!BG8</f>
        <v>57711</v>
      </c>
      <c r="BO8" s="70">
        <f>+CF!BH8</f>
        <v>58076</v>
      </c>
      <c r="BP8" s="70">
        <f>+CF!BI8</f>
        <v>58441</v>
      </c>
      <c r="BQ8" s="70">
        <f>+CF!BJ8</f>
        <v>58807</v>
      </c>
      <c r="BR8" s="70"/>
      <c r="BS8" s="70"/>
      <c r="BT8" s="70"/>
      <c r="BU8" s="70"/>
      <c r="BV8" s="70"/>
      <c r="BW8" s="70"/>
      <c r="BX8" s="70"/>
      <c r="BY8" s="70"/>
      <c r="BZ8" s="70"/>
      <c r="CA8" s="70"/>
      <c r="CB8" s="70"/>
      <c r="CC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row>
    <row r="9" spans="1:256" x14ac:dyDescent="0.2">
      <c r="C9" s="166" t="s">
        <v>47</v>
      </c>
      <c r="P9" s="70">
        <v>40177</v>
      </c>
      <c r="Q9" s="70">
        <v>40178</v>
      </c>
      <c r="R9" s="70">
        <v>40543</v>
      </c>
      <c r="S9" s="70">
        <v>40908</v>
      </c>
      <c r="T9" s="70">
        <v>41274</v>
      </c>
      <c r="U9" s="70">
        <v>41639</v>
      </c>
      <c r="V9" s="70">
        <v>42004</v>
      </c>
      <c r="W9" s="70">
        <v>42369</v>
      </c>
      <c r="X9" s="70">
        <f>+CF!Q9</f>
        <v>42735</v>
      </c>
      <c r="Y9" s="70">
        <f>+CF!R9</f>
        <v>43100</v>
      </c>
      <c r="Z9" s="70">
        <f>+CF!S9</f>
        <v>43465</v>
      </c>
      <c r="AA9" s="70">
        <f>+CF!T9</f>
        <v>43830</v>
      </c>
      <c r="AB9" s="70">
        <f>+CF!U9</f>
        <v>44196</v>
      </c>
      <c r="AC9" s="70">
        <f>+CF!V9</f>
        <v>44561</v>
      </c>
      <c r="AD9" s="70">
        <f>+CF!W9</f>
        <v>44926</v>
      </c>
      <c r="AE9" s="70">
        <f>+CF!X9</f>
        <v>45291</v>
      </c>
      <c r="AF9" s="70">
        <f>+CF!Y9</f>
        <v>45657</v>
      </c>
      <c r="AG9" s="70">
        <f>+CF!Z9</f>
        <v>46022</v>
      </c>
      <c r="AH9" s="70">
        <f>+CF!AA9</f>
        <v>46387</v>
      </c>
      <c r="AI9" s="70">
        <f>+CF!AB9</f>
        <v>46752</v>
      </c>
      <c r="AJ9" s="70">
        <f>+CF!AC9</f>
        <v>47118</v>
      </c>
      <c r="AK9" s="70">
        <f>+CF!AD9</f>
        <v>47483</v>
      </c>
      <c r="AL9" s="70">
        <f>+CF!AE9</f>
        <v>47848</v>
      </c>
      <c r="AM9" s="70">
        <f>+CF!AF9</f>
        <v>48213</v>
      </c>
      <c r="AN9" s="70">
        <f>+CF!AG9</f>
        <v>48579</v>
      </c>
      <c r="AO9" s="70">
        <f>+CF!AH9</f>
        <v>48944</v>
      </c>
      <c r="AP9" s="70">
        <f>+CF!AI9</f>
        <v>49309</v>
      </c>
      <c r="AQ9" s="70">
        <f>+CF!AJ9</f>
        <v>49674</v>
      </c>
      <c r="AR9" s="70">
        <f>+CF!AK9</f>
        <v>50040</v>
      </c>
      <c r="AS9" s="70">
        <f>+CF!AL9</f>
        <v>50405</v>
      </c>
      <c r="AT9" s="70">
        <f>+CF!AM9</f>
        <v>50770</v>
      </c>
      <c r="AU9" s="70">
        <f>+CF!AN9</f>
        <v>51135</v>
      </c>
      <c r="AV9" s="70">
        <f>+CF!AO9</f>
        <v>51501</v>
      </c>
      <c r="AW9" s="70">
        <f>+CF!AP9</f>
        <v>51866</v>
      </c>
      <c r="AX9" s="70">
        <f>+CF!AQ9</f>
        <v>52231</v>
      </c>
      <c r="AY9" s="70">
        <f>+CF!AR9</f>
        <v>52596</v>
      </c>
      <c r="AZ9" s="70">
        <f>+CF!AS9</f>
        <v>52962</v>
      </c>
      <c r="BA9" s="70">
        <f>+CF!AT9</f>
        <v>53327</v>
      </c>
      <c r="BB9" s="70">
        <f>+CF!AU9</f>
        <v>53692</v>
      </c>
      <c r="BC9" s="70">
        <f>+CF!AV9</f>
        <v>54057</v>
      </c>
      <c r="BD9" s="70">
        <f>+CF!AW9</f>
        <v>54423</v>
      </c>
      <c r="BE9" s="70">
        <f>+CF!AX9</f>
        <v>54788</v>
      </c>
      <c r="BF9" s="70">
        <f>+CF!AY9</f>
        <v>55153</v>
      </c>
      <c r="BG9" s="70">
        <f>+CF!AZ9</f>
        <v>55518</v>
      </c>
      <c r="BH9" s="70">
        <f>+CF!BA9</f>
        <v>55884</v>
      </c>
      <c r="BI9" s="70">
        <f>+CF!BB9</f>
        <v>56249</v>
      </c>
      <c r="BJ9" s="70">
        <f>+CF!BC9</f>
        <v>56614</v>
      </c>
      <c r="BK9" s="70">
        <f>+CF!BD9</f>
        <v>56979</v>
      </c>
      <c r="BL9" s="70">
        <f>+CF!BE9</f>
        <v>57345</v>
      </c>
      <c r="BM9" s="70">
        <f>+CF!BF9</f>
        <v>57710</v>
      </c>
      <c r="BN9" s="70">
        <f>+CF!BG9</f>
        <v>58075</v>
      </c>
      <c r="BO9" s="70">
        <f>+CF!BH9</f>
        <v>58440</v>
      </c>
      <c r="BP9" s="70">
        <f>+CF!BI9</f>
        <v>58806</v>
      </c>
      <c r="BQ9" s="70">
        <f>+CF!BJ9</f>
        <v>59171</v>
      </c>
      <c r="BR9" s="70"/>
      <c r="BS9" s="70"/>
      <c r="BT9" s="70"/>
      <c r="BU9" s="70"/>
      <c r="BV9" s="70"/>
      <c r="BW9" s="70"/>
      <c r="BX9" s="70"/>
      <c r="BY9" s="70"/>
      <c r="BZ9" s="70"/>
      <c r="CA9" s="70"/>
      <c r="CB9" s="70"/>
      <c r="CC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row>
    <row r="10" spans="1:256" x14ac:dyDescent="0.2">
      <c r="C10" s="166"/>
      <c r="K10" s="166" t="s">
        <v>48</v>
      </c>
      <c r="L10" s="59" t="s">
        <v>49</v>
      </c>
      <c r="M10" s="59"/>
      <c r="N10" s="59" t="s">
        <v>50</v>
      </c>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x14ac:dyDescent="0.2">
      <c r="C11" s="166"/>
    </row>
    <row r="12" spans="1:256" s="11" customFormat="1" ht="14.25" customHeight="1" x14ac:dyDescent="0.25">
      <c r="A12" s="120"/>
      <c r="B12" s="120" t="s">
        <v>337</v>
      </c>
      <c r="C12" s="120"/>
      <c r="D12" s="120"/>
      <c r="E12" s="120"/>
      <c r="F12" s="120"/>
      <c r="G12" s="120"/>
      <c r="H12" s="120"/>
      <c r="I12" s="120"/>
      <c r="J12" s="120"/>
      <c r="K12" s="120"/>
      <c r="L12" s="120"/>
      <c r="M12" s="120"/>
      <c r="N12" s="120"/>
      <c r="O12" s="121"/>
      <c r="P12" s="51"/>
      <c r="Q12" s="51"/>
      <c r="R12" s="51"/>
      <c r="S12" s="51"/>
      <c r="T12" s="50"/>
      <c r="U12" s="50"/>
      <c r="V12" s="50"/>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0"/>
      <c r="BR12" s="51"/>
      <c r="BS12" s="51"/>
      <c r="BT12" s="51"/>
      <c r="BU12" s="51"/>
      <c r="BV12" s="51"/>
      <c r="BW12" s="51"/>
      <c r="BX12" s="51"/>
      <c r="BY12" s="51"/>
      <c r="BZ12" s="51"/>
      <c r="CA12" s="51"/>
      <c r="CB12" s="51"/>
      <c r="CC12" s="51"/>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row>
    <row r="13" spans="1:256" ht="14.25" customHeight="1" x14ac:dyDescent="0.2">
      <c r="C13" s="166"/>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7"/>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row>
    <row r="14" spans="1:256" x14ac:dyDescent="0.2">
      <c r="C14" s="73" t="s">
        <v>261</v>
      </c>
      <c r="M14" s="6"/>
      <c r="N14" s="6" t="s">
        <v>265</v>
      </c>
    </row>
    <row r="15" spans="1:256" x14ac:dyDescent="0.2">
      <c r="C15" s="37" t="s">
        <v>262</v>
      </c>
      <c r="D15" s="80"/>
      <c r="E15" s="80"/>
      <c r="F15" s="80"/>
      <c r="G15" s="80"/>
      <c r="H15" s="80"/>
      <c r="I15" s="80"/>
      <c r="J15" s="80"/>
      <c r="K15" s="654" t="s">
        <v>63</v>
      </c>
      <c r="L15" s="80"/>
      <c r="M15" s="100"/>
      <c r="N15" s="100">
        <f>SUM(Q15:CC15)</f>
        <v>30216314.973365799</v>
      </c>
      <c r="O15" s="80"/>
      <c r="P15" s="80"/>
      <c r="Q15" s="146"/>
      <c r="R15" s="146"/>
      <c r="S15" s="146"/>
      <c r="T15" s="146"/>
      <c r="U15" s="146"/>
      <c r="V15" s="146"/>
      <c r="W15" s="146"/>
      <c r="X15" s="146"/>
      <c r="Y15" s="100">
        <f>CF!R52</f>
        <v>0</v>
      </c>
      <c r="Z15" s="100">
        <f>CF!S52</f>
        <v>0</v>
      </c>
      <c r="AA15" s="100">
        <f>CF!T52</f>
        <v>0</v>
      </c>
      <c r="AB15" s="100">
        <f>CF!U52</f>
        <v>247570.44432824073</v>
      </c>
      <c r="AC15" s="100">
        <f>CF!V52</f>
        <v>64936.703322905654</v>
      </c>
      <c r="AD15" s="100">
        <f>CF!W52</f>
        <v>78791.618545604462</v>
      </c>
      <c r="AE15" s="100">
        <f>CF!X52</f>
        <v>94084.949761677388</v>
      </c>
      <c r="AF15" s="100">
        <f>CF!Y52</f>
        <v>108916.77205663553</v>
      </c>
      <c r="AG15" s="100">
        <f>CF!Z52</f>
        <v>124570.63434382016</v>
      </c>
      <c r="AH15" s="100">
        <f>CF!AA52</f>
        <v>143016.37432390204</v>
      </c>
      <c r="AI15" s="100">
        <f>CF!AB52</f>
        <v>161032.80369670255</v>
      </c>
      <c r="AJ15" s="100">
        <f>CF!AC52</f>
        <v>180188.636978233</v>
      </c>
      <c r="AK15" s="100">
        <f>CF!AD52</f>
        <v>200132.27931181935</v>
      </c>
      <c r="AL15" s="100">
        <f>CF!AE52</f>
        <v>209843.0785368963</v>
      </c>
      <c r="AM15" s="100">
        <f>CF!AF52</f>
        <v>242256.37419751709</v>
      </c>
      <c r="AN15" s="100">
        <f>CF!AG52</f>
        <v>265555.01824693044</v>
      </c>
      <c r="AO15" s="100">
        <f>CF!AH52</f>
        <v>292616.36552417465</v>
      </c>
      <c r="AP15" s="100">
        <f>CF!AI52</f>
        <v>323258.91351240419</v>
      </c>
      <c r="AQ15" s="100">
        <f>CF!AJ52</f>
        <v>357082.81061343057</v>
      </c>
      <c r="AR15" s="100">
        <f>CF!AK52</f>
        <v>395420.17085327074</v>
      </c>
      <c r="AS15" s="100">
        <f>CF!AL52</f>
        <v>423676.42416936788</v>
      </c>
      <c r="AT15" s="100">
        <f>CF!AM52</f>
        <v>455492.88145072729</v>
      </c>
      <c r="AU15" s="100">
        <f>CF!AN52</f>
        <v>495274.75144114264</v>
      </c>
      <c r="AV15" s="100">
        <f>CF!AO52</f>
        <v>487072.89874041325</v>
      </c>
      <c r="AW15" s="100">
        <f>CF!AP52</f>
        <v>578420.87642062781</v>
      </c>
      <c r="AX15" s="100">
        <f>CF!AQ52</f>
        <v>622462.31660118187</v>
      </c>
      <c r="AY15" s="100">
        <f>CF!AR52</f>
        <v>670123.04279516125</v>
      </c>
      <c r="AZ15" s="100">
        <f>CF!AS52</f>
        <v>716555.59271697851</v>
      </c>
      <c r="BA15" s="100">
        <f>CF!AT52</f>
        <v>696910.7845384276</v>
      </c>
      <c r="BB15" s="100">
        <f>CF!AU52</f>
        <v>686909.87386723165</v>
      </c>
      <c r="BC15" s="100">
        <f>CF!AV52</f>
        <v>746033.98516871454</v>
      </c>
      <c r="BD15" s="100">
        <f>CF!AW52</f>
        <v>807502.83337323822</v>
      </c>
      <c r="BE15" s="100">
        <f>CF!AX52</f>
        <v>864251.51904584584</v>
      </c>
      <c r="BF15" s="100">
        <f>CF!AY52</f>
        <v>897016.12517696293</v>
      </c>
      <c r="BG15" s="100">
        <f>CF!AZ52</f>
        <v>979532.58161589003</v>
      </c>
      <c r="BH15" s="100">
        <f>CF!BA52</f>
        <v>1059170.9752302826</v>
      </c>
      <c r="BI15" s="100">
        <f>CF!BB52</f>
        <v>1143471.7474454443</v>
      </c>
      <c r="BJ15" s="100">
        <f>CF!BC52</f>
        <v>1232863.2869510818</v>
      </c>
      <c r="BK15" s="100">
        <f>CF!BD52</f>
        <v>1462819.6715564479</v>
      </c>
      <c r="BL15" s="100">
        <f>CF!BE52</f>
        <v>1586118.7054500782</v>
      </c>
      <c r="BM15" s="100">
        <f>CF!BF52</f>
        <v>1877951.2000004875</v>
      </c>
      <c r="BN15" s="100">
        <f>CF!BG52</f>
        <v>2022875.7896959386</v>
      </c>
      <c r="BO15" s="100">
        <f>CF!BH52</f>
        <v>2179018.6750670709</v>
      </c>
      <c r="BP15" s="100">
        <f>CF!BI52</f>
        <v>2347204.8376066857</v>
      </c>
      <c r="BQ15" s="100">
        <f>CF!BJ52</f>
        <v>1688309.6490862106</v>
      </c>
      <c r="BR15" s="63"/>
      <c r="BS15" s="63"/>
      <c r="BT15" s="63"/>
      <c r="BU15" s="63"/>
      <c r="BV15" s="63"/>
      <c r="BW15" s="63"/>
      <c r="BX15" s="63"/>
      <c r="BY15" s="63"/>
      <c r="BZ15" s="63"/>
      <c r="CA15" s="63"/>
      <c r="CB15" s="63"/>
    </row>
    <row r="16" spans="1:256" x14ac:dyDescent="0.2">
      <c r="K16" s="74"/>
      <c r="M16" s="63"/>
      <c r="N16" s="63"/>
    </row>
    <row r="17" spans="1:256" x14ac:dyDescent="0.2">
      <c r="A17"/>
      <c r="B17"/>
      <c r="C17" s="32" t="s">
        <v>266</v>
      </c>
      <c r="D17" s="32"/>
      <c r="E17" s="32"/>
      <c r="F17" s="32"/>
      <c r="G17" s="32"/>
      <c r="H17" s="32"/>
      <c r="I17" s="32"/>
      <c r="J17" s="32"/>
      <c r="K17" s="639" t="s">
        <v>63</v>
      </c>
      <c r="L17" s="33"/>
      <c r="M17" s="44"/>
      <c r="N17" s="745">
        <f>SUM(Q17:CC17)</f>
        <v>29571402.4779092</v>
      </c>
      <c r="O17" s="32"/>
      <c r="P17" s="781">
        <v>-1.0000000000000001E-9</v>
      </c>
      <c r="Q17" s="753">
        <v>-1638.11663</v>
      </c>
      <c r="R17" s="753">
        <v>-45528.209156600002</v>
      </c>
      <c r="S17" s="753">
        <v>-118815.22120999997</v>
      </c>
      <c r="T17" s="753">
        <v>-167227.90039</v>
      </c>
      <c r="U17" s="753">
        <v>-176549.80383999998</v>
      </c>
      <c r="V17" s="753">
        <v>-29389.517879999996</v>
      </c>
      <c r="W17" s="753">
        <v>-105763.72635</v>
      </c>
      <c r="X17" s="782">
        <v>0</v>
      </c>
      <c r="Y17" s="745">
        <f t="shared" ref="Y17:BD17" si="4">SUM(Y15:Y15)</f>
        <v>0</v>
      </c>
      <c r="Z17" s="745">
        <f t="shared" si="4"/>
        <v>0</v>
      </c>
      <c r="AA17" s="745">
        <f t="shared" si="4"/>
        <v>0</v>
      </c>
      <c r="AB17" s="745">
        <f t="shared" si="4"/>
        <v>247570.44432824073</v>
      </c>
      <c r="AC17" s="745">
        <f t="shared" si="4"/>
        <v>64936.703322905654</v>
      </c>
      <c r="AD17" s="745">
        <f t="shared" si="4"/>
        <v>78791.618545604462</v>
      </c>
      <c r="AE17" s="745">
        <f t="shared" si="4"/>
        <v>94084.949761677388</v>
      </c>
      <c r="AF17" s="745">
        <f t="shared" si="4"/>
        <v>108916.77205663553</v>
      </c>
      <c r="AG17" s="745">
        <f t="shared" si="4"/>
        <v>124570.63434382016</v>
      </c>
      <c r="AH17" s="745">
        <f t="shared" si="4"/>
        <v>143016.37432390204</v>
      </c>
      <c r="AI17" s="745">
        <f t="shared" si="4"/>
        <v>161032.80369670255</v>
      </c>
      <c r="AJ17" s="745">
        <f t="shared" si="4"/>
        <v>180188.636978233</v>
      </c>
      <c r="AK17" s="745">
        <f t="shared" si="4"/>
        <v>200132.27931181935</v>
      </c>
      <c r="AL17" s="745">
        <f t="shared" si="4"/>
        <v>209843.0785368963</v>
      </c>
      <c r="AM17" s="745">
        <f t="shared" si="4"/>
        <v>242256.37419751709</v>
      </c>
      <c r="AN17" s="745">
        <f t="shared" si="4"/>
        <v>265555.01824693044</v>
      </c>
      <c r="AO17" s="745">
        <f t="shared" si="4"/>
        <v>292616.36552417465</v>
      </c>
      <c r="AP17" s="745">
        <f t="shared" si="4"/>
        <v>323258.91351240419</v>
      </c>
      <c r="AQ17" s="745">
        <f t="shared" si="4"/>
        <v>357082.81061343057</v>
      </c>
      <c r="AR17" s="745">
        <f t="shared" si="4"/>
        <v>395420.17085327074</v>
      </c>
      <c r="AS17" s="745">
        <f t="shared" si="4"/>
        <v>423676.42416936788</v>
      </c>
      <c r="AT17" s="745">
        <f t="shared" si="4"/>
        <v>455492.88145072729</v>
      </c>
      <c r="AU17" s="745">
        <f t="shared" si="4"/>
        <v>495274.75144114264</v>
      </c>
      <c r="AV17" s="745">
        <f t="shared" si="4"/>
        <v>487072.89874041325</v>
      </c>
      <c r="AW17" s="745">
        <f t="shared" si="4"/>
        <v>578420.87642062781</v>
      </c>
      <c r="AX17" s="745">
        <f t="shared" si="4"/>
        <v>622462.31660118187</v>
      </c>
      <c r="AY17" s="745">
        <f t="shared" si="4"/>
        <v>670123.04279516125</v>
      </c>
      <c r="AZ17" s="745">
        <f t="shared" si="4"/>
        <v>716555.59271697851</v>
      </c>
      <c r="BA17" s="745">
        <f t="shared" si="4"/>
        <v>696910.7845384276</v>
      </c>
      <c r="BB17" s="745">
        <f t="shared" si="4"/>
        <v>686909.87386723165</v>
      </c>
      <c r="BC17" s="745">
        <f t="shared" si="4"/>
        <v>746033.98516871454</v>
      </c>
      <c r="BD17" s="745">
        <f t="shared" si="4"/>
        <v>807502.83337323822</v>
      </c>
      <c r="BE17" s="745">
        <f t="shared" ref="BE17:BQ17" si="5">SUM(BE15:BE15)</f>
        <v>864251.51904584584</v>
      </c>
      <c r="BF17" s="745">
        <f t="shared" si="5"/>
        <v>897016.12517696293</v>
      </c>
      <c r="BG17" s="745">
        <f t="shared" si="5"/>
        <v>979532.58161589003</v>
      </c>
      <c r="BH17" s="745">
        <f t="shared" si="5"/>
        <v>1059170.9752302826</v>
      </c>
      <c r="BI17" s="745">
        <f t="shared" si="5"/>
        <v>1143471.7474454443</v>
      </c>
      <c r="BJ17" s="745">
        <f t="shared" si="5"/>
        <v>1232863.2869510818</v>
      </c>
      <c r="BK17" s="745">
        <f t="shared" si="5"/>
        <v>1462819.6715564479</v>
      </c>
      <c r="BL17" s="745">
        <f t="shared" si="5"/>
        <v>1586118.7054500782</v>
      </c>
      <c r="BM17" s="745">
        <f t="shared" si="5"/>
        <v>1877951.2000004875</v>
      </c>
      <c r="BN17" s="745">
        <f t="shared" si="5"/>
        <v>2022875.7896959386</v>
      </c>
      <c r="BO17" s="745">
        <f t="shared" si="5"/>
        <v>2179018.6750670709</v>
      </c>
      <c r="BP17" s="745">
        <f t="shared" si="5"/>
        <v>2347204.8376066857</v>
      </c>
      <c r="BQ17" s="745">
        <f t="shared" si="5"/>
        <v>1688309.6490862106</v>
      </c>
      <c r="BR17" s="43"/>
      <c r="BS17" s="43"/>
      <c r="BT17" s="43"/>
      <c r="BU17" s="43"/>
      <c r="BV17" s="43"/>
      <c r="BW17" s="43"/>
      <c r="BX17" s="43"/>
      <c r="BY17" s="43"/>
      <c r="BZ17" s="43"/>
      <c r="CA17" s="43"/>
      <c r="CB17" s="43"/>
      <c r="CC17" s="4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row>
    <row r="18" spans="1:256" ht="12" customHeight="1" x14ac:dyDescent="0.2">
      <c r="A18"/>
      <c r="B18"/>
      <c r="C18"/>
      <c r="D18"/>
      <c r="E18"/>
      <c r="F18"/>
      <c r="G18"/>
      <c r="H18"/>
      <c r="I18"/>
      <c r="J18"/>
      <c r="K18" s="14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s="78"/>
      <c r="BS18" s="78"/>
      <c r="BT18" s="78"/>
      <c r="BU18" s="78"/>
      <c r="BV18" s="78"/>
      <c r="BW18" s="78"/>
      <c r="BX18" s="78"/>
      <c r="BY18" s="78"/>
      <c r="BZ18" s="78"/>
      <c r="CA18" s="78"/>
      <c r="CB18" s="78"/>
      <c r="CC18" s="39"/>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x14ac:dyDescent="0.25">
      <c r="A19"/>
      <c r="B19"/>
      <c r="C19"/>
      <c r="D19"/>
      <c r="E19"/>
      <c r="F19"/>
      <c r="G19"/>
      <c r="H19"/>
      <c r="I19"/>
      <c r="J19" s="72" t="s">
        <v>263</v>
      </c>
      <c r="K19" s="666"/>
      <c r="L19"/>
      <c r="M19" s="57"/>
      <c r="N19" s="780">
        <f>XIRR(P17:CB17,$P$9:$CB$9)</f>
        <v>0.14047175049781802</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s="78"/>
      <c r="BS19" s="78"/>
      <c r="BT19" s="78"/>
      <c r="BU19" s="78"/>
      <c r="BV19" s="78"/>
      <c r="BW19" s="78"/>
      <c r="BX19" s="78"/>
      <c r="BY19" s="78"/>
      <c r="BZ19" s="78"/>
      <c r="CA19" s="78"/>
      <c r="CB19" s="78"/>
      <c r="CC19" s="39"/>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5.75" x14ac:dyDescent="0.25">
      <c r="A20" s="61"/>
      <c r="B20" s="61"/>
      <c r="C20" s="61"/>
      <c r="D20" s="61"/>
      <c r="E20" s="61"/>
      <c r="F20" s="61"/>
      <c r="G20" s="61"/>
      <c r="H20" s="61"/>
      <c r="I20" s="61"/>
      <c r="J20" s="61"/>
      <c r="K20" s="636"/>
      <c r="L20" s="61"/>
      <c r="M20" s="57"/>
      <c r="N20" s="118"/>
      <c r="O20" s="61"/>
      <c r="P20" s="119"/>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39"/>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row>
    <row r="21" spans="1:256" x14ac:dyDescent="0.2">
      <c r="A21"/>
      <c r="B21"/>
      <c r="C21" s="28" t="s">
        <v>267</v>
      </c>
      <c r="D21" s="26"/>
      <c r="E21" s="26"/>
      <c r="F21" s="26"/>
      <c r="G21" s="26"/>
      <c r="H21" s="26"/>
      <c r="I21" s="26"/>
      <c r="J21" s="26"/>
      <c r="K21" s="638"/>
      <c r="L21" s="26"/>
      <c r="M21" s="76"/>
      <c r="N21" s="76" t="s">
        <v>265</v>
      </c>
      <c r="O21" s="26"/>
      <c r="P21" s="26"/>
      <c r="Q21" s="26"/>
      <c r="R21" s="26"/>
      <c r="S21" s="26"/>
      <c r="T21" s="26"/>
      <c r="U21" s="26"/>
      <c r="V21" s="26"/>
      <c r="W21" s="26"/>
      <c r="X21" s="26"/>
      <c r="Y21" s="26"/>
      <c r="Z21" s="26"/>
      <c r="AA21" s="26"/>
      <c r="AB21" s="35"/>
      <c r="AC21" s="35"/>
      <c r="AD21" s="35"/>
      <c r="AE21" s="35"/>
      <c r="AF21" s="35"/>
      <c r="AG21" s="35"/>
      <c r="AH21" s="35"/>
      <c r="AI21" s="35"/>
      <c r="AJ21" s="35"/>
      <c r="AK21" s="35"/>
      <c r="AL21" s="35"/>
      <c r="AM21" s="35"/>
      <c r="AN21" s="178"/>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9"/>
      <c r="BS21" s="39"/>
      <c r="BT21" s="39"/>
      <c r="BU21" s="39"/>
      <c r="BV21" s="39"/>
      <c r="BW21" s="39"/>
      <c r="BX21" s="39"/>
      <c r="BY21" s="39"/>
      <c r="BZ21" s="39"/>
      <c r="CA21" s="39"/>
      <c r="CB21" s="39"/>
      <c r="CC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c r="IV21" s="58"/>
    </row>
    <row r="22" spans="1:256" x14ac:dyDescent="0.2">
      <c r="C22" s="81" t="s">
        <v>1</v>
      </c>
      <c r="D22"/>
      <c r="E22"/>
      <c r="F22"/>
      <c r="G22"/>
      <c r="H22"/>
      <c r="I22"/>
      <c r="J22"/>
      <c r="K22" s="144" t="s">
        <v>63</v>
      </c>
      <c r="L22"/>
      <c r="M22" s="63"/>
      <c r="N22" s="63">
        <f t="shared" ref="N22" si="6">SUM(Q22:CC22)</f>
        <v>30216314.973365799</v>
      </c>
      <c r="O22" s="63"/>
      <c r="P22" s="63"/>
      <c r="Q22" s="126"/>
      <c r="R22" s="126"/>
      <c r="S22" s="126"/>
      <c r="T22" s="126"/>
      <c r="U22" s="126"/>
      <c r="V22" s="126"/>
      <c r="W22" s="126"/>
      <c r="X22" s="126"/>
      <c r="Y22" s="63">
        <f t="shared" ref="Y22:BD22" si="7">Y15</f>
        <v>0</v>
      </c>
      <c r="Z22" s="63">
        <f t="shared" si="7"/>
        <v>0</v>
      </c>
      <c r="AA22" s="63">
        <f t="shared" si="7"/>
        <v>0</v>
      </c>
      <c r="AB22" s="63">
        <f t="shared" si="7"/>
        <v>247570.44432824073</v>
      </c>
      <c r="AC22" s="63">
        <f t="shared" si="7"/>
        <v>64936.703322905654</v>
      </c>
      <c r="AD22" s="63">
        <f t="shared" si="7"/>
        <v>78791.618545604462</v>
      </c>
      <c r="AE22" s="63">
        <f t="shared" si="7"/>
        <v>94084.949761677388</v>
      </c>
      <c r="AF22" s="63">
        <f t="shared" si="7"/>
        <v>108916.77205663553</v>
      </c>
      <c r="AG22" s="63">
        <f t="shared" si="7"/>
        <v>124570.63434382016</v>
      </c>
      <c r="AH22" s="63">
        <f t="shared" si="7"/>
        <v>143016.37432390204</v>
      </c>
      <c r="AI22" s="63">
        <f t="shared" si="7"/>
        <v>161032.80369670255</v>
      </c>
      <c r="AJ22" s="63">
        <f t="shared" si="7"/>
        <v>180188.636978233</v>
      </c>
      <c r="AK22" s="63">
        <f t="shared" si="7"/>
        <v>200132.27931181935</v>
      </c>
      <c r="AL22" s="63">
        <f t="shared" si="7"/>
        <v>209843.0785368963</v>
      </c>
      <c r="AM22" s="63">
        <f t="shared" si="7"/>
        <v>242256.37419751709</v>
      </c>
      <c r="AN22" s="63">
        <f t="shared" si="7"/>
        <v>265555.01824693044</v>
      </c>
      <c r="AO22" s="63">
        <f t="shared" si="7"/>
        <v>292616.36552417465</v>
      </c>
      <c r="AP22" s="63">
        <f t="shared" si="7"/>
        <v>323258.91351240419</v>
      </c>
      <c r="AQ22" s="63">
        <f t="shared" si="7"/>
        <v>357082.81061343057</v>
      </c>
      <c r="AR22" s="63">
        <f t="shared" si="7"/>
        <v>395420.17085327074</v>
      </c>
      <c r="AS22" s="63">
        <f t="shared" si="7"/>
        <v>423676.42416936788</v>
      </c>
      <c r="AT22" s="63">
        <f t="shared" si="7"/>
        <v>455492.88145072729</v>
      </c>
      <c r="AU22" s="63">
        <f t="shared" si="7"/>
        <v>495274.75144114264</v>
      </c>
      <c r="AV22" s="63">
        <f t="shared" si="7"/>
        <v>487072.89874041325</v>
      </c>
      <c r="AW22" s="63">
        <f t="shared" si="7"/>
        <v>578420.87642062781</v>
      </c>
      <c r="AX22" s="63">
        <f t="shared" si="7"/>
        <v>622462.31660118187</v>
      </c>
      <c r="AY22" s="63">
        <f t="shared" si="7"/>
        <v>670123.04279516125</v>
      </c>
      <c r="AZ22" s="63">
        <f t="shared" si="7"/>
        <v>716555.59271697851</v>
      </c>
      <c r="BA22" s="63">
        <f t="shared" si="7"/>
        <v>696910.7845384276</v>
      </c>
      <c r="BB22" s="63">
        <f t="shared" si="7"/>
        <v>686909.87386723165</v>
      </c>
      <c r="BC22" s="63">
        <f t="shared" si="7"/>
        <v>746033.98516871454</v>
      </c>
      <c r="BD22" s="63">
        <f t="shared" si="7"/>
        <v>807502.83337323822</v>
      </c>
      <c r="BE22" s="63">
        <f t="shared" ref="BE22:BQ22" si="8">BE15</f>
        <v>864251.51904584584</v>
      </c>
      <c r="BF22" s="63">
        <f t="shared" si="8"/>
        <v>897016.12517696293</v>
      </c>
      <c r="BG22" s="63">
        <f t="shared" si="8"/>
        <v>979532.58161589003</v>
      </c>
      <c r="BH22" s="63">
        <f t="shared" si="8"/>
        <v>1059170.9752302826</v>
      </c>
      <c r="BI22" s="63">
        <f t="shared" si="8"/>
        <v>1143471.7474454443</v>
      </c>
      <c r="BJ22" s="63">
        <f t="shared" si="8"/>
        <v>1232863.2869510818</v>
      </c>
      <c r="BK22" s="63">
        <f t="shared" si="8"/>
        <v>1462819.6715564479</v>
      </c>
      <c r="BL22" s="63">
        <f t="shared" si="8"/>
        <v>1586118.7054500782</v>
      </c>
      <c r="BM22" s="63">
        <f t="shared" si="8"/>
        <v>1877951.2000004875</v>
      </c>
      <c r="BN22" s="63">
        <f t="shared" si="8"/>
        <v>2022875.7896959386</v>
      </c>
      <c r="BO22" s="63">
        <f t="shared" si="8"/>
        <v>2179018.6750670709</v>
      </c>
      <c r="BP22" s="63">
        <f t="shared" si="8"/>
        <v>2347204.8376066857</v>
      </c>
      <c r="BQ22" s="63">
        <f t="shared" si="8"/>
        <v>1688309.6490862106</v>
      </c>
      <c r="BR22" s="63"/>
      <c r="BS22" s="63"/>
      <c r="BT22" s="63"/>
      <c r="BU22" s="63"/>
      <c r="BV22" s="63"/>
      <c r="BW22" s="63"/>
      <c r="BX22" s="63"/>
      <c r="BY22" s="63"/>
      <c r="BZ22" s="63"/>
      <c r="CA22" s="63"/>
      <c r="CB22" s="63"/>
      <c r="CC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row>
    <row r="23" spans="1:256" x14ac:dyDescent="0.2">
      <c r="C23" t="s">
        <v>268</v>
      </c>
      <c r="D23"/>
      <c r="E23"/>
      <c r="F23"/>
      <c r="G23"/>
      <c r="H23"/>
      <c r="I23"/>
      <c r="J23"/>
      <c r="K23" s="144" t="s">
        <v>63</v>
      </c>
      <c r="L23" s="63"/>
      <c r="M23" s="63"/>
      <c r="N23" s="63">
        <f t="shared" ref="N23" ca="1" si="9">SUM(Q23:CC23)</f>
        <v>-6133833.3057498662</v>
      </c>
      <c r="O23"/>
      <c r="P23"/>
      <c r="Q23" s="126"/>
      <c r="R23" s="126"/>
      <c r="S23" s="126"/>
      <c r="T23" s="126"/>
      <c r="U23" s="126"/>
      <c r="V23" s="126"/>
      <c r="W23" s="126"/>
      <c r="X23" s="126"/>
      <c r="Y23" s="63">
        <f>+Tax!R14</f>
        <v>0</v>
      </c>
      <c r="Z23" s="63">
        <f ca="1">+Tax!S14</f>
        <v>0</v>
      </c>
      <c r="AA23" s="63">
        <f ca="1">+Tax!T14</f>
        <v>0</v>
      </c>
      <c r="AB23" s="63">
        <f ca="1">+Tax!U14</f>
        <v>0</v>
      </c>
      <c r="AC23" s="63">
        <f ca="1">+Tax!V14</f>
        <v>0</v>
      </c>
      <c r="AD23" s="63">
        <f ca="1">+Tax!W14</f>
        <v>-780.47775198182228</v>
      </c>
      <c r="AE23" s="63">
        <f ca="1">+Tax!X14</f>
        <v>-1164.4991811465022</v>
      </c>
      <c r="AF23" s="63">
        <f ca="1">+Tax!Y14</f>
        <v>-1577.4291556687028</v>
      </c>
      <c r="AG23" s="63">
        <f ca="1">+Tax!Z14</f>
        <v>-2021.174779777821</v>
      </c>
      <c r="AH23" s="63">
        <f ca="1">+Tax!AA14</f>
        <v>-2497.6332852815908</v>
      </c>
      <c r="AI23" s="63">
        <f ca="1">+Tax!AB14</f>
        <v>-3045.1476984471396</v>
      </c>
      <c r="AJ23" s="63">
        <f ca="1">+Tax!AC14</f>
        <v>-3641.3909924200379</v>
      </c>
      <c r="AK23" s="63">
        <f ca="1">+Tax!AD14</f>
        <v>-4290.19534956196</v>
      </c>
      <c r="AL23" s="63">
        <f ca="1">+Tax!AE14</f>
        <v>-4995.6732313366201</v>
      </c>
      <c r="AM23" s="63">
        <f ca="1">+Tax!AF14</f>
        <v>-5762.32110288694</v>
      </c>
      <c r="AN23" s="63">
        <f ca="1">+Tax!AG14</f>
        <v>-21907.555049245388</v>
      </c>
      <c r="AO23" s="63">
        <f ca="1">+Tax!AH14</f>
        <v>-56072.340952049773</v>
      </c>
      <c r="AP23" s="63">
        <f ca="1">+Tax!AI14</f>
        <v>-60056.505532768781</v>
      </c>
      <c r="AQ23" s="63">
        <f ca="1">+Tax!AJ14</f>
        <v>-64185.140125869671</v>
      </c>
      <c r="AR23" s="63">
        <f ca="1">+Tax!AK14</f>
        <v>-68434.360881708388</v>
      </c>
      <c r="AS23" s="63">
        <f ca="1">+Tax!AL14</f>
        <v>-73430.810545692395</v>
      </c>
      <c r="AT23" s="63">
        <f ca="1">+Tax!AM14</f>
        <v>-78902.460215317784</v>
      </c>
      <c r="AU23" s="63">
        <f ca="1">+Tax!AN14</f>
        <v>-84853.573476029589</v>
      </c>
      <c r="AV23" s="63">
        <f ca="1">+Tax!AO14</f>
        <v>-91300.245528631654</v>
      </c>
      <c r="AW23" s="63">
        <f ca="1">+Tax!AP14</f>
        <v>-98265.584697702259</v>
      </c>
      <c r="AX23" s="63">
        <f ca="1">+Tax!AQ14</f>
        <v>-104857.38156882711</v>
      </c>
      <c r="AY23" s="63">
        <f ca="1">+Tax!AR14</f>
        <v>-129480.65791657509</v>
      </c>
      <c r="AZ23" s="63">
        <f ca="1">+Tax!AS14</f>
        <v>-149918.14847945186</v>
      </c>
      <c r="BA23" s="63">
        <f ca="1">+Tax!AT14</f>
        <v>-161202.89434504759</v>
      </c>
      <c r="BB23" s="63">
        <f ca="1">+Tax!AU14</f>
        <v>-173594.48933773427</v>
      </c>
      <c r="BC23" s="63">
        <f ca="1">+Tax!AV14</f>
        <v>-186983.15263826633</v>
      </c>
      <c r="BD23" s="63">
        <f ca="1">+Tax!AW14</f>
        <v>-201530.42915781628</v>
      </c>
      <c r="BE23" s="63">
        <f ca="1">+Tax!AX14</f>
        <v>-217173.48623306019</v>
      </c>
      <c r="BF23" s="63">
        <f ca="1">+Tax!AY14</f>
        <v>-230148.99450671673</v>
      </c>
      <c r="BG23" s="63">
        <f ca="1">+Tax!AZ14</f>
        <v>-251905.67056709318</v>
      </c>
      <c r="BH23" s="63">
        <f ca="1">+Tax!BA14</f>
        <v>-271602.71523679845</v>
      </c>
      <c r="BI23" s="63">
        <f ca="1">+Tax!BB14</f>
        <v>-292448.02318743081</v>
      </c>
      <c r="BJ23" s="63">
        <f ca="1">+Tax!BC14</f>
        <v>-314460.19370689074</v>
      </c>
      <c r="BK23" s="63">
        <f ca="1">+Tax!BD14</f>
        <v>-337774.35444222571</v>
      </c>
      <c r="BL23" s="63">
        <f ca="1">+Tax!BE14</f>
        <v>-361560.5291733343</v>
      </c>
      <c r="BM23" s="63">
        <f ca="1">+Tax!BF14</f>
        <v>-390657.44932356075</v>
      </c>
      <c r="BN23" s="63">
        <f ca="1">+Tax!BG14</f>
        <v>-420680.82391730789</v>
      </c>
      <c r="BO23" s="63">
        <f ca="1">+Tax!BH14</f>
        <v>-453021.68358548247</v>
      </c>
      <c r="BP23" s="63">
        <f ca="1">+Tax!BI14</f>
        <v>-487854.95606015594</v>
      </c>
      <c r="BQ23" s="63">
        <f ca="1">+Tax!BJ14</f>
        <v>-269792.75283256453</v>
      </c>
      <c r="BR23" s="63"/>
      <c r="BS23" s="63"/>
      <c r="BT23" s="63"/>
      <c r="BU23" s="63"/>
      <c r="BV23" s="63"/>
      <c r="BW23" s="63"/>
      <c r="BX23" s="63"/>
      <c r="BY23" s="63"/>
      <c r="BZ23" s="63"/>
      <c r="CA23" s="63"/>
      <c r="CB23" s="63"/>
      <c r="CC23" s="39"/>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x14ac:dyDescent="0.2">
      <c r="C24"/>
      <c r="D24"/>
      <c r="E24"/>
      <c r="F24"/>
      <c r="G24"/>
      <c r="H24"/>
      <c r="I24"/>
      <c r="J24"/>
      <c r="K24" s="144"/>
      <c r="L24"/>
      <c r="M24" s="63"/>
      <c r="N24" s="63"/>
      <c r="O24"/>
      <c r="P24"/>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9"/>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x14ac:dyDescent="0.2">
      <c r="C25" s="32" t="s">
        <v>269</v>
      </c>
      <c r="D25" s="32"/>
      <c r="E25" s="32"/>
      <c r="F25" s="32"/>
      <c r="G25" s="32"/>
      <c r="H25" s="32"/>
      <c r="I25" s="32"/>
      <c r="J25" s="32"/>
      <c r="K25" s="639" t="s">
        <v>63</v>
      </c>
      <c r="L25" s="33"/>
      <c r="M25" s="44"/>
      <c r="N25" s="745">
        <f ca="1">SUM(Q25:CC25)</f>
        <v>23429469.172159337</v>
      </c>
      <c r="O25" s="32"/>
      <c r="P25" s="781">
        <v>-9.9999999999999998E-13</v>
      </c>
      <c r="Q25" s="753">
        <v>-1638.11663</v>
      </c>
      <c r="R25" s="753">
        <v>-53628.209156600002</v>
      </c>
      <c r="S25" s="753">
        <v>-118815.22120999997</v>
      </c>
      <c r="T25" s="753">
        <v>-167227.90039</v>
      </c>
      <c r="U25" s="753">
        <v>-176549.80383999998</v>
      </c>
      <c r="V25" s="753">
        <v>-29389.517879999996</v>
      </c>
      <c r="W25" s="753">
        <v>-105763.72635</v>
      </c>
      <c r="X25" s="753">
        <v>0</v>
      </c>
      <c r="Y25" s="745">
        <f t="shared" ref="Y25:BD25" si="10">SUM(Y22:Y23)</f>
        <v>0</v>
      </c>
      <c r="Z25" s="745">
        <f t="shared" ca="1" si="10"/>
        <v>0</v>
      </c>
      <c r="AA25" s="745">
        <f t="shared" ca="1" si="10"/>
        <v>0</v>
      </c>
      <c r="AB25" s="745">
        <f t="shared" ca="1" si="10"/>
        <v>247570.44432824073</v>
      </c>
      <c r="AC25" s="745">
        <f t="shared" ca="1" si="10"/>
        <v>64936.703322905654</v>
      </c>
      <c r="AD25" s="745">
        <f t="shared" ca="1" si="10"/>
        <v>78011.140793622646</v>
      </c>
      <c r="AE25" s="745">
        <f t="shared" ca="1" si="10"/>
        <v>92920.450580530887</v>
      </c>
      <c r="AF25" s="745">
        <f t="shared" ca="1" si="10"/>
        <v>107339.34290096682</v>
      </c>
      <c r="AG25" s="745">
        <f t="shared" ca="1" si="10"/>
        <v>122549.45956404234</v>
      </c>
      <c r="AH25" s="745">
        <f t="shared" ca="1" si="10"/>
        <v>140518.74103862044</v>
      </c>
      <c r="AI25" s="745">
        <f t="shared" ca="1" si="10"/>
        <v>157987.65599825542</v>
      </c>
      <c r="AJ25" s="745">
        <f t="shared" ca="1" si="10"/>
        <v>176547.24598581297</v>
      </c>
      <c r="AK25" s="745">
        <f t="shared" ca="1" si="10"/>
        <v>195842.0839622574</v>
      </c>
      <c r="AL25" s="745">
        <f t="shared" ca="1" si="10"/>
        <v>204847.40530555969</v>
      </c>
      <c r="AM25" s="745">
        <f t="shared" ca="1" si="10"/>
        <v>236494.05309463016</v>
      </c>
      <c r="AN25" s="745">
        <f t="shared" ca="1" si="10"/>
        <v>243647.46319768505</v>
      </c>
      <c r="AO25" s="745">
        <f t="shared" ca="1" si="10"/>
        <v>236544.02457212488</v>
      </c>
      <c r="AP25" s="745">
        <f t="shared" ca="1" si="10"/>
        <v>263202.40797963541</v>
      </c>
      <c r="AQ25" s="745">
        <f t="shared" ca="1" si="10"/>
        <v>292897.67048756091</v>
      </c>
      <c r="AR25" s="745">
        <f t="shared" ca="1" si="10"/>
        <v>326985.80997156235</v>
      </c>
      <c r="AS25" s="745">
        <f t="shared" ca="1" si="10"/>
        <v>350245.61362367548</v>
      </c>
      <c r="AT25" s="745">
        <f t="shared" ca="1" si="10"/>
        <v>376590.42123540951</v>
      </c>
      <c r="AU25" s="745">
        <f t="shared" ca="1" si="10"/>
        <v>410421.17796511308</v>
      </c>
      <c r="AV25" s="745">
        <f t="shared" ca="1" si="10"/>
        <v>395772.65321178158</v>
      </c>
      <c r="AW25" s="745">
        <f t="shared" ca="1" si="10"/>
        <v>480155.29172292555</v>
      </c>
      <c r="AX25" s="745">
        <f t="shared" ca="1" si="10"/>
        <v>517604.93503235478</v>
      </c>
      <c r="AY25" s="745">
        <f t="shared" ca="1" si="10"/>
        <v>540642.38487858616</v>
      </c>
      <c r="AZ25" s="745">
        <f t="shared" ca="1" si="10"/>
        <v>566637.44423752662</v>
      </c>
      <c r="BA25" s="745">
        <f t="shared" ca="1" si="10"/>
        <v>535707.89019337995</v>
      </c>
      <c r="BB25" s="745">
        <f t="shared" ca="1" si="10"/>
        <v>513315.38452949736</v>
      </c>
      <c r="BC25" s="745">
        <f t="shared" ca="1" si="10"/>
        <v>559050.83253044821</v>
      </c>
      <c r="BD25" s="745">
        <f t="shared" ca="1" si="10"/>
        <v>605972.40421542199</v>
      </c>
      <c r="BE25" s="745">
        <f t="shared" ref="BE25:BQ25" ca="1" si="11">SUM(BE22:BE23)</f>
        <v>647078.03281278559</v>
      </c>
      <c r="BF25" s="745">
        <f t="shared" ca="1" si="11"/>
        <v>666867.1306702462</v>
      </c>
      <c r="BG25" s="745">
        <f t="shared" ca="1" si="11"/>
        <v>727626.91104879684</v>
      </c>
      <c r="BH25" s="745">
        <f t="shared" ca="1" si="11"/>
        <v>787568.25999348424</v>
      </c>
      <c r="BI25" s="745">
        <f t="shared" ca="1" si="11"/>
        <v>851023.72425801354</v>
      </c>
      <c r="BJ25" s="745">
        <f t="shared" ca="1" si="11"/>
        <v>918403.09324419103</v>
      </c>
      <c r="BK25" s="745">
        <f t="shared" ca="1" si="11"/>
        <v>1125045.3171142221</v>
      </c>
      <c r="BL25" s="745">
        <f t="shared" ca="1" si="11"/>
        <v>1224558.1762767439</v>
      </c>
      <c r="BM25" s="745">
        <f t="shared" ca="1" si="11"/>
        <v>1487293.7506769267</v>
      </c>
      <c r="BN25" s="745">
        <f t="shared" ca="1" si="11"/>
        <v>1602194.9657786307</v>
      </c>
      <c r="BO25" s="745">
        <f t="shared" ca="1" si="11"/>
        <v>1725996.9914815885</v>
      </c>
      <c r="BP25" s="745">
        <f t="shared" ca="1" si="11"/>
        <v>1859349.8815465297</v>
      </c>
      <c r="BQ25" s="745">
        <f t="shared" ca="1" si="11"/>
        <v>1418516.8962536461</v>
      </c>
      <c r="BR25" s="43"/>
      <c r="BS25" s="43"/>
      <c r="BT25" s="43"/>
      <c r="BU25" s="43"/>
      <c r="BV25" s="43"/>
      <c r="BW25" s="43"/>
      <c r="BX25" s="43"/>
      <c r="BY25" s="43"/>
      <c r="BZ25" s="43"/>
      <c r="CA25" s="43"/>
      <c r="CB25" s="43"/>
      <c r="CC25" s="4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row>
    <row r="26" spans="1:256" x14ac:dyDescent="0.2">
      <c r="C26"/>
      <c r="D26"/>
      <c r="E26"/>
      <c r="F26"/>
      <c r="G26"/>
      <c r="H26"/>
      <c r="I26"/>
      <c r="J26"/>
      <c r="K26"/>
      <c r="L26"/>
      <c r="M26"/>
      <c r="N26"/>
      <c r="O26"/>
      <c r="P26"/>
      <c r="Q26"/>
      <c r="R26"/>
      <c r="S26"/>
      <c r="T26"/>
      <c r="U26"/>
      <c r="V26"/>
      <c r="W26"/>
      <c r="X26"/>
      <c r="Y26"/>
      <c r="Z26"/>
      <c r="AA26"/>
      <c r="AB26"/>
      <c r="AC26"/>
      <c r="AD26"/>
      <c r="AE26"/>
      <c r="AF26"/>
      <c r="AG26"/>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78"/>
      <c r="BS26" s="78"/>
      <c r="BT26" s="78"/>
      <c r="BU26" s="78"/>
      <c r="BV26" s="78"/>
      <c r="BW26" s="78"/>
      <c r="BX26" s="78"/>
      <c r="BY26" s="78"/>
      <c r="BZ26" s="78"/>
      <c r="CA26" s="78"/>
      <c r="CB26" s="78"/>
      <c r="CC26" s="39"/>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x14ac:dyDescent="0.25">
      <c r="C27"/>
      <c r="D27"/>
      <c r="E27"/>
      <c r="F27"/>
      <c r="G27"/>
      <c r="H27"/>
      <c r="I27"/>
      <c r="J27" s="72" t="s">
        <v>264</v>
      </c>
      <c r="K27" s="72"/>
      <c r="L27"/>
      <c r="M27" s="57"/>
      <c r="N27" s="780">
        <f ca="1">XIRR(P25:CB25,$P$9:$CB$9)</f>
        <v>0.13360962271690366</v>
      </c>
      <c r="O27"/>
      <c r="P27"/>
      <c r="Q27"/>
      <c r="R27" s="132"/>
      <c r="S27"/>
      <c r="T27"/>
      <c r="U27"/>
      <c r="V27"/>
      <c r="W27" s="57"/>
      <c r="Y27"/>
      <c r="Z27"/>
      <c r="AA27"/>
      <c r="AB27" s="771">
        <v>256491.45816950954</v>
      </c>
      <c r="AC27" s="771">
        <v>65935.765961886311</v>
      </c>
      <c r="AD27" s="771">
        <v>84768.855294495137</v>
      </c>
      <c r="AE27" s="771">
        <v>103160.55209930449</v>
      </c>
      <c r="AF27" s="771">
        <v>120448.88297030923</v>
      </c>
      <c r="AG27" s="771">
        <v>123282.23261264057</v>
      </c>
      <c r="AH27" s="771">
        <v>142545.00354930817</v>
      </c>
      <c r="AI27" s="771">
        <v>168870.22202291898</v>
      </c>
      <c r="AJ27" s="771">
        <v>186266.03897499706</v>
      </c>
      <c r="AK27" s="771">
        <v>190119.77875728282</v>
      </c>
      <c r="AL27" s="771">
        <v>205171.21428582346</v>
      </c>
      <c r="AM27" s="771">
        <v>234901.10936737037</v>
      </c>
      <c r="AN27" s="771">
        <v>235821.34257639924</v>
      </c>
      <c r="AO27" s="771">
        <v>247489.82609681491</v>
      </c>
      <c r="AP27" s="771">
        <v>263004.14033634227</v>
      </c>
      <c r="AQ27" s="771">
        <v>281212.15269954596</v>
      </c>
      <c r="AR27" s="771">
        <v>311169.61944944528</v>
      </c>
      <c r="AS27" s="771">
        <v>343737.33243673376</v>
      </c>
      <c r="AT27" s="771">
        <v>364753.7212881138</v>
      </c>
      <c r="AU27" s="771">
        <v>388991.16765155725</v>
      </c>
      <c r="AV27" s="771">
        <v>430376.9048086371</v>
      </c>
      <c r="AW27" s="771">
        <v>459822.86921921308</v>
      </c>
      <c r="AX27" s="771">
        <v>484937.81455986993</v>
      </c>
      <c r="AY27" s="771">
        <v>519788.15444945014</v>
      </c>
      <c r="AZ27" s="771">
        <v>553512.15376006975</v>
      </c>
      <c r="BA27" s="771">
        <v>537569.32802302216</v>
      </c>
      <c r="BB27" s="771">
        <v>515422.50225183927</v>
      </c>
      <c r="BC27" s="771">
        <v>550542.13406783901</v>
      </c>
      <c r="BD27" s="771">
        <v>589279.79958288814</v>
      </c>
      <c r="BE27" s="771">
        <v>629966.74878657225</v>
      </c>
      <c r="BF27" s="771">
        <v>665100.74188757921</v>
      </c>
      <c r="BG27" s="771">
        <v>716546.77656443033</v>
      </c>
      <c r="BH27" s="771">
        <v>773308.12025849381</v>
      </c>
      <c r="BI27" s="771">
        <v>831531.83525112295</v>
      </c>
      <c r="BJ27" s="771">
        <v>897030.06537332025</v>
      </c>
      <c r="BK27" s="771">
        <v>1109386.3293084074</v>
      </c>
      <c r="BL27" s="771">
        <v>1231363.4826354743</v>
      </c>
      <c r="BM27" s="771">
        <v>1413987.8740155273</v>
      </c>
      <c r="BN27" s="771">
        <v>1511234.594042303</v>
      </c>
      <c r="BO27" s="771">
        <v>1625557.7103528411</v>
      </c>
      <c r="BP27" s="771">
        <v>1725629.3003644301</v>
      </c>
      <c r="BQ27" s="771">
        <v>1392203.1910847018</v>
      </c>
      <c r="BR27" s="78"/>
      <c r="BS27" s="78"/>
      <c r="BT27" s="78"/>
      <c r="BU27" s="78"/>
      <c r="BV27" s="78"/>
      <c r="BW27" s="78"/>
      <c r="BX27" s="78"/>
      <c r="BY27" s="78"/>
      <c r="BZ27" s="78"/>
      <c r="CA27" s="78"/>
      <c r="CB27" s="78"/>
      <c r="CC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10" customFormat="1" x14ac:dyDescent="0.2">
      <c r="A28" s="166"/>
      <c r="B28" s="166"/>
      <c r="C28"/>
      <c r="D28"/>
      <c r="E28"/>
      <c r="F28"/>
      <c r="G28"/>
      <c r="H28"/>
      <c r="I28"/>
      <c r="J28"/>
      <c r="K28"/>
      <c r="L28"/>
      <c r="M28" s="57"/>
      <c r="N28" s="147"/>
      <c r="O28"/>
      <c r="P28"/>
      <c r="Q28"/>
      <c r="R28"/>
      <c r="S28"/>
      <c r="T28"/>
      <c r="U28"/>
      <c r="V28"/>
      <c r="W28"/>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78"/>
      <c r="BS28" s="78"/>
      <c r="BT28" s="78"/>
      <c r="BU28" s="78"/>
      <c r="BV28" s="78"/>
      <c r="BW28" s="78"/>
      <c r="BX28" s="78"/>
      <c r="BY28" s="78"/>
      <c r="BZ28" s="78"/>
      <c r="CA28" s="78"/>
      <c r="CB28" s="7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1" customFormat="1" ht="16.5" customHeight="1" x14ac:dyDescent="0.25">
      <c r="A29" s="120"/>
      <c r="B29" s="120"/>
      <c r="C29" s="120" t="s">
        <v>394</v>
      </c>
      <c r="D29" s="120"/>
      <c r="E29" s="120"/>
      <c r="F29" s="120"/>
      <c r="G29" s="120"/>
      <c r="H29" s="120"/>
      <c r="I29" s="120"/>
      <c r="J29" s="120"/>
      <c r="K29" s="120"/>
      <c r="L29" s="120"/>
      <c r="M29" s="120"/>
      <c r="N29" s="120"/>
      <c r="O29" s="121"/>
      <c r="P29" s="51"/>
      <c r="Q29" s="51"/>
      <c r="R29" s="51"/>
      <c r="S29" s="51"/>
      <c r="T29" s="50"/>
      <c r="U29" s="50"/>
      <c r="V29" s="50"/>
      <c r="W29" s="51"/>
      <c r="X29" s="67"/>
      <c r="Y29" s="67"/>
      <c r="Z29" s="67"/>
      <c r="AA29" s="67"/>
      <c r="AB29" s="135"/>
      <c r="AC29" s="549"/>
      <c r="AD29" s="67"/>
      <c r="AE29" s="67"/>
      <c r="AF29" s="67"/>
      <c r="AG29" s="67"/>
      <c r="AH29" s="549"/>
      <c r="AI29" s="67"/>
      <c r="AJ29" s="67"/>
      <c r="AK29" s="67"/>
      <c r="AL29" s="67"/>
      <c r="AM29" s="549"/>
      <c r="AN29" s="145"/>
      <c r="AO29" s="67"/>
      <c r="AP29" s="67"/>
      <c r="AQ29" s="67"/>
      <c r="AR29" s="549"/>
      <c r="AS29" s="67"/>
      <c r="AT29" s="67"/>
      <c r="AU29" s="67"/>
      <c r="AV29" s="67"/>
      <c r="AW29" s="549"/>
      <c r="AX29" s="67"/>
      <c r="AY29" s="67"/>
      <c r="AZ29" s="67"/>
      <c r="BA29" s="67"/>
      <c r="BB29" s="549"/>
      <c r="BC29" s="67"/>
      <c r="BD29" s="67"/>
      <c r="BE29" s="67"/>
      <c r="BF29" s="67"/>
      <c r="BG29" s="549"/>
      <c r="BH29" s="67"/>
      <c r="BI29" s="67"/>
      <c r="BJ29" s="67"/>
      <c r="BK29" s="67"/>
      <c r="BL29" s="549"/>
      <c r="BM29" s="67"/>
      <c r="BN29" s="67"/>
      <c r="BO29" s="67"/>
      <c r="BP29" s="67"/>
      <c r="BQ29" s="549"/>
      <c r="BR29" s="51"/>
      <c r="BS29" s="51"/>
      <c r="BT29" s="51"/>
      <c r="BU29" s="51"/>
      <c r="BV29" s="51"/>
      <c r="BW29" s="51"/>
      <c r="BX29" s="51"/>
      <c r="BY29" s="51"/>
      <c r="BZ29" s="51"/>
      <c r="CA29" s="51"/>
      <c r="CB29" s="51"/>
      <c r="CC29" s="51"/>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52"/>
      <c r="IH29" s="52"/>
      <c r="II29" s="52"/>
      <c r="IJ29" s="52"/>
      <c r="IK29" s="52"/>
      <c r="IL29" s="52"/>
      <c r="IM29" s="52"/>
      <c r="IN29" s="52"/>
      <c r="IO29" s="52"/>
      <c r="IP29" s="52"/>
      <c r="IQ29" s="52"/>
      <c r="IR29" s="52"/>
      <c r="IS29" s="52"/>
      <c r="IT29" s="52"/>
      <c r="IU29" s="52"/>
      <c r="IV29" s="52"/>
    </row>
    <row r="30" spans="1:256" s="10" customFormat="1" x14ac:dyDescent="0.2">
      <c r="A30" s="166"/>
      <c r="B30" s="166"/>
      <c r="C30"/>
      <c r="D30"/>
      <c r="E30"/>
      <c r="F30" s="58"/>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s="78"/>
      <c r="BS30" s="78"/>
      <c r="BT30" s="78"/>
      <c r="BU30" s="78"/>
      <c r="BV30" s="78"/>
      <c r="BW30" s="78"/>
      <c r="BX30" s="78"/>
      <c r="BY30" s="78"/>
      <c r="BZ30" s="78"/>
      <c r="CA30" s="78"/>
      <c r="CB30" s="78"/>
      <c r="CC30" s="39"/>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10" customFormat="1" ht="16.5" x14ac:dyDescent="0.25">
      <c r="A31" s="166"/>
      <c r="B31" s="166"/>
      <c r="C31"/>
      <c r="D31" s="154" t="s">
        <v>404</v>
      </c>
      <c r="E31"/>
      <c r="F31" s="58"/>
      <c r="G31"/>
      <c r="H31"/>
      <c r="I31"/>
      <c r="J31"/>
      <c r="K31" s="779">
        <f>+Inputs!L177</f>
        <v>2</v>
      </c>
      <c r="L31"/>
      <c r="M31"/>
      <c r="N31"/>
      <c r="O31"/>
      <c r="P31"/>
      <c r="Q31"/>
      <c r="R31"/>
      <c r="S31"/>
      <c r="T31"/>
      <c r="U31" s="179"/>
      <c r="V31"/>
      <c r="W31" s="176"/>
      <c r="X31" s="176"/>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78"/>
      <c r="BS31" s="78"/>
      <c r="BT31" s="78"/>
      <c r="BU31" s="78"/>
      <c r="BV31" s="78"/>
      <c r="BW31" s="78"/>
      <c r="BX31" s="78"/>
      <c r="BY31" s="78"/>
      <c r="BZ31" s="78"/>
      <c r="CA31" s="78"/>
      <c r="CB31" s="78"/>
      <c r="CC31" s="39"/>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0" customFormat="1" x14ac:dyDescent="0.2">
      <c r="A32" s="166"/>
      <c r="B32" s="166"/>
      <c r="C32"/>
      <c r="D32"/>
      <c r="E32"/>
      <c r="F32" s="58"/>
      <c r="G32"/>
      <c r="H32"/>
      <c r="I32"/>
      <c r="J32"/>
      <c r="K32"/>
      <c r="L32"/>
      <c r="M32"/>
      <c r="N32"/>
      <c r="O32"/>
      <c r="P32"/>
      <c r="Q32"/>
      <c r="R32"/>
      <c r="S32"/>
      <c r="T32"/>
      <c r="U32" s="179"/>
      <c r="V32"/>
      <c r="W32" s="176"/>
      <c r="X32"/>
      <c r="Y32"/>
      <c r="Z32"/>
      <c r="AA32"/>
      <c r="AB32"/>
      <c r="AC32"/>
      <c r="AD32"/>
      <c r="AE32"/>
      <c r="AF32"/>
      <c r="AG32"/>
      <c r="AH32"/>
      <c r="AI32"/>
      <c r="AJ32"/>
      <c r="AK32"/>
      <c r="AL32"/>
      <c r="AM32"/>
      <c r="AN32" s="145"/>
      <c r="AO32"/>
      <c r="AP32"/>
      <c r="AQ32"/>
      <c r="AR32"/>
      <c r="AS32"/>
      <c r="AT32"/>
      <c r="AU32"/>
      <c r="AV32"/>
      <c r="AW32"/>
      <c r="AX32"/>
      <c r="AY32"/>
      <c r="AZ32"/>
      <c r="BA32"/>
      <c r="BB32"/>
      <c r="BC32"/>
      <c r="BD32"/>
      <c r="BE32"/>
      <c r="BF32"/>
      <c r="BG32"/>
      <c r="BH32"/>
      <c r="BI32"/>
      <c r="BJ32"/>
      <c r="BK32"/>
      <c r="BL32"/>
      <c r="BM32"/>
      <c r="BN32"/>
      <c r="BO32"/>
      <c r="BP32"/>
      <c r="BQ32"/>
      <c r="BR32" s="78"/>
      <c r="BS32" s="78"/>
      <c r="BT32" s="78"/>
      <c r="BU32" s="78"/>
      <c r="BV32" s="78"/>
      <c r="BW32" s="78"/>
      <c r="BX32" s="78"/>
      <c r="BY32" s="78"/>
      <c r="BZ32" s="78"/>
      <c r="CA32" s="78"/>
      <c r="CB32" s="78"/>
      <c r="CC32" s="39"/>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0" customFormat="1" ht="16.5" x14ac:dyDescent="0.25">
      <c r="A33" s="166"/>
      <c r="B33" s="166"/>
      <c r="C33"/>
      <c r="D33" s="158" t="s">
        <v>416</v>
      </c>
      <c r="E33"/>
      <c r="F33" s="58"/>
      <c r="G33"/>
      <c r="H33"/>
      <c r="I33"/>
      <c r="J33"/>
      <c r="K33" s="144" t="s">
        <v>63</v>
      </c>
      <c r="L33"/>
      <c r="M33" s="764">
        <f ca="1">+CHOOSE(K31,Y64,M78)</f>
        <v>988165.60716439586</v>
      </c>
      <c r="N33"/>
      <c r="O33"/>
      <c r="P33"/>
      <c r="Q33"/>
      <c r="R33"/>
      <c r="S33"/>
      <c r="T33"/>
      <c r="U33" s="179"/>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s="78"/>
      <c r="BS33" s="78"/>
      <c r="BT33" s="78"/>
      <c r="BU33" s="78"/>
      <c r="BV33" s="78"/>
      <c r="BW33" s="78"/>
      <c r="BX33" s="78"/>
      <c r="BY33" s="78"/>
      <c r="BZ33" s="78"/>
      <c r="CA33" s="78"/>
      <c r="CB33" s="78"/>
      <c r="CC33" s="39"/>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10" customFormat="1" ht="16.5" x14ac:dyDescent="0.25">
      <c r="A34" s="166"/>
      <c r="B34" s="166"/>
      <c r="C34"/>
      <c r="D34" s="158" t="s">
        <v>416</v>
      </c>
      <c r="E34"/>
      <c r="F34" s="58"/>
      <c r="G34"/>
      <c r="H34"/>
      <c r="I34"/>
      <c r="J34"/>
      <c r="K34" s="144" t="s">
        <v>504</v>
      </c>
      <c r="L34"/>
      <c r="M34" s="764">
        <f ca="1">+CHOOSE(K31,Y65,M79)</f>
        <v>821964.40456196631</v>
      </c>
      <c r="N34"/>
      <c r="O34"/>
      <c r="P34"/>
      <c r="Q34"/>
      <c r="R34"/>
      <c r="S34"/>
      <c r="T34"/>
      <c r="U34" s="179"/>
      <c r="V34"/>
      <c r="W34"/>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78"/>
      <c r="BS34" s="78"/>
      <c r="BT34" s="78"/>
      <c r="BU34" s="78"/>
      <c r="BV34" s="78"/>
      <c r="BW34" s="78"/>
      <c r="BX34" s="78"/>
      <c r="BY34" s="78"/>
      <c r="BZ34" s="78"/>
      <c r="CA34" s="78"/>
      <c r="CB34" s="78"/>
      <c r="CC34" s="39"/>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10" customFormat="1" x14ac:dyDescent="0.2">
      <c r="A35" s="166"/>
      <c r="B35" s="166"/>
      <c r="C35"/>
      <c r="D35"/>
      <c r="E35"/>
      <c r="F35" s="58"/>
      <c r="G35"/>
      <c r="H35"/>
      <c r="I35"/>
      <c r="J35"/>
      <c r="K35"/>
      <c r="L35"/>
      <c r="M35" s="89"/>
      <c r="N35"/>
      <c r="O35"/>
      <c r="P35"/>
      <c r="Q35"/>
      <c r="R35"/>
      <c r="S35"/>
      <c r="T35"/>
      <c r="U35" s="57"/>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s="78"/>
      <c r="BS35" s="78"/>
      <c r="BT35" s="78"/>
      <c r="BU35" s="78"/>
      <c r="BV35" s="78"/>
      <c r="BW35" s="78"/>
      <c r="BX35" s="78"/>
      <c r="BY35" s="78"/>
      <c r="BZ35" s="78"/>
      <c r="CA35" s="78"/>
      <c r="CB35" s="78"/>
      <c r="CC35" s="39"/>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0" customFormat="1" ht="16.5" x14ac:dyDescent="0.25">
      <c r="A36" s="166"/>
      <c r="B36" s="166"/>
      <c r="C36"/>
      <c r="D36" s="158" t="s">
        <v>417</v>
      </c>
      <c r="E36"/>
      <c r="F36" s="58"/>
      <c r="G36"/>
      <c r="H36"/>
      <c r="I36"/>
      <c r="J36"/>
      <c r="K36"/>
      <c r="L36"/>
      <c r="M36"/>
      <c r="N36"/>
      <c r="O36"/>
      <c r="P36"/>
      <c r="Q36"/>
      <c r="R36"/>
      <c r="S36"/>
      <c r="T36"/>
      <c r="U36" s="57"/>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s="78"/>
      <c r="BS36" s="78"/>
      <c r="BT36" s="78"/>
      <c r="BU36" s="78"/>
      <c r="BV36" s="78"/>
      <c r="BW36" s="78"/>
      <c r="BX36" s="78"/>
      <c r="BY36" s="78"/>
      <c r="BZ36" s="78"/>
      <c r="CA36" s="78"/>
      <c r="CB36" s="78"/>
      <c r="CC36" s="39"/>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0" customFormat="1" ht="16.5" x14ac:dyDescent="0.25">
      <c r="A37" s="166"/>
      <c r="B37" s="166"/>
      <c r="C37"/>
      <c r="D37" s="154"/>
      <c r="E37"/>
      <c r="F37" s="58"/>
      <c r="G37"/>
      <c r="H37"/>
      <c r="I37"/>
      <c r="J37"/>
      <c r="K37"/>
      <c r="L37"/>
      <c r="M37" s="57"/>
      <c r="N37"/>
      <c r="O37"/>
      <c r="P37"/>
      <c r="Q37"/>
      <c r="R37"/>
      <c r="S37"/>
      <c r="T37"/>
      <c r="U37"/>
      <c r="V37"/>
      <c r="W37"/>
      <c r="X37" s="145"/>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s="78"/>
      <c r="BS37" s="78"/>
      <c r="BT37" s="78"/>
      <c r="BU37" s="78"/>
      <c r="BV37" s="78"/>
      <c r="BW37" s="78"/>
      <c r="BX37" s="78"/>
      <c r="BY37" s="78"/>
      <c r="BZ37" s="78"/>
      <c r="CA37" s="78"/>
      <c r="CB37" s="78"/>
      <c r="CC37" s="39"/>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10" customFormat="1" x14ac:dyDescent="0.2">
      <c r="A38" s="166"/>
      <c r="B38" s="166"/>
      <c r="C38"/>
      <c r="D38" s="159" t="s">
        <v>405</v>
      </c>
      <c r="E38" s="96"/>
      <c r="F38" s="96"/>
      <c r="G38" s="96"/>
      <c r="H38" s="96"/>
      <c r="I38" s="96"/>
      <c r="J38" s="96"/>
      <c r="K38" s="778">
        <f>+Inputs!L181</f>
        <v>3.0028533333333329E-2</v>
      </c>
      <c r="L38"/>
      <c r="M38" s="57"/>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s="78"/>
      <c r="BS38" s="78"/>
      <c r="BT38" s="78"/>
      <c r="BU38" s="78"/>
      <c r="BV38" s="78"/>
      <c r="BW38" s="78"/>
      <c r="BX38" s="78"/>
      <c r="BY38" s="78"/>
      <c r="BZ38" s="78"/>
      <c r="CA38" s="78"/>
      <c r="CB38" s="78"/>
      <c r="CC38" s="39"/>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0" customFormat="1" x14ac:dyDescent="0.2">
      <c r="A39" s="166"/>
      <c r="B39" s="166"/>
      <c r="C39"/>
      <c r="D39" s="160" t="s">
        <v>419</v>
      </c>
      <c r="E39" s="58"/>
      <c r="F39" s="58"/>
      <c r="G39" s="58"/>
      <c r="H39" s="58"/>
      <c r="I39" s="58"/>
      <c r="J39" s="58"/>
      <c r="K39" s="776">
        <f>+Inputs!L182</f>
        <v>0.85</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s="78"/>
      <c r="BS39" s="78"/>
      <c r="BT39" s="78"/>
      <c r="BU39" s="78"/>
      <c r="BV39" s="78"/>
      <c r="BW39" s="78"/>
      <c r="BX39" s="78"/>
      <c r="BY39" s="78"/>
      <c r="BZ39" s="78"/>
      <c r="CA39" s="78"/>
      <c r="CB39" s="78"/>
      <c r="CC39" s="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0" customFormat="1" x14ac:dyDescent="0.2">
      <c r="A40" s="166"/>
      <c r="B40" s="166"/>
      <c r="C40"/>
      <c r="D40" s="160" t="s">
        <v>400</v>
      </c>
      <c r="E40" s="58"/>
      <c r="F40" s="58"/>
      <c r="G40" s="58"/>
      <c r="H40" s="58"/>
      <c r="I40" s="58"/>
      <c r="J40" s="58"/>
      <c r="K40" s="777">
        <f>+Inputs!L183</f>
        <v>0.06</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s="78"/>
      <c r="BS40" s="78"/>
      <c r="BT40" s="78"/>
      <c r="BU40" s="78"/>
      <c r="BV40" s="78"/>
      <c r="BW40" s="78"/>
      <c r="BX40" s="78"/>
      <c r="BY40" s="78"/>
      <c r="BZ40" s="78"/>
      <c r="CA40" s="78"/>
      <c r="CB40" s="78"/>
      <c r="CC40" s="39"/>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0" customFormat="1" x14ac:dyDescent="0.2">
      <c r="A41" s="166"/>
      <c r="B41" s="166"/>
      <c r="C41"/>
      <c r="D41" s="161" t="s">
        <v>398</v>
      </c>
      <c r="E41" s="162"/>
      <c r="F41" s="162"/>
      <c r="G41" s="162"/>
      <c r="H41" s="162"/>
      <c r="I41" s="162"/>
      <c r="J41" s="162"/>
      <c r="K41" s="775">
        <f>+(K39*K40)+K38</f>
        <v>8.1028533333333319E-2</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s="78"/>
      <c r="BS41" s="78"/>
      <c r="BT41" s="78"/>
      <c r="BU41" s="78"/>
      <c r="BV41" s="78"/>
      <c r="BW41" s="78"/>
      <c r="BX41" s="78"/>
      <c r="BY41" s="78"/>
      <c r="BZ41" s="78"/>
      <c r="CA41" s="78"/>
      <c r="CB41" s="78"/>
      <c r="CC41" s="39"/>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10" customFormat="1" x14ac:dyDescent="0.2">
      <c r="A42" s="166"/>
      <c r="B42" s="166"/>
      <c r="C42"/>
      <c r="D42"/>
      <c r="E42"/>
      <c r="F42" s="58"/>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s="78"/>
      <c r="BS42" s="78"/>
      <c r="BT42" s="78"/>
      <c r="BU42" s="78"/>
      <c r="BV42" s="78"/>
      <c r="BW42" s="78"/>
      <c r="BX42" s="78"/>
      <c r="BY42" s="78"/>
      <c r="BZ42" s="78"/>
      <c r="CA42" s="78"/>
      <c r="CB42" s="78"/>
      <c r="CC42" s="39"/>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10" customFormat="1" x14ac:dyDescent="0.2">
      <c r="A43" s="166"/>
      <c r="B43" s="166"/>
      <c r="C43"/>
      <c r="D43" s="161" t="s">
        <v>410</v>
      </c>
      <c r="E43" s="162"/>
      <c r="F43" s="162"/>
      <c r="G43" s="162"/>
      <c r="H43" s="162"/>
      <c r="I43" s="162"/>
      <c r="J43" s="162"/>
      <c r="K43" s="775">
        <f>+AVERAGE(Y43:BP43)</f>
        <v>4.5891748823917049E-2</v>
      </c>
      <c r="L43"/>
      <c r="M43"/>
      <c r="N43"/>
      <c r="O43"/>
      <c r="P43"/>
      <c r="Q43"/>
      <c r="R43"/>
      <c r="S43"/>
      <c r="T43"/>
      <c r="U43"/>
      <c r="V43"/>
      <c r="W43"/>
      <c r="X43"/>
      <c r="Y43" s="57"/>
      <c r="Z43" s="723">
        <f>-(SUM(Acc!S24:S27)/(Fin!S20+Fin!S28+Fin!S36+Fin!S49))</f>
        <v>5.3274041919453577E-2</v>
      </c>
      <c r="AA43" s="723">
        <f>-(SUM(Acc!T24:T27)/(Fin!T20+Fin!T28+Fin!T36+Fin!T49))</f>
        <v>5.3106769445335635E-2</v>
      </c>
      <c r="AB43" s="723">
        <f>-(SUM(Acc!U24:U27)/(Fin!U20+Fin!U28+Fin!U36+Fin!U49))</f>
        <v>5.4098395050798574E-2</v>
      </c>
      <c r="AC43" s="723">
        <f>-(SUM(Acc!V24:V27)/(Fin!V20+Fin!V28+Fin!V36+Fin!V49))</f>
        <v>4.6343928546966416E-2</v>
      </c>
      <c r="AD43" s="723">
        <f>-(SUM(Acc!W24:W27)/(Fin!W20+Fin!W28+Fin!W36+Fin!W49))</f>
        <v>4.6366945350820664E-2</v>
      </c>
      <c r="AE43" s="723">
        <f>-(SUM(Acc!X24:X27)/(Fin!X20+Fin!X28+Fin!X36+Fin!X49))</f>
        <v>4.6395782022410806E-2</v>
      </c>
      <c r="AF43" s="723">
        <f>-(SUM(Acc!Y24:Y27)/(Fin!Y20+Fin!Y28+Fin!Y36+Fin!Y49))</f>
        <v>4.648268987608261E-2</v>
      </c>
      <c r="AG43" s="723">
        <f>-(SUM(Acc!Z24:Z27)/(Fin!Z20+Fin!Z28+Fin!Z36+Fin!Z49))</f>
        <v>4.6659492773444604E-2</v>
      </c>
      <c r="AH43" s="723">
        <f>-(SUM(Acc!AA24:AA27)/(Fin!AA20+Fin!AA28+Fin!AA36+Fin!AA49))</f>
        <v>4.6821939696236985E-2</v>
      </c>
      <c r="AI43" s="723">
        <f>-(SUM(Acc!AB24:AB27)/(Fin!AB20+Fin!AB28+Fin!AB36+Fin!AB49))</f>
        <v>4.6992882061825732E-2</v>
      </c>
      <c r="AJ43" s="723">
        <f>-(SUM(Acc!AC24:AC27)/(Fin!AC20+Fin!AC28+Fin!AC36+Fin!AC49))</f>
        <v>4.7241325903069155E-2</v>
      </c>
      <c r="AK43" s="723">
        <f>-(SUM(Acc!AD24:AD27)/(Fin!AD20+Fin!AD28+Fin!AD36+Fin!AD49))</f>
        <v>4.7400027077476502E-2</v>
      </c>
      <c r="AL43" s="723">
        <f>-(SUM(Acc!AE24:AE27)/(Fin!AE20+Fin!AE28+Fin!AE36+Fin!AE49))</f>
        <v>5.3830364057657246E-2</v>
      </c>
      <c r="AM43" s="723">
        <f>-(SUM(Acc!AF24:AF27)/(Fin!AF20+Fin!AF28+Fin!AF36+Fin!AF49))</f>
        <v>4.8208257640509532E-2</v>
      </c>
      <c r="AN43" s="723">
        <f>-(SUM(Acc!AG24:AG27)/(Fin!AG20+Fin!AG28+Fin!AG36+Fin!AG49))</f>
        <v>4.8557879351229113E-2</v>
      </c>
      <c r="AO43" s="723">
        <f>-(SUM(Acc!AH24:AH27)/(Fin!AH20+Fin!AH28+Fin!AH36+Fin!AH49))</f>
        <v>4.8781207293428309E-2</v>
      </c>
      <c r="AP43" s="723">
        <f>-(SUM(Acc!AI24:AI27)/(Fin!AI20+Fin!AI28+Fin!AI36+Fin!AI49))</f>
        <v>4.9093412367032234E-2</v>
      </c>
      <c r="AQ43" s="723">
        <f>-(SUM(Acc!AJ24:AJ27)/(Fin!AJ20+Fin!AJ28+Fin!AJ36+Fin!AJ49))</f>
        <v>4.9532347772385403E-2</v>
      </c>
      <c r="AR43" s="723">
        <f>-(SUM(Acc!AK24:AK27)/(Fin!AK20+Fin!AK28+Fin!AK36+Fin!AK49))</f>
        <v>5.0131811578541789E-2</v>
      </c>
      <c r="AS43" s="723">
        <f>-(SUM(Acc!AL24:AL27)/(Fin!AL20+Fin!AL28+Fin!AL36+Fin!AL49))</f>
        <v>5.0412354970430152E-2</v>
      </c>
      <c r="AT43" s="723">
        <f>-(SUM(Acc!AM24:AM27)/(Fin!AM20+Fin!AM28+Fin!AM36+Fin!AM49))</f>
        <v>5.081433102811013E-2</v>
      </c>
      <c r="AU43" s="723">
        <f>-(SUM(Acc!AN24:AN27)/(Fin!AN20+Fin!AN28+Fin!AN36+Fin!AN49))</f>
        <v>5.1665516009117347E-2</v>
      </c>
      <c r="AV43" s="723">
        <f>-(SUM(Acc!AO24:AO27)/(Fin!AO20+Fin!AO28+Fin!AO36+Fin!AO49))</f>
        <v>6.2735552328390842E-2</v>
      </c>
      <c r="AW43" s="723">
        <f>-(SUM(Acc!AP24:AP27)/(Fin!AP20+Fin!AP28+Fin!AP36+Fin!AP49))</f>
        <v>5.3429070528979432E-2</v>
      </c>
      <c r="AX43" s="723">
        <f>-(SUM(Acc!AQ24:AQ27)/(Fin!AQ20+Fin!AQ28+Fin!AQ36+Fin!AQ49))</f>
        <v>5.3853114847366067E-2</v>
      </c>
      <c r="AY43" s="723">
        <f>-(SUM(Acc!AR24:AR27)/(Fin!AR20+Fin!AR28+Fin!AR36+Fin!AR49))</f>
        <v>5.4040762726542145E-2</v>
      </c>
      <c r="AZ43" s="723">
        <f>-(SUM(Acc!AS24:AS27)/(Fin!AS20+Fin!AS28+Fin!AS36+Fin!AS49))</f>
        <v>5.3725183019972998E-2</v>
      </c>
      <c r="BA43" s="723">
        <f>-(SUM(Acc!AT24:AT27)/(Fin!AT20+Fin!AT28+Fin!AT36+Fin!AT49))</f>
        <v>5.3582098977519803E-2</v>
      </c>
      <c r="BB43" s="723">
        <f>-(SUM(Acc!AU24:AU27)/(Fin!AU20+Fin!AU28+Fin!AU36+Fin!AU49))</f>
        <v>5.3065088040837725E-2</v>
      </c>
      <c r="BC43" s="723">
        <f>-(SUM(Acc!AV24:AV27)/(Fin!AV20+Fin!AV28+Fin!AV36+Fin!AV49))</f>
        <v>5.2466181945516728E-2</v>
      </c>
      <c r="BD43" s="723">
        <f>-(SUM(Acc!AW24:AW27)/(Fin!AW20+Fin!AW28+Fin!AW36+Fin!AW49))</f>
        <v>5.2432372064886587E-2</v>
      </c>
      <c r="BE43" s="723">
        <f>-(SUM(Acc!AX24:AX27)/(Fin!AX20+Fin!AX28+Fin!AX36+Fin!AX49))</f>
        <v>5.2089742789372818E-2</v>
      </c>
      <c r="BF43" s="723">
        <f>-(SUM(Acc!AY24:AY27)/(Fin!AY20+Fin!AY28+Fin!AY36+Fin!AY49))</f>
        <v>6.3726618218961181E-2</v>
      </c>
      <c r="BG43" s="723">
        <f>-(SUM(Acc!AZ24:AZ27)/(Fin!AZ20+Fin!AZ28+Fin!AZ36+Fin!AZ49))</f>
        <v>5.1175263963068825E-2</v>
      </c>
      <c r="BH43" s="723">
        <f>-(SUM(Acc!BA24:BA27)/(Fin!BA20+Fin!BA28+Fin!BA36+Fin!BA49))</f>
        <v>5.078605686820975E-2</v>
      </c>
      <c r="BI43" s="723">
        <f>-(SUM(Acc!BB24:BB27)/(Fin!BB20+Fin!BB28+Fin!BB36+Fin!BB49))</f>
        <v>4.9816729419057064E-2</v>
      </c>
      <c r="BJ43" s="723">
        <f>-(SUM(Acc!BC24:BC27)/(Fin!BC20+Fin!BC28+Fin!BC36+Fin!BC49))</f>
        <v>4.8318713603510428E-2</v>
      </c>
      <c r="BK43" s="723">
        <f>-(SUM(Acc!BD24:BD27)/(Fin!BD20+Fin!BD28+Fin!BD36+Fin!BD49))</f>
        <v>4.4819304393859963E-2</v>
      </c>
      <c r="BL43" s="723">
        <f>-(SUM(Acc!BE24:BE27)/(Fin!BE20+Fin!BE28+Fin!BE36+Fin!BE49))</f>
        <v>4.1071643900018655E-2</v>
      </c>
      <c r="BM43" s="723">
        <f>-(SUM(Acc!BF24:BF27)/(Fin!BF20+Fin!BF28+Fin!BF36+Fin!BF49))</f>
        <v>0</v>
      </c>
      <c r="BN43" s="723">
        <f>-(SUM(Acc!BG24:BG27)/(Fin!BG20+Fin!BG28+Fin!BG36+Fin!BG49))</f>
        <v>0</v>
      </c>
      <c r="BO43" s="723">
        <f>-(SUM(Acc!BH24:BH27)/(Fin!BH20+Fin!BH28+Fin!BH36+Fin!BH49))</f>
        <v>0</v>
      </c>
      <c r="BP43" s="723">
        <f>-(SUM(Acc!BI24:BI27)/(Fin!BI20+Fin!BI28+Fin!BI36+Fin!BI49))</f>
        <v>0</v>
      </c>
      <c r="BQ43" s="723">
        <f>-(SUM(Acc!BJ24:BJ27)/(Fin!BJ20+Fin!BJ28+Fin!BJ36+Fin!BJ49))</f>
        <v>0</v>
      </c>
      <c r="BR43" s="573"/>
      <c r="BS43" s="573"/>
      <c r="BT43" s="573"/>
      <c r="BU43" s="573"/>
      <c r="BV43" s="573"/>
      <c r="BW43" s="573"/>
      <c r="BX43" s="573"/>
      <c r="BY43" s="573"/>
      <c r="BZ43" s="573"/>
      <c r="CA43" s="573"/>
      <c r="CB43" s="573"/>
      <c r="CC43" s="39"/>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10" customFormat="1" x14ac:dyDescent="0.2">
      <c r="A44" s="166"/>
      <c r="B44" s="166"/>
      <c r="C44"/>
      <c r="D44"/>
      <c r="E44"/>
      <c r="F44" s="58"/>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s="78"/>
      <c r="BS44" s="78"/>
      <c r="BT44" s="78"/>
      <c r="BU44" s="78"/>
      <c r="BV44" s="78"/>
      <c r="BW44" s="78"/>
      <c r="BX44" s="78"/>
      <c r="BY44" s="78"/>
      <c r="BZ44" s="78"/>
      <c r="CA44" s="78"/>
      <c r="CB44" s="78"/>
      <c r="CC44" s="39"/>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10" customFormat="1" x14ac:dyDescent="0.2">
      <c r="A45" s="166"/>
      <c r="B45" s="166"/>
      <c r="C45"/>
      <c r="D45"/>
      <c r="E45"/>
      <c r="F45" s="58"/>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s="78"/>
      <c r="BS45" s="78"/>
      <c r="BT45" s="78"/>
      <c r="BU45" s="78"/>
      <c r="BV45" s="78"/>
      <c r="BW45" s="78"/>
      <c r="BX45" s="78"/>
      <c r="BY45" s="78"/>
      <c r="BZ45" s="78"/>
      <c r="CA45" s="78"/>
      <c r="CB45" s="78"/>
      <c r="CC45" s="39"/>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10" customFormat="1" x14ac:dyDescent="0.2">
      <c r="A46" s="166"/>
      <c r="B46" s="166"/>
      <c r="C46"/>
      <c r="D46" t="s">
        <v>406</v>
      </c>
      <c r="E46"/>
      <c r="F46" s="58"/>
      <c r="G46"/>
      <c r="H46"/>
      <c r="I46"/>
      <c r="J46"/>
      <c r="K46"/>
      <c r="L46"/>
      <c r="M46"/>
      <c r="N46"/>
      <c r="O46"/>
      <c r="P46"/>
      <c r="Q46"/>
      <c r="R46"/>
      <c r="S46"/>
      <c r="T46"/>
      <c r="U46"/>
      <c r="V46"/>
      <c r="W46"/>
      <c r="X46" s="143"/>
      <c r="Y46" s="89"/>
      <c r="Z46" s="771">
        <f>+CF!S35</f>
        <v>89846.957513966117</v>
      </c>
      <c r="AA46" s="771">
        <f>+CF!T35</f>
        <v>107787.25778688517</v>
      </c>
      <c r="AB46" s="771">
        <f>+CF!U35</f>
        <v>127292.93067584572</v>
      </c>
      <c r="AC46" s="771">
        <f>+CF!V35</f>
        <v>149007.99685362194</v>
      </c>
      <c r="AD46" s="771">
        <f>+CF!W35</f>
        <v>160619.93723227814</v>
      </c>
      <c r="AE46" s="771">
        <f>+CF!X35</f>
        <v>173006.67532120904</v>
      </c>
      <c r="AF46" s="771">
        <f>+CF!Y35</f>
        <v>186189.54259599856</v>
      </c>
      <c r="AG46" s="771">
        <f>+CF!Z35</f>
        <v>200181.53143253952</v>
      </c>
      <c r="AH46" s="771">
        <f>+CF!AA35</f>
        <v>214980.91978116057</v>
      </c>
      <c r="AI46" s="771">
        <f>+CF!AB35</f>
        <v>234872.71762222287</v>
      </c>
      <c r="AJ46" s="771">
        <f>+CF!AC35</f>
        <v>256317.90226592895</v>
      </c>
      <c r="AK46" s="771">
        <f>+CF!AD35</f>
        <v>279455.3537780089</v>
      </c>
      <c r="AL46" s="771">
        <f>+CF!AE35</f>
        <v>304432.7856825809</v>
      </c>
      <c r="AM46" s="771">
        <f>+CF!AF35</f>
        <v>331410.33040269662</v>
      </c>
      <c r="AN46" s="771">
        <f>+CF!AG35</f>
        <v>353824.42259048193</v>
      </c>
      <c r="AO46" s="771">
        <f>+CF!AH35</f>
        <v>376997.69227556384</v>
      </c>
      <c r="AP46" s="771">
        <f>+CF!AI35</f>
        <v>400660.7529097388</v>
      </c>
      <c r="AQ46" s="771">
        <f>+CF!AJ35</f>
        <v>424407.26491201326</v>
      </c>
      <c r="AR46" s="771">
        <f>+CF!AK35</f>
        <v>447640.31933821109</v>
      </c>
      <c r="AS46" s="771">
        <f>+CF!AL35</f>
        <v>491401.72096867103</v>
      </c>
      <c r="AT46" s="771">
        <f>+CF!AM35</f>
        <v>535137.38779530756</v>
      </c>
      <c r="AU46" s="771">
        <f>+CF!AN35</f>
        <v>579901.4357321976</v>
      </c>
      <c r="AV46" s="771">
        <f>+CF!AO35</f>
        <v>626489.47343321692</v>
      </c>
      <c r="AW46" s="771">
        <f>+CF!AP35</f>
        <v>675513.23155296955</v>
      </c>
      <c r="AX46" s="771">
        <f>+CF!AQ35</f>
        <v>718618.1663494797</v>
      </c>
      <c r="AY46" s="771">
        <f>+CF!AR35</f>
        <v>764064.33801144105</v>
      </c>
      <c r="AZ46" s="771">
        <f>+CF!AS35</f>
        <v>811824.68996448664</v>
      </c>
      <c r="BA46" s="771">
        <f>+CF!AT35</f>
        <v>861800.749404039</v>
      </c>
      <c r="BB46" s="771">
        <f>+CF!AU35</f>
        <v>913784.04889413237</v>
      </c>
      <c r="BC46" s="771">
        <f>+CF!AV35</f>
        <v>972984.16301102925</v>
      </c>
      <c r="BD46" s="771">
        <f>+CF!AW35</f>
        <v>1035881.3298988369</v>
      </c>
      <c r="BE46" s="771">
        <f>+CF!AX35</f>
        <v>1102698.5513239114</v>
      </c>
      <c r="BF46" s="771">
        <f>+CF!AY35</f>
        <v>1173680.8770877966</v>
      </c>
      <c r="BG46" s="771">
        <f>+CF!AZ35</f>
        <v>1249089.5869846835</v>
      </c>
      <c r="BH46" s="771">
        <f>+CF!BA35</f>
        <v>1328650.2403321571</v>
      </c>
      <c r="BI46" s="771">
        <f>+CF!BB35</f>
        <v>1413195.2943792967</v>
      </c>
      <c r="BJ46" s="771">
        <f>+CF!BC35</f>
        <v>1503029.1087251636</v>
      </c>
      <c r="BK46" s="771">
        <f>+CF!BD35</f>
        <v>1598473.8326373152</v>
      </c>
      <c r="BL46" s="771">
        <f>+CF!BE35</f>
        <v>1474161.2991422408</v>
      </c>
      <c r="BM46" s="771">
        <f>+CF!BF35</f>
        <v>1864685.1254187608</v>
      </c>
      <c r="BN46" s="771">
        <f>+CF!BG35</f>
        <v>2009666.1697636149</v>
      </c>
      <c r="BO46" s="771">
        <f>+CF!BH35</f>
        <v>2165869.7007026696</v>
      </c>
      <c r="BP46" s="771">
        <f>+CF!BI35</f>
        <v>2334161.8378286157</v>
      </c>
      <c r="BQ46" s="771">
        <f>+CF!BJ35</f>
        <v>1679705.0847088366</v>
      </c>
      <c r="BR46" s="574"/>
      <c r="BS46" s="574"/>
      <c r="BT46" s="574"/>
      <c r="BU46" s="574"/>
      <c r="BV46" s="574"/>
      <c r="BW46" s="574"/>
      <c r="BX46" s="574"/>
      <c r="BY46" s="574"/>
      <c r="BZ46" s="574"/>
      <c r="CA46" s="574"/>
      <c r="CB46" s="574"/>
      <c r="CC46" s="39"/>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10" customFormat="1" x14ac:dyDescent="0.2">
      <c r="A47" s="166"/>
      <c r="B47" s="166"/>
      <c r="C47"/>
      <c r="D47" t="s">
        <v>407</v>
      </c>
      <c r="E47"/>
      <c r="F47" s="58"/>
      <c r="G47"/>
      <c r="H47"/>
      <c r="I47"/>
      <c r="J47"/>
      <c r="K47" s="774">
        <f>+Inputs!L89</f>
        <v>0.21</v>
      </c>
      <c r="L47"/>
      <c r="M47"/>
      <c r="N47"/>
      <c r="O47"/>
      <c r="P47"/>
      <c r="Q47"/>
      <c r="R47"/>
      <c r="S47"/>
      <c r="T47"/>
      <c r="U47"/>
      <c r="V47"/>
      <c r="W47"/>
      <c r="X47" s="143"/>
      <c r="Y47" s="89"/>
      <c r="Z47" s="771">
        <f ca="1">-(Acc!S22*'Valuation &amp; IRR'!$K$47)</f>
        <v>8189.1242223653762</v>
      </c>
      <c r="AA47" s="771">
        <f ca="1">-(Acc!T22*'Valuation &amp; IRR'!$K$47)</f>
        <v>5006.4215843135871</v>
      </c>
      <c r="AB47" s="771">
        <f ca="1">-(Acc!U22*'Valuation &amp; IRR'!$K$47)</f>
        <v>1274.6059380690233</v>
      </c>
      <c r="AC47" s="771">
        <f ca="1">-(Acc!V22*'Valuation &amp; IRR'!$K$47)</f>
        <v>-3025.3113095178464</v>
      </c>
      <c r="AD47" s="771">
        <f ca="1">-(Acc!W22*'Valuation &amp; IRR'!$K$47)</f>
        <v>-5574.841085584445</v>
      </c>
      <c r="AE47" s="771">
        <f ca="1">-(Acc!X22*'Valuation &amp; IRR'!$K$47)</f>
        <v>-8317.85129390359</v>
      </c>
      <c r="AF47" s="771">
        <f ca="1">-(Acc!Y22*'Valuation &amp; IRR'!$K$47)</f>
        <v>-11267.351111919312</v>
      </c>
      <c r="AG47" s="771">
        <f ca="1">-(Acc!Z22*'Valuation &amp; IRR'!$K$47)</f>
        <v>-14436.962712698725</v>
      </c>
      <c r="AH47" s="771">
        <f ca="1">-(Acc!AA22*'Valuation &amp; IRR'!$K$47)</f>
        <v>-17840.237752011366</v>
      </c>
      <c r="AI47" s="771">
        <f ca="1">-(Acc!AB22*'Valuation &amp; IRR'!$K$47)</f>
        <v>-21751.054988908141</v>
      </c>
      <c r="AJ47" s="771">
        <f ca="1">-(Acc!AC22*'Valuation &amp; IRR'!$K$47)</f>
        <v>-26009.935660143139</v>
      </c>
      <c r="AK47" s="771">
        <f ca="1">-(Acc!AD22*'Valuation &amp; IRR'!$K$47)</f>
        <v>-30644.252496871155</v>
      </c>
      <c r="AL47" s="771">
        <f ca="1">-(Acc!AE22*'Valuation &amp; IRR'!$K$47)</f>
        <v>-35683.380223833003</v>
      </c>
      <c r="AM47" s="771">
        <f ca="1">-(Acc!AF22*'Valuation &amp; IRR'!$K$47)</f>
        <v>-41159.436449192428</v>
      </c>
      <c r="AN47" s="771">
        <f ca="1">-(Acc!AG22*'Valuation &amp; IRR'!$K$47)</f>
        <v>-63625.762575708344</v>
      </c>
      <c r="AO47" s="771">
        <f ca="1">-(Acc!AH22*'Valuation &amp; IRR'!$K$47)</f>
        <v>-80103.344217213962</v>
      </c>
      <c r="AP47" s="771">
        <f ca="1">-(Acc!AI22*'Valuation &amp; IRR'!$K$47)</f>
        <v>-85795.007903955397</v>
      </c>
      <c r="AQ47" s="771">
        <f ca="1">-(Acc!AJ22*'Valuation &amp; IRR'!$K$47)</f>
        <v>-91693.057322670953</v>
      </c>
      <c r="AR47" s="771">
        <f ca="1">-(Acc!AK22*'Valuation &amp; IRR'!$K$47)</f>
        <v>-97763.372688154835</v>
      </c>
      <c r="AS47" s="771">
        <f ca="1">-(Acc!AL22*'Valuation &amp; IRR'!$K$47)</f>
        <v>-104901.15792241771</v>
      </c>
      <c r="AT47" s="771">
        <f ca="1">-(Acc!AM22*'Valuation &amp; IRR'!$K$47)</f>
        <v>-112717.80030759683</v>
      </c>
      <c r="AU47" s="771">
        <f ca="1">-(Acc!AN22*'Valuation &amp; IRR'!$K$47)</f>
        <v>-121219.39068004227</v>
      </c>
      <c r="AV47" s="771">
        <f ca="1">-(Acc!AO22*'Valuation &amp; IRR'!$K$47)</f>
        <v>-130428.9221837595</v>
      </c>
      <c r="AW47" s="771">
        <f ca="1">-(Acc!AP22*'Valuation &amp; IRR'!$K$47)</f>
        <v>-140379.40671100322</v>
      </c>
      <c r="AX47" s="771">
        <f ca="1">-(Acc!AQ22*'Valuation &amp; IRR'!$K$47)</f>
        <v>-149796.25938403871</v>
      </c>
      <c r="AY47" s="771">
        <f ca="1">-(Acc!AR22*'Valuation &amp; IRR'!$K$47)</f>
        <v>-159790.46406803673</v>
      </c>
      <c r="AZ47" s="771">
        <f ca="1">-(Acc!AS22*'Valuation &amp; IRR'!$K$47)</f>
        <v>-170394.31003945213</v>
      </c>
      <c r="BA47" s="771">
        <f ca="1">-(Acc!AT22*'Valuation &amp; IRR'!$K$47)</f>
        <v>-181639.48987809976</v>
      </c>
      <c r="BB47" s="771">
        <f ca="1">-(Acc!AU22*'Valuation &amp; IRR'!$K$47)</f>
        <v>-193554.63419784396</v>
      </c>
      <c r="BC47" s="771">
        <f ca="1">-(Acc!AV22*'Valuation &amp; IRR'!$K$47)</f>
        <v>-205735.02812577051</v>
      </c>
      <c r="BD47" s="771">
        <f ca="1">-(Acc!AW22*'Valuation &amp; IRR'!$K$47)</f>
        <v>-218725.14631969912</v>
      </c>
      <c r="BE47" s="771">
        <f ca="1">-(Acc!AX22*'Valuation &amp; IRR'!$K$47)</f>
        <v>-232581.58898062195</v>
      </c>
      <c r="BF47" s="771">
        <f ca="1">-(Acc!AY22*'Valuation &amp; IRR'!$K$47)</f>
        <v>-247369.09917992103</v>
      </c>
      <c r="BG47" s="771">
        <f ca="1">-(Acc!AZ22*'Valuation &amp; IRR'!$K$47)</f>
        <v>-263160.59063340392</v>
      </c>
      <c r="BH47" s="771">
        <f ca="1">-(Acc!BA22*'Valuation &amp; IRR'!$K$47)</f>
        <v>-280416.14999404456</v>
      </c>
      <c r="BI47" s="771">
        <f ca="1">-(Acc!BB22*'Valuation &amp; IRR'!$K$47)</f>
        <v>-298625.89153058158</v>
      </c>
      <c r="BJ47" s="771">
        <f ca="1">-(Acc!BC22*'Valuation &amp; IRR'!$K$47)</f>
        <v>-317893.7347242019</v>
      </c>
      <c r="BK47" s="771">
        <f ca="1">-(Acc!BD22*'Valuation &amp; IRR'!$K$47)</f>
        <v>-338315.61427404941</v>
      </c>
      <c r="BL47" s="771">
        <f ca="1">-(Acc!BE22*'Valuation &amp; IRR'!$K$47)</f>
        <v>-359986.46589747095</v>
      </c>
      <c r="BM47" s="771">
        <f ca="1">-(Acc!BF22*'Valuation &amp; IRR'!$K$47)</f>
        <v>-387871.57366139814</v>
      </c>
      <c r="BN47" s="771">
        <f ca="1">-(Acc!BG22*'Valuation &amp; IRR'!$K$47)</f>
        <v>-417906.80373151996</v>
      </c>
      <c r="BO47" s="771">
        <f ca="1">-(Acc!BH22*'Valuation &amp; IRR'!$K$47)</f>
        <v>-450260.39896895824</v>
      </c>
      <c r="BP47" s="771">
        <f ca="1">-(Acc!BI22*'Valuation &amp; IRR'!$K$47)</f>
        <v>-485115.92610676127</v>
      </c>
      <c r="BQ47" s="771">
        <f ca="1">-(Acc!BJ22*'Valuation &amp; IRR'!$K$47)</f>
        <v>-267985.79431331594</v>
      </c>
      <c r="BR47" s="574"/>
      <c r="BS47" s="574"/>
      <c r="BT47" s="574"/>
      <c r="BU47" s="574"/>
      <c r="BV47" s="574"/>
      <c r="BW47" s="574"/>
      <c r="BX47" s="574"/>
      <c r="BY47" s="574"/>
      <c r="BZ47" s="574"/>
      <c r="CA47" s="574"/>
      <c r="CB47" s="574"/>
      <c r="CC47" s="39"/>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10" customFormat="1" x14ac:dyDescent="0.2">
      <c r="A48" s="166"/>
      <c r="B48" s="166"/>
      <c r="C48"/>
      <c r="D48" s="96" t="s">
        <v>408</v>
      </c>
      <c r="E48" s="96"/>
      <c r="F48" s="96"/>
      <c r="G48" s="96"/>
      <c r="H48" s="96"/>
      <c r="I48" s="96"/>
      <c r="J48" s="96"/>
      <c r="K48" s="96"/>
      <c r="L48" s="96"/>
      <c r="M48" s="96"/>
      <c r="N48" s="96"/>
      <c r="O48" s="96"/>
      <c r="P48" s="96"/>
      <c r="Q48" s="96"/>
      <c r="R48" s="96"/>
      <c r="S48" s="96"/>
      <c r="T48" s="96"/>
      <c r="U48" s="96"/>
      <c r="V48" s="96"/>
      <c r="W48" s="96"/>
      <c r="X48" s="155"/>
      <c r="Y48" s="613"/>
      <c r="Z48" s="772">
        <f t="shared" ref="Z48:BC48" ca="1" si="12">+SUM(Z46:Z47)</f>
        <v>98036.0817363315</v>
      </c>
      <c r="AA48" s="772">
        <f t="shared" ca="1" si="12"/>
        <v>112793.67937119876</v>
      </c>
      <c r="AB48" s="772">
        <f t="shared" ca="1" si="12"/>
        <v>128567.53661391475</v>
      </c>
      <c r="AC48" s="772">
        <f t="shared" ca="1" si="12"/>
        <v>145982.68554410408</v>
      </c>
      <c r="AD48" s="772">
        <f t="shared" ca="1" si="12"/>
        <v>155045.09614669369</v>
      </c>
      <c r="AE48" s="772">
        <f t="shared" ca="1" si="12"/>
        <v>164688.82402730544</v>
      </c>
      <c r="AF48" s="772">
        <f t="shared" ca="1" si="12"/>
        <v>174922.19148407926</v>
      </c>
      <c r="AG48" s="772">
        <f t="shared" ca="1" si="12"/>
        <v>185744.56871984078</v>
      </c>
      <c r="AH48" s="772">
        <f t="shared" ca="1" si="12"/>
        <v>197140.6820291492</v>
      </c>
      <c r="AI48" s="772">
        <f t="shared" ca="1" si="12"/>
        <v>213121.66263331473</v>
      </c>
      <c r="AJ48" s="772">
        <f t="shared" ca="1" si="12"/>
        <v>230307.9666057858</v>
      </c>
      <c r="AK48" s="772">
        <f t="shared" ca="1" si="12"/>
        <v>248811.10128113773</v>
      </c>
      <c r="AL48" s="772">
        <f t="shared" ca="1" si="12"/>
        <v>268749.40545874787</v>
      </c>
      <c r="AM48" s="772">
        <f t="shared" ca="1" si="12"/>
        <v>290250.89395350422</v>
      </c>
      <c r="AN48" s="772">
        <f t="shared" ca="1" si="12"/>
        <v>290198.6600147736</v>
      </c>
      <c r="AO48" s="772">
        <f t="shared" ca="1" si="12"/>
        <v>296894.34805834986</v>
      </c>
      <c r="AP48" s="772">
        <f t="shared" ca="1" si="12"/>
        <v>314865.74500578339</v>
      </c>
      <c r="AQ48" s="772">
        <f t="shared" ca="1" si="12"/>
        <v>332714.20758934232</v>
      </c>
      <c r="AR48" s="772">
        <f t="shared" ca="1" si="12"/>
        <v>349876.94665005628</v>
      </c>
      <c r="AS48" s="772">
        <f t="shared" ca="1" si="12"/>
        <v>386500.56304625329</v>
      </c>
      <c r="AT48" s="772">
        <f t="shared" ca="1" si="12"/>
        <v>422419.58748771076</v>
      </c>
      <c r="AU48" s="772">
        <f t="shared" ca="1" si="12"/>
        <v>458682.04505215533</v>
      </c>
      <c r="AV48" s="772">
        <f t="shared" ca="1" si="12"/>
        <v>496060.55124945741</v>
      </c>
      <c r="AW48" s="772">
        <f t="shared" ca="1" si="12"/>
        <v>535133.82484196639</v>
      </c>
      <c r="AX48" s="772">
        <f t="shared" ca="1" si="12"/>
        <v>568821.90696544095</v>
      </c>
      <c r="AY48" s="772">
        <f t="shared" ca="1" si="12"/>
        <v>604273.87394340429</v>
      </c>
      <c r="AZ48" s="772">
        <f t="shared" ca="1" si="12"/>
        <v>641430.37992503447</v>
      </c>
      <c r="BA48" s="772">
        <f t="shared" ca="1" si="12"/>
        <v>680161.25952593924</v>
      </c>
      <c r="BB48" s="772">
        <f t="shared" ca="1" si="12"/>
        <v>720229.41469628841</v>
      </c>
      <c r="BC48" s="772">
        <f t="shared" ca="1" si="12"/>
        <v>767249.13488525874</v>
      </c>
      <c r="BD48" s="772">
        <f t="shared" ref="BD48:BQ48" ca="1" si="13">+SUM(BD46:BD47)</f>
        <v>817156.18357913778</v>
      </c>
      <c r="BE48" s="772">
        <f t="shared" ca="1" si="13"/>
        <v>870116.96234328952</v>
      </c>
      <c r="BF48" s="772">
        <f t="shared" ca="1" si="13"/>
        <v>926311.7779078756</v>
      </c>
      <c r="BG48" s="772">
        <f t="shared" ca="1" si="13"/>
        <v>985928.99635127955</v>
      </c>
      <c r="BH48" s="772">
        <f t="shared" ca="1" si="13"/>
        <v>1048234.0903381126</v>
      </c>
      <c r="BI48" s="772">
        <f t="shared" ca="1" si="13"/>
        <v>1114569.4028487152</v>
      </c>
      <c r="BJ48" s="772">
        <f t="shared" ca="1" si="13"/>
        <v>1185135.3740009617</v>
      </c>
      <c r="BK48" s="772">
        <f t="shared" ca="1" si="13"/>
        <v>1260158.2183632657</v>
      </c>
      <c r="BL48" s="772">
        <f t="shared" ca="1" si="13"/>
        <v>1114174.8332447698</v>
      </c>
      <c r="BM48" s="772">
        <f t="shared" ca="1" si="13"/>
        <v>1476813.5517573627</v>
      </c>
      <c r="BN48" s="772">
        <f t="shared" ca="1" si="13"/>
        <v>1591759.3660320949</v>
      </c>
      <c r="BO48" s="772">
        <f t="shared" ca="1" si="13"/>
        <v>1715609.3017337113</v>
      </c>
      <c r="BP48" s="772">
        <f t="shared" ca="1" si="13"/>
        <v>1849045.9117218545</v>
      </c>
      <c r="BQ48" s="772">
        <f t="shared" ca="1" si="13"/>
        <v>1411719.2903955206</v>
      </c>
      <c r="BR48" s="574"/>
      <c r="BS48" s="574"/>
      <c r="BT48" s="574"/>
      <c r="BU48" s="574"/>
      <c r="BV48" s="574"/>
      <c r="BW48" s="574"/>
      <c r="BX48" s="574"/>
      <c r="BY48" s="574"/>
      <c r="BZ48" s="574"/>
      <c r="CA48" s="574"/>
      <c r="CB48" s="574"/>
      <c r="CC48" s="39"/>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10" customFormat="1" x14ac:dyDescent="0.2">
      <c r="A49" s="166"/>
      <c r="B49" s="166"/>
      <c r="C49"/>
      <c r="D49"/>
      <c r="E49"/>
      <c r="F49" s="58"/>
      <c r="G49"/>
      <c r="H49"/>
      <c r="I49"/>
      <c r="J49"/>
      <c r="K49"/>
      <c r="L49"/>
      <c r="M49"/>
      <c r="N49"/>
      <c r="O49"/>
      <c r="P49"/>
      <c r="Q49"/>
      <c r="R49"/>
      <c r="S49"/>
      <c r="T49"/>
      <c r="U49"/>
      <c r="V49"/>
      <c r="W49"/>
      <c r="X4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78"/>
      <c r="BS49" s="78"/>
      <c r="BT49" s="78"/>
      <c r="BU49" s="78"/>
      <c r="BV49" s="78"/>
      <c r="BW49" s="78"/>
      <c r="BX49" s="78"/>
      <c r="BY49" s="78"/>
      <c r="BZ49" s="78"/>
      <c r="CA49" s="78"/>
      <c r="CB49" s="78"/>
      <c r="CC49" s="3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10" customFormat="1" x14ac:dyDescent="0.2">
      <c r="A50" s="166"/>
      <c r="B50" s="166"/>
      <c r="C50"/>
      <c r="D50" t="s">
        <v>420</v>
      </c>
      <c r="E50"/>
      <c r="F50" s="58"/>
      <c r="G50"/>
      <c r="H50"/>
      <c r="I50"/>
      <c r="J50"/>
      <c r="K50" s="773">
        <f>+K41</f>
        <v>8.1028533333333319E-2</v>
      </c>
      <c r="L50"/>
      <c r="M50"/>
      <c r="N50"/>
      <c r="O50"/>
      <c r="P50"/>
      <c r="Q50"/>
      <c r="R50"/>
      <c r="S50"/>
      <c r="T50"/>
      <c r="U50"/>
      <c r="V50"/>
      <c r="W50"/>
      <c r="X50" s="145"/>
      <c r="Y50" s="771">
        <f ca="1">+NPV($K$50,Z48:CC48)</f>
        <v>3601248.3980147699</v>
      </c>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78"/>
      <c r="BS50" s="78"/>
      <c r="BT50" s="78"/>
      <c r="BU50" s="78"/>
      <c r="BV50" s="78"/>
      <c r="BW50" s="78"/>
      <c r="BX50" s="78"/>
      <c r="BY50" s="78"/>
      <c r="BZ50" s="78"/>
      <c r="CA50" s="78"/>
      <c r="CB50" s="78"/>
      <c r="CC50" s="39"/>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0" customFormat="1" x14ac:dyDescent="0.2">
      <c r="A51" s="166"/>
      <c r="B51" s="166"/>
      <c r="C51"/>
      <c r="D51"/>
      <c r="E51"/>
      <c r="F51" s="58"/>
      <c r="G51"/>
      <c r="H51"/>
      <c r="I51"/>
      <c r="J51"/>
      <c r="K51"/>
      <c r="L51"/>
      <c r="M51"/>
      <c r="N51"/>
      <c r="O51"/>
      <c r="P51"/>
      <c r="Q51"/>
      <c r="R51"/>
      <c r="S51"/>
      <c r="T51"/>
      <c r="U51"/>
      <c r="V51"/>
      <c r="W51"/>
      <c r="X51"/>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78"/>
      <c r="BS51" s="78"/>
      <c r="BT51" s="78"/>
      <c r="BU51" s="78"/>
      <c r="BV51" s="78"/>
      <c r="BW51" s="78"/>
      <c r="BX51" s="78"/>
      <c r="BY51" s="78"/>
      <c r="BZ51" s="78"/>
      <c r="CA51" s="78"/>
      <c r="CB51" s="78"/>
      <c r="CC51" s="39"/>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0" customFormat="1" x14ac:dyDescent="0.2">
      <c r="A52" s="166"/>
      <c r="B52" s="166"/>
      <c r="C52"/>
      <c r="D52" t="s">
        <v>409</v>
      </c>
      <c r="E52"/>
      <c r="F52" s="58"/>
      <c r="G52"/>
      <c r="H52"/>
      <c r="I52"/>
      <c r="J52"/>
      <c r="K52"/>
      <c r="L52"/>
      <c r="M52"/>
      <c r="N52"/>
      <c r="O52"/>
      <c r="P52"/>
      <c r="Q52"/>
      <c r="R52"/>
      <c r="S52"/>
      <c r="T52"/>
      <c r="U52"/>
      <c r="V52"/>
      <c r="W52"/>
      <c r="X52" s="143"/>
      <c r="Y52" s="771">
        <f>-(SUM(Acc!R25:R28)*'Valuation &amp; IRR'!$K$47)</f>
        <v>0</v>
      </c>
      <c r="Z52" s="771">
        <f>-(SUM(Acc!S25:S28)*'Valuation &amp; IRR'!$K$47)</f>
        <v>18452.461031023839</v>
      </c>
      <c r="AA52" s="771">
        <f>-(SUM(Acc!T25:T28)*'Valuation &amp; IRR'!$K$47)</f>
        <v>18321.130888417607</v>
      </c>
      <c r="AB52" s="771">
        <f>-(SUM(Acc!U25:U28)*'Valuation &amp; IRR'!$K$47)</f>
        <v>15498.562769982213</v>
      </c>
      <c r="AC52" s="771">
        <f>-(SUM(Acc!V25:V28)*'Valuation &amp; IRR'!$K$47)</f>
        <v>9869.1200129502831</v>
      </c>
      <c r="AD52" s="771">
        <f>-(SUM(Acc!W25:W28)*'Valuation &amp; IRR'!$K$47)</f>
        <v>9813.6417542192794</v>
      </c>
      <c r="AE52" s="771">
        <f>-(SUM(Acc!X25:X28)*'Valuation &amp; IRR'!$K$47)</f>
        <v>9748.2803702339843</v>
      </c>
      <c r="AF52" s="771">
        <f>-(SUM(Acc!Y25:Y28)*'Valuation &amp; IRR'!$K$47)</f>
        <v>9672.6006688619473</v>
      </c>
      <c r="AG52" s="771">
        <f>-(SUM(Acc!Z25:Z28)*'Valuation &amp; IRR'!$K$47)</f>
        <v>9639.3770189438128</v>
      </c>
      <c r="AH52" s="771">
        <f>-(SUM(Acc!AA25:AA28)*'Valuation &amp; IRR'!$K$47)</f>
        <v>9411.0748418647709</v>
      </c>
      <c r="AI52" s="771">
        <f>-(SUM(Acc!AB25:AB28)*'Valuation &amp; IRR'!$K$47)</f>
        <v>9176.2152764347211</v>
      </c>
      <c r="AJ52" s="771">
        <f>-(SUM(Acc!AC25:AC28)*'Valuation &amp; IRR'!$K$47)</f>
        <v>8908.0025475161001</v>
      </c>
      <c r="AK52" s="771">
        <f>-(SUM(Acc!AD25:AD28)*'Valuation &amp; IRR'!$K$47)</f>
        <v>8631.7581044931685</v>
      </c>
      <c r="AL52" s="771">
        <f>-(SUM(Acc!AE25:AE28)*'Valuation &amp; IRR'!$K$47)</f>
        <v>10639.962649907418</v>
      </c>
      <c r="AM52" s="771">
        <f>-(SUM(Acc!AF25:AF28)*'Valuation &amp; IRR'!$K$47)</f>
        <v>8002.0844900388101</v>
      </c>
      <c r="AN52" s="771">
        <f>-(SUM(Acc!AG25:AG28)*'Valuation &amp; IRR'!$K$47)</f>
        <v>7592.5764579995475</v>
      </c>
      <c r="AO52" s="771">
        <f>-(SUM(Acc!AH25:AH28)*'Valuation &amp; IRR'!$K$47)</f>
        <v>7146.8026908614465</v>
      </c>
      <c r="AP52" s="771">
        <f>-(SUM(Acc!AI25:AI28)*'Valuation &amp; IRR'!$K$47)</f>
        <v>6669.3948762556656</v>
      </c>
      <c r="AQ52" s="771">
        <f>-(SUM(Acc!AJ25:AJ28)*'Valuation &amp; IRR'!$K$47)</f>
        <v>6200.0068475514772</v>
      </c>
      <c r="AR52" s="771">
        <f>-(SUM(Acc!AK25:AK28)*'Valuation &amp; IRR'!$K$47)</f>
        <v>5645.5683327669149</v>
      </c>
      <c r="AS52" s="771">
        <f>-(SUM(Acc!AL25:AL28)*'Valuation &amp; IRR'!$K$47)</f>
        <v>5058.643869733065</v>
      </c>
      <c r="AT52" s="771">
        <f>-(SUM(Acc!AM25:AM28)*'Valuation &amp; IRR'!$K$47)</f>
        <v>4401.4922023484278</v>
      </c>
      <c r="AU52" s="771">
        <f>-(SUM(Acc!AN25:AN28)*'Valuation &amp; IRR'!$K$47)</f>
        <v>3689.6042070004196</v>
      </c>
      <c r="AV52" s="771">
        <f>-(SUM(Acc!AO25:AO28)*'Valuation &amp; IRR'!$K$47)</f>
        <v>6803.9794013368719</v>
      </c>
      <c r="AW52" s="771">
        <f>-(SUM(Acc!AP25:AP28)*'Valuation &amp; IRR'!$K$47)</f>
        <v>1606.0499770696551</v>
      </c>
      <c r="AX52" s="771">
        <f>-(SUM(Acc!AQ25:AQ28)*'Valuation &amp; IRR'!$K$47)</f>
        <v>446.1971293191927</v>
      </c>
      <c r="AY52" s="771">
        <f>-(SUM(Acc!AR25:AR28)*'Valuation &amp; IRR'!$K$47)</f>
        <v>-564.0235152932886</v>
      </c>
      <c r="AZ52" s="771">
        <f>-(SUM(Acc!AS25:AS28)*'Valuation &amp; IRR'!$K$47)</f>
        <v>-1407.5090571606604</v>
      </c>
      <c r="BA52" s="771">
        <f>-(SUM(Acc!AT25:AT28)*'Valuation &amp; IRR'!$K$47)</f>
        <v>-1505.3862786895286</v>
      </c>
      <c r="BB52" s="771">
        <f>-(SUM(Acc!AU25:AU28)*'Valuation &amp; IRR'!$K$47)</f>
        <v>-1930.1762700898389</v>
      </c>
      <c r="BC52" s="771">
        <f>-(SUM(Acc!AV25:AV28)*'Valuation &amp; IRR'!$K$47)</f>
        <v>-2264.7989888712414</v>
      </c>
      <c r="BD52" s="771">
        <f>-(SUM(Acc!AW25:AW28)*'Valuation &amp; IRR'!$K$47)</f>
        <v>-2312.9750379205993</v>
      </c>
      <c r="BE52" s="771">
        <f>-(SUM(Acc!AX25:AX28)*'Valuation &amp; IRR'!$K$47)</f>
        <v>-2393.0652584208392</v>
      </c>
      <c r="BF52" s="771">
        <f>-(SUM(Acc!AY25:AY28)*'Valuation &amp; IRR'!$K$47)</f>
        <v>1213.0167325592429</v>
      </c>
      <c r="BG52" s="771">
        <f>-(SUM(Acc!AZ25:AZ28)*'Valuation &amp; IRR'!$K$47)</f>
        <v>-2658.8375069173944</v>
      </c>
      <c r="BH52" s="771">
        <f>-(SUM(Acc!BA25:BA28)*'Valuation &amp; IRR'!$K$47)</f>
        <v>-2759.1371117044346</v>
      </c>
      <c r="BI52" s="771">
        <f>-(SUM(Acc!BB25:BB28)*'Valuation &amp; IRR'!$K$47)</f>
        <v>-2865.7074743398625</v>
      </c>
      <c r="BJ52" s="771">
        <f>-(SUM(Acc!BC25:BC28)*'Valuation &amp; IRR'!$K$47)</f>
        <v>-2981.5455049033699</v>
      </c>
      <c r="BK52" s="771">
        <f>-(SUM(Acc!BD25:BD28)*'Valuation &amp; IRR'!$K$47)</f>
        <v>-3107.3417071127719</v>
      </c>
      <c r="BL52" s="771">
        <f>-(SUM(Acc!BE25:BE28)*'Valuation &amp; IRR'!$K$47)</f>
        <v>-2696.9551114831606</v>
      </c>
      <c r="BM52" s="771">
        <f>-(SUM(Acc!BF25:BF28)*'Valuation &amp; IRR'!$K$47)</f>
        <v>-2785.8756621626103</v>
      </c>
      <c r="BN52" s="771">
        <f>-(SUM(Acc!BG25:BG28)*'Valuation &amp; IRR'!$K$47)</f>
        <v>-2774.020185787962</v>
      </c>
      <c r="BO52" s="771">
        <f>-(SUM(Acc!BH25:BH28)*'Valuation &amp; IRR'!$K$47)</f>
        <v>-2761.2846165243104</v>
      </c>
      <c r="BP52" s="771">
        <f>-(SUM(Acc!BI25:BI28)*'Valuation &amp; IRR'!$K$47)</f>
        <v>-2739.0299533946836</v>
      </c>
      <c r="BQ52" s="771">
        <f>-(SUM(Acc!BJ25:BJ28)*'Valuation &amp; IRR'!$K$47)</f>
        <v>-1806.9585192485238</v>
      </c>
      <c r="BR52" s="574"/>
      <c r="BS52" s="574"/>
      <c r="BT52" s="574"/>
      <c r="BU52" s="574"/>
      <c r="BV52" s="574"/>
      <c r="BW52" s="574"/>
      <c r="BX52" s="574"/>
      <c r="BY52" s="574"/>
      <c r="BZ52" s="574"/>
      <c r="CA52" s="574"/>
      <c r="CB52" s="574"/>
      <c r="CC52" s="39"/>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10" customFormat="1" x14ac:dyDescent="0.2">
      <c r="A53" s="166"/>
      <c r="B53" s="166"/>
      <c r="C53"/>
      <c r="D53"/>
      <c r="E53"/>
      <c r="F53" s="58"/>
      <c r="G53"/>
      <c r="H53"/>
      <c r="I53"/>
      <c r="J53"/>
      <c r="K53"/>
      <c r="L53"/>
      <c r="M53"/>
      <c r="N53"/>
      <c r="O53"/>
      <c r="P53"/>
      <c r="Q53"/>
      <c r="R53"/>
      <c r="S53"/>
      <c r="T53"/>
      <c r="U53"/>
      <c r="V53"/>
      <c r="W53"/>
      <c r="X53" s="143"/>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574"/>
      <c r="BS53" s="574"/>
      <c r="BT53" s="574"/>
      <c r="BU53" s="574"/>
      <c r="BV53" s="574"/>
      <c r="BW53" s="574"/>
      <c r="BX53" s="574"/>
      <c r="BY53" s="574"/>
      <c r="BZ53" s="574"/>
      <c r="CA53" s="574"/>
      <c r="CB53" s="574"/>
      <c r="CC53" s="39"/>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10" customFormat="1" x14ac:dyDescent="0.2">
      <c r="A54" s="166"/>
      <c r="B54" s="166"/>
      <c r="C54"/>
      <c r="D54" t="s">
        <v>411</v>
      </c>
      <c r="E54"/>
      <c r="F54" s="58"/>
      <c r="G54"/>
      <c r="H54"/>
      <c r="I54"/>
      <c r="J54"/>
      <c r="K54"/>
      <c r="L54"/>
      <c r="M54"/>
      <c r="N54"/>
      <c r="O54"/>
      <c r="P54"/>
      <c r="Q54"/>
      <c r="R54"/>
      <c r="S54"/>
      <c r="T54"/>
      <c r="U54"/>
      <c r="V54"/>
      <c r="W54"/>
      <c r="X54" s="145"/>
      <c r="Y54" s="771">
        <f>+NPV($K$43,Z52:CC52)</f>
        <v>133707.46765415181</v>
      </c>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78"/>
      <c r="BS54" s="78"/>
      <c r="BT54" s="78"/>
      <c r="BU54" s="78"/>
      <c r="BV54" s="78"/>
      <c r="BW54" s="78"/>
      <c r="BX54" s="78"/>
      <c r="BY54" s="78"/>
      <c r="BZ54" s="78"/>
      <c r="CA54" s="78"/>
      <c r="CB54" s="78"/>
      <c r="CC54" s="39"/>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10" customFormat="1" x14ac:dyDescent="0.2">
      <c r="A55" s="166"/>
      <c r="B55" s="166"/>
      <c r="C55"/>
      <c r="D55"/>
      <c r="E55"/>
      <c r="F55" s="58"/>
      <c r="G55"/>
      <c r="H55"/>
      <c r="I55"/>
      <c r="J55"/>
      <c r="K55"/>
      <c r="L55"/>
      <c r="M55"/>
      <c r="N55"/>
      <c r="O55"/>
      <c r="P55"/>
      <c r="Q55"/>
      <c r="R55"/>
      <c r="S55"/>
      <c r="T55"/>
      <c r="U55"/>
      <c r="V55"/>
      <c r="W55"/>
      <c r="X55"/>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78"/>
      <c r="BS55" s="78"/>
      <c r="BT55" s="78"/>
      <c r="BU55" s="78"/>
      <c r="BV55" s="78"/>
      <c r="BW55" s="78"/>
      <c r="BX55" s="78"/>
      <c r="BY55" s="78"/>
      <c r="BZ55" s="78"/>
      <c r="CA55" s="78"/>
      <c r="CB55" s="78"/>
      <c r="CC55" s="39"/>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10" customFormat="1" x14ac:dyDescent="0.2">
      <c r="A56" s="166"/>
      <c r="B56" s="166"/>
      <c r="C56"/>
      <c r="D56" s="55" t="s">
        <v>412</v>
      </c>
      <c r="E56"/>
      <c r="F56" s="58"/>
      <c r="G56"/>
      <c r="H56"/>
      <c r="I56"/>
      <c r="J56"/>
      <c r="K56"/>
      <c r="L56"/>
      <c r="M56"/>
      <c r="N56"/>
      <c r="O56"/>
      <c r="P56"/>
      <c r="Q56"/>
      <c r="R56"/>
      <c r="S56"/>
      <c r="T56"/>
      <c r="U56"/>
      <c r="V56"/>
      <c r="W56"/>
      <c r="X56" s="157"/>
      <c r="Y56" s="770">
        <f ca="1">+Y50+Y54</f>
        <v>3734955.8656689217</v>
      </c>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78"/>
      <c r="BS56" s="78"/>
      <c r="BT56" s="78"/>
      <c r="BU56" s="78"/>
      <c r="BV56" s="78"/>
      <c r="BW56" s="78"/>
      <c r="BX56" s="78"/>
      <c r="BY56" s="78"/>
      <c r="BZ56" s="78"/>
      <c r="CA56" s="78"/>
      <c r="CB56" s="78"/>
      <c r="CC56" s="39"/>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10" customFormat="1" x14ac:dyDescent="0.2">
      <c r="A57" s="166"/>
      <c r="B57" s="166"/>
      <c r="C57"/>
      <c r="D57"/>
      <c r="E57"/>
      <c r="F57" s="58"/>
      <c r="G57"/>
      <c r="H57"/>
      <c r="I57"/>
      <c r="J57"/>
      <c r="K57"/>
      <c r="L57"/>
      <c r="M57"/>
      <c r="N57"/>
      <c r="O57"/>
      <c r="P57"/>
      <c r="Q57"/>
      <c r="R57"/>
      <c r="S57"/>
      <c r="T57"/>
      <c r="U57"/>
      <c r="V57"/>
      <c r="W57"/>
      <c r="X57"/>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78"/>
      <c r="BS57" s="78"/>
      <c r="BT57" s="78"/>
      <c r="BU57" s="78"/>
      <c r="BV57" s="78"/>
      <c r="BW57" s="78"/>
      <c r="BX57" s="78"/>
      <c r="BY57" s="78"/>
      <c r="BZ57" s="78"/>
      <c r="CA57" s="78"/>
      <c r="CB57" s="78"/>
      <c r="CC57" s="39"/>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10" customFormat="1" x14ac:dyDescent="0.2">
      <c r="A58" s="166"/>
      <c r="B58" s="166"/>
      <c r="C58"/>
      <c r="D58" t="s">
        <v>371</v>
      </c>
      <c r="E58"/>
      <c r="F58" s="58"/>
      <c r="G58"/>
      <c r="H58"/>
      <c r="I58"/>
      <c r="J58"/>
      <c r="K58"/>
      <c r="L58"/>
      <c r="M58"/>
      <c r="N58"/>
      <c r="O58"/>
      <c r="P58"/>
      <c r="Q58"/>
      <c r="R58"/>
      <c r="S58"/>
      <c r="T58"/>
      <c r="U58"/>
      <c r="V58"/>
      <c r="W58"/>
      <c r="X58" s="143"/>
      <c r="Y58" s="771">
        <f>+(Fin!S20+Fin!S28+Fin!S36+Fin!S49)</f>
        <v>1649374.7965537459</v>
      </c>
      <c r="Z58" s="771">
        <f>+(Fin!T20+Fin!T28+Fin!T36+Fin!T49)</f>
        <v>1693485.906507757</v>
      </c>
      <c r="AA58" s="771">
        <f>+(Fin!U20+Fin!U28+Fin!U36+Fin!U49)</f>
        <v>1739478.1440090905</v>
      </c>
      <c r="AB58" s="771">
        <f>+(Fin!V20+Fin!V28+Fin!V36+Fin!V49)</f>
        <v>1752987.6938136853</v>
      </c>
      <c r="AC58" s="771">
        <f>+(Fin!W20+Fin!W28+Fin!W36+Fin!W49)</f>
        <v>1755499.0938422005</v>
      </c>
      <c r="AD58" s="771">
        <f>+(Fin!X20+Fin!X28+Fin!X36+Fin!X49)</f>
        <v>1758706.5981418965</v>
      </c>
      <c r="AE58" s="771">
        <f>+(Fin!Y20+Fin!Y28+Fin!Y36+Fin!Y49)</f>
        <v>1762803.1513455897</v>
      </c>
      <c r="AF58" s="771">
        <f>+(Fin!Z20+Fin!Z28+Fin!Z36+Fin!Z49)</f>
        <v>1768035.1780500526</v>
      </c>
      <c r="AG58" s="771">
        <f>+(Fin!AA20+Fin!AA28+Fin!AA36+Fin!AA49)</f>
        <v>1774717.4062734121</v>
      </c>
      <c r="AH58" s="771">
        <f>+(Fin!AB20+Fin!AB28+Fin!AB36+Fin!AB49)</f>
        <v>1783251.7996454821</v>
      </c>
      <c r="AI58" s="771">
        <f>+(Fin!AC20+Fin!AC28+Fin!AC36+Fin!AC49)</f>
        <v>1791086.2939579464</v>
      </c>
      <c r="AJ58" s="771">
        <f>+(Fin!AD20+Fin!AD28+Fin!AD36+Fin!AD49)</f>
        <v>1798278.2873962729</v>
      </c>
      <c r="AK58" s="771">
        <f>+(Fin!AE20+Fin!AE28+Fin!AE36+Fin!AE49)</f>
        <v>1804880.4709647321</v>
      </c>
      <c r="AL58" s="771">
        <f>+(Fin!AF20+Fin!AF28+Fin!AF36+Fin!AF49)</f>
        <v>1810941.2145187156</v>
      </c>
      <c r="AM58" s="771">
        <f>+(Fin!AG20+Fin!AG28+Fin!AG36+Fin!AG49)</f>
        <v>1816504.9211388463</v>
      </c>
      <c r="AN58" s="771">
        <f>+(Fin!AH20+Fin!AH28+Fin!AH36+Fin!AH49)</f>
        <v>1824048.7095021359</v>
      </c>
      <c r="AO58" s="771">
        <f>+(Fin!AI20+Fin!AI28+Fin!AI36+Fin!AI49)</f>
        <v>1834277.2759517382</v>
      </c>
      <c r="AP58" s="771">
        <f>+(Fin!AJ20+Fin!AJ28+Fin!AJ36+Fin!AJ49)</f>
        <v>1848146.1130101937</v>
      </c>
      <c r="AQ58" s="771">
        <f>+(Fin!AK20+Fin!AK28+Fin!AK36+Fin!AK49)</f>
        <v>1866950.7658715397</v>
      </c>
      <c r="AR58" s="771">
        <f>+(Fin!AL20+Fin!AL28+Fin!AL36+Fin!AL49)</f>
        <v>1892447.8546141132</v>
      </c>
      <c r="AS58" s="771">
        <f>+(Fin!AM20+Fin!AM28+Fin!AM36+Fin!AM49)</f>
        <v>1909705.3744703208</v>
      </c>
      <c r="AT58" s="771">
        <f>+(Fin!AN20+Fin!AN28+Fin!AN36+Fin!AN49)</f>
        <v>1921386.0017997501</v>
      </c>
      <c r="AU58" s="771">
        <f>+(Fin!AO20+Fin!AO28+Fin!AO36+Fin!AO49)</f>
        <v>1929291.9498123173</v>
      </c>
      <c r="AV58" s="771">
        <f>+(Fin!AP20+Fin!AP28+Fin!AP36+Fin!AP49)</f>
        <v>1934643.0334668679</v>
      </c>
      <c r="AW58" s="771">
        <f>+(Fin!AQ20+Fin!AQ28+Fin!AQ36+Fin!AQ49)</f>
        <v>1938264.8756839538</v>
      </c>
      <c r="AX58" s="771">
        <f>+(Fin!AR20+Fin!AR28+Fin!AR36+Fin!AR49)</f>
        <v>1943296.4352800804</v>
      </c>
      <c r="AY58" s="771">
        <f>+(Fin!AS20+Fin!AS28+Fin!AS36+Fin!AS49)</f>
        <v>1950286.4117760039</v>
      </c>
      <c r="AZ58" s="771">
        <f>+(Fin!AT20+Fin!AT28+Fin!AT36+Fin!AT49)</f>
        <v>1959997.0731485097</v>
      </c>
      <c r="BA58" s="771">
        <f>+(Fin!AU20+Fin!AU28+Fin!AU36+Fin!AU49)</f>
        <v>1973487.3823571976</v>
      </c>
      <c r="BB58" s="771">
        <f>+(Fin!AV20+Fin!AV28+Fin!AV36+Fin!AV49)</f>
        <v>1915341.2287908667</v>
      </c>
      <c r="BC58" s="771">
        <f>+(Fin!AW20+Fin!AW28+Fin!AW36+Fin!AW49)</f>
        <v>1778174.9566126631</v>
      </c>
      <c r="BD58" s="771">
        <f>+(Fin!AX20+Fin!AX28+Fin!AX36+Fin!AX49)</f>
        <v>1632526.0438571116</v>
      </c>
      <c r="BE58" s="771">
        <f>+(Fin!AY20+Fin!AY28+Fin!AY36+Fin!AY49)</f>
        <v>1477971.0143088149</v>
      </c>
      <c r="BF58" s="771">
        <f>+(Fin!AZ20+Fin!AZ28+Fin!AZ36+Fin!AZ49)</f>
        <v>1297111.5430244806</v>
      </c>
      <c r="BG58" s="771">
        <f>+(Fin!BA20+Fin!BA28+Fin!BA36+Fin!BA49)</f>
        <v>1087589.3603657647</v>
      </c>
      <c r="BH58" s="771">
        <f>+(Fin!BB20+Fin!BB28+Fin!BB36+Fin!BB49)</f>
        <v>867067.26311746635</v>
      </c>
      <c r="BI58" s="771">
        <f>+(Fin!BC20+Fin!BC28+Fin!BC36+Fin!BC49)</f>
        <v>634967.75576363225</v>
      </c>
      <c r="BJ58" s="771">
        <f>+(Fin!BD20+Fin!BD28+Fin!BD36+Fin!BD49)</f>
        <v>390683.02427372203</v>
      </c>
      <c r="BK58" s="771">
        <f>+(Fin!BE20+Fin!BE28+Fin!BE36+Fin!BE49)</f>
        <v>133573.3443805915</v>
      </c>
      <c r="BL58" s="771">
        <f>+(Fin!BF20+Fin!BF28+Fin!BF36+Fin!BF49)</f>
        <v>9.9000000685919076E-2</v>
      </c>
      <c r="BM58" s="771">
        <f>+(Fin!BG20+Fin!BG28+Fin!BG36+Fin!BG49)</f>
        <v>9.9000000685919076E-2</v>
      </c>
      <c r="BN58" s="771">
        <f>+(Fin!BH20+Fin!BH28+Fin!BH36+Fin!BH49)</f>
        <v>9.9000000685919076E-2</v>
      </c>
      <c r="BO58" s="771">
        <f>+(Fin!BI20+Fin!BI28+Fin!BI36+Fin!BI49)</f>
        <v>9.9000000685919076E-2</v>
      </c>
      <c r="BP58" s="771">
        <f>+(Fin!BJ20+Fin!BJ28+Fin!BJ36+Fin!BJ49)</f>
        <v>9.9000000685919076E-2</v>
      </c>
      <c r="BQ58" s="771">
        <f>+(Fin!BK20+Fin!BK28+Fin!BK36+Fin!BK49)</f>
        <v>9.9000000685919076E-2</v>
      </c>
      <c r="BR58" s="574"/>
      <c r="BS58" s="574"/>
      <c r="BT58" s="574"/>
      <c r="BU58" s="574"/>
      <c r="BV58" s="574"/>
      <c r="BW58" s="574"/>
      <c r="BX58" s="574"/>
      <c r="BY58" s="574"/>
      <c r="BZ58" s="574"/>
      <c r="CA58" s="574"/>
      <c r="CB58" s="574"/>
      <c r="CC58" s="39"/>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10" customFormat="1" x14ac:dyDescent="0.2">
      <c r="A59" s="166"/>
      <c r="B59" s="166"/>
      <c r="C59"/>
      <c r="D59" t="s">
        <v>91</v>
      </c>
      <c r="E59"/>
      <c r="F59" s="58"/>
      <c r="G59"/>
      <c r="H59"/>
      <c r="I59"/>
      <c r="J59"/>
      <c r="K59"/>
      <c r="L59"/>
      <c r="M59"/>
      <c r="N59"/>
      <c r="O59"/>
      <c r="P59"/>
      <c r="Q59"/>
      <c r="R59"/>
      <c r="S59"/>
      <c r="T59"/>
      <c r="U59"/>
      <c r="V59"/>
      <c r="W59"/>
      <c r="X59" s="143"/>
      <c r="Y59" s="771">
        <f>+Acc!R38</f>
        <v>135988.20498000001</v>
      </c>
      <c r="Z59" s="771">
        <f>+Acc!S38</f>
        <v>182077.41039548296</v>
      </c>
      <c r="AA59" s="771">
        <f>+Acc!T38</f>
        <v>248613.42526266509</v>
      </c>
      <c r="AB59" s="771">
        <f>+Acc!U38</f>
        <v>51629.958893605508</v>
      </c>
      <c r="AC59" s="771">
        <f>+Acc!V38</f>
        <v>58341.257397712077</v>
      </c>
      <c r="AD59" s="771">
        <f>+Acc!W38</f>
        <v>63565.124474247306</v>
      </c>
      <c r="AE59" s="771">
        <f>+Acc!X38</f>
        <v>66812.981299622217</v>
      </c>
      <c r="AF59" s="771">
        <f>+Acc!Y38</f>
        <v>69468.977305278022</v>
      </c>
      <c r="AG59" s="771">
        <f>+Acc!Z38</f>
        <v>71501.33926555721</v>
      </c>
      <c r="AH59" s="771">
        <f>+Acc!AA38</f>
        <v>71387.913666163106</v>
      </c>
      <c r="AI59" s="771">
        <f>+Acc!AB38</f>
        <v>71963.829222018467</v>
      </c>
      <c r="AJ59" s="771">
        <f>+Acc!AC38</f>
        <v>73625.803274930993</v>
      </c>
      <c r="AK59" s="771">
        <f>+Acc!AD38</f>
        <v>77418.529934440172</v>
      </c>
      <c r="AL59" s="771">
        <f>+Acc!AE38</f>
        <v>84268.455977906298</v>
      </c>
      <c r="AM59" s="771">
        <f>+Acc!AF38</f>
        <v>95418.265925564177</v>
      </c>
      <c r="AN59" s="771">
        <f>+Acc!AG38</f>
        <v>107057.44102370123</v>
      </c>
      <c r="AO59" s="771">
        <f>+Acc!AH38</f>
        <v>117096.03379802081</v>
      </c>
      <c r="AP59" s="771">
        <f>+Acc!AI38</f>
        <v>123150.76327456963</v>
      </c>
      <c r="AQ59" s="771">
        <f>+Acc!AJ38</f>
        <v>122920.15182203976</v>
      </c>
      <c r="AR59" s="771">
        <f>+Acc!AK38</f>
        <v>112441.50541142041</v>
      </c>
      <c r="AS59" s="771">
        <f>+Acc!AL38</f>
        <v>107173.77003248503</v>
      </c>
      <c r="AT59" s="771">
        <f>+Acc!AM38</f>
        <v>106611.87102394519</v>
      </c>
      <c r="AU59" s="771">
        <f>+Acc!AN38</f>
        <v>105454.52069604422</v>
      </c>
      <c r="AV59" s="771">
        <f>+Acc!AO38</f>
        <v>134791.35165818289</v>
      </c>
      <c r="AW59" s="771">
        <f>+Acc!AP38</f>
        <v>138637.46220917604</v>
      </c>
      <c r="AX59" s="771">
        <f>+Acc!AQ38</f>
        <v>142137.06097867887</v>
      </c>
      <c r="AY59" s="771">
        <f>+Acc!AR38</f>
        <v>145004.67290179656</v>
      </c>
      <c r="AZ59" s="771">
        <f>+Acc!AS38</f>
        <v>152478.9002837138</v>
      </c>
      <c r="BA59" s="771">
        <f>+Acc!AT38</f>
        <v>233542.05277205052</v>
      </c>
      <c r="BB59" s="771">
        <f>+Acc!AU38</f>
        <v>307221.76537495526</v>
      </c>
      <c r="BC59" s="771">
        <f>+Acc!AV38</f>
        <v>307711.02586047497</v>
      </c>
      <c r="BD59" s="771">
        <f>+Acc!AW38</f>
        <v>308561.00409774674</v>
      </c>
      <c r="BE59" s="771">
        <f>+Acc!AX38</f>
        <v>319081.08898198348</v>
      </c>
      <c r="BF59" s="771">
        <f>+Acc!AY38</f>
        <v>332885.87116465287</v>
      </c>
      <c r="BG59" s="771">
        <f>+Acc!AZ38</f>
        <v>339325.83641610789</v>
      </c>
      <c r="BH59" s="771">
        <f>+Acc!BA38</f>
        <v>346314.26733041677</v>
      </c>
      <c r="BI59" s="771">
        <f>+Acc!BB38</f>
        <v>354519.88622876472</v>
      </c>
      <c r="BJ59" s="771">
        <f>+Acc!BC38</f>
        <v>364050.78119240678</v>
      </c>
      <c r="BK59" s="771">
        <f>+Acc!BD38</f>
        <v>240017.83460955476</v>
      </c>
      <c r="BL59" s="771">
        <f>+Acc!BE38</f>
        <v>227705.37082710947</v>
      </c>
      <c r="BM59" s="771">
        <f>+Acc!BF38</f>
        <v>193331.7224954413</v>
      </c>
      <c r="BN59" s="771">
        <f>+Acc!BG38</f>
        <v>154259.87030214834</v>
      </c>
      <c r="BO59" s="771">
        <f>+Acc!BH38</f>
        <v>109847.66188352437</v>
      </c>
      <c r="BP59" s="771">
        <f>+Acc!BI38</f>
        <v>59365.175236580049</v>
      </c>
      <c r="BQ59" s="771">
        <f>+Acc!BJ38</f>
        <v>-133568.75352641862</v>
      </c>
      <c r="BR59" s="574"/>
      <c r="BS59" s="574"/>
      <c r="BT59" s="574"/>
      <c r="BU59" s="574"/>
      <c r="BV59" s="574"/>
      <c r="BW59" s="574"/>
      <c r="BX59" s="574"/>
      <c r="BY59" s="574"/>
      <c r="BZ59" s="574"/>
      <c r="CA59" s="574"/>
      <c r="CB59" s="574"/>
      <c r="CC59" s="3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0" customFormat="1" x14ac:dyDescent="0.2">
      <c r="A60" s="166"/>
      <c r="B60" s="166"/>
      <c r="C60"/>
      <c r="D60" s="96" t="s">
        <v>413</v>
      </c>
      <c r="E60" s="96"/>
      <c r="F60" s="96"/>
      <c r="G60" s="96"/>
      <c r="H60" s="96"/>
      <c r="I60" s="96"/>
      <c r="J60" s="96"/>
      <c r="K60" s="96"/>
      <c r="L60" s="96"/>
      <c r="M60" s="96"/>
      <c r="N60" s="96"/>
      <c r="O60" s="96"/>
      <c r="P60" s="96"/>
      <c r="Q60" s="96"/>
      <c r="R60" s="96"/>
      <c r="S60" s="96"/>
      <c r="T60" s="96"/>
      <c r="U60" s="96"/>
      <c r="V60" s="96"/>
      <c r="W60" s="96"/>
      <c r="X60" s="155"/>
      <c r="Y60" s="772">
        <f t="shared" ref="Y60:BQ60" si="14">+Y58-Y59</f>
        <v>1513386.5915737459</v>
      </c>
      <c r="Z60" s="772">
        <f t="shared" si="14"/>
        <v>1511408.496112274</v>
      </c>
      <c r="AA60" s="772">
        <f t="shared" si="14"/>
        <v>1490864.7187464254</v>
      </c>
      <c r="AB60" s="772">
        <f t="shared" si="14"/>
        <v>1701357.7349200798</v>
      </c>
      <c r="AC60" s="772">
        <f t="shared" si="14"/>
        <v>1697157.8364444885</v>
      </c>
      <c r="AD60" s="772">
        <f t="shared" si="14"/>
        <v>1695141.4736676493</v>
      </c>
      <c r="AE60" s="772">
        <f t="shared" si="14"/>
        <v>1695990.1700459674</v>
      </c>
      <c r="AF60" s="772">
        <f t="shared" si="14"/>
        <v>1698566.2007447747</v>
      </c>
      <c r="AG60" s="772">
        <f t="shared" si="14"/>
        <v>1703216.0670078548</v>
      </c>
      <c r="AH60" s="772">
        <f t="shared" si="14"/>
        <v>1711863.885979319</v>
      </c>
      <c r="AI60" s="772">
        <f t="shared" si="14"/>
        <v>1719122.464735928</v>
      </c>
      <c r="AJ60" s="772">
        <f t="shared" si="14"/>
        <v>1724652.484121342</v>
      </c>
      <c r="AK60" s="772">
        <f t="shared" si="14"/>
        <v>1727461.9410302918</v>
      </c>
      <c r="AL60" s="772">
        <f t="shared" si="14"/>
        <v>1726672.7585408094</v>
      </c>
      <c r="AM60" s="772">
        <f t="shared" si="14"/>
        <v>1721086.6552132822</v>
      </c>
      <c r="AN60" s="772">
        <f t="shared" si="14"/>
        <v>1716991.2684784345</v>
      </c>
      <c r="AO60" s="772">
        <f t="shared" si="14"/>
        <v>1717181.2421537174</v>
      </c>
      <c r="AP60" s="772">
        <f t="shared" si="14"/>
        <v>1724995.3497356242</v>
      </c>
      <c r="AQ60" s="772">
        <f t="shared" si="14"/>
        <v>1744030.6140494999</v>
      </c>
      <c r="AR60" s="772">
        <f t="shared" si="14"/>
        <v>1780006.3492026927</v>
      </c>
      <c r="AS60" s="772">
        <f t="shared" si="14"/>
        <v>1802531.6044378357</v>
      </c>
      <c r="AT60" s="772">
        <f t="shared" si="14"/>
        <v>1814774.1307758049</v>
      </c>
      <c r="AU60" s="772">
        <f t="shared" si="14"/>
        <v>1823837.4291162731</v>
      </c>
      <c r="AV60" s="772">
        <f t="shared" si="14"/>
        <v>1799851.681808685</v>
      </c>
      <c r="AW60" s="772">
        <f t="shared" si="14"/>
        <v>1799627.4134747777</v>
      </c>
      <c r="AX60" s="772">
        <f t="shared" si="14"/>
        <v>1801159.3743014014</v>
      </c>
      <c r="AY60" s="772">
        <f t="shared" si="14"/>
        <v>1805281.7388742073</v>
      </c>
      <c r="AZ60" s="772">
        <f t="shared" si="14"/>
        <v>1807518.1728647959</v>
      </c>
      <c r="BA60" s="772">
        <f t="shared" si="14"/>
        <v>1739945.3295851471</v>
      </c>
      <c r="BB60" s="772">
        <f t="shared" si="14"/>
        <v>1608119.4634159114</v>
      </c>
      <c r="BC60" s="772">
        <f t="shared" si="14"/>
        <v>1470463.9307521882</v>
      </c>
      <c r="BD60" s="772">
        <f t="shared" si="14"/>
        <v>1323965.0397593649</v>
      </c>
      <c r="BE60" s="772">
        <f t="shared" si="14"/>
        <v>1158889.9253268314</v>
      </c>
      <c r="BF60" s="772">
        <f t="shared" si="14"/>
        <v>964225.67185982771</v>
      </c>
      <c r="BG60" s="772">
        <f t="shared" si="14"/>
        <v>748263.52394965687</v>
      </c>
      <c r="BH60" s="772">
        <f t="shared" si="14"/>
        <v>520752.99578704959</v>
      </c>
      <c r="BI60" s="772">
        <f t="shared" si="14"/>
        <v>280447.86953486752</v>
      </c>
      <c r="BJ60" s="772">
        <f t="shared" si="14"/>
        <v>26632.243081315246</v>
      </c>
      <c r="BK60" s="772">
        <f t="shared" si="14"/>
        <v>-106444.49022896326</v>
      </c>
      <c r="BL60" s="772">
        <f t="shared" si="14"/>
        <v>-227705.27182710878</v>
      </c>
      <c r="BM60" s="772">
        <f t="shared" si="14"/>
        <v>-193331.62349544061</v>
      </c>
      <c r="BN60" s="772">
        <f t="shared" si="14"/>
        <v>-154259.77130214765</v>
      </c>
      <c r="BO60" s="772">
        <f t="shared" si="14"/>
        <v>-109847.56288352369</v>
      </c>
      <c r="BP60" s="772">
        <f t="shared" si="14"/>
        <v>-59365.076236579363</v>
      </c>
      <c r="BQ60" s="772">
        <f t="shared" si="14"/>
        <v>133568.8525264193</v>
      </c>
      <c r="BR60" s="574"/>
      <c r="BS60" s="574"/>
      <c r="BT60" s="574"/>
      <c r="BU60" s="574"/>
      <c r="BV60" s="574"/>
      <c r="BW60" s="574"/>
      <c r="BX60" s="574"/>
      <c r="BY60" s="574"/>
      <c r="BZ60" s="574"/>
      <c r="CA60" s="574"/>
      <c r="CB60" s="574"/>
      <c r="CC60" s="39"/>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10" customFormat="1" x14ac:dyDescent="0.2">
      <c r="A61" s="166"/>
      <c r="B61" s="166"/>
      <c r="C61"/>
      <c r="D61"/>
      <c r="E61"/>
      <c r="F61" s="58"/>
      <c r="G61"/>
      <c r="H61"/>
      <c r="I61"/>
      <c r="J61"/>
      <c r="K61"/>
      <c r="L61"/>
      <c r="M61"/>
      <c r="N61"/>
      <c r="O61"/>
      <c r="P61"/>
      <c r="Q61"/>
      <c r="R61"/>
      <c r="S61"/>
      <c r="T61"/>
      <c r="U61"/>
      <c r="V61"/>
      <c r="W61"/>
      <c r="X61"/>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78"/>
      <c r="BS61" s="78"/>
      <c r="BT61" s="78"/>
      <c r="BU61" s="78"/>
      <c r="BV61" s="78"/>
      <c r="BW61" s="78"/>
      <c r="BX61" s="78"/>
      <c r="BY61" s="78"/>
      <c r="BZ61" s="78"/>
      <c r="CA61" s="78"/>
      <c r="CB61" s="78"/>
      <c r="CC61" s="39"/>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0" customFormat="1" x14ac:dyDescent="0.2">
      <c r="A62" s="166"/>
      <c r="B62" s="166"/>
      <c r="C62"/>
      <c r="D62" s="55" t="s">
        <v>414</v>
      </c>
      <c r="E62"/>
      <c r="F62" s="58"/>
      <c r="G62"/>
      <c r="H62"/>
      <c r="I62"/>
      <c r="J62"/>
      <c r="K62"/>
      <c r="M62" s="769">
        <f ca="1">+Y62</f>
        <v>2221569.2740951758</v>
      </c>
      <c r="N62"/>
      <c r="O62"/>
      <c r="P62"/>
      <c r="Q62"/>
      <c r="R62"/>
      <c r="S62"/>
      <c r="T62"/>
      <c r="U62"/>
      <c r="V62"/>
      <c r="W62"/>
      <c r="X62" s="156"/>
      <c r="Y62" s="770">
        <f ca="1">+Y56-Y60</f>
        <v>2221569.2740951758</v>
      </c>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78"/>
      <c r="BS62" s="78"/>
      <c r="BT62" s="78"/>
      <c r="BU62" s="78"/>
      <c r="BV62" s="78"/>
      <c r="BW62" s="78"/>
      <c r="BX62" s="78"/>
      <c r="BY62" s="78"/>
      <c r="BZ62" s="78"/>
      <c r="CA62" s="78"/>
      <c r="CB62" s="78"/>
      <c r="CC62" s="39"/>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0" customFormat="1" x14ac:dyDescent="0.2">
      <c r="A63" s="166"/>
      <c r="B63" s="166"/>
      <c r="C63"/>
      <c r="D63"/>
      <c r="E63"/>
      <c r="F63" s="58"/>
      <c r="G63"/>
      <c r="H63"/>
      <c r="I63"/>
      <c r="J63"/>
      <c r="K63"/>
      <c r="M63" s="612"/>
      <c r="N63"/>
      <c r="O63"/>
      <c r="P63"/>
      <c r="Q63"/>
      <c r="R63"/>
      <c r="S63"/>
      <c r="T63"/>
      <c r="U63"/>
      <c r="V63"/>
      <c r="W63"/>
      <c r="X63"/>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78"/>
      <c r="BS63" s="78"/>
      <c r="BT63" s="78"/>
      <c r="BU63" s="78"/>
      <c r="BV63" s="78"/>
      <c r="BW63" s="78"/>
      <c r="BX63" s="78"/>
      <c r="BY63" s="78"/>
      <c r="BZ63" s="78"/>
      <c r="CA63" s="78"/>
      <c r="CB63" s="78"/>
      <c r="CC63" s="39"/>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10" customFormat="1" x14ac:dyDescent="0.2">
      <c r="A64" s="166"/>
      <c r="B64" s="166"/>
      <c r="C64"/>
      <c r="D64" s="55" t="s">
        <v>415</v>
      </c>
      <c r="E64"/>
      <c r="F64" s="58"/>
      <c r="G64"/>
      <c r="H64"/>
      <c r="I64"/>
      <c r="J64"/>
      <c r="K64" s="144" t="s">
        <v>63</v>
      </c>
      <c r="M64" s="769">
        <f ca="1">+Y64</f>
        <v>1213062.4515937255</v>
      </c>
      <c r="N64"/>
      <c r="O64"/>
      <c r="P64"/>
      <c r="Q64"/>
      <c r="R64"/>
      <c r="S64"/>
      <c r="T64"/>
      <c r="U64"/>
      <c r="V64"/>
      <c r="W64"/>
      <c r="X64" s="156"/>
      <c r="Y64" s="770">
        <f ca="1">+Y62*E73</f>
        <v>1213062.4515937255</v>
      </c>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78"/>
      <c r="BS64" s="78"/>
      <c r="BT64" s="78"/>
      <c r="BU64" s="78"/>
      <c r="BV64" s="78"/>
      <c r="BW64" s="78"/>
      <c r="BX64" s="78"/>
      <c r="BY64" s="78"/>
      <c r="BZ64" s="78"/>
      <c r="CA64" s="78"/>
      <c r="CB64" s="78"/>
      <c r="CC64" s="39"/>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10" customFormat="1" x14ac:dyDescent="0.2">
      <c r="A65" s="166"/>
      <c r="B65" s="166"/>
      <c r="C65"/>
      <c r="D65" s="55" t="s">
        <v>415</v>
      </c>
      <c r="E65"/>
      <c r="F65" s="58"/>
      <c r="G65"/>
      <c r="H65"/>
      <c r="I65"/>
      <c r="J65"/>
      <c r="K65" s="144" t="s">
        <v>504</v>
      </c>
      <c r="M65" s="769">
        <f ca="1">+Y65</f>
        <v>1009035.4779518596</v>
      </c>
      <c r="N65"/>
      <c r="O65"/>
      <c r="P65"/>
      <c r="Q65"/>
      <c r="R65"/>
      <c r="S65"/>
      <c r="T65"/>
      <c r="U65"/>
      <c r="V65"/>
      <c r="W65"/>
      <c r="X65" s="156"/>
      <c r="Y65" s="770">
        <f ca="1">+Y64/Inputs!L184</f>
        <v>1009035.4779518596</v>
      </c>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78"/>
      <c r="BS65" s="78"/>
      <c r="BT65" s="78"/>
      <c r="BU65" s="78"/>
      <c r="BV65" s="78"/>
      <c r="BW65" s="78"/>
      <c r="BX65" s="78"/>
      <c r="BY65" s="78"/>
      <c r="BZ65" s="78"/>
      <c r="CA65" s="78"/>
      <c r="CB65" s="78"/>
      <c r="CC65" s="39"/>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10" customFormat="1" x14ac:dyDescent="0.2">
      <c r="A66" s="166"/>
      <c r="B66" s="166"/>
      <c r="C66"/>
      <c r="D66"/>
      <c r="E66"/>
      <c r="F66" s="58"/>
      <c r="G66"/>
      <c r="H66"/>
      <c r="I66"/>
      <c r="J66"/>
      <c r="K66" s="144"/>
      <c r="L66"/>
      <c r="M66"/>
      <c r="N66"/>
      <c r="O66"/>
      <c r="P66"/>
      <c r="Q66"/>
      <c r="R66"/>
      <c r="S66"/>
      <c r="T66"/>
      <c r="U66"/>
      <c r="V66"/>
      <c r="W66"/>
      <c r="X66"/>
      <c r="Y66" s="89"/>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s="78"/>
      <c r="BS66" s="78"/>
      <c r="BT66" s="78"/>
      <c r="BU66" s="78"/>
      <c r="BV66" s="78"/>
      <c r="BW66" s="78"/>
      <c r="BX66" s="78"/>
      <c r="BY66" s="78"/>
      <c r="BZ66" s="78"/>
      <c r="CA66" s="78"/>
      <c r="CB66" s="78"/>
      <c r="CC66" s="39"/>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10" customFormat="1" x14ac:dyDescent="0.2">
      <c r="A67" s="166"/>
      <c r="B67" s="166"/>
      <c r="C67"/>
      <c r="D67" s="55" t="s">
        <v>434</v>
      </c>
      <c r="E67"/>
      <c r="F67"/>
      <c r="G67"/>
      <c r="H67"/>
      <c r="I67"/>
      <c r="J67"/>
      <c r="K67" s="144" t="s">
        <v>20</v>
      </c>
      <c r="M67" s="768">
        <v>9.3413310987038756E-2</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s="78"/>
      <c r="BS67" s="78"/>
      <c r="BT67" s="78"/>
      <c r="BU67" s="78"/>
      <c r="BV67" s="78"/>
      <c r="BW67" s="78"/>
      <c r="BX67" s="78"/>
      <c r="BY67" s="78"/>
      <c r="BZ67" s="78"/>
      <c r="CA67" s="78"/>
      <c r="CB67" s="78"/>
      <c r="CC67" s="39"/>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10" customFormat="1" x14ac:dyDescent="0.2">
      <c r="A68" s="166"/>
      <c r="B68" s="166"/>
      <c r="C68"/>
      <c r="D68"/>
      <c r="E68"/>
      <c r="F68" s="58"/>
      <c r="G68"/>
      <c r="H68"/>
      <c r="I68"/>
      <c r="J68"/>
      <c r="K68"/>
      <c r="M68" s="767">
        <f ca="1">+NPV(M67,Z72:CB72)</f>
        <v>2221569.2732363408</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s="78"/>
      <c r="BS68" s="78"/>
      <c r="BT68" s="78"/>
      <c r="BU68" s="78"/>
      <c r="BV68" s="78"/>
      <c r="BW68" s="78"/>
      <c r="BX68" s="78"/>
      <c r="BY68" s="78"/>
      <c r="BZ68" s="78"/>
      <c r="CA68" s="78"/>
      <c r="CB68" s="78"/>
      <c r="CC68" s="39"/>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10" customFormat="1" ht="16.5" x14ac:dyDescent="0.25">
      <c r="A69" s="166"/>
      <c r="B69" s="166"/>
      <c r="C69"/>
      <c r="D69" s="154" t="s">
        <v>418</v>
      </c>
      <c r="E69"/>
      <c r="F69"/>
      <c r="G69"/>
      <c r="H69"/>
      <c r="I69"/>
      <c r="J69"/>
      <c r="K69"/>
      <c r="L69" s="171"/>
      <c r="M69" s="8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s="78"/>
      <c r="BS69" s="78"/>
      <c r="BT69" s="78"/>
      <c r="BU69" s="78"/>
      <c r="BV69" s="78"/>
      <c r="BW69" s="78"/>
      <c r="BX69" s="78"/>
      <c r="BY69" s="78"/>
      <c r="BZ69" s="78"/>
      <c r="CA69" s="78"/>
      <c r="CB69" s="78"/>
      <c r="CC69" s="3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10" customFormat="1" x14ac:dyDescent="0.2">
      <c r="A70" s="166"/>
      <c r="B70" s="166"/>
      <c r="C70"/>
      <c r="D70"/>
      <c r="E70"/>
      <c r="F70"/>
      <c r="G70"/>
      <c r="H70"/>
      <c r="I70"/>
      <c r="J70"/>
      <c r="K70"/>
      <c r="L70"/>
      <c r="M70" s="89"/>
      <c r="N70"/>
      <c r="O70"/>
      <c r="P70"/>
      <c r="Q70" s="70">
        <v>40178</v>
      </c>
      <c r="R70" s="70">
        <v>40543</v>
      </c>
      <c r="S70" s="70">
        <v>40908</v>
      </c>
      <c r="T70" s="70">
        <v>41274</v>
      </c>
      <c r="U70" s="70">
        <v>41639</v>
      </c>
      <c r="V70" s="70">
        <v>42004</v>
      </c>
      <c r="W70" s="70">
        <v>42369</v>
      </c>
      <c r="X70" s="70">
        <v>42735</v>
      </c>
      <c r="Y70" s="70">
        <v>43100</v>
      </c>
      <c r="Z70" s="70">
        <v>43465</v>
      </c>
      <c r="AA70" s="70">
        <v>43830</v>
      </c>
      <c r="AB70" s="70">
        <v>44196</v>
      </c>
      <c r="AC70" s="70">
        <v>44561</v>
      </c>
      <c r="AD70" s="70">
        <v>44926</v>
      </c>
      <c r="AE70" s="70">
        <v>45291</v>
      </c>
      <c r="AF70" s="70">
        <v>45657</v>
      </c>
      <c r="AG70" s="70">
        <v>46022</v>
      </c>
      <c r="AH70" s="70">
        <v>46387</v>
      </c>
      <c r="AI70" s="70">
        <v>46752</v>
      </c>
      <c r="AJ70" s="70">
        <v>47118</v>
      </c>
      <c r="AK70" s="70">
        <v>47483</v>
      </c>
      <c r="AL70" s="70">
        <v>47848</v>
      </c>
      <c r="AM70" s="70">
        <v>48213</v>
      </c>
      <c r="AN70" s="70">
        <v>48579</v>
      </c>
      <c r="AO70" s="70">
        <v>48944</v>
      </c>
      <c r="AP70" s="70">
        <v>49309</v>
      </c>
      <c r="AQ70" s="70">
        <v>49674</v>
      </c>
      <c r="AR70" s="70">
        <v>50040</v>
      </c>
      <c r="AS70" s="70">
        <v>50405</v>
      </c>
      <c r="AT70" s="70">
        <v>50770</v>
      </c>
      <c r="AU70" s="70">
        <v>51135</v>
      </c>
      <c r="AV70" s="70">
        <v>51501</v>
      </c>
      <c r="AW70" s="70">
        <v>51866</v>
      </c>
      <c r="AX70" s="70">
        <v>52231</v>
      </c>
      <c r="AY70" s="70">
        <v>52596</v>
      </c>
      <c r="AZ70" s="70">
        <v>52962</v>
      </c>
      <c r="BA70" s="70">
        <v>53327</v>
      </c>
      <c r="BB70" s="70">
        <v>53692</v>
      </c>
      <c r="BC70" s="70">
        <v>54057</v>
      </c>
      <c r="BD70" s="70">
        <v>54423</v>
      </c>
      <c r="BE70" s="70">
        <v>54788</v>
      </c>
      <c r="BF70" s="70">
        <v>55153</v>
      </c>
      <c r="BG70" s="70">
        <v>55518</v>
      </c>
      <c r="BH70" s="70">
        <v>55884</v>
      </c>
      <c r="BI70" s="70">
        <v>56249</v>
      </c>
      <c r="BJ70" s="70">
        <v>56614</v>
      </c>
      <c r="BK70" s="70">
        <v>56979</v>
      </c>
      <c r="BL70" s="70">
        <v>57345</v>
      </c>
      <c r="BM70" s="70">
        <v>57710</v>
      </c>
      <c r="BN70" s="70">
        <v>58075</v>
      </c>
      <c r="BO70" s="70">
        <v>58440</v>
      </c>
      <c r="BP70" s="70">
        <v>58806</v>
      </c>
      <c r="BQ70" s="70">
        <v>59171</v>
      </c>
      <c r="BR70" s="70"/>
      <c r="BS70" s="70"/>
      <c r="BT70" s="70"/>
      <c r="BU70" s="70"/>
      <c r="BV70" s="70"/>
      <c r="BW70" s="70"/>
      <c r="BX70" s="70"/>
      <c r="BY70" s="70"/>
      <c r="BZ70" s="70"/>
      <c r="CA70" s="70"/>
      <c r="CB70" s="70"/>
      <c r="CC70" s="39"/>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10" customFormat="1" x14ac:dyDescent="0.2">
      <c r="A71" s="166"/>
      <c r="B71" s="166"/>
      <c r="C71"/>
      <c r="D71"/>
      <c r="E71"/>
      <c r="F71"/>
      <c r="G71"/>
      <c r="H71"/>
      <c r="I71"/>
      <c r="J71"/>
      <c r="K71"/>
      <c r="L71"/>
      <c r="M71"/>
      <c r="N71" s="57"/>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s="78"/>
      <c r="BS71" s="78"/>
      <c r="BT71" s="78"/>
      <c r="BU71" s="78"/>
      <c r="BV71" s="78"/>
      <c r="BW71" s="78"/>
      <c r="BX71" s="78"/>
      <c r="BY71" s="78"/>
      <c r="BZ71" s="78"/>
      <c r="CA71" s="78"/>
      <c r="CB71" s="78"/>
      <c r="CC71" s="39"/>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10" customFormat="1" x14ac:dyDescent="0.2">
      <c r="A72" s="166"/>
      <c r="B72" s="166"/>
      <c r="C72"/>
      <c r="D72" t="s">
        <v>383</v>
      </c>
      <c r="E72" s="766">
        <f>+Inputs!L187</f>
        <v>0.105</v>
      </c>
      <c r="F72"/>
      <c r="G72"/>
      <c r="H72"/>
      <c r="I72"/>
      <c r="J72"/>
      <c r="K72"/>
      <c r="L72"/>
      <c r="M72"/>
      <c r="N72"/>
      <c r="O72"/>
      <c r="P72"/>
      <c r="Q72" s="130"/>
      <c r="R72" s="130"/>
      <c r="S72" s="130"/>
      <c r="T72" s="130"/>
      <c r="U72" s="130"/>
      <c r="V72" s="130"/>
      <c r="W72" s="130"/>
      <c r="X72" s="765">
        <f t="shared" ref="X72:BC72" si="15">X25</f>
        <v>0</v>
      </c>
      <c r="Y72" s="765">
        <f t="shared" si="15"/>
        <v>0</v>
      </c>
      <c r="Z72" s="765">
        <f t="shared" ca="1" si="15"/>
        <v>0</v>
      </c>
      <c r="AA72" s="765">
        <f t="shared" ca="1" si="15"/>
        <v>0</v>
      </c>
      <c r="AB72" s="765">
        <f ca="1">AB25</f>
        <v>247570.44432824073</v>
      </c>
      <c r="AC72" s="765">
        <f t="shared" ca="1" si="15"/>
        <v>64936.703322905654</v>
      </c>
      <c r="AD72" s="765">
        <f t="shared" ca="1" si="15"/>
        <v>78011.140793622646</v>
      </c>
      <c r="AE72" s="765">
        <f t="shared" ca="1" si="15"/>
        <v>92920.450580530887</v>
      </c>
      <c r="AF72" s="765">
        <f t="shared" ca="1" si="15"/>
        <v>107339.34290096682</v>
      </c>
      <c r="AG72" s="765">
        <f t="shared" ca="1" si="15"/>
        <v>122549.45956404234</v>
      </c>
      <c r="AH72" s="765">
        <f t="shared" ca="1" si="15"/>
        <v>140518.74103862044</v>
      </c>
      <c r="AI72" s="765">
        <f t="shared" ca="1" si="15"/>
        <v>157987.65599825542</v>
      </c>
      <c r="AJ72" s="765">
        <f t="shared" ca="1" si="15"/>
        <v>176547.24598581297</v>
      </c>
      <c r="AK72" s="765">
        <f t="shared" ca="1" si="15"/>
        <v>195842.0839622574</v>
      </c>
      <c r="AL72" s="765">
        <f t="shared" ca="1" si="15"/>
        <v>204847.40530555969</v>
      </c>
      <c r="AM72" s="765">
        <f t="shared" ca="1" si="15"/>
        <v>236494.05309463016</v>
      </c>
      <c r="AN72" s="765">
        <f t="shared" ca="1" si="15"/>
        <v>243647.46319768505</v>
      </c>
      <c r="AO72" s="765">
        <f t="shared" ca="1" si="15"/>
        <v>236544.02457212488</v>
      </c>
      <c r="AP72" s="765">
        <f t="shared" ca="1" si="15"/>
        <v>263202.40797963541</v>
      </c>
      <c r="AQ72" s="765">
        <f t="shared" ca="1" si="15"/>
        <v>292897.67048756091</v>
      </c>
      <c r="AR72" s="765">
        <f t="shared" ca="1" si="15"/>
        <v>326985.80997156235</v>
      </c>
      <c r="AS72" s="765">
        <f t="shared" ca="1" si="15"/>
        <v>350245.61362367548</v>
      </c>
      <c r="AT72" s="765">
        <f t="shared" ca="1" si="15"/>
        <v>376590.42123540951</v>
      </c>
      <c r="AU72" s="765">
        <f t="shared" ca="1" si="15"/>
        <v>410421.17796511308</v>
      </c>
      <c r="AV72" s="765">
        <f t="shared" ca="1" si="15"/>
        <v>395772.65321178158</v>
      </c>
      <c r="AW72" s="765">
        <f t="shared" ca="1" si="15"/>
        <v>480155.29172292555</v>
      </c>
      <c r="AX72" s="765">
        <f t="shared" ca="1" si="15"/>
        <v>517604.93503235478</v>
      </c>
      <c r="AY72" s="765">
        <f t="shared" ca="1" si="15"/>
        <v>540642.38487858616</v>
      </c>
      <c r="AZ72" s="765">
        <f t="shared" ca="1" si="15"/>
        <v>566637.44423752662</v>
      </c>
      <c r="BA72" s="765">
        <f t="shared" ca="1" si="15"/>
        <v>535707.89019337995</v>
      </c>
      <c r="BB72" s="765">
        <f t="shared" ca="1" si="15"/>
        <v>513315.38452949736</v>
      </c>
      <c r="BC72" s="765">
        <f t="shared" ca="1" si="15"/>
        <v>559050.83253044821</v>
      </c>
      <c r="BD72" s="765">
        <f t="shared" ref="BD72:BQ72" ca="1" si="16">BD25</f>
        <v>605972.40421542199</v>
      </c>
      <c r="BE72" s="765">
        <f t="shared" ca="1" si="16"/>
        <v>647078.03281278559</v>
      </c>
      <c r="BF72" s="765">
        <f t="shared" ca="1" si="16"/>
        <v>666867.1306702462</v>
      </c>
      <c r="BG72" s="765">
        <f t="shared" ca="1" si="16"/>
        <v>727626.91104879684</v>
      </c>
      <c r="BH72" s="765">
        <f t="shared" ca="1" si="16"/>
        <v>787568.25999348424</v>
      </c>
      <c r="BI72" s="765">
        <f t="shared" ca="1" si="16"/>
        <v>851023.72425801354</v>
      </c>
      <c r="BJ72" s="765">
        <f t="shared" ca="1" si="16"/>
        <v>918403.09324419103</v>
      </c>
      <c r="BK72" s="765">
        <f t="shared" ca="1" si="16"/>
        <v>1125045.3171142221</v>
      </c>
      <c r="BL72" s="765">
        <f t="shared" ca="1" si="16"/>
        <v>1224558.1762767439</v>
      </c>
      <c r="BM72" s="765">
        <f t="shared" ca="1" si="16"/>
        <v>1487293.7506769267</v>
      </c>
      <c r="BN72" s="765">
        <f t="shared" ca="1" si="16"/>
        <v>1602194.9657786307</v>
      </c>
      <c r="BO72" s="765">
        <f t="shared" ca="1" si="16"/>
        <v>1725996.9914815885</v>
      </c>
      <c r="BP72" s="765">
        <f t="shared" ca="1" si="16"/>
        <v>1859349.8815465297</v>
      </c>
      <c r="BQ72" s="765">
        <f t="shared" ca="1" si="16"/>
        <v>1418516.8962536461</v>
      </c>
      <c r="BR72" s="571"/>
      <c r="BS72" s="571"/>
      <c r="BT72" s="571"/>
      <c r="BU72" s="571"/>
      <c r="BV72" s="571"/>
      <c r="BW72" s="571"/>
      <c r="BX72" s="571"/>
      <c r="BY72" s="571"/>
      <c r="BZ72" s="571"/>
      <c r="CA72" s="571"/>
      <c r="CB72" s="571"/>
      <c r="CC72" s="39"/>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10" customFormat="1" x14ac:dyDescent="0.2">
      <c r="A73" s="166"/>
      <c r="B73" s="166"/>
      <c r="C73"/>
      <c r="D73" t="s">
        <v>384</v>
      </c>
      <c r="E73" s="766">
        <f>+Inputs!L178</f>
        <v>0.54603854389721629</v>
      </c>
      <c r="F73"/>
      <c r="G73"/>
      <c r="H73"/>
      <c r="I73"/>
      <c r="J73"/>
      <c r="K73"/>
      <c r="L73"/>
      <c r="M73"/>
      <c r="N73"/>
      <c r="O73"/>
      <c r="P73"/>
      <c r="Q73"/>
      <c r="R73"/>
      <c r="S73"/>
      <c r="T73"/>
      <c r="U73"/>
      <c r="V73"/>
      <c r="W73"/>
      <c r="X73" s="142"/>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78"/>
      <c r="BS73" s="78"/>
      <c r="BT73" s="78"/>
      <c r="BU73" s="78"/>
      <c r="BV73" s="78"/>
      <c r="BW73" s="78"/>
      <c r="BX73" s="78"/>
      <c r="BY73" s="78"/>
      <c r="BZ73" s="78"/>
      <c r="CA73" s="78"/>
      <c r="CB73" s="78"/>
      <c r="CC73" s="39"/>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10" customFormat="1" x14ac:dyDescent="0.2">
      <c r="A74" s="166"/>
      <c r="B74" s="166"/>
      <c r="C74"/>
      <c r="D74"/>
      <c r="E74"/>
      <c r="F74"/>
      <c r="G74"/>
      <c r="H74"/>
      <c r="I74"/>
      <c r="J74"/>
      <c r="K74"/>
      <c r="L74" s="145"/>
      <c r="M74"/>
      <c r="N74"/>
      <c r="O74"/>
      <c r="P74"/>
      <c r="Q74"/>
      <c r="R74"/>
      <c r="S74"/>
      <c r="T74"/>
      <c r="U74"/>
      <c r="V74"/>
      <c r="W74"/>
      <c r="X74"/>
      <c r="Y74"/>
      <c r="Z74"/>
      <c r="AA74"/>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78"/>
      <c r="BS74" s="78"/>
      <c r="BT74" s="78"/>
      <c r="BU74" s="78"/>
      <c r="BV74" s="78"/>
      <c r="BW74" s="78"/>
      <c r="BX74" s="78"/>
      <c r="BY74" s="78"/>
      <c r="BZ74" s="78"/>
      <c r="CA74" s="78"/>
      <c r="CB74" s="78"/>
      <c r="CC74" s="39"/>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10" customFormat="1" x14ac:dyDescent="0.2">
      <c r="A75" s="166"/>
      <c r="B75" s="16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s="78"/>
      <c r="BS75" s="78"/>
      <c r="BT75" s="78"/>
      <c r="BU75" s="78"/>
      <c r="BV75" s="78"/>
      <c r="BW75" s="78"/>
      <c r="BX75" s="78"/>
      <c r="BY75" s="78"/>
      <c r="BZ75" s="78"/>
      <c r="CA75" s="78"/>
      <c r="CB75" s="78"/>
      <c r="CC75" s="39"/>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10" customFormat="1" x14ac:dyDescent="0.2">
      <c r="A76" s="166"/>
      <c r="B76" s="166"/>
      <c r="C76"/>
      <c r="D76" s="55" t="s">
        <v>414</v>
      </c>
      <c r="E76" s="132"/>
      <c r="H76"/>
      <c r="I76"/>
      <c r="J76"/>
      <c r="K76" s="144" t="s">
        <v>63</v>
      </c>
      <c r="M76" s="764">
        <f ca="1">+NPV($E$72,Z72:CB72)</f>
        <v>1809699.3668461679</v>
      </c>
      <c r="N76" s="170"/>
      <c r="O76"/>
      <c r="P76"/>
      <c r="Q76"/>
      <c r="R76"/>
      <c r="S76"/>
      <c r="T76"/>
      <c r="U76"/>
      <c r="V76"/>
      <c r="W76"/>
      <c r="X76"/>
      <c r="Y76"/>
      <c r="Z76"/>
      <c r="AA76"/>
      <c r="AB76" s="98"/>
      <c r="AC76" s="145"/>
      <c r="AD76"/>
      <c r="AE76"/>
      <c r="AF76"/>
      <c r="AG76"/>
      <c r="AH76" s="145"/>
      <c r="AI76"/>
      <c r="AJ76"/>
      <c r="AK76"/>
      <c r="AL76"/>
      <c r="AM76"/>
      <c r="AN76"/>
      <c r="AO76"/>
      <c r="AP76"/>
      <c r="AQ76"/>
      <c r="AR76" s="145"/>
      <c r="AS76"/>
      <c r="AT76"/>
      <c r="AU76"/>
      <c r="AV76"/>
      <c r="AW76"/>
      <c r="AX76"/>
      <c r="AY76"/>
      <c r="AZ76"/>
      <c r="BA76"/>
      <c r="BB76"/>
      <c r="BC76"/>
      <c r="BD76"/>
      <c r="BE76"/>
      <c r="BF76"/>
      <c r="BG76"/>
      <c r="BH76"/>
      <c r="BI76"/>
      <c r="BJ76"/>
      <c r="BK76"/>
      <c r="BL76"/>
      <c r="BM76"/>
      <c r="BN76"/>
      <c r="BO76"/>
      <c r="BP76"/>
      <c r="BQ76"/>
      <c r="BR76" s="78"/>
      <c r="BS76" s="78"/>
      <c r="BT76" s="78"/>
      <c r="BU76" s="78"/>
      <c r="BV76" s="78"/>
      <c r="BW76" s="78"/>
      <c r="BX76" s="78"/>
      <c r="BY76" s="78"/>
      <c r="BZ76" s="78"/>
      <c r="CA76" s="78"/>
      <c r="CB76" s="78"/>
      <c r="CC76" s="39"/>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10" customFormat="1" x14ac:dyDescent="0.2">
      <c r="A77" s="166"/>
      <c r="B77" s="166"/>
      <c r="C77"/>
      <c r="D77" s="55"/>
      <c r="E77"/>
      <c r="H77"/>
      <c r="I77"/>
      <c r="J77"/>
      <c r="K77" s="144"/>
      <c r="M77" s="164"/>
      <c r="N77"/>
      <c r="O77"/>
      <c r="P77"/>
      <c r="Q77"/>
      <c r="R77"/>
      <c r="S77"/>
      <c r="T77"/>
      <c r="U77"/>
      <c r="V77"/>
      <c r="W77"/>
      <c r="X77" s="98"/>
      <c r="Y77"/>
      <c r="Z77"/>
      <c r="AA77"/>
      <c r="AB77" s="143"/>
      <c r="AC77" s="143"/>
      <c r="AD77"/>
      <c r="AE77"/>
      <c r="AF77"/>
      <c r="AG77"/>
      <c r="AH77" s="143"/>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s="78"/>
      <c r="BS77" s="78"/>
      <c r="BT77" s="78"/>
      <c r="BU77" s="78"/>
      <c r="BV77" s="78"/>
      <c r="BW77" s="78"/>
      <c r="BX77" s="78"/>
      <c r="BY77" s="78"/>
      <c r="BZ77" s="78"/>
      <c r="CA77" s="78"/>
      <c r="CB77" s="78"/>
      <c r="CC77" s="39"/>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10" customFormat="1" x14ac:dyDescent="0.2">
      <c r="A78" s="166"/>
      <c r="B78" s="166"/>
      <c r="C78"/>
      <c r="D78" s="55" t="s">
        <v>415</v>
      </c>
      <c r="E78"/>
      <c r="H78"/>
      <c r="I78"/>
      <c r="J78"/>
      <c r="K78" s="144" t="s">
        <v>63</v>
      </c>
      <c r="M78" s="764">
        <f ca="1">+M76*E73</f>
        <v>988165.60716439586</v>
      </c>
      <c r="N78" s="171"/>
      <c r="O78"/>
      <c r="P78"/>
      <c r="Q78"/>
      <c r="R78"/>
      <c r="S78"/>
      <c r="T78"/>
      <c r="U78"/>
      <c r="V78"/>
      <c r="W78"/>
      <c r="X78" s="143"/>
      <c r="Y78" s="143"/>
      <c r="Z78" s="143"/>
      <c r="AA78" s="143"/>
      <c r="AB78" s="143"/>
      <c r="AC78" s="57"/>
      <c r="AD78" s="143"/>
      <c r="AE78" s="143"/>
      <c r="AF78" s="143"/>
      <c r="AG78" s="143"/>
      <c r="AH78" s="143"/>
      <c r="AI78" s="143"/>
      <c r="AJ78" s="143"/>
      <c r="AK78" s="143"/>
      <c r="AL78" s="143"/>
      <c r="AM78" s="143"/>
      <c r="AN78" s="143"/>
      <c r="AO78" s="143"/>
      <c r="AP78" s="143"/>
      <c r="AQ78" s="143"/>
      <c r="AR78" s="57"/>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574"/>
      <c r="BS78" s="574"/>
      <c r="BT78" s="574"/>
      <c r="BU78" s="574"/>
      <c r="BV78" s="574"/>
      <c r="BW78" s="574"/>
      <c r="BX78" s="574"/>
      <c r="BY78" s="574"/>
      <c r="BZ78" s="574"/>
      <c r="CA78" s="574"/>
      <c r="CB78" s="574"/>
      <c r="CC78" s="39"/>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10" customFormat="1" x14ac:dyDescent="0.2">
      <c r="A79" s="166"/>
      <c r="B79" s="166"/>
      <c r="C79"/>
      <c r="D79" s="55" t="s">
        <v>415</v>
      </c>
      <c r="E79"/>
      <c r="H79"/>
      <c r="I79"/>
      <c r="J79"/>
      <c r="K79" s="144" t="s">
        <v>504</v>
      </c>
      <c r="M79" s="764">
        <f ca="1">+M78/Inputs!L184</f>
        <v>821964.40456196631</v>
      </c>
      <c r="N79" s="171"/>
      <c r="O79"/>
      <c r="P79"/>
      <c r="Q79"/>
      <c r="R79"/>
      <c r="S79"/>
      <c r="T79"/>
      <c r="U79"/>
      <c r="V79"/>
      <c r="W79"/>
      <c r="X79" s="143"/>
      <c r="Y79"/>
      <c r="Z79"/>
      <c r="AA79"/>
      <c r="AB79"/>
      <c r="AC79" s="143"/>
      <c r="AD79"/>
      <c r="AE79"/>
      <c r="AF79"/>
      <c r="AG79"/>
      <c r="AH79" s="143"/>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s="78"/>
      <c r="BS79" s="78"/>
      <c r="BT79" s="78"/>
      <c r="BU79" s="78"/>
      <c r="BV79" s="78"/>
      <c r="BW79" s="78"/>
      <c r="BX79" s="78"/>
      <c r="BY79" s="78"/>
      <c r="BZ79" s="78"/>
      <c r="CA79" s="78"/>
      <c r="CB79" s="78"/>
      <c r="CC79" s="3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10" customFormat="1" x14ac:dyDescent="0.2">
      <c r="A80" s="166"/>
      <c r="B80" s="166"/>
      <c r="C80"/>
      <c r="D80"/>
      <c r="E80"/>
      <c r="F80"/>
      <c r="G80"/>
      <c r="H80"/>
      <c r="I80"/>
      <c r="J80"/>
      <c r="K80"/>
      <c r="L80"/>
      <c r="M80" s="89"/>
      <c r="N80" s="170"/>
      <c r="O80"/>
      <c r="P80"/>
      <c r="Q80"/>
      <c r="R80"/>
      <c r="S80"/>
      <c r="T80"/>
      <c r="U80"/>
      <c r="V80"/>
      <c r="W80"/>
      <c r="X80"/>
      <c r="Y80"/>
      <c r="Z80"/>
      <c r="AA80"/>
      <c r="AB80"/>
      <c r="AC80"/>
      <c r="AD80"/>
      <c r="AE80"/>
      <c r="AF80"/>
      <c r="AG80"/>
      <c r="AH80"/>
      <c r="AI80"/>
      <c r="AJ80"/>
      <c r="AK80"/>
      <c r="AL80"/>
      <c r="AM80"/>
      <c r="AN80"/>
      <c r="AO80"/>
      <c r="AP80"/>
      <c r="AQ80"/>
      <c r="AR80" s="175"/>
      <c r="AS80"/>
      <c r="AT80"/>
      <c r="AU80"/>
      <c r="AV80"/>
      <c r="AW80"/>
      <c r="AX80"/>
      <c r="AY80"/>
      <c r="AZ80"/>
      <c r="BA80"/>
      <c r="BB80"/>
      <c r="BC80"/>
      <c r="BD80"/>
      <c r="BE80"/>
      <c r="BF80"/>
      <c r="BG80"/>
      <c r="BH80"/>
      <c r="BI80"/>
      <c r="BJ80"/>
      <c r="BK80"/>
      <c r="BL80"/>
      <c r="BM80"/>
      <c r="BN80"/>
      <c r="BO80"/>
      <c r="BP80"/>
      <c r="BQ80"/>
      <c r="BR80" s="78"/>
      <c r="BS80" s="78"/>
      <c r="BT80" s="78"/>
      <c r="BU80" s="78"/>
      <c r="BV80" s="78"/>
      <c r="BW80" s="78"/>
      <c r="BX80" s="78"/>
      <c r="BY80" s="78"/>
      <c r="BZ80" s="78"/>
      <c r="CA80" s="78"/>
      <c r="CB80" s="78"/>
      <c r="CC80" s="39"/>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10" customFormat="1" x14ac:dyDescent="0.2">
      <c r="A81" s="166"/>
      <c r="B81" s="16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s="78"/>
      <c r="BS81" s="78"/>
      <c r="BT81" s="78"/>
      <c r="BU81" s="78"/>
      <c r="BV81" s="78"/>
      <c r="BW81" s="78"/>
      <c r="BX81" s="78"/>
      <c r="BY81" s="78"/>
      <c r="BZ81" s="78"/>
      <c r="CA81" s="78"/>
      <c r="CB81" s="78"/>
      <c r="CC81" s="39"/>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10" customFormat="1" x14ac:dyDescent="0.2">
      <c r="A82" s="166"/>
      <c r="B82" s="16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s="78"/>
      <c r="BS82" s="78"/>
      <c r="BT82" s="78"/>
      <c r="BU82" s="78"/>
      <c r="BV82" s="78"/>
      <c r="BW82" s="78"/>
      <c r="BX82" s="78"/>
      <c r="BY82" s="78"/>
      <c r="BZ82" s="78"/>
      <c r="CA82" s="78"/>
      <c r="CB82" s="78"/>
      <c r="CC82" s="39"/>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10" customFormat="1" x14ac:dyDescent="0.2">
      <c r="A83" s="166"/>
      <c r="B83" s="16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s="78"/>
      <c r="BS83" s="78"/>
      <c r="BT83" s="78"/>
      <c r="BU83" s="78"/>
      <c r="BV83" s="78"/>
      <c r="BW83" s="78"/>
      <c r="BX83" s="78"/>
      <c r="BY83" s="78"/>
      <c r="BZ83" s="78"/>
      <c r="CA83" s="78"/>
      <c r="CB83" s="78"/>
      <c r="CC83" s="39"/>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10" customFormat="1" x14ac:dyDescent="0.2">
      <c r="A84" s="166"/>
      <c r="B84" s="16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s="78"/>
      <c r="BS84" s="78"/>
      <c r="BT84" s="78"/>
      <c r="BU84" s="78"/>
      <c r="BV84" s="78"/>
      <c r="BW84" s="78"/>
      <c r="BX84" s="78"/>
      <c r="BY84" s="78"/>
      <c r="BZ84" s="78"/>
      <c r="CA84" s="78"/>
      <c r="CB84" s="78"/>
      <c r="CC84" s="39"/>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10" customFormat="1" x14ac:dyDescent="0.2">
      <c r="A85" s="166"/>
      <c r="B85" s="16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s="78"/>
      <c r="BS85" s="78"/>
      <c r="BT85" s="78"/>
      <c r="BU85" s="78"/>
      <c r="BV85" s="78"/>
      <c r="BW85" s="78"/>
      <c r="BX85" s="78"/>
      <c r="BY85" s="78"/>
      <c r="BZ85" s="78"/>
      <c r="CA85" s="78"/>
      <c r="CB85" s="78"/>
      <c r="CC85" s="39"/>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10" customFormat="1" x14ac:dyDescent="0.2">
      <c r="A86" s="166"/>
      <c r="B86" s="16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s="78"/>
      <c r="BS86" s="78"/>
      <c r="BT86" s="78"/>
      <c r="BU86" s="78"/>
      <c r="BV86" s="78"/>
      <c r="BW86" s="78"/>
      <c r="BX86" s="78"/>
      <c r="BY86" s="78"/>
      <c r="BZ86" s="78"/>
      <c r="CA86" s="78"/>
      <c r="CB86" s="78"/>
      <c r="CC86" s="39"/>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10" customFormat="1" x14ac:dyDescent="0.2">
      <c r="A87" s="166"/>
      <c r="B87" s="16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s="78"/>
      <c r="BS87" s="78"/>
      <c r="BT87" s="78"/>
      <c r="BU87" s="78"/>
      <c r="BV87" s="78"/>
      <c r="BW87" s="78"/>
      <c r="BX87" s="78"/>
      <c r="BY87" s="78"/>
      <c r="BZ87" s="78"/>
      <c r="CA87" s="78"/>
      <c r="CB87" s="78"/>
      <c r="CC87" s="39"/>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10" customFormat="1" x14ac:dyDescent="0.2">
      <c r="A88" s="166"/>
      <c r="B88" s="16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s="78"/>
      <c r="BS88" s="78"/>
      <c r="BT88" s="78"/>
      <c r="BU88" s="78"/>
      <c r="BV88" s="78"/>
      <c r="BW88" s="78"/>
      <c r="BX88" s="78"/>
      <c r="BY88" s="78"/>
      <c r="BZ88" s="78"/>
      <c r="CA88" s="78"/>
      <c r="CB88" s="78"/>
      <c r="CC88" s="39"/>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10" customFormat="1" x14ac:dyDescent="0.2">
      <c r="A89" s="166"/>
      <c r="B89" s="16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s="78"/>
      <c r="BS89" s="78"/>
      <c r="BT89" s="78"/>
      <c r="BU89" s="78"/>
      <c r="BV89" s="78"/>
      <c r="BW89" s="78"/>
      <c r="BX89" s="78"/>
      <c r="BY89" s="78"/>
      <c r="BZ89" s="78"/>
      <c r="CA89" s="78"/>
      <c r="CB89" s="78"/>
      <c r="CC89" s="3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10" customFormat="1" x14ac:dyDescent="0.2">
      <c r="A90" s="166"/>
      <c r="B90" s="166"/>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s="78"/>
      <c r="BS90" s="78"/>
      <c r="BT90" s="78"/>
      <c r="BU90" s="78"/>
      <c r="BV90" s="78"/>
      <c r="BW90" s="78"/>
      <c r="BX90" s="78"/>
      <c r="BY90" s="78"/>
      <c r="BZ90" s="78"/>
      <c r="CA90" s="78"/>
      <c r="CB90" s="78"/>
      <c r="CC90" s="39"/>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10" customFormat="1" x14ac:dyDescent="0.2">
      <c r="A91" s="166"/>
      <c r="B91" s="166"/>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s="78"/>
      <c r="BS91" s="78"/>
      <c r="BT91" s="78"/>
      <c r="BU91" s="78"/>
      <c r="BV91" s="78"/>
      <c r="BW91" s="78"/>
      <c r="BX91" s="78"/>
      <c r="BY91" s="78"/>
      <c r="BZ91" s="78"/>
      <c r="CA91" s="78"/>
      <c r="CB91" s="78"/>
      <c r="CC91" s="39"/>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10" customFormat="1" x14ac:dyDescent="0.2">
      <c r="A92" s="166"/>
      <c r="B92" s="166"/>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s="78"/>
      <c r="BS92" s="78"/>
      <c r="BT92" s="78"/>
      <c r="BU92" s="78"/>
      <c r="BV92" s="78"/>
      <c r="BW92" s="78"/>
      <c r="BX92" s="78"/>
      <c r="BY92" s="78"/>
      <c r="BZ92" s="78"/>
      <c r="CA92" s="78"/>
      <c r="CB92" s="78"/>
      <c r="CC92" s="39"/>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10" customFormat="1" x14ac:dyDescent="0.2">
      <c r="A93" s="166"/>
      <c r="B93" s="166"/>
      <c r="C93"/>
      <c r="D93"/>
      <c r="E93"/>
      <c r="F93"/>
      <c r="G93"/>
      <c r="H93" s="61"/>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s="78"/>
      <c r="BS93" s="78"/>
      <c r="BT93" s="78"/>
      <c r="BU93" s="78"/>
      <c r="BV93" s="78"/>
      <c r="BW93" s="78"/>
      <c r="BX93" s="78"/>
      <c r="BY93" s="78"/>
      <c r="BZ93" s="78"/>
      <c r="CA93" s="78"/>
      <c r="CB93" s="78"/>
      <c r="CC93" s="39"/>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10" customFormat="1" x14ac:dyDescent="0.2">
      <c r="A94" s="166"/>
      <c r="B94" s="166"/>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s="78"/>
      <c r="BS94" s="78"/>
      <c r="BT94" s="78"/>
      <c r="BU94" s="78"/>
      <c r="BV94" s="78"/>
      <c r="BW94" s="78"/>
      <c r="BX94" s="78"/>
      <c r="BY94" s="78"/>
      <c r="BZ94" s="78"/>
      <c r="CA94" s="78"/>
      <c r="CB94" s="78"/>
      <c r="CC94" s="39"/>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10" customFormat="1" x14ac:dyDescent="0.2">
      <c r="A95" s="166"/>
      <c r="B95" s="16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s="78"/>
      <c r="BS95" s="78"/>
      <c r="BT95" s="78"/>
      <c r="BU95" s="78"/>
      <c r="BV95" s="78"/>
      <c r="BW95" s="78"/>
      <c r="BX95" s="78"/>
      <c r="BY95" s="78"/>
      <c r="BZ95" s="78"/>
      <c r="CA95" s="78"/>
      <c r="CB95" s="78"/>
      <c r="CC95" s="39"/>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10" customFormat="1" x14ac:dyDescent="0.2">
      <c r="A96" s="166"/>
      <c r="B96" s="16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s="78"/>
      <c r="BS96" s="78"/>
      <c r="BT96" s="78"/>
      <c r="BU96" s="78"/>
      <c r="BV96" s="78"/>
      <c r="BW96" s="78"/>
      <c r="BX96" s="78"/>
      <c r="BY96" s="78"/>
      <c r="BZ96" s="78"/>
      <c r="CA96" s="78"/>
      <c r="CB96" s="78"/>
      <c r="CC96" s="39"/>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10" customFormat="1" x14ac:dyDescent="0.2">
      <c r="A97" s="166"/>
      <c r="B97" s="16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s="78"/>
      <c r="BS97" s="78"/>
      <c r="BT97" s="78"/>
      <c r="BU97" s="78"/>
      <c r="BV97" s="78"/>
      <c r="BW97" s="78"/>
      <c r="BX97" s="78"/>
      <c r="BY97" s="78"/>
      <c r="BZ97" s="78"/>
      <c r="CA97" s="78"/>
      <c r="CB97" s="78"/>
      <c r="CC97" s="39"/>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10" customFormat="1" x14ac:dyDescent="0.2">
      <c r="A98" s="166"/>
      <c r="B98" s="16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s="78"/>
      <c r="BS98" s="78"/>
      <c r="BT98" s="78"/>
      <c r="BU98" s="78"/>
      <c r="BV98" s="78"/>
      <c r="BW98" s="78"/>
      <c r="BX98" s="78"/>
      <c r="BY98" s="78"/>
      <c r="BZ98" s="78"/>
      <c r="CA98" s="78"/>
      <c r="CB98" s="78"/>
      <c r="CC98" s="39"/>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10" customFormat="1" x14ac:dyDescent="0.2">
      <c r="A99" s="166"/>
      <c r="B99" s="166"/>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s="78"/>
      <c r="BS99" s="78"/>
      <c r="BT99" s="78"/>
      <c r="BU99" s="78"/>
      <c r="BV99" s="78"/>
      <c r="BW99" s="78"/>
      <c r="BX99" s="78"/>
      <c r="BY99" s="78"/>
      <c r="BZ99" s="78"/>
      <c r="CA99" s="78"/>
      <c r="CB99" s="78"/>
      <c r="CC99" s="3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10" customFormat="1" x14ac:dyDescent="0.2">
      <c r="A100" s="166"/>
      <c r="B100" s="166"/>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s="78"/>
      <c r="BS100" s="78"/>
      <c r="BT100" s="78"/>
      <c r="BU100" s="78"/>
      <c r="BV100" s="78"/>
      <c r="BW100" s="78"/>
      <c r="BX100" s="78"/>
      <c r="BY100" s="78"/>
      <c r="BZ100" s="78"/>
      <c r="CA100" s="78"/>
      <c r="CB100" s="78"/>
      <c r="CC100" s="39"/>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10" customFormat="1" x14ac:dyDescent="0.2">
      <c r="A101" s="166"/>
      <c r="B101" s="166"/>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s="78"/>
      <c r="BS101" s="78"/>
      <c r="BT101" s="78"/>
      <c r="BU101" s="78"/>
      <c r="BV101" s="78"/>
      <c r="BW101" s="78"/>
      <c r="BX101" s="78"/>
      <c r="BY101" s="78"/>
      <c r="BZ101" s="78"/>
      <c r="CA101" s="78"/>
      <c r="CB101" s="78"/>
      <c r="CC101" s="39"/>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10" customFormat="1" x14ac:dyDescent="0.2">
      <c r="A102" s="166"/>
      <c r="B102" s="166"/>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s="78"/>
      <c r="BS102" s="78"/>
      <c r="BT102" s="78"/>
      <c r="BU102" s="78"/>
      <c r="BV102" s="78"/>
      <c r="BW102" s="78"/>
      <c r="BX102" s="78"/>
      <c r="BY102" s="78"/>
      <c r="BZ102" s="78"/>
      <c r="CA102" s="78"/>
      <c r="CB102" s="78"/>
      <c r="CC102" s="39"/>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10" customFormat="1" x14ac:dyDescent="0.2">
      <c r="A103" s="166"/>
      <c r="B103" s="166"/>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s="78"/>
      <c r="BS103" s="78"/>
      <c r="BT103" s="78"/>
      <c r="BU103" s="78"/>
      <c r="BV103" s="78"/>
      <c r="BW103" s="78"/>
      <c r="BX103" s="78"/>
      <c r="BY103" s="78"/>
      <c r="BZ103" s="78"/>
      <c r="CA103" s="78"/>
      <c r="CB103" s="78"/>
      <c r="CC103" s="39"/>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10" customFormat="1" x14ac:dyDescent="0.2">
      <c r="A104" s="166"/>
      <c r="B104" s="166"/>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s="78"/>
      <c r="BS104" s="78"/>
      <c r="BT104" s="78"/>
      <c r="BU104" s="78"/>
      <c r="BV104" s="78"/>
      <c r="BW104" s="78"/>
      <c r="BX104" s="78"/>
      <c r="BY104" s="78"/>
      <c r="BZ104" s="78"/>
      <c r="CA104" s="78"/>
      <c r="CB104" s="78"/>
      <c r="CC104" s="39"/>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10" customFormat="1" x14ac:dyDescent="0.2">
      <c r="A105" s="166"/>
      <c r="B105" s="166"/>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s="78"/>
      <c r="BS105" s="78"/>
      <c r="BT105" s="78"/>
      <c r="BU105" s="78"/>
      <c r="BV105" s="78"/>
      <c r="BW105" s="78"/>
      <c r="BX105" s="78"/>
      <c r="BY105" s="78"/>
      <c r="BZ105" s="78"/>
      <c r="CA105" s="78"/>
      <c r="CB105" s="78"/>
      <c r="CC105" s="39"/>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10" customFormat="1" x14ac:dyDescent="0.2">
      <c r="A106" s="166"/>
      <c r="B106" s="16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s="78"/>
      <c r="BS106" s="78"/>
      <c r="BT106" s="78"/>
      <c r="BU106" s="78"/>
      <c r="BV106" s="78"/>
      <c r="BW106" s="78"/>
      <c r="BX106" s="78"/>
      <c r="BY106" s="78"/>
      <c r="BZ106" s="78"/>
      <c r="CA106" s="78"/>
      <c r="CB106" s="78"/>
      <c r="CC106" s="39"/>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10" customFormat="1" x14ac:dyDescent="0.2">
      <c r="A107" s="166"/>
      <c r="B107" s="166"/>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s="78"/>
      <c r="BS107" s="78"/>
      <c r="BT107" s="78"/>
      <c r="BU107" s="78"/>
      <c r="BV107" s="78"/>
      <c r="BW107" s="78"/>
      <c r="BX107" s="78"/>
      <c r="BY107" s="78"/>
      <c r="BZ107" s="78"/>
      <c r="CA107" s="78"/>
      <c r="CB107" s="78"/>
      <c r="CC107" s="39"/>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10" customFormat="1" x14ac:dyDescent="0.2">
      <c r="A108" s="166"/>
      <c r="B108" s="166"/>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s="78"/>
      <c r="BS108" s="78"/>
      <c r="BT108" s="78"/>
      <c r="BU108" s="78"/>
      <c r="BV108" s="78"/>
      <c r="BW108" s="78"/>
      <c r="BX108" s="78"/>
      <c r="BY108" s="78"/>
      <c r="BZ108" s="78"/>
      <c r="CA108" s="78"/>
      <c r="CB108" s="78"/>
      <c r="CC108" s="39"/>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10" customFormat="1" x14ac:dyDescent="0.2">
      <c r="A109" s="166"/>
      <c r="B109" s="166"/>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s="78"/>
      <c r="BS109" s="78"/>
      <c r="BT109" s="78"/>
      <c r="BU109" s="78"/>
      <c r="BV109" s="78"/>
      <c r="BW109" s="78"/>
      <c r="BX109" s="78"/>
      <c r="BY109" s="78"/>
      <c r="BZ109" s="78"/>
      <c r="CA109" s="78"/>
      <c r="CB109" s="78"/>
      <c r="CC109" s="3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10" customFormat="1" x14ac:dyDescent="0.2">
      <c r="A110" s="166"/>
      <c r="B110" s="166"/>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s="78"/>
      <c r="BS110" s="78"/>
      <c r="BT110" s="78"/>
      <c r="BU110" s="78"/>
      <c r="BV110" s="78"/>
      <c r="BW110" s="78"/>
      <c r="BX110" s="78"/>
      <c r="BY110" s="78"/>
      <c r="BZ110" s="78"/>
      <c r="CA110" s="78"/>
      <c r="CB110" s="78"/>
      <c r="CC110" s="39"/>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10" customFormat="1" x14ac:dyDescent="0.2">
      <c r="A111" s="166"/>
      <c r="B111" s="166"/>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s="78"/>
      <c r="BS111" s="78"/>
      <c r="BT111" s="78"/>
      <c r="BU111" s="78"/>
      <c r="BV111" s="78"/>
      <c r="BW111" s="78"/>
      <c r="BX111" s="78"/>
      <c r="BY111" s="78"/>
      <c r="BZ111" s="78"/>
      <c r="CA111" s="78"/>
      <c r="CB111" s="78"/>
      <c r="CC111" s="39"/>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10" customFormat="1" x14ac:dyDescent="0.2">
      <c r="A112" s="166"/>
      <c r="B112" s="166"/>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s="78"/>
      <c r="BS112" s="78"/>
      <c r="BT112" s="78"/>
      <c r="BU112" s="78"/>
      <c r="BV112" s="78"/>
      <c r="BW112" s="78"/>
      <c r="BX112" s="78"/>
      <c r="BY112" s="78"/>
      <c r="BZ112" s="78"/>
      <c r="CA112" s="78"/>
      <c r="CB112" s="78"/>
      <c r="CC112" s="39"/>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10" customFormat="1" x14ac:dyDescent="0.2">
      <c r="A113" s="166"/>
      <c r="B113" s="166"/>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s="78"/>
      <c r="BS113" s="78"/>
      <c r="BT113" s="78"/>
      <c r="BU113" s="78"/>
      <c r="BV113" s="78"/>
      <c r="BW113" s="78"/>
      <c r="BX113" s="78"/>
      <c r="BY113" s="78"/>
      <c r="BZ113" s="78"/>
      <c r="CA113" s="78"/>
      <c r="CB113" s="78"/>
      <c r="CC113" s="39"/>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10" customFormat="1" x14ac:dyDescent="0.2">
      <c r="A114" s="166"/>
      <c r="B114" s="166"/>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s="78"/>
      <c r="BS114" s="78"/>
      <c r="BT114" s="78"/>
      <c r="BU114" s="78"/>
      <c r="BV114" s="78"/>
      <c r="BW114" s="78"/>
      <c r="BX114" s="78"/>
      <c r="BY114" s="78"/>
      <c r="BZ114" s="78"/>
      <c r="CA114" s="78"/>
      <c r="CB114" s="78"/>
      <c r="CC114" s="39"/>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10" customFormat="1" x14ac:dyDescent="0.2">
      <c r="A115" s="166"/>
      <c r="B115" s="166"/>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s="78"/>
      <c r="BS115" s="78"/>
      <c r="BT115" s="78"/>
      <c r="BU115" s="78"/>
      <c r="BV115" s="78"/>
      <c r="BW115" s="78"/>
      <c r="BX115" s="78"/>
      <c r="BY115" s="78"/>
      <c r="BZ115" s="78"/>
      <c r="CA115" s="78"/>
      <c r="CB115" s="78"/>
      <c r="CC115" s="39"/>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10" customFormat="1" x14ac:dyDescent="0.2">
      <c r="A116" s="166"/>
      <c r="B116" s="16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s="78"/>
      <c r="BS116" s="78"/>
      <c r="BT116" s="78"/>
      <c r="BU116" s="78"/>
      <c r="BV116" s="78"/>
      <c r="BW116" s="78"/>
      <c r="BX116" s="78"/>
      <c r="BY116" s="78"/>
      <c r="BZ116" s="78"/>
      <c r="CA116" s="78"/>
      <c r="CB116" s="78"/>
      <c r="CC116" s="39"/>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10" customFormat="1" x14ac:dyDescent="0.2">
      <c r="A117" s="166"/>
      <c r="B117" s="166"/>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s="78"/>
      <c r="BS117" s="78"/>
      <c r="BT117" s="78"/>
      <c r="BU117" s="78"/>
      <c r="BV117" s="78"/>
      <c r="BW117" s="78"/>
      <c r="BX117" s="78"/>
      <c r="BY117" s="78"/>
      <c r="BZ117" s="78"/>
      <c r="CA117" s="78"/>
      <c r="CB117" s="78"/>
      <c r="CC117" s="39"/>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10" customFormat="1" x14ac:dyDescent="0.2">
      <c r="A118" s="166"/>
      <c r="B118" s="166"/>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s="78"/>
      <c r="BS118" s="78"/>
      <c r="BT118" s="78"/>
      <c r="BU118" s="78"/>
      <c r="BV118" s="78"/>
      <c r="BW118" s="78"/>
      <c r="BX118" s="78"/>
      <c r="BY118" s="78"/>
      <c r="BZ118" s="78"/>
      <c r="CA118" s="78"/>
      <c r="CB118" s="78"/>
      <c r="CC118" s="39"/>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10" customFormat="1" x14ac:dyDescent="0.2">
      <c r="A119" s="166"/>
      <c r="B119" s="166"/>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s="78"/>
      <c r="BS119" s="78"/>
      <c r="BT119" s="78"/>
      <c r="BU119" s="78"/>
      <c r="BV119" s="78"/>
      <c r="BW119" s="78"/>
      <c r="BX119" s="78"/>
      <c r="BY119" s="78"/>
      <c r="BZ119" s="78"/>
      <c r="CA119" s="78"/>
      <c r="CB119" s="78"/>
      <c r="CC119" s="3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10" customFormat="1" x14ac:dyDescent="0.2">
      <c r="A120" s="166"/>
      <c r="B120" s="166"/>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s="78"/>
      <c r="BS120" s="78"/>
      <c r="BT120" s="78"/>
      <c r="BU120" s="78"/>
      <c r="BV120" s="78"/>
      <c r="BW120" s="78"/>
      <c r="BX120" s="78"/>
      <c r="BY120" s="78"/>
      <c r="BZ120" s="78"/>
      <c r="CA120" s="78"/>
      <c r="CB120" s="78"/>
      <c r="CC120" s="39"/>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10" customFormat="1" x14ac:dyDescent="0.2">
      <c r="A121" s="166"/>
      <c r="B121" s="166"/>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s="78"/>
      <c r="BS121" s="78"/>
      <c r="BT121" s="78"/>
      <c r="BU121" s="78"/>
      <c r="BV121" s="78"/>
      <c r="BW121" s="78"/>
      <c r="BX121" s="78"/>
      <c r="BY121" s="78"/>
      <c r="BZ121" s="78"/>
      <c r="CA121" s="78"/>
      <c r="CB121" s="78"/>
      <c r="CC121" s="39"/>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10" customFormat="1" x14ac:dyDescent="0.2">
      <c r="A122" s="166"/>
      <c r="B122" s="166"/>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s="78"/>
      <c r="BS122" s="78"/>
      <c r="BT122" s="78"/>
      <c r="BU122" s="78"/>
      <c r="BV122" s="78"/>
      <c r="BW122" s="78"/>
      <c r="BX122" s="78"/>
      <c r="BY122" s="78"/>
      <c r="BZ122" s="78"/>
      <c r="CA122" s="78"/>
      <c r="CB122" s="78"/>
      <c r="CC122" s="39"/>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10" customFormat="1" x14ac:dyDescent="0.2">
      <c r="A123" s="166"/>
      <c r="B123" s="166"/>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s="78"/>
      <c r="BS123" s="78"/>
      <c r="BT123" s="78"/>
      <c r="BU123" s="78"/>
      <c r="BV123" s="78"/>
      <c r="BW123" s="78"/>
      <c r="BX123" s="78"/>
      <c r="BY123" s="78"/>
      <c r="BZ123" s="78"/>
      <c r="CA123" s="78"/>
      <c r="CB123" s="78"/>
      <c r="CC123" s="39"/>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10" customFormat="1" x14ac:dyDescent="0.2">
      <c r="A124" s="166"/>
      <c r="B124" s="166"/>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s="78"/>
      <c r="BS124" s="78"/>
      <c r="BT124" s="78"/>
      <c r="BU124" s="78"/>
      <c r="BV124" s="78"/>
      <c r="BW124" s="78"/>
      <c r="BX124" s="78"/>
      <c r="BY124" s="78"/>
      <c r="BZ124" s="78"/>
      <c r="CA124" s="78"/>
      <c r="CB124" s="78"/>
      <c r="CC124" s="39"/>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10" customFormat="1" x14ac:dyDescent="0.2">
      <c r="A125" s="166"/>
      <c r="B125" s="166"/>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s="78"/>
      <c r="BS125" s="78"/>
      <c r="BT125" s="78"/>
      <c r="BU125" s="78"/>
      <c r="BV125" s="78"/>
      <c r="BW125" s="78"/>
      <c r="BX125" s="78"/>
      <c r="BY125" s="78"/>
      <c r="BZ125" s="78"/>
      <c r="CA125" s="78"/>
      <c r="CB125" s="78"/>
      <c r="CC125" s="39"/>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10" customFormat="1" x14ac:dyDescent="0.2">
      <c r="A126" s="166"/>
      <c r="B126" s="16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s="78"/>
      <c r="BS126" s="78"/>
      <c r="BT126" s="78"/>
      <c r="BU126" s="78"/>
      <c r="BV126" s="78"/>
      <c r="BW126" s="78"/>
      <c r="BX126" s="78"/>
      <c r="BY126" s="78"/>
      <c r="BZ126" s="78"/>
      <c r="CA126" s="78"/>
      <c r="CB126" s="78"/>
      <c r="CC126" s="39"/>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10" customFormat="1" x14ac:dyDescent="0.2">
      <c r="A127" s="166"/>
      <c r="B127" s="166"/>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s="78"/>
      <c r="BS127" s="78"/>
      <c r="BT127" s="78"/>
      <c r="BU127" s="78"/>
      <c r="BV127" s="78"/>
      <c r="BW127" s="78"/>
      <c r="BX127" s="78"/>
      <c r="BY127" s="78"/>
      <c r="BZ127" s="78"/>
      <c r="CA127" s="78"/>
      <c r="CB127" s="78"/>
      <c r="CC127" s="39"/>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10" customFormat="1" x14ac:dyDescent="0.2">
      <c r="A128" s="166"/>
      <c r="B128" s="166"/>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s="78"/>
      <c r="BS128" s="78"/>
      <c r="BT128" s="78"/>
      <c r="BU128" s="78"/>
      <c r="BV128" s="78"/>
      <c r="BW128" s="78"/>
      <c r="BX128" s="78"/>
      <c r="BY128" s="78"/>
      <c r="BZ128" s="78"/>
      <c r="CA128" s="78"/>
      <c r="CB128" s="78"/>
      <c r="CC128" s="39"/>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10" customFormat="1" x14ac:dyDescent="0.2">
      <c r="A129" s="166"/>
      <c r="B129" s="166"/>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s="78"/>
      <c r="BS129" s="78"/>
      <c r="BT129" s="78"/>
      <c r="BU129" s="78"/>
      <c r="BV129" s="78"/>
      <c r="BW129" s="78"/>
      <c r="BX129" s="78"/>
      <c r="BY129" s="78"/>
      <c r="BZ129" s="78"/>
      <c r="CA129" s="78"/>
      <c r="CB129" s="78"/>
      <c r="CC129" s="3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10" customFormat="1" x14ac:dyDescent="0.2">
      <c r="A130" s="166"/>
      <c r="B130" s="166"/>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s="78"/>
      <c r="BS130" s="78"/>
      <c r="BT130" s="78"/>
      <c r="BU130" s="78"/>
      <c r="BV130" s="78"/>
      <c r="BW130" s="78"/>
      <c r="BX130" s="78"/>
      <c r="BY130" s="78"/>
      <c r="BZ130" s="78"/>
      <c r="CA130" s="78"/>
      <c r="CB130" s="78"/>
      <c r="CC130" s="39"/>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10" customFormat="1" x14ac:dyDescent="0.2">
      <c r="A131" s="166"/>
      <c r="B131" s="166"/>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s="78"/>
      <c r="BS131" s="78"/>
      <c r="BT131" s="78"/>
      <c r="BU131" s="78"/>
      <c r="BV131" s="78"/>
      <c r="BW131" s="78"/>
      <c r="BX131" s="78"/>
      <c r="BY131" s="78"/>
      <c r="BZ131" s="78"/>
      <c r="CA131" s="78"/>
      <c r="CB131" s="78"/>
      <c r="CC131" s="39"/>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10" customFormat="1" x14ac:dyDescent="0.2">
      <c r="A132" s="166"/>
      <c r="B132" s="166"/>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s="78"/>
      <c r="BS132" s="78"/>
      <c r="BT132" s="78"/>
      <c r="BU132" s="78"/>
      <c r="BV132" s="78"/>
      <c r="BW132" s="78"/>
      <c r="BX132" s="78"/>
      <c r="BY132" s="78"/>
      <c r="BZ132" s="78"/>
      <c r="CA132" s="78"/>
      <c r="CB132" s="78"/>
      <c r="CC132" s="39"/>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10" customFormat="1" x14ac:dyDescent="0.2">
      <c r="A133" s="166"/>
      <c r="B133" s="166"/>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s="78"/>
      <c r="BS133" s="78"/>
      <c r="BT133" s="78"/>
      <c r="BU133" s="78"/>
      <c r="BV133" s="78"/>
      <c r="BW133" s="78"/>
      <c r="BX133" s="78"/>
      <c r="BY133" s="78"/>
      <c r="BZ133" s="78"/>
      <c r="CA133" s="78"/>
      <c r="CB133" s="78"/>
      <c r="CC133" s="39"/>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10" customFormat="1" x14ac:dyDescent="0.2">
      <c r="A134" s="166"/>
      <c r="B134" s="166"/>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s="78"/>
      <c r="BS134" s="78"/>
      <c r="BT134" s="78"/>
      <c r="BU134" s="78"/>
      <c r="BV134" s="78"/>
      <c r="BW134" s="78"/>
      <c r="BX134" s="78"/>
      <c r="BY134" s="78"/>
      <c r="BZ134" s="78"/>
      <c r="CA134" s="78"/>
      <c r="CB134" s="78"/>
      <c r="CC134" s="39"/>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10" customFormat="1" x14ac:dyDescent="0.2">
      <c r="A135" s="166"/>
      <c r="B135" s="166"/>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s="78"/>
      <c r="BS135" s="78"/>
      <c r="BT135" s="78"/>
      <c r="BU135" s="78"/>
      <c r="BV135" s="78"/>
      <c r="BW135" s="78"/>
      <c r="BX135" s="78"/>
      <c r="BY135" s="78"/>
      <c r="BZ135" s="78"/>
      <c r="CA135" s="78"/>
      <c r="CB135" s="78"/>
      <c r="CC135" s="39"/>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10" customFormat="1" x14ac:dyDescent="0.2">
      <c r="A136" s="166"/>
      <c r="B136" s="16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s="78"/>
      <c r="BS136" s="78"/>
      <c r="BT136" s="78"/>
      <c r="BU136" s="78"/>
      <c r="BV136" s="78"/>
      <c r="BW136" s="78"/>
      <c r="BX136" s="78"/>
      <c r="BY136" s="78"/>
      <c r="BZ136" s="78"/>
      <c r="CA136" s="78"/>
      <c r="CB136" s="78"/>
      <c r="CC136" s="39"/>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10" customFormat="1" x14ac:dyDescent="0.2">
      <c r="A137" s="166"/>
      <c r="B137" s="166"/>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s="78"/>
      <c r="BS137" s="78"/>
      <c r="BT137" s="78"/>
      <c r="BU137" s="78"/>
      <c r="BV137" s="78"/>
      <c r="BW137" s="78"/>
      <c r="BX137" s="78"/>
      <c r="BY137" s="78"/>
      <c r="BZ137" s="78"/>
      <c r="CA137" s="78"/>
      <c r="CB137" s="78"/>
      <c r="CC137" s="39"/>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10" customFormat="1" x14ac:dyDescent="0.2">
      <c r="A138" s="166"/>
      <c r="B138" s="166"/>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s="78"/>
      <c r="BS138" s="78"/>
      <c r="BT138" s="78"/>
      <c r="BU138" s="78"/>
      <c r="BV138" s="78"/>
      <c r="BW138" s="78"/>
      <c r="BX138" s="78"/>
      <c r="BY138" s="78"/>
      <c r="BZ138" s="78"/>
      <c r="CA138" s="78"/>
      <c r="CB138" s="78"/>
      <c r="CC138" s="39"/>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10" customFormat="1" x14ac:dyDescent="0.2">
      <c r="A139" s="166"/>
      <c r="B139" s="166"/>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s="78"/>
      <c r="BS139" s="78"/>
      <c r="BT139" s="78"/>
      <c r="BU139" s="78"/>
      <c r="BV139" s="78"/>
      <c r="BW139" s="78"/>
      <c r="BX139" s="78"/>
      <c r="BY139" s="78"/>
      <c r="BZ139" s="78"/>
      <c r="CA139" s="78"/>
      <c r="CB139" s="78"/>
      <c r="CC139" s="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10" customFormat="1" x14ac:dyDescent="0.2">
      <c r="A140" s="166"/>
      <c r="B140" s="166"/>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s="78"/>
      <c r="BS140" s="78"/>
      <c r="BT140" s="78"/>
      <c r="BU140" s="78"/>
      <c r="BV140" s="78"/>
      <c r="BW140" s="78"/>
      <c r="BX140" s="78"/>
      <c r="BY140" s="78"/>
      <c r="BZ140" s="78"/>
      <c r="CA140" s="78"/>
      <c r="CB140" s="78"/>
      <c r="CC140" s="39"/>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10" customFormat="1" x14ac:dyDescent="0.2">
      <c r="A141" s="166"/>
      <c r="B141" s="166"/>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s="78"/>
      <c r="BS141" s="78"/>
      <c r="BT141" s="78"/>
      <c r="BU141" s="78"/>
      <c r="BV141" s="78"/>
      <c r="BW141" s="78"/>
      <c r="BX141" s="78"/>
      <c r="BY141" s="78"/>
      <c r="BZ141" s="78"/>
      <c r="CA141" s="78"/>
      <c r="CB141" s="78"/>
      <c r="CC141" s="39"/>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10" customFormat="1" x14ac:dyDescent="0.2">
      <c r="A142" s="166"/>
      <c r="B142" s="166"/>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s="78"/>
      <c r="BS142" s="78"/>
      <c r="BT142" s="78"/>
      <c r="BU142" s="78"/>
      <c r="BV142" s="78"/>
      <c r="BW142" s="78"/>
      <c r="BX142" s="78"/>
      <c r="BY142" s="78"/>
      <c r="BZ142" s="78"/>
      <c r="CA142" s="78"/>
      <c r="CB142" s="78"/>
      <c r="CC142" s="39"/>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10" customFormat="1" x14ac:dyDescent="0.2">
      <c r="A143" s="166"/>
      <c r="B143" s="166"/>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s="78"/>
      <c r="BS143" s="78"/>
      <c r="BT143" s="78"/>
      <c r="BU143" s="78"/>
      <c r="BV143" s="78"/>
      <c r="BW143" s="78"/>
      <c r="BX143" s="78"/>
      <c r="BY143" s="78"/>
      <c r="BZ143" s="78"/>
      <c r="CA143" s="78"/>
      <c r="CB143" s="78"/>
      <c r="CC143" s="39"/>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10" customFormat="1" x14ac:dyDescent="0.2">
      <c r="A144" s="166"/>
      <c r="B144" s="166"/>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s="78"/>
      <c r="BS144" s="78"/>
      <c r="BT144" s="78"/>
      <c r="BU144" s="78"/>
      <c r="BV144" s="78"/>
      <c r="BW144" s="78"/>
      <c r="BX144" s="78"/>
      <c r="BY144" s="78"/>
      <c r="BZ144" s="78"/>
      <c r="CA144" s="78"/>
      <c r="CB144" s="78"/>
      <c r="CC144" s="39"/>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10" customFormat="1" x14ac:dyDescent="0.2">
      <c r="A145" s="166"/>
      <c r="B145" s="166"/>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s="78"/>
      <c r="BS145" s="78"/>
      <c r="BT145" s="78"/>
      <c r="BU145" s="78"/>
      <c r="BV145" s="78"/>
      <c r="BW145" s="78"/>
      <c r="BX145" s="78"/>
      <c r="BY145" s="78"/>
      <c r="BZ145" s="78"/>
      <c r="CA145" s="78"/>
      <c r="CB145" s="78"/>
      <c r="CC145" s="39"/>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10" customFormat="1" x14ac:dyDescent="0.2">
      <c r="A146" s="166"/>
      <c r="B146" s="16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s="78"/>
      <c r="BS146" s="78"/>
      <c r="BT146" s="78"/>
      <c r="BU146" s="78"/>
      <c r="BV146" s="78"/>
      <c r="BW146" s="78"/>
      <c r="BX146" s="78"/>
      <c r="BY146" s="78"/>
      <c r="BZ146" s="78"/>
      <c r="CA146" s="78"/>
      <c r="CB146" s="78"/>
      <c r="CC146" s="39"/>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10" customFormat="1" x14ac:dyDescent="0.2">
      <c r="A147" s="166"/>
      <c r="B147" s="166"/>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s="78"/>
      <c r="BS147" s="78"/>
      <c r="BT147" s="78"/>
      <c r="BU147" s="78"/>
      <c r="BV147" s="78"/>
      <c r="BW147" s="78"/>
      <c r="BX147" s="78"/>
      <c r="BY147" s="78"/>
      <c r="BZ147" s="78"/>
      <c r="CA147" s="78"/>
      <c r="CB147" s="78"/>
      <c r="CC147" s="39"/>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10" customFormat="1" x14ac:dyDescent="0.2">
      <c r="A148" s="166"/>
      <c r="B148" s="166"/>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s="78"/>
      <c r="BS148" s="78"/>
      <c r="BT148" s="78"/>
      <c r="BU148" s="78"/>
      <c r="BV148" s="78"/>
      <c r="BW148" s="78"/>
      <c r="BX148" s="78"/>
      <c r="BY148" s="78"/>
      <c r="BZ148" s="78"/>
      <c r="CA148" s="78"/>
      <c r="CB148" s="78"/>
      <c r="CC148" s="39"/>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10" customFormat="1" x14ac:dyDescent="0.2">
      <c r="A149" s="166"/>
      <c r="B149" s="166"/>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s="78"/>
      <c r="BS149" s="78"/>
      <c r="BT149" s="78"/>
      <c r="BU149" s="78"/>
      <c r="BV149" s="78"/>
      <c r="BW149" s="78"/>
      <c r="BX149" s="78"/>
      <c r="BY149" s="78"/>
      <c r="BZ149" s="78"/>
      <c r="CA149" s="78"/>
      <c r="CB149" s="78"/>
      <c r="CC149" s="3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10" customFormat="1" x14ac:dyDescent="0.2">
      <c r="A150" s="166"/>
      <c r="B150" s="166"/>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s="78"/>
      <c r="BS150" s="78"/>
      <c r="BT150" s="78"/>
      <c r="BU150" s="78"/>
      <c r="BV150" s="78"/>
      <c r="BW150" s="78"/>
      <c r="BX150" s="78"/>
      <c r="BY150" s="78"/>
      <c r="BZ150" s="78"/>
      <c r="CA150" s="78"/>
      <c r="CB150" s="78"/>
      <c r="CC150" s="39"/>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10" customFormat="1" x14ac:dyDescent="0.2">
      <c r="A151" s="166"/>
      <c r="B151" s="166"/>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s="78"/>
      <c r="BS151" s="78"/>
      <c r="BT151" s="78"/>
      <c r="BU151" s="78"/>
      <c r="BV151" s="78"/>
      <c r="BW151" s="78"/>
      <c r="BX151" s="78"/>
      <c r="BY151" s="78"/>
      <c r="BZ151" s="78"/>
      <c r="CA151" s="78"/>
      <c r="CB151" s="78"/>
      <c r="CC151" s="39"/>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10" customFormat="1" x14ac:dyDescent="0.2">
      <c r="A152" s="166"/>
      <c r="B152" s="166"/>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s="78"/>
      <c r="BS152" s="78"/>
      <c r="BT152" s="78"/>
      <c r="BU152" s="78"/>
      <c r="BV152" s="78"/>
      <c r="BW152" s="78"/>
      <c r="BX152" s="78"/>
      <c r="BY152" s="78"/>
      <c r="BZ152" s="78"/>
      <c r="CA152" s="78"/>
      <c r="CB152" s="78"/>
      <c r="CC152" s="39"/>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10" customFormat="1" x14ac:dyDescent="0.2">
      <c r="A153" s="166"/>
      <c r="B153" s="166"/>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s="78"/>
      <c r="BS153" s="78"/>
      <c r="BT153" s="78"/>
      <c r="BU153" s="78"/>
      <c r="BV153" s="78"/>
      <c r="BW153" s="78"/>
      <c r="BX153" s="78"/>
      <c r="BY153" s="78"/>
      <c r="BZ153" s="78"/>
      <c r="CA153" s="78"/>
      <c r="CB153" s="78"/>
      <c r="CC153" s="39"/>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10" customFormat="1" x14ac:dyDescent="0.2">
      <c r="A154" s="166"/>
      <c r="B154" s="166"/>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s="78"/>
      <c r="BS154" s="78"/>
      <c r="BT154" s="78"/>
      <c r="BU154" s="78"/>
      <c r="BV154" s="78"/>
      <c r="BW154" s="78"/>
      <c r="BX154" s="78"/>
      <c r="BY154" s="78"/>
      <c r="BZ154" s="78"/>
      <c r="CA154" s="78"/>
      <c r="CB154" s="78"/>
      <c r="CC154" s="39"/>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10" customFormat="1" x14ac:dyDescent="0.2">
      <c r="A155" s="166"/>
      <c r="B155" s="166"/>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s="78"/>
      <c r="BS155" s="78"/>
      <c r="BT155" s="78"/>
      <c r="BU155" s="78"/>
      <c r="BV155" s="78"/>
      <c r="BW155" s="78"/>
      <c r="BX155" s="78"/>
      <c r="BY155" s="78"/>
      <c r="BZ155" s="78"/>
      <c r="CA155" s="78"/>
      <c r="CB155" s="78"/>
      <c r="CC155" s="39"/>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10" customFormat="1" x14ac:dyDescent="0.2">
      <c r="A156" s="166"/>
      <c r="B156" s="16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s="78"/>
      <c r="BS156" s="78"/>
      <c r="BT156" s="78"/>
      <c r="BU156" s="78"/>
      <c r="BV156" s="78"/>
      <c r="BW156" s="78"/>
      <c r="BX156" s="78"/>
      <c r="BY156" s="78"/>
      <c r="BZ156" s="78"/>
      <c r="CA156" s="78"/>
      <c r="CB156" s="78"/>
      <c r="CC156" s="39"/>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10" customFormat="1" x14ac:dyDescent="0.2">
      <c r="A157" s="166"/>
      <c r="B157" s="166"/>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s="78"/>
      <c r="BS157" s="78"/>
      <c r="BT157" s="78"/>
      <c r="BU157" s="78"/>
      <c r="BV157" s="78"/>
      <c r="BW157" s="78"/>
      <c r="BX157" s="78"/>
      <c r="BY157" s="78"/>
      <c r="BZ157" s="78"/>
      <c r="CA157" s="78"/>
      <c r="CB157" s="78"/>
      <c r="CC157" s="39"/>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10" customFormat="1" x14ac:dyDescent="0.2">
      <c r="A158" s="166"/>
      <c r="B158" s="166"/>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s="78"/>
      <c r="BS158" s="78"/>
      <c r="BT158" s="78"/>
      <c r="BU158" s="78"/>
      <c r="BV158" s="78"/>
      <c r="BW158" s="78"/>
      <c r="BX158" s="78"/>
      <c r="BY158" s="78"/>
      <c r="BZ158" s="78"/>
      <c r="CA158" s="78"/>
      <c r="CB158" s="78"/>
      <c r="CC158" s="39"/>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10" customFormat="1" x14ac:dyDescent="0.2">
      <c r="A159" s="166"/>
      <c r="B159" s="166"/>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s="78"/>
      <c r="BS159" s="78"/>
      <c r="BT159" s="78"/>
      <c r="BU159" s="78"/>
      <c r="BV159" s="78"/>
      <c r="BW159" s="78"/>
      <c r="BX159" s="78"/>
      <c r="BY159" s="78"/>
      <c r="BZ159" s="78"/>
      <c r="CA159" s="78"/>
      <c r="CB159" s="78"/>
      <c r="CC159" s="3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10" customFormat="1" x14ac:dyDescent="0.2">
      <c r="A160" s="166"/>
      <c r="B160" s="166"/>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s="78"/>
      <c r="BS160" s="78"/>
      <c r="BT160" s="78"/>
      <c r="BU160" s="78"/>
      <c r="BV160" s="78"/>
      <c r="BW160" s="78"/>
      <c r="BX160" s="78"/>
      <c r="BY160" s="78"/>
      <c r="BZ160" s="78"/>
      <c r="CA160" s="78"/>
      <c r="CB160" s="78"/>
      <c r="CC160" s="39"/>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10" customFormat="1" x14ac:dyDescent="0.2">
      <c r="A161" s="166"/>
      <c r="B161" s="166"/>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s="78"/>
      <c r="BS161" s="78"/>
      <c r="BT161" s="78"/>
      <c r="BU161" s="78"/>
      <c r="BV161" s="78"/>
      <c r="BW161" s="78"/>
      <c r="BX161" s="78"/>
      <c r="BY161" s="78"/>
      <c r="BZ161" s="78"/>
      <c r="CA161" s="78"/>
      <c r="CB161" s="78"/>
      <c r="CC161" s="39"/>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10" customFormat="1" x14ac:dyDescent="0.2">
      <c r="A162" s="166"/>
      <c r="B162" s="166"/>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s="78"/>
      <c r="BS162" s="78"/>
      <c r="BT162" s="78"/>
      <c r="BU162" s="78"/>
      <c r="BV162" s="78"/>
      <c r="BW162" s="78"/>
      <c r="BX162" s="78"/>
      <c r="BY162" s="78"/>
      <c r="BZ162" s="78"/>
      <c r="CA162" s="78"/>
      <c r="CB162" s="78"/>
      <c r="CC162" s="39"/>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10" customFormat="1" x14ac:dyDescent="0.2">
      <c r="A163" s="166"/>
      <c r="B163" s="166"/>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s="78"/>
      <c r="BS163" s="78"/>
      <c r="BT163" s="78"/>
      <c r="BU163" s="78"/>
      <c r="BV163" s="78"/>
      <c r="BW163" s="78"/>
      <c r="BX163" s="78"/>
      <c r="BY163" s="78"/>
      <c r="BZ163" s="78"/>
      <c r="CA163" s="78"/>
      <c r="CB163" s="78"/>
      <c r="CC163" s="39"/>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10" customFormat="1" x14ac:dyDescent="0.2">
      <c r="A164" s="166"/>
      <c r="B164" s="166"/>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s="78"/>
      <c r="BS164" s="78"/>
      <c r="BT164" s="78"/>
      <c r="BU164" s="78"/>
      <c r="BV164" s="78"/>
      <c r="BW164" s="78"/>
      <c r="BX164" s="78"/>
      <c r="BY164" s="78"/>
      <c r="BZ164" s="78"/>
      <c r="CA164" s="78"/>
      <c r="CB164" s="78"/>
      <c r="CC164" s="39"/>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10" customFormat="1" x14ac:dyDescent="0.2">
      <c r="A165" s="166"/>
      <c r="B165" s="166"/>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s="78"/>
      <c r="BS165" s="78"/>
      <c r="BT165" s="78"/>
      <c r="BU165" s="78"/>
      <c r="BV165" s="78"/>
      <c r="BW165" s="78"/>
      <c r="BX165" s="78"/>
      <c r="BY165" s="78"/>
      <c r="BZ165" s="78"/>
      <c r="CA165" s="78"/>
      <c r="CB165" s="78"/>
      <c r="CC165" s="39"/>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10" customFormat="1" x14ac:dyDescent="0.2">
      <c r="A166" s="166"/>
      <c r="B166" s="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s="78"/>
      <c r="BS166" s="78"/>
      <c r="BT166" s="78"/>
      <c r="BU166" s="78"/>
      <c r="BV166" s="78"/>
      <c r="BW166" s="78"/>
      <c r="BX166" s="78"/>
      <c r="BY166" s="78"/>
      <c r="BZ166" s="78"/>
      <c r="CA166" s="78"/>
      <c r="CB166" s="78"/>
      <c r="CC166" s="39"/>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10" customFormat="1" x14ac:dyDescent="0.2">
      <c r="A167" s="166"/>
      <c r="B167" s="166"/>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s="78"/>
      <c r="BS167" s="78"/>
      <c r="BT167" s="78"/>
      <c r="BU167" s="78"/>
      <c r="BV167" s="78"/>
      <c r="BW167" s="78"/>
      <c r="BX167" s="78"/>
      <c r="BY167" s="78"/>
      <c r="BZ167" s="78"/>
      <c r="CA167" s="78"/>
      <c r="CB167" s="78"/>
      <c r="CC167" s="39"/>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10" customFormat="1" x14ac:dyDescent="0.2">
      <c r="A168" s="166"/>
      <c r="B168" s="166"/>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s="78"/>
      <c r="BS168" s="78"/>
      <c r="BT168" s="78"/>
      <c r="BU168" s="78"/>
      <c r="BV168" s="78"/>
      <c r="BW168" s="78"/>
      <c r="BX168" s="78"/>
      <c r="BY168" s="78"/>
      <c r="BZ168" s="78"/>
      <c r="CA168" s="78"/>
      <c r="CB168" s="78"/>
      <c r="CC168" s="39"/>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10" customFormat="1" x14ac:dyDescent="0.2">
      <c r="A169" s="166"/>
      <c r="B169" s="166"/>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s="78"/>
      <c r="BS169" s="78"/>
      <c r="BT169" s="78"/>
      <c r="BU169" s="78"/>
      <c r="BV169" s="78"/>
      <c r="BW169" s="78"/>
      <c r="BX169" s="78"/>
      <c r="BY169" s="78"/>
      <c r="BZ169" s="78"/>
      <c r="CA169" s="78"/>
      <c r="CB169" s="78"/>
      <c r="CC169" s="3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10" customFormat="1" x14ac:dyDescent="0.2">
      <c r="A170" s="166"/>
      <c r="B170" s="166"/>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s="78"/>
      <c r="BS170" s="78"/>
      <c r="BT170" s="78"/>
      <c r="BU170" s="78"/>
      <c r="BV170" s="78"/>
      <c r="BW170" s="78"/>
      <c r="BX170" s="78"/>
      <c r="BY170" s="78"/>
      <c r="BZ170" s="78"/>
      <c r="CA170" s="78"/>
      <c r="CB170" s="78"/>
      <c r="CC170" s="39"/>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10" customFormat="1" x14ac:dyDescent="0.2">
      <c r="A171" s="166"/>
      <c r="B171" s="166"/>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s="78"/>
      <c r="BS171" s="78"/>
      <c r="BT171" s="78"/>
      <c r="BU171" s="78"/>
      <c r="BV171" s="78"/>
      <c r="BW171" s="78"/>
      <c r="BX171" s="78"/>
      <c r="BY171" s="78"/>
      <c r="BZ171" s="78"/>
      <c r="CA171" s="78"/>
      <c r="CB171" s="78"/>
      <c r="CC171" s="39"/>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0" customFormat="1" x14ac:dyDescent="0.2">
      <c r="A172" s="166"/>
      <c r="B172" s="166"/>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s="78"/>
      <c r="BS172" s="78"/>
      <c r="BT172" s="78"/>
      <c r="BU172" s="78"/>
      <c r="BV172" s="78"/>
      <c r="BW172" s="78"/>
      <c r="BX172" s="78"/>
      <c r="BY172" s="78"/>
      <c r="BZ172" s="78"/>
      <c r="CA172" s="78"/>
      <c r="CB172" s="78"/>
      <c r="CC172" s="39"/>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10" customFormat="1" x14ac:dyDescent="0.2">
      <c r="A173" s="166"/>
      <c r="B173" s="166"/>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s="78"/>
      <c r="BS173" s="78"/>
      <c r="BT173" s="78"/>
      <c r="BU173" s="78"/>
      <c r="BV173" s="78"/>
      <c r="BW173" s="78"/>
      <c r="BX173" s="78"/>
      <c r="BY173" s="78"/>
      <c r="BZ173" s="78"/>
      <c r="CA173" s="78"/>
      <c r="CB173" s="78"/>
      <c r="CC173" s="39"/>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10" customFormat="1" x14ac:dyDescent="0.2">
      <c r="A174" s="166"/>
      <c r="B174" s="166"/>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s="78"/>
      <c r="BS174" s="78"/>
      <c r="BT174" s="78"/>
      <c r="BU174" s="78"/>
      <c r="BV174" s="78"/>
      <c r="BW174" s="78"/>
      <c r="BX174" s="78"/>
      <c r="BY174" s="78"/>
      <c r="BZ174" s="78"/>
      <c r="CA174" s="78"/>
      <c r="CB174" s="78"/>
      <c r="CC174" s="39"/>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10" customFormat="1" x14ac:dyDescent="0.2">
      <c r="A175" s="166"/>
      <c r="B175" s="166"/>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s="78"/>
      <c r="BS175" s="78"/>
      <c r="BT175" s="78"/>
      <c r="BU175" s="78"/>
      <c r="BV175" s="78"/>
      <c r="BW175" s="78"/>
      <c r="BX175" s="78"/>
      <c r="BY175" s="78"/>
      <c r="BZ175" s="78"/>
      <c r="CA175" s="78"/>
      <c r="CB175" s="78"/>
      <c r="CC175" s="39"/>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10" customFormat="1" x14ac:dyDescent="0.2">
      <c r="A176" s="166"/>
      <c r="B176" s="16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s="78"/>
      <c r="BS176" s="78"/>
      <c r="BT176" s="78"/>
      <c r="BU176" s="78"/>
      <c r="BV176" s="78"/>
      <c r="BW176" s="78"/>
      <c r="BX176" s="78"/>
      <c r="BY176" s="78"/>
      <c r="BZ176" s="78"/>
      <c r="CA176" s="78"/>
      <c r="CB176" s="78"/>
      <c r="CC176" s="39"/>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10" customFormat="1" x14ac:dyDescent="0.2">
      <c r="A177" s="166"/>
      <c r="B177" s="166"/>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s="78"/>
      <c r="BS177" s="78"/>
      <c r="BT177" s="78"/>
      <c r="BU177" s="78"/>
      <c r="BV177" s="78"/>
      <c r="BW177" s="78"/>
      <c r="BX177" s="78"/>
      <c r="BY177" s="78"/>
      <c r="BZ177" s="78"/>
      <c r="CA177" s="78"/>
      <c r="CB177" s="78"/>
      <c r="CC177" s="39"/>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10" customFormat="1" x14ac:dyDescent="0.2">
      <c r="A178" s="166"/>
      <c r="B178" s="166"/>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s="78"/>
      <c r="BS178" s="78"/>
      <c r="BT178" s="78"/>
      <c r="BU178" s="78"/>
      <c r="BV178" s="78"/>
      <c r="BW178" s="78"/>
      <c r="BX178" s="78"/>
      <c r="BY178" s="78"/>
      <c r="BZ178" s="78"/>
      <c r="CA178" s="78"/>
      <c r="CB178" s="78"/>
      <c r="CC178" s="39"/>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10" customFormat="1" x14ac:dyDescent="0.2">
      <c r="A179" s="166"/>
      <c r="B179" s="166"/>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s="78"/>
      <c r="BS179" s="78"/>
      <c r="BT179" s="78"/>
      <c r="BU179" s="78"/>
      <c r="BV179" s="78"/>
      <c r="BW179" s="78"/>
      <c r="BX179" s="78"/>
      <c r="BY179" s="78"/>
      <c r="BZ179" s="78"/>
      <c r="CA179" s="78"/>
      <c r="CB179" s="78"/>
      <c r="CC179" s="3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10" customFormat="1" x14ac:dyDescent="0.2">
      <c r="A180" s="166"/>
      <c r="B180" s="166"/>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s="78"/>
      <c r="BS180" s="78"/>
      <c r="BT180" s="78"/>
      <c r="BU180" s="78"/>
      <c r="BV180" s="78"/>
      <c r="BW180" s="78"/>
      <c r="BX180" s="78"/>
      <c r="BY180" s="78"/>
      <c r="BZ180" s="78"/>
      <c r="CA180" s="78"/>
      <c r="CB180" s="78"/>
      <c r="CC180" s="39"/>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0" customFormat="1" x14ac:dyDescent="0.2">
      <c r="A181" s="166"/>
      <c r="B181" s="166"/>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s="78"/>
      <c r="BS181" s="78"/>
      <c r="BT181" s="78"/>
      <c r="BU181" s="78"/>
      <c r="BV181" s="78"/>
      <c r="BW181" s="78"/>
      <c r="BX181" s="78"/>
      <c r="BY181" s="78"/>
      <c r="BZ181" s="78"/>
      <c r="CA181" s="78"/>
      <c r="CB181" s="78"/>
      <c r="CC181" s="39"/>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0" customFormat="1" x14ac:dyDescent="0.2">
      <c r="A182" s="166"/>
      <c r="B182" s="166"/>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s="78"/>
      <c r="BS182" s="78"/>
      <c r="BT182" s="78"/>
      <c r="BU182" s="78"/>
      <c r="BV182" s="78"/>
      <c r="BW182" s="78"/>
      <c r="BX182" s="78"/>
      <c r="BY182" s="78"/>
      <c r="BZ182" s="78"/>
      <c r="CA182" s="78"/>
      <c r="CB182" s="78"/>
      <c r="CC182" s="39"/>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10" customFormat="1" x14ac:dyDescent="0.2">
      <c r="A183" s="166"/>
      <c r="B183" s="166"/>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s="78"/>
      <c r="BS183" s="78"/>
      <c r="BT183" s="78"/>
      <c r="BU183" s="78"/>
      <c r="BV183" s="78"/>
      <c r="BW183" s="78"/>
      <c r="BX183" s="78"/>
      <c r="BY183" s="78"/>
      <c r="BZ183" s="78"/>
      <c r="CA183" s="78"/>
      <c r="CB183" s="78"/>
      <c r="CC183" s="39"/>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10" customFormat="1" x14ac:dyDescent="0.2">
      <c r="A184" s="166"/>
      <c r="B184" s="166"/>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s="78"/>
      <c r="BS184" s="78"/>
      <c r="BT184" s="78"/>
      <c r="BU184" s="78"/>
      <c r="BV184" s="78"/>
      <c r="BW184" s="78"/>
      <c r="BX184" s="78"/>
      <c r="BY184" s="78"/>
      <c r="BZ184" s="78"/>
      <c r="CA184" s="78"/>
      <c r="CB184" s="78"/>
      <c r="CC184" s="39"/>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10" customFormat="1" x14ac:dyDescent="0.2">
      <c r="A185" s="166"/>
      <c r="B185" s="166"/>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s="78"/>
      <c r="BS185" s="78"/>
      <c r="BT185" s="78"/>
      <c r="BU185" s="78"/>
      <c r="BV185" s="78"/>
      <c r="BW185" s="78"/>
      <c r="BX185" s="78"/>
      <c r="BY185" s="78"/>
      <c r="BZ185" s="78"/>
      <c r="CA185" s="78"/>
      <c r="CB185" s="78"/>
      <c r="CC185" s="39"/>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10" customFormat="1" x14ac:dyDescent="0.2">
      <c r="A186" s="166"/>
      <c r="B186" s="16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s="78"/>
      <c r="BS186" s="78"/>
      <c r="BT186" s="78"/>
      <c r="BU186" s="78"/>
      <c r="BV186" s="78"/>
      <c r="BW186" s="78"/>
      <c r="BX186" s="78"/>
      <c r="BY186" s="78"/>
      <c r="BZ186" s="78"/>
      <c r="CA186" s="78"/>
      <c r="CB186" s="78"/>
      <c r="CC186" s="39"/>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10" customFormat="1" x14ac:dyDescent="0.2">
      <c r="A187" s="166"/>
      <c r="B187" s="166"/>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s="78"/>
      <c r="BS187" s="78"/>
      <c r="BT187" s="78"/>
      <c r="BU187" s="78"/>
      <c r="BV187" s="78"/>
      <c r="BW187" s="78"/>
      <c r="BX187" s="78"/>
      <c r="BY187" s="78"/>
      <c r="BZ187" s="78"/>
      <c r="CA187" s="78"/>
      <c r="CB187" s="78"/>
      <c r="CC187" s="39"/>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10" customFormat="1" x14ac:dyDescent="0.2">
      <c r="A188" s="166"/>
      <c r="B188" s="166"/>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s="78"/>
      <c r="BS188" s="78"/>
      <c r="BT188" s="78"/>
      <c r="BU188" s="78"/>
      <c r="BV188" s="78"/>
      <c r="BW188" s="78"/>
      <c r="BX188" s="78"/>
      <c r="BY188" s="78"/>
      <c r="BZ188" s="78"/>
      <c r="CA188" s="78"/>
      <c r="CB188" s="78"/>
      <c r="CC188" s="39"/>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10" customFormat="1" x14ac:dyDescent="0.2">
      <c r="A189" s="166"/>
      <c r="B189" s="166"/>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s="78"/>
      <c r="BS189" s="78"/>
      <c r="BT189" s="78"/>
      <c r="BU189" s="78"/>
      <c r="BV189" s="78"/>
      <c r="BW189" s="78"/>
      <c r="BX189" s="78"/>
      <c r="BY189" s="78"/>
      <c r="BZ189" s="78"/>
      <c r="CA189" s="78"/>
      <c r="CB189" s="78"/>
      <c r="CC189" s="3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10" customFormat="1" x14ac:dyDescent="0.2">
      <c r="A190" s="166"/>
      <c r="B190" s="166"/>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s="78"/>
      <c r="BS190" s="78"/>
      <c r="BT190" s="78"/>
      <c r="BU190" s="78"/>
      <c r="BV190" s="78"/>
      <c r="BW190" s="78"/>
      <c r="BX190" s="78"/>
      <c r="BY190" s="78"/>
      <c r="BZ190" s="78"/>
      <c r="CA190" s="78"/>
      <c r="CB190" s="78"/>
      <c r="CC190" s="39"/>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10" customFormat="1" x14ac:dyDescent="0.2">
      <c r="A191" s="166"/>
      <c r="B191" s="166"/>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s="78"/>
      <c r="BS191" s="78"/>
      <c r="BT191" s="78"/>
      <c r="BU191" s="78"/>
      <c r="BV191" s="78"/>
      <c r="BW191" s="78"/>
      <c r="BX191" s="78"/>
      <c r="BY191" s="78"/>
      <c r="BZ191" s="78"/>
      <c r="CA191" s="78"/>
      <c r="CB191" s="78"/>
      <c r="CC191" s="39"/>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10" customFormat="1" x14ac:dyDescent="0.2">
      <c r="A192" s="166"/>
      <c r="B192" s="166"/>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s="78"/>
      <c r="BS192" s="78"/>
      <c r="BT192" s="78"/>
      <c r="BU192" s="78"/>
      <c r="BV192" s="78"/>
      <c r="BW192" s="78"/>
      <c r="BX192" s="78"/>
      <c r="BY192" s="78"/>
      <c r="BZ192" s="78"/>
      <c r="CA192" s="78"/>
      <c r="CB192" s="78"/>
      <c r="CC192" s="39"/>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10" customFormat="1" x14ac:dyDescent="0.2">
      <c r="A193" s="166"/>
      <c r="B193" s="166"/>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s="78"/>
      <c r="BS193" s="78"/>
      <c r="BT193" s="78"/>
      <c r="BU193" s="78"/>
      <c r="BV193" s="78"/>
      <c r="BW193" s="78"/>
      <c r="BX193" s="78"/>
      <c r="BY193" s="78"/>
      <c r="BZ193" s="78"/>
      <c r="CA193" s="78"/>
      <c r="CB193" s="78"/>
      <c r="CC193" s="39"/>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10" customFormat="1" x14ac:dyDescent="0.2">
      <c r="A194" s="166"/>
      <c r="B194" s="166"/>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s="78"/>
      <c r="BS194" s="78"/>
      <c r="BT194" s="78"/>
      <c r="BU194" s="78"/>
      <c r="BV194" s="78"/>
      <c r="BW194" s="78"/>
      <c r="BX194" s="78"/>
      <c r="BY194" s="78"/>
      <c r="BZ194" s="78"/>
      <c r="CA194" s="78"/>
      <c r="CB194" s="78"/>
      <c r="CC194" s="39"/>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10" customFormat="1" x14ac:dyDescent="0.2">
      <c r="A195" s="166"/>
      <c r="B195" s="166"/>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s="78"/>
      <c r="BS195" s="78"/>
      <c r="BT195" s="78"/>
      <c r="BU195" s="78"/>
      <c r="BV195" s="78"/>
      <c r="BW195" s="78"/>
      <c r="BX195" s="78"/>
      <c r="BY195" s="78"/>
      <c r="BZ195" s="78"/>
      <c r="CA195" s="78"/>
      <c r="CB195" s="78"/>
      <c r="CC195" s="39"/>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10" customFormat="1" x14ac:dyDescent="0.2">
      <c r="A196" s="166"/>
      <c r="B196" s="16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s="78"/>
      <c r="BS196" s="78"/>
      <c r="BT196" s="78"/>
      <c r="BU196" s="78"/>
      <c r="BV196" s="78"/>
      <c r="BW196" s="78"/>
      <c r="BX196" s="78"/>
      <c r="BY196" s="78"/>
      <c r="BZ196" s="78"/>
      <c r="CA196" s="78"/>
      <c r="CB196" s="78"/>
      <c r="CC196" s="39"/>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10" customFormat="1" x14ac:dyDescent="0.2">
      <c r="A197" s="166"/>
      <c r="B197" s="166"/>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s="78"/>
      <c r="BS197" s="78"/>
      <c r="BT197" s="78"/>
      <c r="BU197" s="78"/>
      <c r="BV197" s="78"/>
      <c r="BW197" s="78"/>
      <c r="BX197" s="78"/>
      <c r="BY197" s="78"/>
      <c r="BZ197" s="78"/>
      <c r="CA197" s="78"/>
      <c r="CB197" s="78"/>
      <c r="CC197" s="39"/>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10" customFormat="1" x14ac:dyDescent="0.2">
      <c r="A198" s="166"/>
      <c r="B198" s="166"/>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s="78"/>
      <c r="BS198" s="78"/>
      <c r="BT198" s="78"/>
      <c r="BU198" s="78"/>
      <c r="BV198" s="78"/>
      <c r="BW198" s="78"/>
      <c r="BX198" s="78"/>
      <c r="BY198" s="78"/>
      <c r="BZ198" s="78"/>
      <c r="CA198" s="78"/>
      <c r="CB198" s="78"/>
      <c r="CC198" s="39"/>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10" customFormat="1" x14ac:dyDescent="0.2">
      <c r="A199" s="166"/>
      <c r="B199" s="166"/>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s="78"/>
      <c r="BS199" s="78"/>
      <c r="BT199" s="78"/>
      <c r="BU199" s="78"/>
      <c r="BV199" s="78"/>
      <c r="BW199" s="78"/>
      <c r="BX199" s="78"/>
      <c r="BY199" s="78"/>
      <c r="BZ199" s="78"/>
      <c r="CA199" s="78"/>
      <c r="CB199" s="78"/>
      <c r="CC199" s="3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10" customFormat="1" x14ac:dyDescent="0.2">
      <c r="A200" s="166"/>
      <c r="B200" s="166"/>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s="78"/>
      <c r="BS200" s="78"/>
      <c r="BT200" s="78"/>
      <c r="BU200" s="78"/>
      <c r="BV200" s="78"/>
      <c r="BW200" s="78"/>
      <c r="BX200" s="78"/>
      <c r="BY200" s="78"/>
      <c r="BZ200" s="78"/>
      <c r="CA200" s="78"/>
      <c r="CB200" s="78"/>
      <c r="CC200" s="39"/>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10" customFormat="1" x14ac:dyDescent="0.2">
      <c r="A201" s="166"/>
      <c r="B201" s="166"/>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s="78"/>
      <c r="BS201" s="78"/>
      <c r="BT201" s="78"/>
      <c r="BU201" s="78"/>
      <c r="BV201" s="78"/>
      <c r="BW201" s="78"/>
      <c r="BX201" s="78"/>
      <c r="BY201" s="78"/>
      <c r="BZ201" s="78"/>
      <c r="CA201" s="78"/>
      <c r="CB201" s="78"/>
      <c r="CC201" s="39"/>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10" customFormat="1" x14ac:dyDescent="0.2">
      <c r="A202" s="166"/>
      <c r="B202" s="166"/>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s="78"/>
      <c r="BS202" s="78"/>
      <c r="BT202" s="78"/>
      <c r="BU202" s="78"/>
      <c r="BV202" s="78"/>
      <c r="BW202" s="78"/>
      <c r="BX202" s="78"/>
      <c r="BY202" s="78"/>
      <c r="BZ202" s="78"/>
      <c r="CA202" s="78"/>
      <c r="CB202" s="78"/>
      <c r="CC202" s="39"/>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10" customFormat="1" x14ac:dyDescent="0.2">
      <c r="A203" s="166"/>
      <c r="B203" s="166"/>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s="78"/>
      <c r="BS203" s="78"/>
      <c r="BT203" s="78"/>
      <c r="BU203" s="78"/>
      <c r="BV203" s="78"/>
      <c r="BW203" s="78"/>
      <c r="BX203" s="78"/>
      <c r="BY203" s="78"/>
      <c r="BZ203" s="78"/>
      <c r="CA203" s="78"/>
      <c r="CB203" s="78"/>
      <c r="CC203" s="39"/>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10" customFormat="1" x14ac:dyDescent="0.2">
      <c r="A204" s="166"/>
      <c r="B204" s="166"/>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s="78"/>
      <c r="BS204" s="78"/>
      <c r="BT204" s="78"/>
      <c r="BU204" s="78"/>
      <c r="BV204" s="78"/>
      <c r="BW204" s="78"/>
      <c r="BX204" s="78"/>
      <c r="BY204" s="78"/>
      <c r="BZ204" s="78"/>
      <c r="CA204" s="78"/>
      <c r="CB204" s="78"/>
      <c r="CC204" s="39"/>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10" customFormat="1" x14ac:dyDescent="0.2">
      <c r="A205" s="166"/>
      <c r="B205" s="166"/>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s="78"/>
      <c r="BS205" s="78"/>
      <c r="BT205" s="78"/>
      <c r="BU205" s="78"/>
      <c r="BV205" s="78"/>
      <c r="BW205" s="78"/>
      <c r="BX205" s="78"/>
      <c r="BY205" s="78"/>
      <c r="BZ205" s="78"/>
      <c r="CA205" s="78"/>
      <c r="CB205" s="78"/>
      <c r="CC205" s="39"/>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10" customFormat="1" x14ac:dyDescent="0.2">
      <c r="A206" s="166"/>
      <c r="B206" s="16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s="78"/>
      <c r="BS206" s="78"/>
      <c r="BT206" s="78"/>
      <c r="BU206" s="78"/>
      <c r="BV206" s="78"/>
      <c r="BW206" s="78"/>
      <c r="BX206" s="78"/>
      <c r="BY206" s="78"/>
      <c r="BZ206" s="78"/>
      <c r="CA206" s="78"/>
      <c r="CB206" s="78"/>
      <c r="CC206" s="39"/>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10" customFormat="1" x14ac:dyDescent="0.2">
      <c r="A207" s="166"/>
      <c r="B207" s="166"/>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s="78"/>
      <c r="BS207" s="78"/>
      <c r="BT207" s="78"/>
      <c r="BU207" s="78"/>
      <c r="BV207" s="78"/>
      <c r="BW207" s="78"/>
      <c r="BX207" s="78"/>
      <c r="BY207" s="78"/>
      <c r="BZ207" s="78"/>
      <c r="CA207" s="78"/>
      <c r="CB207" s="78"/>
      <c r="CC207" s="39"/>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10" customFormat="1" x14ac:dyDescent="0.2">
      <c r="A208" s="166"/>
      <c r="B208" s="166"/>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s="78"/>
      <c r="BS208" s="78"/>
      <c r="BT208" s="78"/>
      <c r="BU208" s="78"/>
      <c r="BV208" s="78"/>
      <c r="BW208" s="78"/>
      <c r="BX208" s="78"/>
      <c r="BY208" s="78"/>
      <c r="BZ208" s="78"/>
      <c r="CA208" s="78"/>
      <c r="CB208" s="78"/>
      <c r="CC208" s="39"/>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10" customFormat="1" x14ac:dyDescent="0.2">
      <c r="A209" s="166"/>
      <c r="B209" s="166"/>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s="78"/>
      <c r="BS209" s="78"/>
      <c r="BT209" s="78"/>
      <c r="BU209" s="78"/>
      <c r="BV209" s="78"/>
      <c r="BW209" s="78"/>
      <c r="BX209" s="78"/>
      <c r="BY209" s="78"/>
      <c r="BZ209" s="78"/>
      <c r="CA209" s="78"/>
      <c r="CB209" s="78"/>
      <c r="CC209" s="3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10" customFormat="1" x14ac:dyDescent="0.2">
      <c r="A210" s="166"/>
      <c r="B210" s="166"/>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s="78"/>
      <c r="BS210" s="78"/>
      <c r="BT210" s="78"/>
      <c r="BU210" s="78"/>
      <c r="BV210" s="78"/>
      <c r="BW210" s="78"/>
      <c r="BX210" s="78"/>
      <c r="BY210" s="78"/>
      <c r="BZ210" s="78"/>
      <c r="CA210" s="78"/>
      <c r="CB210" s="78"/>
      <c r="CC210" s="39"/>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10" customFormat="1" x14ac:dyDescent="0.2">
      <c r="A211" s="166"/>
      <c r="B211" s="166"/>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s="78"/>
      <c r="BS211" s="78"/>
      <c r="BT211" s="78"/>
      <c r="BU211" s="78"/>
      <c r="BV211" s="78"/>
      <c r="BW211" s="78"/>
      <c r="BX211" s="78"/>
      <c r="BY211" s="78"/>
      <c r="BZ211" s="78"/>
      <c r="CA211" s="78"/>
      <c r="CB211" s="78"/>
      <c r="CC211" s="39"/>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10" customFormat="1" x14ac:dyDescent="0.2">
      <c r="A212" s="166"/>
      <c r="B212" s="166"/>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s="78"/>
      <c r="BS212" s="78"/>
      <c r="BT212" s="78"/>
      <c r="BU212" s="78"/>
      <c r="BV212" s="78"/>
      <c r="BW212" s="78"/>
      <c r="BX212" s="78"/>
      <c r="BY212" s="78"/>
      <c r="BZ212" s="78"/>
      <c r="CA212" s="78"/>
      <c r="CB212" s="78"/>
      <c r="CC212" s="39"/>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10" customFormat="1" x14ac:dyDescent="0.2">
      <c r="A213" s="166"/>
      <c r="B213" s="166"/>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s="78"/>
      <c r="BS213" s="78"/>
      <c r="BT213" s="78"/>
      <c r="BU213" s="78"/>
      <c r="BV213" s="78"/>
      <c r="BW213" s="78"/>
      <c r="BX213" s="78"/>
      <c r="BY213" s="78"/>
      <c r="BZ213" s="78"/>
      <c r="CA213" s="78"/>
      <c r="CB213" s="78"/>
      <c r="CC213" s="39"/>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10" customFormat="1" x14ac:dyDescent="0.2">
      <c r="A214" s="166"/>
      <c r="B214" s="166"/>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s="78"/>
      <c r="BS214" s="78"/>
      <c r="BT214" s="78"/>
      <c r="BU214" s="78"/>
      <c r="BV214" s="78"/>
      <c r="BW214" s="78"/>
      <c r="BX214" s="78"/>
      <c r="BY214" s="78"/>
      <c r="BZ214" s="78"/>
      <c r="CA214" s="78"/>
      <c r="CB214" s="78"/>
      <c r="CC214" s="39"/>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10" customFormat="1" x14ac:dyDescent="0.2">
      <c r="A215" s="166"/>
      <c r="B215" s="166"/>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s="78"/>
      <c r="BS215" s="78"/>
      <c r="BT215" s="78"/>
      <c r="BU215" s="78"/>
      <c r="BV215" s="78"/>
      <c r="BW215" s="78"/>
      <c r="BX215" s="78"/>
      <c r="BY215" s="78"/>
      <c r="BZ215" s="78"/>
      <c r="CA215" s="78"/>
      <c r="CB215" s="78"/>
      <c r="CC215" s="39"/>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10" customFormat="1" x14ac:dyDescent="0.2">
      <c r="A216" s="166"/>
      <c r="B216" s="16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s="78"/>
      <c r="BS216" s="78"/>
      <c r="BT216" s="78"/>
      <c r="BU216" s="78"/>
      <c r="BV216" s="78"/>
      <c r="BW216" s="78"/>
      <c r="BX216" s="78"/>
      <c r="BY216" s="78"/>
      <c r="BZ216" s="78"/>
      <c r="CA216" s="78"/>
      <c r="CB216" s="78"/>
      <c r="CC216" s="39"/>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10" customFormat="1" x14ac:dyDescent="0.2">
      <c r="A217" s="166"/>
      <c r="B217" s="166"/>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s="78"/>
      <c r="BS217" s="78"/>
      <c r="BT217" s="78"/>
      <c r="BU217" s="78"/>
      <c r="BV217" s="78"/>
      <c r="BW217" s="78"/>
      <c r="BX217" s="78"/>
      <c r="BY217" s="78"/>
      <c r="BZ217" s="78"/>
      <c r="CA217" s="78"/>
      <c r="CB217" s="78"/>
      <c r="CC217" s="39"/>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10" customFormat="1" x14ac:dyDescent="0.2">
      <c r="A218" s="166"/>
      <c r="B218" s="166"/>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s="78"/>
      <c r="BS218" s="78"/>
      <c r="BT218" s="78"/>
      <c r="BU218" s="78"/>
      <c r="BV218" s="78"/>
      <c r="BW218" s="78"/>
      <c r="BX218" s="78"/>
      <c r="BY218" s="78"/>
      <c r="BZ218" s="78"/>
      <c r="CA218" s="78"/>
      <c r="CB218" s="78"/>
      <c r="CC218" s="39"/>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10" customFormat="1" x14ac:dyDescent="0.2">
      <c r="A219" s="166"/>
      <c r="B219" s="166"/>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s="78"/>
      <c r="BS219" s="78"/>
      <c r="BT219" s="78"/>
      <c r="BU219" s="78"/>
      <c r="BV219" s="78"/>
      <c r="BW219" s="78"/>
      <c r="BX219" s="78"/>
      <c r="BY219" s="78"/>
      <c r="BZ219" s="78"/>
      <c r="CA219" s="78"/>
      <c r="CB219" s="78"/>
      <c r="CC219" s="3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10" customFormat="1" x14ac:dyDescent="0.2">
      <c r="A220" s="166"/>
      <c r="B220" s="166"/>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s="78"/>
      <c r="BS220" s="78"/>
      <c r="BT220" s="78"/>
      <c r="BU220" s="78"/>
      <c r="BV220" s="78"/>
      <c r="BW220" s="78"/>
      <c r="BX220" s="78"/>
      <c r="BY220" s="78"/>
      <c r="BZ220" s="78"/>
      <c r="CA220" s="78"/>
      <c r="CB220" s="78"/>
      <c r="CC220" s="39"/>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10" customFormat="1" x14ac:dyDescent="0.2">
      <c r="A221" s="166"/>
      <c r="B221" s="166"/>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s="78"/>
      <c r="BS221" s="78"/>
      <c r="BT221" s="78"/>
      <c r="BU221" s="78"/>
      <c r="BV221" s="78"/>
      <c r="BW221" s="78"/>
      <c r="BX221" s="78"/>
      <c r="BY221" s="78"/>
      <c r="BZ221" s="78"/>
      <c r="CA221" s="78"/>
      <c r="CB221" s="78"/>
      <c r="CC221" s="39"/>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10" customFormat="1" x14ac:dyDescent="0.2">
      <c r="A222" s="166"/>
      <c r="B222" s="166"/>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s="78"/>
      <c r="BS222" s="78"/>
      <c r="BT222" s="78"/>
      <c r="BU222" s="78"/>
      <c r="BV222" s="78"/>
      <c r="BW222" s="78"/>
      <c r="BX222" s="78"/>
      <c r="BY222" s="78"/>
      <c r="BZ222" s="78"/>
      <c r="CA222" s="78"/>
      <c r="CB222" s="78"/>
      <c r="CC222" s="39"/>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10" customFormat="1" x14ac:dyDescent="0.2">
      <c r="A223" s="166"/>
      <c r="B223" s="166"/>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s="78"/>
      <c r="BS223" s="78"/>
      <c r="BT223" s="78"/>
      <c r="BU223" s="78"/>
      <c r="BV223" s="78"/>
      <c r="BW223" s="78"/>
      <c r="BX223" s="78"/>
      <c r="BY223" s="78"/>
      <c r="BZ223" s="78"/>
      <c r="CA223" s="78"/>
      <c r="CB223" s="78"/>
      <c r="CC223" s="39"/>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10" customFormat="1" x14ac:dyDescent="0.2">
      <c r="A224" s="166"/>
      <c r="B224" s="166"/>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s="78"/>
      <c r="BS224" s="78"/>
      <c r="BT224" s="78"/>
      <c r="BU224" s="78"/>
      <c r="BV224" s="78"/>
      <c r="BW224" s="78"/>
      <c r="BX224" s="78"/>
      <c r="BY224" s="78"/>
      <c r="BZ224" s="78"/>
      <c r="CA224" s="78"/>
      <c r="CB224" s="78"/>
      <c r="CC224" s="39"/>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10" customFormat="1" x14ac:dyDescent="0.2">
      <c r="A225" s="166"/>
      <c r="B225" s="166"/>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s="78"/>
      <c r="BS225" s="78"/>
      <c r="BT225" s="78"/>
      <c r="BU225" s="78"/>
      <c r="BV225" s="78"/>
      <c r="BW225" s="78"/>
      <c r="BX225" s="78"/>
      <c r="BY225" s="78"/>
      <c r="BZ225" s="78"/>
      <c r="CA225" s="78"/>
      <c r="CB225" s="78"/>
      <c r="CC225" s="39"/>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10" customFormat="1" x14ac:dyDescent="0.2">
      <c r="A226" s="166"/>
      <c r="B226" s="16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s="78"/>
      <c r="BS226" s="78"/>
      <c r="BT226" s="78"/>
      <c r="BU226" s="78"/>
      <c r="BV226" s="78"/>
      <c r="BW226" s="78"/>
      <c r="BX226" s="78"/>
      <c r="BY226" s="78"/>
      <c r="BZ226" s="78"/>
      <c r="CA226" s="78"/>
      <c r="CB226" s="78"/>
      <c r="CC226" s="39"/>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10" customFormat="1" x14ac:dyDescent="0.2">
      <c r="A227" s="166"/>
      <c r="B227" s="166"/>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s="78"/>
      <c r="BS227" s="78"/>
      <c r="BT227" s="78"/>
      <c r="BU227" s="78"/>
      <c r="BV227" s="78"/>
      <c r="BW227" s="78"/>
      <c r="BX227" s="78"/>
      <c r="BY227" s="78"/>
      <c r="BZ227" s="78"/>
      <c r="CA227" s="78"/>
      <c r="CB227" s="78"/>
      <c r="CC227" s="39"/>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10" customFormat="1" x14ac:dyDescent="0.2">
      <c r="A228" s="166"/>
      <c r="B228" s="166"/>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s="78"/>
      <c r="BS228" s="78"/>
      <c r="BT228" s="78"/>
      <c r="BU228" s="78"/>
      <c r="BV228" s="78"/>
      <c r="BW228" s="78"/>
      <c r="BX228" s="78"/>
      <c r="BY228" s="78"/>
      <c r="BZ228" s="78"/>
      <c r="CA228" s="78"/>
      <c r="CB228" s="78"/>
      <c r="CC228" s="39"/>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10" customFormat="1" x14ac:dyDescent="0.2">
      <c r="A229" s="166"/>
      <c r="B229" s="166"/>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s="78"/>
      <c r="BS229" s="78"/>
      <c r="BT229" s="78"/>
      <c r="BU229" s="78"/>
      <c r="BV229" s="78"/>
      <c r="BW229" s="78"/>
      <c r="BX229" s="78"/>
      <c r="BY229" s="78"/>
      <c r="BZ229" s="78"/>
      <c r="CA229" s="78"/>
      <c r="CB229" s="78"/>
      <c r="CC229" s="3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10" customFormat="1" x14ac:dyDescent="0.2">
      <c r="A230" s="166"/>
      <c r="B230" s="166"/>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s="78"/>
      <c r="BS230" s="78"/>
      <c r="BT230" s="78"/>
      <c r="BU230" s="78"/>
      <c r="BV230" s="78"/>
      <c r="BW230" s="78"/>
      <c r="BX230" s="78"/>
      <c r="BY230" s="78"/>
      <c r="BZ230" s="78"/>
      <c r="CA230" s="78"/>
      <c r="CB230" s="78"/>
      <c r="CC230" s="39"/>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10" customFormat="1" x14ac:dyDescent="0.2">
      <c r="A231" s="166"/>
      <c r="B231" s="166"/>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s="78"/>
      <c r="BS231" s="78"/>
      <c r="BT231" s="78"/>
      <c r="BU231" s="78"/>
      <c r="BV231" s="78"/>
      <c r="BW231" s="78"/>
      <c r="BX231" s="78"/>
      <c r="BY231" s="78"/>
      <c r="BZ231" s="78"/>
      <c r="CA231" s="78"/>
      <c r="CB231" s="78"/>
      <c r="CC231" s="39"/>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10" customFormat="1" x14ac:dyDescent="0.2">
      <c r="A232" s="166"/>
      <c r="B232" s="166"/>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s="78"/>
      <c r="BS232" s="78"/>
      <c r="BT232" s="78"/>
      <c r="BU232" s="78"/>
      <c r="BV232" s="78"/>
      <c r="BW232" s="78"/>
      <c r="BX232" s="78"/>
      <c r="BY232" s="78"/>
      <c r="BZ232" s="78"/>
      <c r="CA232" s="78"/>
      <c r="CB232" s="78"/>
      <c r="CC232" s="39"/>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10" customFormat="1" x14ac:dyDescent="0.2">
      <c r="A233" s="166"/>
      <c r="B233" s="166"/>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s="78"/>
      <c r="BS233" s="78"/>
      <c r="BT233" s="78"/>
      <c r="BU233" s="78"/>
      <c r="BV233" s="78"/>
      <c r="BW233" s="78"/>
      <c r="BX233" s="78"/>
      <c r="BY233" s="78"/>
      <c r="BZ233" s="78"/>
      <c r="CA233" s="78"/>
      <c r="CB233" s="78"/>
      <c r="CC233" s="39"/>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10" customFormat="1" x14ac:dyDescent="0.2">
      <c r="A234" s="166"/>
      <c r="B234" s="166"/>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s="78"/>
      <c r="BS234" s="78"/>
      <c r="BT234" s="78"/>
      <c r="BU234" s="78"/>
      <c r="BV234" s="78"/>
      <c r="BW234" s="78"/>
      <c r="BX234" s="78"/>
      <c r="BY234" s="78"/>
      <c r="BZ234" s="78"/>
      <c r="CA234" s="78"/>
      <c r="CB234" s="78"/>
      <c r="CC234" s="39"/>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10" customFormat="1" x14ac:dyDescent="0.2">
      <c r="A235" s="166"/>
      <c r="B235" s="166"/>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s="78"/>
      <c r="BS235" s="78"/>
      <c r="BT235" s="78"/>
      <c r="BU235" s="78"/>
      <c r="BV235" s="78"/>
      <c r="BW235" s="78"/>
      <c r="BX235" s="78"/>
      <c r="BY235" s="78"/>
      <c r="BZ235" s="78"/>
      <c r="CA235" s="78"/>
      <c r="CB235" s="78"/>
      <c r="CC235" s="39"/>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10" customFormat="1" x14ac:dyDescent="0.2">
      <c r="A236" s="166"/>
      <c r="B236" s="16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s="78"/>
      <c r="BS236" s="78"/>
      <c r="BT236" s="78"/>
      <c r="BU236" s="78"/>
      <c r="BV236" s="78"/>
      <c r="BW236" s="78"/>
      <c r="BX236" s="78"/>
      <c r="BY236" s="78"/>
      <c r="BZ236" s="78"/>
      <c r="CA236" s="78"/>
      <c r="CB236" s="78"/>
      <c r="CC236" s="39"/>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10" customFormat="1" x14ac:dyDescent="0.2">
      <c r="A237" s="166"/>
      <c r="B237" s="166"/>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s="78"/>
      <c r="BS237" s="78"/>
      <c r="BT237" s="78"/>
      <c r="BU237" s="78"/>
      <c r="BV237" s="78"/>
      <c r="BW237" s="78"/>
      <c r="BX237" s="78"/>
      <c r="BY237" s="78"/>
      <c r="BZ237" s="78"/>
      <c r="CA237" s="78"/>
      <c r="CB237" s="78"/>
      <c r="CC237" s="39"/>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10" customFormat="1" x14ac:dyDescent="0.2">
      <c r="A238" s="166"/>
      <c r="B238" s="166"/>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s="78"/>
      <c r="BS238" s="78"/>
      <c r="BT238" s="78"/>
      <c r="BU238" s="78"/>
      <c r="BV238" s="78"/>
      <c r="BW238" s="78"/>
      <c r="BX238" s="78"/>
      <c r="BY238" s="78"/>
      <c r="BZ238" s="78"/>
      <c r="CA238" s="78"/>
      <c r="CB238" s="78"/>
      <c r="CC238" s="39"/>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10" customFormat="1" x14ac:dyDescent="0.2">
      <c r="A239" s="166"/>
      <c r="B239" s="166"/>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s="78"/>
      <c r="BS239" s="78"/>
      <c r="BT239" s="78"/>
      <c r="BU239" s="78"/>
      <c r="BV239" s="78"/>
      <c r="BW239" s="78"/>
      <c r="BX239" s="78"/>
      <c r="BY239" s="78"/>
      <c r="BZ239" s="78"/>
      <c r="CA239" s="78"/>
      <c r="CB239" s="78"/>
      <c r="CC239" s="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10" customFormat="1" x14ac:dyDescent="0.2">
      <c r="A240" s="166"/>
      <c r="B240" s="166"/>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s="78"/>
      <c r="BS240" s="78"/>
      <c r="BT240" s="78"/>
      <c r="BU240" s="78"/>
      <c r="BV240" s="78"/>
      <c r="BW240" s="78"/>
      <c r="BX240" s="78"/>
      <c r="BY240" s="78"/>
      <c r="BZ240" s="78"/>
      <c r="CA240" s="78"/>
      <c r="CB240" s="78"/>
      <c r="CC240" s="39"/>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10" customFormat="1" x14ac:dyDescent="0.2">
      <c r="A241" s="166"/>
      <c r="B241" s="166"/>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s="78"/>
      <c r="BS241" s="78"/>
      <c r="BT241" s="78"/>
      <c r="BU241" s="78"/>
      <c r="BV241" s="78"/>
      <c r="BW241" s="78"/>
      <c r="BX241" s="78"/>
      <c r="BY241" s="78"/>
      <c r="BZ241" s="78"/>
      <c r="CA241" s="78"/>
      <c r="CB241" s="78"/>
      <c r="CC241" s="39"/>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10" customFormat="1" x14ac:dyDescent="0.2">
      <c r="A242" s="166"/>
      <c r="B242" s="166"/>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s="78"/>
      <c r="BS242" s="78"/>
      <c r="BT242" s="78"/>
      <c r="BU242" s="78"/>
      <c r="BV242" s="78"/>
      <c r="BW242" s="78"/>
      <c r="BX242" s="78"/>
      <c r="BY242" s="78"/>
      <c r="BZ242" s="78"/>
      <c r="CA242" s="78"/>
      <c r="CB242" s="78"/>
      <c r="CC242" s="39"/>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10" customFormat="1" x14ac:dyDescent="0.2">
      <c r="A243" s="166"/>
      <c r="B243" s="166"/>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s="78"/>
      <c r="BS243" s="78"/>
      <c r="BT243" s="78"/>
      <c r="BU243" s="78"/>
      <c r="BV243" s="78"/>
      <c r="BW243" s="78"/>
      <c r="BX243" s="78"/>
      <c r="BY243" s="78"/>
      <c r="BZ243" s="78"/>
      <c r="CA243" s="78"/>
      <c r="CB243" s="78"/>
      <c r="CC243" s="39"/>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10" customFormat="1" x14ac:dyDescent="0.2">
      <c r="A244" s="166"/>
      <c r="B244" s="166"/>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s="78"/>
      <c r="BS244" s="78"/>
      <c r="BT244" s="78"/>
      <c r="BU244" s="78"/>
      <c r="BV244" s="78"/>
      <c r="BW244" s="78"/>
      <c r="BX244" s="78"/>
      <c r="BY244" s="78"/>
      <c r="BZ244" s="78"/>
      <c r="CA244" s="78"/>
      <c r="CB244" s="78"/>
      <c r="CC244" s="39"/>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10" customFormat="1" x14ac:dyDescent="0.2">
      <c r="A245" s="166"/>
      <c r="B245" s="166"/>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s="78"/>
      <c r="BS245" s="78"/>
      <c r="BT245" s="78"/>
      <c r="BU245" s="78"/>
      <c r="BV245" s="78"/>
      <c r="BW245" s="78"/>
      <c r="BX245" s="78"/>
      <c r="BY245" s="78"/>
      <c r="BZ245" s="78"/>
      <c r="CA245" s="78"/>
      <c r="CB245" s="78"/>
      <c r="CC245" s="39"/>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10" customFormat="1" x14ac:dyDescent="0.2">
      <c r="A246" s="166"/>
      <c r="B246" s="16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s="78"/>
      <c r="BS246" s="78"/>
      <c r="BT246" s="78"/>
      <c r="BU246" s="78"/>
      <c r="BV246" s="78"/>
      <c r="BW246" s="78"/>
      <c r="BX246" s="78"/>
      <c r="BY246" s="78"/>
      <c r="BZ246" s="78"/>
      <c r="CA246" s="78"/>
      <c r="CB246" s="78"/>
      <c r="CC246" s="39"/>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10" customFormat="1" x14ac:dyDescent="0.2">
      <c r="A247" s="166"/>
      <c r="B247" s="166"/>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s="78"/>
      <c r="BS247" s="78"/>
      <c r="BT247" s="78"/>
      <c r="BU247" s="78"/>
      <c r="BV247" s="78"/>
      <c r="BW247" s="78"/>
      <c r="BX247" s="78"/>
      <c r="BY247" s="78"/>
      <c r="BZ247" s="78"/>
      <c r="CA247" s="78"/>
      <c r="CB247" s="78"/>
      <c r="CC247" s="39"/>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10" customFormat="1" x14ac:dyDescent="0.2">
      <c r="A248" s="166"/>
      <c r="B248" s="166"/>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s="78"/>
      <c r="BS248" s="78"/>
      <c r="BT248" s="78"/>
      <c r="BU248" s="78"/>
      <c r="BV248" s="78"/>
      <c r="BW248" s="78"/>
      <c r="BX248" s="78"/>
      <c r="BY248" s="78"/>
      <c r="BZ248" s="78"/>
      <c r="CA248" s="78"/>
      <c r="CB248" s="78"/>
      <c r="CC248" s="39"/>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10" customFormat="1" x14ac:dyDescent="0.2">
      <c r="A249" s="166"/>
      <c r="B249" s="166"/>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s="78"/>
      <c r="BS249" s="78"/>
      <c r="BT249" s="78"/>
      <c r="BU249" s="78"/>
      <c r="BV249" s="78"/>
      <c r="BW249" s="78"/>
      <c r="BX249" s="78"/>
      <c r="BY249" s="78"/>
      <c r="BZ249" s="78"/>
      <c r="CA249" s="78"/>
      <c r="CB249" s="78"/>
      <c r="CC249" s="3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10" customFormat="1" x14ac:dyDescent="0.2">
      <c r="A250" s="166"/>
      <c r="B250" s="166"/>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s="78"/>
      <c r="BS250" s="78"/>
      <c r="BT250" s="78"/>
      <c r="BU250" s="78"/>
      <c r="BV250" s="78"/>
      <c r="BW250" s="78"/>
      <c r="BX250" s="78"/>
      <c r="BY250" s="78"/>
      <c r="BZ250" s="78"/>
      <c r="CA250" s="78"/>
      <c r="CB250" s="78"/>
      <c r="CC250" s="39"/>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10" customFormat="1" x14ac:dyDescent="0.2">
      <c r="A251" s="166"/>
      <c r="B251" s="166"/>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s="78"/>
      <c r="BS251" s="78"/>
      <c r="BT251" s="78"/>
      <c r="BU251" s="78"/>
      <c r="BV251" s="78"/>
      <c r="BW251" s="78"/>
      <c r="BX251" s="78"/>
      <c r="BY251" s="78"/>
      <c r="BZ251" s="78"/>
      <c r="CA251" s="78"/>
      <c r="CB251" s="78"/>
      <c r="CC251" s="39"/>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10" customFormat="1" x14ac:dyDescent="0.2">
      <c r="A252" s="166"/>
      <c r="B252" s="166"/>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s="78"/>
      <c r="BS252" s="78"/>
      <c r="BT252" s="78"/>
      <c r="BU252" s="78"/>
      <c r="BV252" s="78"/>
      <c r="BW252" s="78"/>
      <c r="BX252" s="78"/>
      <c r="BY252" s="78"/>
      <c r="BZ252" s="78"/>
      <c r="CA252" s="78"/>
      <c r="CB252" s="78"/>
      <c r="CC252" s="39"/>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10" customFormat="1" x14ac:dyDescent="0.2">
      <c r="A253" s="166"/>
      <c r="B253" s="166"/>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s="78"/>
      <c r="BS253" s="78"/>
      <c r="BT253" s="78"/>
      <c r="BU253" s="78"/>
      <c r="BV253" s="78"/>
      <c r="BW253" s="78"/>
      <c r="BX253" s="78"/>
      <c r="BY253" s="78"/>
      <c r="BZ253" s="78"/>
      <c r="CA253" s="78"/>
      <c r="CB253" s="78"/>
      <c r="CC253" s="39"/>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x14ac:dyDescent="0.2"/>
    <row r="255" spans="1:256" x14ac:dyDescent="0.2"/>
    <row r="256" spans="1: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row r="65571" x14ac:dyDescent="0.2"/>
    <row r="65572" x14ac:dyDescent="0.2"/>
    <row r="65573" x14ac:dyDescent="0.2"/>
    <row r="65574" x14ac:dyDescent="0.2"/>
    <row r="65575" x14ac:dyDescent="0.2"/>
    <row r="65576" x14ac:dyDescent="0.2"/>
    <row r="65577" x14ac:dyDescent="0.2"/>
    <row r="65578" x14ac:dyDescent="0.2"/>
    <row r="65579" x14ac:dyDescent="0.2"/>
    <row r="65580" x14ac:dyDescent="0.2"/>
    <row r="65581" x14ac:dyDescent="0.2"/>
    <row r="65582" x14ac:dyDescent="0.2"/>
    <row r="65583" x14ac:dyDescent="0.2"/>
    <row r="65584" x14ac:dyDescent="0.2"/>
    <row r="65585" x14ac:dyDescent="0.2"/>
    <row r="65586" x14ac:dyDescent="0.2"/>
    <row r="65587" x14ac:dyDescent="0.2"/>
    <row r="65588" x14ac:dyDescent="0.2"/>
    <row r="65589" x14ac:dyDescent="0.2"/>
    <row r="65590" x14ac:dyDescent="0.2"/>
    <row r="65591" x14ac:dyDescent="0.2"/>
    <row r="65592" x14ac:dyDescent="0.2"/>
    <row r="65593" x14ac:dyDescent="0.2"/>
    <row r="65594" x14ac:dyDescent="0.2"/>
    <row r="65595" x14ac:dyDescent="0.2"/>
    <row r="65596" x14ac:dyDescent="0.2"/>
    <row r="65597" x14ac:dyDescent="0.2"/>
    <row r="65598" x14ac:dyDescent="0.2"/>
    <row r="65599" x14ac:dyDescent="0.2"/>
    <row r="65600" x14ac:dyDescent="0.2"/>
    <row r="65601" x14ac:dyDescent="0.2"/>
    <row r="65602" x14ac:dyDescent="0.2"/>
    <row r="65603" x14ac:dyDescent="0.2"/>
    <row r="65604" x14ac:dyDescent="0.2"/>
    <row r="65605" x14ac:dyDescent="0.2"/>
    <row r="65606" x14ac:dyDescent="0.2"/>
    <row r="65607" x14ac:dyDescent="0.2"/>
    <row r="65608" x14ac:dyDescent="0.2"/>
    <row r="65609" x14ac:dyDescent="0.2"/>
    <row r="65610" x14ac:dyDescent="0.2"/>
    <row r="65611" x14ac:dyDescent="0.2"/>
    <row r="65612" x14ac:dyDescent="0.2"/>
    <row r="65613" x14ac:dyDescent="0.2"/>
    <row r="65614" x14ac:dyDescent="0.2"/>
    <row r="65615" x14ac:dyDescent="0.2"/>
    <row r="65616" x14ac:dyDescent="0.2"/>
    <row r="65617" x14ac:dyDescent="0.2"/>
    <row r="65618" x14ac:dyDescent="0.2"/>
    <row r="65619" x14ac:dyDescent="0.2"/>
    <row r="65620" x14ac:dyDescent="0.2"/>
    <row r="65621" x14ac:dyDescent="0.2"/>
    <row r="65622" x14ac:dyDescent="0.2"/>
    <row r="65623" x14ac:dyDescent="0.2"/>
    <row r="65624" x14ac:dyDescent="0.2"/>
    <row r="65625" x14ac:dyDescent="0.2"/>
    <row r="65626" x14ac:dyDescent="0.2"/>
    <row r="65627" x14ac:dyDescent="0.2"/>
    <row r="65628" x14ac:dyDescent="0.2"/>
    <row r="65629" x14ac:dyDescent="0.2"/>
    <row r="65630" x14ac:dyDescent="0.2"/>
    <row r="65631" x14ac:dyDescent="0.2"/>
    <row r="65632" x14ac:dyDescent="0.2"/>
    <row r="65633" x14ac:dyDescent="0.2"/>
    <row r="65634" x14ac:dyDescent="0.2"/>
    <row r="65635" x14ac:dyDescent="0.2"/>
    <row r="65636" x14ac:dyDescent="0.2"/>
    <row r="65637" x14ac:dyDescent="0.2"/>
    <row r="65638" x14ac:dyDescent="0.2"/>
    <row r="65639" x14ac:dyDescent="0.2"/>
    <row r="65640" x14ac:dyDescent="0.2"/>
    <row r="65641" x14ac:dyDescent="0.2"/>
    <row r="65642" x14ac:dyDescent="0.2"/>
    <row r="65643" x14ac:dyDescent="0.2"/>
    <row r="65644" x14ac:dyDescent="0.2"/>
    <row r="65645" x14ac:dyDescent="0.2"/>
    <row r="65646" x14ac:dyDescent="0.2"/>
    <row r="65647" x14ac:dyDescent="0.2"/>
    <row r="65648" x14ac:dyDescent="0.2"/>
    <row r="65649" x14ac:dyDescent="0.2"/>
    <row r="65650" x14ac:dyDescent="0.2"/>
    <row r="65651" x14ac:dyDescent="0.2"/>
    <row r="65652" x14ac:dyDescent="0.2"/>
    <row r="65653" x14ac:dyDescent="0.2"/>
    <row r="65654" x14ac:dyDescent="0.2"/>
    <row r="65655" x14ac:dyDescent="0.2"/>
    <row r="65656" x14ac:dyDescent="0.2"/>
    <row r="65657" x14ac:dyDescent="0.2"/>
    <row r="65658" x14ac:dyDescent="0.2"/>
    <row r="65659" x14ac:dyDescent="0.2"/>
    <row r="65660" x14ac:dyDescent="0.2"/>
    <row r="65661" x14ac:dyDescent="0.2"/>
    <row r="65662" x14ac:dyDescent="0.2"/>
    <row r="65663" x14ac:dyDescent="0.2"/>
    <row r="65664" x14ac:dyDescent="0.2"/>
    <row r="65665" x14ac:dyDescent="0.2"/>
    <row r="65666" x14ac:dyDescent="0.2"/>
    <row r="65667" x14ac:dyDescent="0.2"/>
    <row r="65668" x14ac:dyDescent="0.2"/>
    <row r="65669" x14ac:dyDescent="0.2"/>
    <row r="65670" x14ac:dyDescent="0.2"/>
    <row r="65671" x14ac:dyDescent="0.2"/>
    <row r="65672" x14ac:dyDescent="0.2"/>
    <row r="65673" x14ac:dyDescent="0.2"/>
    <row r="65674" x14ac:dyDescent="0.2"/>
    <row r="65675" x14ac:dyDescent="0.2"/>
    <row r="65676" x14ac:dyDescent="0.2"/>
    <row r="65677" x14ac:dyDescent="0.2"/>
    <row r="65678" x14ac:dyDescent="0.2"/>
    <row r="65679" x14ac:dyDescent="0.2"/>
    <row r="65680" x14ac:dyDescent="0.2"/>
    <row r="65681" x14ac:dyDescent="0.2"/>
    <row r="65682" x14ac:dyDescent="0.2"/>
    <row r="65683" x14ac:dyDescent="0.2"/>
    <row r="65684" x14ac:dyDescent="0.2"/>
    <row r="65685" x14ac:dyDescent="0.2"/>
    <row r="65686" x14ac:dyDescent="0.2"/>
    <row r="65687" x14ac:dyDescent="0.2"/>
    <row r="65688" x14ac:dyDescent="0.2"/>
    <row r="65689" x14ac:dyDescent="0.2"/>
    <row r="65690" x14ac:dyDescent="0.2"/>
    <row r="65691" x14ac:dyDescent="0.2"/>
    <row r="65692" x14ac:dyDescent="0.2"/>
    <row r="65693" x14ac:dyDescent="0.2"/>
    <row r="65694" x14ac:dyDescent="0.2"/>
    <row r="65695" x14ac:dyDescent="0.2"/>
    <row r="65696" x14ac:dyDescent="0.2"/>
    <row r="65697" x14ac:dyDescent="0.2"/>
    <row r="65698" x14ac:dyDescent="0.2"/>
    <row r="65699" x14ac:dyDescent="0.2"/>
    <row r="65700" x14ac:dyDescent="0.2"/>
    <row r="65701" x14ac:dyDescent="0.2"/>
    <row r="65702" x14ac:dyDescent="0.2"/>
    <row r="65703" x14ac:dyDescent="0.2"/>
  </sheetData>
  <sheetProtection algorithmName="SHA-512" hashValue="P+YPtjB6dBGQBh06546KN1vuNuIW2tW7tKrjnzvPGJNLqjCNBH1Sb/XEwQttSObZofC7KoQ5aae84pjm3MpeIQ==" saltValue="7cYdfLeCF3FV9gemT9b8Ng==" spinCount="100000" sheet="1" objects="1" scenarios="1"/>
  <customSheetViews>
    <customSheetView guid="{A171ABFC-BD20-4BE9-8F97-F532286F0C2D}" scale="70" showGridLines="0" hiddenRows="1" hiddenColumns="1">
      <pane xSplit="15" ySplit="10" topLeftCell="P11" activePane="bottomRight" state="frozen"/>
      <selection pane="bottomRight" activeCell="X42" sqref="X42"/>
      <pageMargins left="0.75" right="0.75" top="1" bottom="1" header="0.5" footer="0.5"/>
      <pageSetup paperSize="9" orientation="portrait" r:id="rId1"/>
      <headerFooter alignWithMargins="0"/>
    </customSheetView>
    <customSheetView guid="{5F88CBE0-3291-4A41-996B-A8A1DC273A84}" scale="70" showGridLines="0" hiddenRows="1" hiddenColumns="1">
      <pane xSplit="15" ySplit="10" topLeftCell="P29" activePane="bottomRight" state="frozen"/>
      <selection pane="bottomRight" activeCell="M61" sqref="M61"/>
      <pageMargins left="0.75" right="0.75" top="1" bottom="1" header="0.5" footer="0.5"/>
      <pageSetup paperSize="9" orientation="portrait" r:id="rId2"/>
      <headerFooter alignWithMargins="0"/>
    </customSheetView>
  </customSheetViews>
  <phoneticPr fontId="5" type="noConversion"/>
  <conditionalFormatting sqref="F4">
    <cfRule type="cellIs" dxfId="3" priority="7" stopIfTrue="1" operator="equal">
      <formula>0</formula>
    </cfRule>
    <cfRule type="cellIs" dxfId="2" priority="8" stopIfTrue="1" operator="equal">
      <formula>1</formula>
    </cfRule>
  </conditionalFormatting>
  <pageMargins left="0.74803149606299213" right="0.74803149606299213" top="0.98425196850393704" bottom="0.98425196850393704" header="0.51181102362204722" footer="0.51181102362204722"/>
  <pageSetup paperSize="9" scale="35" orientation="landscape" r:id="rId3"/>
  <headerFooter alignWithMargins="0"/>
  <ignoredErrors>
    <ignoredError sqref="Y22:BQ22" formula="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22</vt:i4>
      </vt:variant>
    </vt:vector>
  </HeadingPairs>
  <TitlesOfParts>
    <vt:vector size="32" baseType="lpstr">
      <vt:lpstr>Dis</vt:lpstr>
      <vt:lpstr>Summary</vt:lpstr>
      <vt:lpstr>Inputs</vt:lpstr>
      <vt:lpstr>Oper</vt:lpstr>
      <vt:lpstr>Fin</vt:lpstr>
      <vt:lpstr>CF</vt:lpstr>
      <vt:lpstr>Acc</vt:lpstr>
      <vt:lpstr>Tax</vt:lpstr>
      <vt:lpstr>Valuation &amp; IRR</vt:lpstr>
      <vt:lpstr>Mac</vt:lpstr>
      <vt:lpstr>Acc!Área_de_impresión</vt:lpstr>
      <vt:lpstr>CF!Área_de_impresión</vt:lpstr>
      <vt:lpstr>Dis!Área_de_impresión</vt:lpstr>
      <vt:lpstr>Fin!Área_de_impresión</vt:lpstr>
      <vt:lpstr>Inputs!Área_de_impresión</vt:lpstr>
      <vt:lpstr>Mac!Área_de_impresión</vt:lpstr>
      <vt:lpstr>Oper!Área_de_impresión</vt:lpstr>
      <vt:lpstr>Summary!Área_de_impresión</vt:lpstr>
      <vt:lpstr>Tax!Área_de_impresión</vt:lpstr>
      <vt:lpstr>'Valuation &amp; IRR'!Área_de_impresión</vt:lpstr>
      <vt:lpstr>Macro_CHECK</vt:lpstr>
      <vt:lpstr>MACRO_COPY</vt:lpstr>
      <vt:lpstr>MACRO_PASTE</vt:lpstr>
      <vt:lpstr>Scenario</vt:lpstr>
      <vt:lpstr>Acc!Títulos_a_imprimir</vt:lpstr>
      <vt:lpstr>CF!Títulos_a_imprimir</vt:lpstr>
      <vt:lpstr>Fin!Títulos_a_imprimir</vt:lpstr>
      <vt:lpstr>Inputs!Títulos_a_imprimir</vt:lpstr>
      <vt:lpstr>Mac!Títulos_a_imprimir</vt:lpstr>
      <vt:lpstr>Oper!Títulos_a_imprimir</vt:lpstr>
      <vt:lpstr>Tax!Títulos_a_imprimir</vt:lpstr>
      <vt:lpstr>'Valuation &amp; IRR'!Títulos_a_imprimir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González Gallastegui;ryan.wilkinson@cintra.us</dc:creator>
  <cp:lastModifiedBy>Natalia Del Olmo Escobar</cp:lastModifiedBy>
  <cp:lastPrinted>2017-06-01T14:50:59Z</cp:lastPrinted>
  <dcterms:created xsi:type="dcterms:W3CDTF">2011-07-26T20:55:39Z</dcterms:created>
  <dcterms:modified xsi:type="dcterms:W3CDTF">2019-11-15T13:58:12Z</dcterms:modified>
</cp:coreProperties>
</file>